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ifyTopSongsByCountry - May " sheetId="1" r:id="rId3"/>
    <sheet state="visible" name="Sheet1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<sst xmlns="http://schemas.openxmlformats.org/spreadsheetml/2006/main" count="15749" uniqueCount="2453">
  <si>
    <t>Country</t>
  </si>
  <si>
    <t>Continent</t>
  </si>
  <si>
    <t>Rank</t>
  </si>
  <si>
    <t>Title</t>
  </si>
  <si>
    <t>Artists</t>
  </si>
  <si>
    <t>Album</t>
  </si>
  <si>
    <t>Explicit</t>
  </si>
  <si>
    <t>Duration</t>
  </si>
  <si>
    <t>Global</t>
  </si>
  <si>
    <t>Rain On Me (with Ariana Grande)</t>
  </si>
  <si>
    <t>Lady Gaga, Ariana Grande</t>
  </si>
  <si>
    <t>Blinding Lights</t>
  </si>
  <si>
    <t>The Weeknd</t>
  </si>
  <si>
    <t>After Hours</t>
  </si>
  <si>
    <t>ROCKSTAR (feat. Roddy Ricch)</t>
  </si>
  <si>
    <t>DaBaby, Roddy Ricch</t>
  </si>
  <si>
    <t>BLAME IT ON BABY</t>
  </si>
  <si>
    <t>Roses - Imanbek Remix</t>
  </si>
  <si>
    <t>SAINt JHN, Imanbek</t>
  </si>
  <si>
    <t>Roses (Imanbek Remix)</t>
  </si>
  <si>
    <t>Toosie Slide</t>
  </si>
  <si>
    <t>Drake</t>
  </si>
  <si>
    <t>Dark Lane Demo Tapes</t>
  </si>
  <si>
    <t>death bed (coffee for your head) (feat. beabadoobee)</t>
  </si>
  <si>
    <t>Powfu, beabadoobee</t>
  </si>
  <si>
    <t>THE SCOTTS</t>
  </si>
  <si>
    <t>THE SCOTTS, Travis Scott, Kid Cudi</t>
  </si>
  <si>
    <t>Don't Start Now</t>
  </si>
  <si>
    <t>Dua Lipa</t>
  </si>
  <si>
    <t>Future Nostalgia</t>
  </si>
  <si>
    <t>Stuck with U (with Justin Bieber)</t>
  </si>
  <si>
    <t>Ariana Grande, Justin Bieber</t>
  </si>
  <si>
    <t>Stuck with U</t>
  </si>
  <si>
    <t>Dance Monkey</t>
  </si>
  <si>
    <t>Tones And I</t>
  </si>
  <si>
    <t>Dance Monkey (Stripped Back) / Dance Monkey</t>
  </si>
  <si>
    <t>GOOBA</t>
  </si>
  <si>
    <t>6ix9ine</t>
  </si>
  <si>
    <t>Blueberry Faygo</t>
  </si>
  <si>
    <t>Lil Mosey</t>
  </si>
  <si>
    <t>Certified Hitmaker</t>
  </si>
  <si>
    <t>The Box</t>
  </si>
  <si>
    <t>Roddy Ricch</t>
  </si>
  <si>
    <t>Please Excuse Me For Being Antisocial</t>
  </si>
  <si>
    <t>ily (i love you baby) (feat. Emilee)</t>
  </si>
  <si>
    <t>Surf Mesa, Emilee</t>
  </si>
  <si>
    <t>Break My Heart</t>
  </si>
  <si>
    <t>Supalonely</t>
  </si>
  <si>
    <t>BENEE, Gus Dapperton</t>
  </si>
  <si>
    <t>STELLA &amp; STEVE</t>
  </si>
  <si>
    <t>Intentions (feat. Quavo)</t>
  </si>
  <si>
    <t>Justin Bieber, Quavo</t>
  </si>
  <si>
    <t>Changes</t>
  </si>
  <si>
    <t>In Your Eyes</t>
  </si>
  <si>
    <t>Sunday Best</t>
  </si>
  <si>
    <t>Surfaces</t>
  </si>
  <si>
    <t>Where the Light Is</t>
  </si>
  <si>
    <t>Say So</t>
  </si>
  <si>
    <t>Doja Cat</t>
  </si>
  <si>
    <t>Hot Pink</t>
  </si>
  <si>
    <t>Falling</t>
  </si>
  <si>
    <t>Trevor Daniel</t>
  </si>
  <si>
    <t>Nicotine</t>
  </si>
  <si>
    <t>Savage Remix (feat. Beyoncé)</t>
  </si>
  <si>
    <t>Megan Thee Stallion, Beyoncé</t>
  </si>
  <si>
    <t>Safaera</t>
  </si>
  <si>
    <t>Bad Bunny, Jowell &amp; Randy, Nengo Flow</t>
  </si>
  <si>
    <t>YHLQMDLG</t>
  </si>
  <si>
    <t>Someone You Loved</t>
  </si>
  <si>
    <t>Lewis Capaldi</t>
  </si>
  <si>
    <t>Divinely Uninspired To A Hellish Extent</t>
  </si>
  <si>
    <t>Yo Perreo Sola</t>
  </si>
  <si>
    <t>Bad Bunny</t>
  </si>
  <si>
    <t>Circles</t>
  </si>
  <si>
    <t>Post Malone</t>
  </si>
  <si>
    <t>Hollywood's Bleeding</t>
  </si>
  <si>
    <t>Say So (feat. Nicki Minaj)</t>
  </si>
  <si>
    <t>Doja Cat, Nicki Minaj</t>
  </si>
  <si>
    <t>Party Girl</t>
  </si>
  <si>
    <t>StaySolidRocky</t>
  </si>
  <si>
    <t>Watermelon Sugar</t>
  </si>
  <si>
    <t>Harry Styles</t>
  </si>
  <si>
    <t>Fine Line</t>
  </si>
  <si>
    <t>goosebumps</t>
  </si>
  <si>
    <t>Travis Scott</t>
  </si>
  <si>
    <t>Birds In The Trap Sing McKnight</t>
  </si>
  <si>
    <t>Tusa</t>
  </si>
  <si>
    <t>KAROL G, Nicki Minaj</t>
  </si>
  <si>
    <t>WHATS POPPIN</t>
  </si>
  <si>
    <t>Jack Harlow</t>
  </si>
  <si>
    <t>Sweet Action</t>
  </si>
  <si>
    <t>Boss Bitch</t>
  </si>
  <si>
    <t>ROXANNE</t>
  </si>
  <si>
    <t>Arizona Zervas</t>
  </si>
  <si>
    <t>SICKO MODE</t>
  </si>
  <si>
    <t>ASTROWORLD</t>
  </si>
  <si>
    <t>Play Date</t>
  </si>
  <si>
    <t>Melanie Martinez</t>
  </si>
  <si>
    <t>Cry Baby (Deluxe Edition)</t>
  </si>
  <si>
    <t>Be Kind (with Halsey)</t>
  </si>
  <si>
    <t>Marshmello, Halsey</t>
  </si>
  <si>
    <t>Life Is Good (feat. Drake)</t>
  </si>
  <si>
    <t>Future, Drake</t>
  </si>
  <si>
    <t>High Off Life</t>
  </si>
  <si>
    <t>HIGHEST IN THE ROOM</t>
  </si>
  <si>
    <t>Breaking Me</t>
  </si>
  <si>
    <t>Topic, A7S</t>
  </si>
  <si>
    <t>Adore You</t>
  </si>
  <si>
    <t>Rojo</t>
  </si>
  <si>
    <t>J Balvin</t>
  </si>
  <si>
    <t>Colores</t>
  </si>
  <si>
    <t>Before You Go</t>
  </si>
  <si>
    <t>Divinely Uninspired To A Hellish Extent (Extended Edition)</t>
  </si>
  <si>
    <t>Memories</t>
  </si>
  <si>
    <t>Maroon 5</t>
  </si>
  <si>
    <t>After Party</t>
  </si>
  <si>
    <t>Don Toliver</t>
  </si>
  <si>
    <t>Heaven Or Hell</t>
  </si>
  <si>
    <t>bad guy</t>
  </si>
  <si>
    <t>Billie Eilish</t>
  </si>
  <si>
    <t>WHEN WE ALL FALL ASLEEP, WHERE DO WE GO?</t>
  </si>
  <si>
    <t>Señorita</t>
  </si>
  <si>
    <t>Shawn Mendes, Camila Cabello</t>
  </si>
  <si>
    <t>Shawn Mendes (Deluxe)</t>
  </si>
  <si>
    <t>Daechwita</t>
  </si>
  <si>
    <t>Agust D</t>
  </si>
  <si>
    <t>D-2</t>
  </si>
  <si>
    <t>MAMACITA</t>
  </si>
  <si>
    <t>Black Eyed Peas, Ozuna, J. Rey Soul</t>
  </si>
  <si>
    <t>Favorito</t>
  </si>
  <si>
    <t>Camilo</t>
  </si>
  <si>
    <t>Por Primera Vez</t>
  </si>
  <si>
    <t>Argentina</t>
  </si>
  <si>
    <t>South America</t>
  </si>
  <si>
    <t>Colocao</t>
  </si>
  <si>
    <t>Nicki Nicole</t>
  </si>
  <si>
    <t>PORFA</t>
  </si>
  <si>
    <t>Feid, Justin Quiles</t>
  </si>
  <si>
    <t>FERXXO (VOL 1: M.O.R)</t>
  </si>
  <si>
    <t>C.R.O: Bzrp Music Session, Vol. 29</t>
  </si>
  <si>
    <t>Bizarrap, C.R.O</t>
  </si>
  <si>
    <t>Elegí (feat. Dímelo Flow)</t>
  </si>
  <si>
    <t>Rauw Alejandro, Dalex, Lenny Tavárez, Dímelo Flow</t>
  </si>
  <si>
    <t>Tattoo</t>
  </si>
  <si>
    <t>Rauw Alejandro</t>
  </si>
  <si>
    <t>Inolvidable</t>
  </si>
  <si>
    <t>Ovy On The Drums, Beéle</t>
  </si>
  <si>
    <t>Hola - Remix</t>
  </si>
  <si>
    <t>Dalex, Lenny Tavárez, Chencho Corleone, Juhn, Dímelo Flow</t>
  </si>
  <si>
    <t>Hola (Remix)</t>
  </si>
  <si>
    <t>Camilo, Evaluna Montaner</t>
  </si>
  <si>
    <t>Diosa</t>
  </si>
  <si>
    <t>Myke Towers</t>
  </si>
  <si>
    <t>Easy Money Baby</t>
  </si>
  <si>
    <t>La Jeepeta - Remix</t>
  </si>
  <si>
    <t>Nio Garcia, Anuel AA, Myke Towers, Brray, Juanka</t>
  </si>
  <si>
    <t>La Jeepeta (Remix)</t>
  </si>
  <si>
    <t>Relación</t>
  </si>
  <si>
    <t>Sech</t>
  </si>
  <si>
    <t>1 of 1</t>
  </si>
  <si>
    <t>Morado</t>
  </si>
  <si>
    <t>Sigues Con El</t>
  </si>
  <si>
    <t>Dímelo Flow, Arcangel, Sech</t>
  </si>
  <si>
    <t>Tak Tiki Tak</t>
  </si>
  <si>
    <t>Harry Nach</t>
  </si>
  <si>
    <t>Fantasias</t>
  </si>
  <si>
    <t>Rauw Alejandro, Farruko</t>
  </si>
  <si>
    <t>Loco</t>
  </si>
  <si>
    <t>Beéle</t>
  </si>
  <si>
    <t>Locura</t>
  </si>
  <si>
    <t>Cali Y El Dandee, Sebastian Yatra</t>
  </si>
  <si>
    <t>Colegio</t>
  </si>
  <si>
    <t>La Difícil</t>
  </si>
  <si>
    <t>Amarillo</t>
  </si>
  <si>
    <t>ALMA DINAMITA</t>
  </si>
  <si>
    <t>WOS</t>
  </si>
  <si>
    <t>Tres Puntos Suspensivos</t>
  </si>
  <si>
    <t>Ignorantes</t>
  </si>
  <si>
    <t>Bad Bunny, Sech</t>
  </si>
  <si>
    <t>El Efecto - Remix</t>
  </si>
  <si>
    <t>Rauw Alejandro, Chencho Corleone, KEVVO, Bryant Myers, Lyanno, Dalex</t>
  </si>
  <si>
    <t>El Efecto (Remix)</t>
  </si>
  <si>
    <t>High</t>
  </si>
  <si>
    <t>Maria Becerra</t>
  </si>
  <si>
    <t>Ya No Más</t>
  </si>
  <si>
    <t>Fer Palacio, DJ Alex, Santiago Saez</t>
  </si>
  <si>
    <t>Flasheaste Amor</t>
  </si>
  <si>
    <t>Agapornis, Hernan y La Champion's Liga, Lauro</t>
  </si>
  <si>
    <t>Como Llora</t>
  </si>
  <si>
    <t>Juanfran</t>
  </si>
  <si>
    <t>Si Me Dices Que Sí</t>
  </si>
  <si>
    <t>Reik, Farruko, Camilo</t>
  </si>
  <si>
    <t>Tutu</t>
  </si>
  <si>
    <t>Camilo, Pedro Capó</t>
  </si>
  <si>
    <t>Muévelo</t>
  </si>
  <si>
    <t>Nicky Jam, Daddy Yankee</t>
  </si>
  <si>
    <t>Dónde Estás</t>
  </si>
  <si>
    <t>KHEA</t>
  </si>
  <si>
    <t>Recuerdo</t>
  </si>
  <si>
    <t>TINI, Mau y Ricky</t>
  </si>
  <si>
    <t>Bounce</t>
  </si>
  <si>
    <t>Cazzu</t>
  </si>
  <si>
    <t>Bonus Trap</t>
  </si>
  <si>
    <t>La Cama - Remix</t>
  </si>
  <si>
    <t>Lunay, Myke Towers, Ozuna, Chencho Corleone, Rauw Alejandro</t>
  </si>
  <si>
    <t>La Cama (Remix)</t>
  </si>
  <si>
    <t>BYE ME FUI</t>
  </si>
  <si>
    <t>LAS QUE NO IBAN A SALIR</t>
  </si>
  <si>
    <t>La Pared 360</t>
  </si>
  <si>
    <t>Lenny Tavárez, Justin Quiles</t>
  </si>
  <si>
    <t>Moon</t>
  </si>
  <si>
    <t>Maria Becerra, DANI</t>
  </si>
  <si>
    <t>Bellaquita - Remix</t>
  </si>
  <si>
    <t>Dalex, Lenny Tavárez, Anitta, Natti Natasha, Farruko, Justin Quiles</t>
  </si>
  <si>
    <t>Modo Avión</t>
  </si>
  <si>
    <t>ALGO DEL VACÍO</t>
  </si>
  <si>
    <t>WOS, Manu Oliva</t>
  </si>
  <si>
    <t>Par-Tusa</t>
  </si>
  <si>
    <t>El Dipy</t>
  </si>
  <si>
    <t>Australia</t>
  </si>
  <si>
    <t>Pump It Up</t>
  </si>
  <si>
    <t>Endor</t>
  </si>
  <si>
    <t>This City</t>
  </si>
  <si>
    <t>Sam Fischer</t>
  </si>
  <si>
    <t>If the World Was Ending - feat. Julia Michaels</t>
  </si>
  <si>
    <t>JP Saxe, Julia Michaels</t>
  </si>
  <si>
    <t>If the World Was Ending (feat. Julia Michaels)</t>
  </si>
  <si>
    <t>Rover (feat. DTG)</t>
  </si>
  <si>
    <t>S1mba, DTG</t>
  </si>
  <si>
    <t>Live In Life</t>
  </si>
  <si>
    <t>The Rubens</t>
  </si>
  <si>
    <t>Ride It</t>
  </si>
  <si>
    <t>Regard</t>
  </si>
  <si>
    <t>Righteous</t>
  </si>
  <si>
    <t>Juice WRLD</t>
  </si>
  <si>
    <t>You should be sad</t>
  </si>
  <si>
    <t>Halsey</t>
  </si>
  <si>
    <t>Manic</t>
  </si>
  <si>
    <t>Lose Control</t>
  </si>
  <si>
    <t>MEDUZA, Becky Hill, Goodboys</t>
  </si>
  <si>
    <t>Bad Child</t>
  </si>
  <si>
    <t>Bad Child/Can't Be Happy All The Time</t>
  </si>
  <si>
    <t>Know Your Worth</t>
  </si>
  <si>
    <t>Khalid, Disclosure</t>
  </si>
  <si>
    <t>Lose Somebody</t>
  </si>
  <si>
    <t>Kygo, OneRepublic</t>
  </si>
  <si>
    <t>Go Crazy</t>
  </si>
  <si>
    <t>Chris Brown, Young Thug</t>
  </si>
  <si>
    <t>Slime &amp; B</t>
  </si>
  <si>
    <t>Austria</t>
  </si>
  <si>
    <t>Europe</t>
  </si>
  <si>
    <t>Roadrunner</t>
  </si>
  <si>
    <t>Bonez MC</t>
  </si>
  <si>
    <t>Komm Komm</t>
  </si>
  <si>
    <t>Capital Bra</t>
  </si>
  <si>
    <t>Fame</t>
  </si>
  <si>
    <t>Apache 207</t>
  </si>
  <si>
    <t>Nicht verdient</t>
  </si>
  <si>
    <t>Capital Bra, Loredana</t>
  </si>
  <si>
    <t>Roller</t>
  </si>
  <si>
    <t>Platte</t>
  </si>
  <si>
    <t>FAVELA</t>
  </si>
  <si>
    <t>Dardan</t>
  </si>
  <si>
    <t>Airwaves</t>
  </si>
  <si>
    <t>Pashanim</t>
  </si>
  <si>
    <t>Salt</t>
  </si>
  <si>
    <t>Ava Max</t>
  </si>
  <si>
    <t>Emotions</t>
  </si>
  <si>
    <t>Ufo361</t>
  </si>
  <si>
    <t>Rich Rich</t>
  </si>
  <si>
    <t>In Your Eyes (feat. Alida)</t>
  </si>
  <si>
    <t>Robin Schulz, Alida</t>
  </si>
  <si>
    <t>GEHT NICH GIBS NICH</t>
  </si>
  <si>
    <t>KC Rebell, Summer Cem</t>
  </si>
  <si>
    <t>Kings &amp; Queens</t>
  </si>
  <si>
    <t>Maison</t>
  </si>
  <si>
    <t>Luciano</t>
  </si>
  <si>
    <t>90-60-111</t>
  </si>
  <si>
    <t>Shirin David</t>
  </si>
  <si>
    <t>Fingertips</t>
  </si>
  <si>
    <t>Tom Gregory</t>
  </si>
  <si>
    <t>Ich würd' lügen</t>
  </si>
  <si>
    <t>KAYEF</t>
  </si>
  <si>
    <t>Struggle Is Real</t>
  </si>
  <si>
    <t>Shotz Fired</t>
  </si>
  <si>
    <t>The Passenger (LaLaLa)</t>
  </si>
  <si>
    <t>LUM!X, MOKABY &amp; D.T.E, Gabry Ponte</t>
  </si>
  <si>
    <t>Late Night</t>
  </si>
  <si>
    <t>Some Say - Felix Jaehn Remix</t>
  </si>
  <si>
    <t>Nea, Felix Jaehn</t>
  </si>
  <si>
    <t>Some Say (Felix Jaehn Remix)</t>
  </si>
  <si>
    <t>Close Your Eyes</t>
  </si>
  <si>
    <t>Felix Jaehn, VIZE, Miss Li</t>
  </si>
  <si>
    <t>Never Let Me Down</t>
  </si>
  <si>
    <t>VIZE, Tom Gregory</t>
  </si>
  <si>
    <t>Like I Love You</t>
  </si>
  <si>
    <t>Nico Santos, Topic</t>
  </si>
  <si>
    <t>Nico Santos</t>
  </si>
  <si>
    <t>Belgium</t>
  </si>
  <si>
    <t>Kom Wat Dichterbij - Uit Liefde Voor Muziek</t>
  </si>
  <si>
    <t>Regi, Jake Reese, OT</t>
  </si>
  <si>
    <t>Vergeet De Tijd</t>
  </si>
  <si>
    <t>Never Seen The Rain</t>
  </si>
  <si>
    <t>Never Seen The Rain (Alternate Version)</t>
  </si>
  <si>
    <t>Physical</t>
  </si>
  <si>
    <t>Zo Ver Weg - Uit Liefde Voor Muziek</t>
  </si>
  <si>
    <t>Some Say</t>
  </si>
  <si>
    <t>Nea</t>
  </si>
  <si>
    <t>Skechers</t>
  </si>
  <si>
    <t>DripReport</t>
  </si>
  <si>
    <t>Alone, Pt. II</t>
  </si>
  <si>
    <t>Alan Walker, Ava Max</t>
  </si>
  <si>
    <t>everything i wanted</t>
  </si>
  <si>
    <t>Little Submarine - Live Uit Liefde Voor Muziek</t>
  </si>
  <si>
    <t>The Starlings</t>
  </si>
  <si>
    <t>Don't Look Back</t>
  </si>
  <si>
    <t>Savage</t>
  </si>
  <si>
    <t>Megan Thee Stallion</t>
  </si>
  <si>
    <t>Suga</t>
  </si>
  <si>
    <t>What A Man Gotta Do</t>
  </si>
  <si>
    <t>Jonas Brothers</t>
  </si>
  <si>
    <t>Bolivia</t>
  </si>
  <si>
    <t>Bajo La Mesa</t>
  </si>
  <si>
    <t>Morat, Sebastian Yatra</t>
  </si>
  <si>
    <t>Pa' Olvidarme De Ella</t>
  </si>
  <si>
    <t>Piso 21, Christian Nodal</t>
  </si>
  <si>
    <t>Jangueo</t>
  </si>
  <si>
    <t>Alex Rose, Rafa Pabön</t>
  </si>
  <si>
    <t>LOST</t>
  </si>
  <si>
    <t>Azul</t>
  </si>
  <si>
    <t>Si Veo a Tu Mamá</t>
  </si>
  <si>
    <t>LA CANCIÓN</t>
  </si>
  <si>
    <t>J Balvin, Bad Bunny</t>
  </si>
  <si>
    <t>OASIS</t>
  </si>
  <si>
    <t>El Efecto</t>
  </si>
  <si>
    <t>Rauw Alejandro, Chencho Corleone</t>
  </si>
  <si>
    <t>Quiéreme Mientras Se Pueda</t>
  </si>
  <si>
    <t>Manuel Turizo</t>
  </si>
  <si>
    <t>Sigues Con El - Remix</t>
  </si>
  <si>
    <t>Arcangel, Sech, Romeo Santos</t>
  </si>
  <si>
    <t>Sigues Con El (Remix)</t>
  </si>
  <si>
    <t>Djadja</t>
  </si>
  <si>
    <t>Aya Nakamura</t>
  </si>
  <si>
    <t>NAKAMURA</t>
  </si>
  <si>
    <t>No Me Conoce - Remix</t>
  </si>
  <si>
    <t>Jhay Cortez, J Balvin, Bad Bunny</t>
  </si>
  <si>
    <t>Famouz</t>
  </si>
  <si>
    <t>La Mitad</t>
  </si>
  <si>
    <t>Camilo, Christian Nodal</t>
  </si>
  <si>
    <t>Vete</t>
  </si>
  <si>
    <t>ADMV</t>
  </si>
  <si>
    <t>Maluma</t>
  </si>
  <si>
    <t>CANCIÓN CON YANDEL</t>
  </si>
  <si>
    <t>Yandel, Bad Bunny</t>
  </si>
  <si>
    <t>Detente</t>
  </si>
  <si>
    <t>Mike Bahía, Danny Ocean</t>
  </si>
  <si>
    <t>Navegando</t>
  </si>
  <si>
    <t>Desconocidos</t>
  </si>
  <si>
    <t>Mau y Ricky, Manuel Turizo, Camilo</t>
  </si>
  <si>
    <t>Para Aventuras y Curiosidades</t>
  </si>
  <si>
    <t>China</t>
  </si>
  <si>
    <t>Anuel AA, Daddy Yankee, KAROL G, J Balvin, Ozuna</t>
  </si>
  <si>
    <t>Brazil</t>
  </si>
  <si>
    <t>A Gente Fez Amor - Ao Vivo</t>
  </si>
  <si>
    <t>Gusttavo Lima</t>
  </si>
  <si>
    <t>O Embaixador in Cariri (Ao Vivo)</t>
  </si>
  <si>
    <t>Saudade Sua</t>
  </si>
  <si>
    <t>Liberdade Provisória - Ao Vivo</t>
  </si>
  <si>
    <t>Henrique &amp; Juliano</t>
  </si>
  <si>
    <t>Ao Vivo no Ibirapuera, Vol. 1</t>
  </si>
  <si>
    <t>BRABA</t>
  </si>
  <si>
    <t>Luísa Sonza</t>
  </si>
  <si>
    <t>Tudo no Sigilo</t>
  </si>
  <si>
    <t>Vytinho NG, MC Bianca</t>
  </si>
  <si>
    <t>água com açúcar - ao vivo</t>
  </si>
  <si>
    <t>Luan Santana</t>
  </si>
  <si>
    <t>VIVA (Ao Vivo)</t>
  </si>
  <si>
    <t>Ranking</t>
  </si>
  <si>
    <t>Jorge &amp; Mateus</t>
  </si>
  <si>
    <t>T. E. P., EP 1</t>
  </si>
  <si>
    <t>Graveto - Ao Vivo</t>
  </si>
  <si>
    <t>Marília Mendonça</t>
  </si>
  <si>
    <t>Graveto (Ao Vivo)</t>
  </si>
  <si>
    <t>Litrão - Ao Vivo</t>
  </si>
  <si>
    <t>Matheus &amp; Kauan</t>
  </si>
  <si>
    <t>10 Anos Na Praia (Ao Vivo / Vol. 1)</t>
  </si>
  <si>
    <t>Volta por Baixo - Ao Vivo</t>
  </si>
  <si>
    <t>S de Saudade</t>
  </si>
  <si>
    <t>Luíza &amp; Maurílio, Zé Neto &amp; Cristiano</t>
  </si>
  <si>
    <t>Na Raba Toma Tapão</t>
  </si>
  <si>
    <t>Niack</t>
  </si>
  <si>
    <t>Te Prometo</t>
  </si>
  <si>
    <t>Dennis DJ, Mc Don Juan</t>
  </si>
  <si>
    <t>Tudo Aconteceu</t>
  </si>
  <si>
    <t>MC Du Black, Delacruz</t>
  </si>
  <si>
    <t>Barzinho Aleatório - Ao Vivo</t>
  </si>
  <si>
    <t>Zé Neto &amp; Cristiano</t>
  </si>
  <si>
    <t>Por Mais Beijos Ao Vivo, Ep1 - Ao Vivo</t>
  </si>
  <si>
    <t>Slow Down (feat. Jorja Smith) - Vintage Culture &amp; Slow Motion Remix</t>
  </si>
  <si>
    <t>Maverick Sabre, Jorja Smith, Vintage Culture, Slow Motion</t>
  </si>
  <si>
    <t>Slow Down (feat. Jorja Smith) [Vintage Culture &amp; Slow Motion Remix]</t>
  </si>
  <si>
    <t>Mentira - Ao Vivo</t>
  </si>
  <si>
    <t>Felipe Araújo</t>
  </si>
  <si>
    <t>Felipe Araújo In Brasília (Ao Vivo / Vol.1)</t>
  </si>
  <si>
    <t>Despedida - Ao Vivo</t>
  </si>
  <si>
    <t>Wesley Safadão, Zé Neto &amp; Cristiano</t>
  </si>
  <si>
    <t>Garota Vip Rio de Janeiro (Deluxe) (ao Vivo)</t>
  </si>
  <si>
    <t>Com ou Sem Mim - Ao Vivo</t>
  </si>
  <si>
    <t>Gustavo Mioto</t>
  </si>
  <si>
    <t>Ao Vivo em Fortaleza, Pt. 1</t>
  </si>
  <si>
    <t>Cheirosa - Ao Vivo</t>
  </si>
  <si>
    <t>Cheirosa (Ao Vivo)</t>
  </si>
  <si>
    <t>Supera - Ao Vivo</t>
  </si>
  <si>
    <t>Todos Os Cantos, Vol. 3 (ao Vivo)</t>
  </si>
  <si>
    <t>SENTADÃO</t>
  </si>
  <si>
    <t>Pedro Sampaio, Felipe Original, JS o Mão de Ouro</t>
  </si>
  <si>
    <t>Aí Eu Bebo - Ao Vivo</t>
  </si>
  <si>
    <t>Maiara &amp; Maraisa</t>
  </si>
  <si>
    <t>Aqui Em Casa (ao Vivo)</t>
  </si>
  <si>
    <t>Bebi Minha Bicicleta (Coração Falido) - Ao Vivo</t>
  </si>
  <si>
    <t>3 Batidas - Ao Vivo</t>
  </si>
  <si>
    <t>Guilherme &amp; Benuto</t>
  </si>
  <si>
    <t>3 Batidas (Ao Vivo)</t>
  </si>
  <si>
    <t>Briga Feia - Ao Vivo</t>
  </si>
  <si>
    <t>Vira Homem</t>
  </si>
  <si>
    <t>Áudio - Ao Vivo em Brasília</t>
  </si>
  <si>
    <t>Diego &amp; Victor Hugo</t>
  </si>
  <si>
    <t>Diego &amp; Victor Hugo Ao Vivo em Brasília - EP1</t>
  </si>
  <si>
    <t>Balança (feat. Pedro Sampaio e FP do Trem Bala)</t>
  </si>
  <si>
    <t>WC no Beat, Pedro Sampaio, FP do Trem Bala</t>
  </si>
  <si>
    <t>menina solta</t>
  </si>
  <si>
    <t>Giulia Be</t>
  </si>
  <si>
    <t>Relógio Parado (Ao Vivo)</t>
  </si>
  <si>
    <t>Diego &amp; Arnaldo</t>
  </si>
  <si>
    <t>Vem Me Satisfazer</t>
  </si>
  <si>
    <t>MC Ingryd, DJ Henrique da VK</t>
  </si>
  <si>
    <t>Segunda Taça</t>
  </si>
  <si>
    <t>João Bosco &amp; Vinicius, Matheus</t>
  </si>
  <si>
    <t>Quem Traiu Levou - Ao Vivo</t>
  </si>
  <si>
    <t>boa memória - ao vivo</t>
  </si>
  <si>
    <t>Amor de Fim de Noite</t>
  </si>
  <si>
    <t>Orochi, Papatinho</t>
  </si>
  <si>
    <t>Celebridade</t>
  </si>
  <si>
    <t>Viva Voz - Ao Vivo</t>
  </si>
  <si>
    <t>Lauana Prado</t>
  </si>
  <si>
    <t>Livre (Ao Vivo / Vol.1)</t>
  </si>
  <si>
    <t>Tijolão - Ao Vivo</t>
  </si>
  <si>
    <t>Tijolão (ao Vivo)</t>
  </si>
  <si>
    <t>Não Vai Embora</t>
  </si>
  <si>
    <t>Dilsinho, Luísa Sonza, Malibu</t>
  </si>
  <si>
    <t>Tudo Ok</t>
  </si>
  <si>
    <t>Thiaguinho MT, Mila, JS o Mão de Ouro</t>
  </si>
  <si>
    <t>Pipa Voada (feat. Emicida)</t>
  </si>
  <si>
    <t>Rashid, Lukinhas, Emicida</t>
  </si>
  <si>
    <t>Tão Real</t>
  </si>
  <si>
    <t>Então Toma - Ao Vivo</t>
  </si>
  <si>
    <t>Então Toma (Ao Vivo)</t>
  </si>
  <si>
    <t>Bulgaria</t>
  </si>
  <si>
    <t>100 zhivota</t>
  </si>
  <si>
    <t>Galena</t>
  </si>
  <si>
    <t>Вивалди</t>
  </si>
  <si>
    <t>Boro Purvi, Tita</t>
  </si>
  <si>
    <t>Godzilla (feat. Juice WRLD)</t>
  </si>
  <si>
    <t>Eminem, Juice WRLD</t>
  </si>
  <si>
    <t>Music To Be Murdered By</t>
  </si>
  <si>
    <t>OUT WEST (feat. Young Thug)</t>
  </si>
  <si>
    <t>JACKBOYS, Travis Scott, Young Thug</t>
  </si>
  <si>
    <t>JACKBOYS</t>
  </si>
  <si>
    <t>What do you think?</t>
  </si>
  <si>
    <t>Burn It</t>
  </si>
  <si>
    <t>Agust D, MAX</t>
  </si>
  <si>
    <t>KISLOROD</t>
  </si>
  <si>
    <t>V:RGO</t>
  </si>
  <si>
    <t>ENERGY EP</t>
  </si>
  <si>
    <t>Piyan</t>
  </si>
  <si>
    <t>Preslava</t>
  </si>
  <si>
    <t>Da gori v lyubov</t>
  </si>
  <si>
    <t>Don Omar</t>
  </si>
  <si>
    <t>EMIL TRF</t>
  </si>
  <si>
    <t>Strange</t>
  </si>
  <si>
    <t>Agust D, RM</t>
  </si>
  <si>
    <t>Lamborghini</t>
  </si>
  <si>
    <t>Galena, Fiki</t>
  </si>
  <si>
    <t>Canada</t>
  </si>
  <si>
    <t>North America</t>
  </si>
  <si>
    <t>Walk Em Down (feat. Roddy Ricch)</t>
  </si>
  <si>
    <t>NLE Choppa, Roddy Ricch</t>
  </si>
  <si>
    <t>COOLER THAN A BITCH (feat. Roddy Ricch)</t>
  </si>
  <si>
    <t>Gunna, Roddy Ricch</t>
  </si>
  <si>
    <t>WUNNA</t>
  </si>
  <si>
    <t>Chicago Freestyle (feat. Giveon)</t>
  </si>
  <si>
    <t>Drake, Giveon</t>
  </si>
  <si>
    <t>DOLLAZ ON MY HEAD (feat. Young Thug)</t>
  </si>
  <si>
    <t>Gunna, Young Thug</t>
  </si>
  <si>
    <t>Sunflower - Spider-Man: Into the Spider-Verse</t>
  </si>
  <si>
    <t>Post Malone, Swae Lee</t>
  </si>
  <si>
    <t>Gunna</t>
  </si>
  <si>
    <t>Chile</t>
  </si>
  <si>
    <t>CÓMO SE SIENTE - Remix</t>
  </si>
  <si>
    <t>Jhay Cortez, Bad Bunny</t>
  </si>
  <si>
    <t>CÓMO SE SIENTE (Remix)</t>
  </si>
  <si>
    <t>MÁS DE UNA CITA</t>
  </si>
  <si>
    <t>Bad Bunny, Zion &amp; Lennox</t>
  </si>
  <si>
    <t>BAD CON NICKY</t>
  </si>
  <si>
    <t>Bad Bunny, Nicky Jam</t>
  </si>
  <si>
    <t>La Santa</t>
  </si>
  <si>
    <t>Bad Bunny, Daddy Yankee</t>
  </si>
  <si>
    <t>PA' ROMPERLA</t>
  </si>
  <si>
    <t>Bad Bunny, Don Omar</t>
  </si>
  <si>
    <t>A Tu Merced</t>
  </si>
  <si>
    <t>Confía</t>
  </si>
  <si>
    <t>Sech, Daddy Yankee</t>
  </si>
  <si>
    <t>Keii</t>
  </si>
  <si>
    <t>Anuel AA</t>
  </si>
  <si>
    <t>Girl</t>
  </si>
  <si>
    <t>BENDICIONES</t>
  </si>
  <si>
    <t>Goteo</t>
  </si>
  <si>
    <t>Paloma Mami</t>
  </si>
  <si>
    <t>Sola &amp; Vacía</t>
  </si>
  <si>
    <t>Casper Magico, Anuel AA</t>
  </si>
  <si>
    <t>Fantasias - Remix</t>
  </si>
  <si>
    <t>Rauw Alejandro, Anuel AA, Natti Natasha, Farruko, Lunay</t>
  </si>
  <si>
    <t>Fantasias (Remix) [feat. Farruko &amp; Lunay]</t>
  </si>
  <si>
    <t>Adicto (with Anuel AA &amp; Ozuna)</t>
  </si>
  <si>
    <t>Tainy, Anuel AA, Ozuna</t>
  </si>
  <si>
    <t>Definitivamente</t>
  </si>
  <si>
    <t>Daddy Yankee, Sech</t>
  </si>
  <si>
    <t>Colombia</t>
  </si>
  <si>
    <t>Los Besos</t>
  </si>
  <si>
    <t>Greeicy</t>
  </si>
  <si>
    <t>Blanco</t>
  </si>
  <si>
    <t>Negro</t>
  </si>
  <si>
    <t>BORRAXXA</t>
  </si>
  <si>
    <t>Feid, Manuel Turizo</t>
  </si>
  <si>
    <t>Gris</t>
  </si>
  <si>
    <t>Loco - Remix</t>
  </si>
  <si>
    <t>Farruko, Beéle, Natti Natasha, Manuel Turizo</t>
  </si>
  <si>
    <t>Loco (Remix)</t>
  </si>
  <si>
    <t>Quizas</t>
  </si>
  <si>
    <t>Rich Music LTD, Sech, Dalex, Justin Quiles, Lenny Tavárez, Feid, Wisin, Zion</t>
  </si>
  <si>
    <t>The Academy</t>
  </si>
  <si>
    <t>RITMO (Bad Boys For Life)</t>
  </si>
  <si>
    <t>Black Eyed Peas, J Balvin</t>
  </si>
  <si>
    <t>Callaita</t>
  </si>
  <si>
    <t>Bad Bunny, Tainy</t>
  </si>
  <si>
    <t>Costa Rica</t>
  </si>
  <si>
    <t>Si Te Vas</t>
  </si>
  <si>
    <t>Sech, Ozuna</t>
  </si>
  <si>
    <t>Mejor</t>
  </si>
  <si>
    <t>Dalex, Sech</t>
  </si>
  <si>
    <t>Czech Republic</t>
  </si>
  <si>
    <t>Až na měsíc</t>
  </si>
  <si>
    <t>Viktor Sheen, Nik Tendo, Calin, Hasan</t>
  </si>
  <si>
    <t>Černobílej svět</t>
  </si>
  <si>
    <t>Jsme jenom fakani</t>
  </si>
  <si>
    <t>CA$HANOVA BULHAR</t>
  </si>
  <si>
    <t>rap disco revoluce</t>
  </si>
  <si>
    <t>Hadi</t>
  </si>
  <si>
    <t>Oblivion</t>
  </si>
  <si>
    <t>Viktor Sheen, Nik Tendo</t>
  </si>
  <si>
    <t>Není Limit</t>
  </si>
  <si>
    <t>Nik Tendo</t>
  </si>
  <si>
    <t>RESTART</t>
  </si>
  <si>
    <t>Do pěti</t>
  </si>
  <si>
    <t>Ektor</t>
  </si>
  <si>
    <t>Sex Disco Revoluce</t>
  </si>
  <si>
    <t>Hraješ Si Na Co</t>
  </si>
  <si>
    <t>Nik Tendo, Viktor Sheen</t>
  </si>
  <si>
    <t>LALALA</t>
  </si>
  <si>
    <t>Grey, Psycho Rhyme</t>
  </si>
  <si>
    <t>Svaz ceskych bohemu</t>
  </si>
  <si>
    <t>Wohnout</t>
  </si>
  <si>
    <t>Nasim klientum</t>
  </si>
  <si>
    <t>Sbohem</t>
  </si>
  <si>
    <t>Totti</t>
  </si>
  <si>
    <t>Zrovna jí to najelo</t>
  </si>
  <si>
    <t>CA$HANOVA BULHAR, Labello</t>
  </si>
  <si>
    <t>TIMBERLAKETRAPPED</t>
  </si>
  <si>
    <t>Hranice</t>
  </si>
  <si>
    <t>RnB King</t>
  </si>
  <si>
    <t>Kytky z pumpy</t>
  </si>
  <si>
    <t>Renne Dang</t>
  </si>
  <si>
    <t>Denmark</t>
  </si>
  <si>
    <t>Tilbage (feat. Hennedub)</t>
  </si>
  <si>
    <t>KESI, Hennedub</t>
  </si>
  <si>
    <t>KIKI (feat. Gilli)</t>
  </si>
  <si>
    <t>LOLO, Gilli</t>
  </si>
  <si>
    <t>Avatar</t>
  </si>
  <si>
    <t>NODE, Larry 44</t>
  </si>
  <si>
    <t>SPORT</t>
  </si>
  <si>
    <t>TopGunn, Branco</t>
  </si>
  <si>
    <t>SAS</t>
  </si>
  <si>
    <t>Sol Over København (feat. KESI)</t>
  </si>
  <si>
    <t>Citybois, KESI</t>
  </si>
  <si>
    <t>BOIS FOREVER</t>
  </si>
  <si>
    <t>Tættere End Vi Tror</t>
  </si>
  <si>
    <t>P3, Tessa, Christopher, Lukas Graham, Jada, Benjamin Hav, Clara, Don Stefano, Mads Langer</t>
  </si>
  <si>
    <t>Glo På Mig</t>
  </si>
  <si>
    <t>Tessa</t>
  </si>
  <si>
    <t>Klovne</t>
  </si>
  <si>
    <t>RH</t>
  </si>
  <si>
    <t>LA DANZA</t>
  </si>
  <si>
    <t>Branco, Gilli</t>
  </si>
  <si>
    <t>EURO CONNECTION</t>
  </si>
  <si>
    <t>Nudes</t>
  </si>
  <si>
    <t>Jada</t>
  </si>
  <si>
    <t>WHIP WHOP</t>
  </si>
  <si>
    <t>I$WAAL</t>
  </si>
  <si>
    <t>Min Bror (Josef Og Elias X ICEKIID)</t>
  </si>
  <si>
    <t>Josef Og Elias, ICEKIID</t>
  </si>
  <si>
    <t>Gonzo</t>
  </si>
  <si>
    <t>Suspekt</t>
  </si>
  <si>
    <t>Sindssyge Ting</t>
  </si>
  <si>
    <t>NO SKRUB$</t>
  </si>
  <si>
    <t>TopGunn, Medina</t>
  </si>
  <si>
    <t>Blitz, Baby</t>
  </si>
  <si>
    <t>Jung</t>
  </si>
  <si>
    <t>Blitz</t>
  </si>
  <si>
    <t>Så'n der</t>
  </si>
  <si>
    <t>Ben</t>
  </si>
  <si>
    <t>Gelato</t>
  </si>
  <si>
    <t>Benny Jamz</t>
  </si>
  <si>
    <t>Smid Tøjet</t>
  </si>
  <si>
    <t>Jimilian</t>
  </si>
  <si>
    <t>Burnout</t>
  </si>
  <si>
    <t>Calby</t>
  </si>
  <si>
    <t>Hangover</t>
  </si>
  <si>
    <t>Ude Af Kontrol</t>
  </si>
  <si>
    <t>PUB G (feat. Branco &amp; Larry 44)</t>
  </si>
  <si>
    <t>LOLO, Branco, Larry 44</t>
  </si>
  <si>
    <t>Ghost</t>
  </si>
  <si>
    <t>Christopher</t>
  </si>
  <si>
    <t>Gutterne</t>
  </si>
  <si>
    <t>Specktors, Nonsens</t>
  </si>
  <si>
    <t>4 LIFE</t>
  </si>
  <si>
    <t>Slip Away</t>
  </si>
  <si>
    <t>Phlake, Mercedes the Virus</t>
  </si>
  <si>
    <t>The Illegal Download Of Your Soul</t>
  </si>
  <si>
    <t>Kærlighed Gør Blind</t>
  </si>
  <si>
    <t>Citybois</t>
  </si>
  <si>
    <t>Dominican Republic</t>
  </si>
  <si>
    <t>PAM</t>
  </si>
  <si>
    <t>Justin Quiles, Daddy Yankee, El Alfa</t>
  </si>
  <si>
    <t>A Correr los Lakers</t>
  </si>
  <si>
    <t>El Alfa</t>
  </si>
  <si>
    <t>El Androide</t>
  </si>
  <si>
    <t>Un Dia Si</t>
  </si>
  <si>
    <t>El Alfa, Farruko, Myke Towers</t>
  </si>
  <si>
    <t>RONCA FREESTYLE</t>
  </si>
  <si>
    <t>Besalo</t>
  </si>
  <si>
    <t>El Alfa, Rauw Alejandro</t>
  </si>
  <si>
    <t>Medusa</t>
  </si>
  <si>
    <t>Jhay Cortez, Anuel AA, J Balvin</t>
  </si>
  <si>
    <t>25/8</t>
  </si>
  <si>
    <t>Singapur</t>
  </si>
  <si>
    <t>El Alfa, Chael Produciendo</t>
  </si>
  <si>
    <t>Follow</t>
  </si>
  <si>
    <t>KAROL G, Anuel AA</t>
  </si>
  <si>
    <t>SI ELLA SALE</t>
  </si>
  <si>
    <t>Hablamos Nunca</t>
  </si>
  <si>
    <t>El Alfa, Bethoven Villaman, El Fother, Kiko el Crazy</t>
  </si>
  <si>
    <t>Ecuador</t>
  </si>
  <si>
    <t>El Salvador</t>
  </si>
  <si>
    <t>Qué Maldición</t>
  </si>
  <si>
    <t>Banda MS de Sergio Lizárraga, Snoop Dogg</t>
  </si>
  <si>
    <t>Estonia</t>
  </si>
  <si>
    <t>Croissantid</t>
  </si>
  <si>
    <t>Nublu</t>
  </si>
  <si>
    <t>Young Boy</t>
  </si>
  <si>
    <t>NOËP</t>
  </si>
  <si>
    <t>Aluspükse</t>
  </si>
  <si>
    <t>5MIINUST, Nublu</t>
  </si>
  <si>
    <t>für Oksana</t>
  </si>
  <si>
    <t>Nublu, gameboy tetris</t>
  </si>
  <si>
    <t>Paaristõuked</t>
  </si>
  <si>
    <t>5MIINUST, Villemdrillem</t>
  </si>
  <si>
    <t>SOS (Siimi Remix)</t>
  </si>
  <si>
    <t>Pluuto, Nublu, Reket, Siimi</t>
  </si>
  <si>
    <t>Ooh Aah</t>
  </si>
  <si>
    <t>Cdeep</t>
  </si>
  <si>
    <t>Deep Sense</t>
  </si>
  <si>
    <t>Kuule</t>
  </si>
  <si>
    <t>Karl-Erik Taukar</t>
  </si>
  <si>
    <t>öölaps!</t>
  </si>
  <si>
    <t>Mind on Mitu</t>
  </si>
  <si>
    <t>Tsirkus</t>
  </si>
  <si>
    <t>5MIINUST, Nublu, PLUUTO</t>
  </si>
  <si>
    <t>I Got Love</t>
  </si>
  <si>
    <t>MiyaGi &amp; Endspiel, Rem Digga</t>
  </si>
  <si>
    <t>Ma Kuulsin Seda Läbi Viinamarjaväädi</t>
  </si>
  <si>
    <t>Reket</t>
  </si>
  <si>
    <t>Kulutuli</t>
  </si>
  <si>
    <t>Finland</t>
  </si>
  <si>
    <t>Tässäkö tää oli? (feat. Leavings-Orkesteri)</t>
  </si>
  <si>
    <t>Arttu Wiskari, Leavings-Orkesteri</t>
  </si>
  <si>
    <t>Penelope (feat. Clever)</t>
  </si>
  <si>
    <t>william, Clever</t>
  </si>
  <si>
    <t>Christian Rapper</t>
  </si>
  <si>
    <t>Devo</t>
  </si>
  <si>
    <t>Believe Me - Remastered</t>
  </si>
  <si>
    <t>Devo, Janni</t>
  </si>
  <si>
    <t>Believe Me (Remastered)</t>
  </si>
  <si>
    <t>Yhtenä sunnuntaina</t>
  </si>
  <si>
    <t>Erin</t>
  </si>
  <si>
    <t>Liian vähän, liian myöhään</t>
  </si>
  <si>
    <t>Evelina</t>
  </si>
  <si>
    <t>Keko Salata, BESS, Sexmane</t>
  </si>
  <si>
    <t>Tivolit</t>
  </si>
  <si>
    <t>BEHM</t>
  </si>
  <si>
    <t>Kube</t>
  </si>
  <si>
    <t>Epäröimättä hetkeekään</t>
  </si>
  <si>
    <t>Elastinen, Jenni Vartiainen</t>
  </si>
  <si>
    <t>Hei rakas</t>
  </si>
  <si>
    <t>Thank You [Not So Bad]</t>
  </si>
  <si>
    <t>VIZE, Felix Jaehn</t>
  </si>
  <si>
    <t>Ikuinen vappu</t>
  </si>
  <si>
    <t>JVG</t>
  </si>
  <si>
    <t>RATA/RAITTI</t>
  </si>
  <si>
    <t>LINKO</t>
  </si>
  <si>
    <t>Lord Est, MEGA-Ertsi</t>
  </si>
  <si>
    <t>Tuhansien Lärvien Maa</t>
  </si>
  <si>
    <t>Petri Nygård</t>
  </si>
  <si>
    <t>Parempi yksin - Recorded At Spotify Studios, Stockholm</t>
  </si>
  <si>
    <t>Pyhimys</t>
  </si>
  <si>
    <t>Spotify Singles</t>
  </si>
  <si>
    <t>Valonsäteet</t>
  </si>
  <si>
    <t>Vesta</t>
  </si>
  <si>
    <t>Hengitä</t>
  </si>
  <si>
    <t>Tuure Boelius</t>
  </si>
  <si>
    <t>Teipillä tai rakkaudella</t>
  </si>
  <si>
    <t>ABREU</t>
  </si>
  <si>
    <t>LA Money</t>
  </si>
  <si>
    <t>ALMA</t>
  </si>
  <si>
    <t>Have U Seen Her?</t>
  </si>
  <si>
    <t>Herkku</t>
  </si>
  <si>
    <t>Seksikäs-Suklaa, Dosdela</t>
  </si>
  <si>
    <t>KYSYMYS (feat. Pyhimys)</t>
  </si>
  <si>
    <t>Cledos, Pyhimys</t>
  </si>
  <si>
    <t>Cicciolina</t>
  </si>
  <si>
    <t>Erika Vikman</t>
  </si>
  <si>
    <t>Naamat</t>
  </si>
  <si>
    <t>HesaÄijä</t>
  </si>
  <si>
    <t>Haituvat</t>
  </si>
  <si>
    <t>Jukka Poika, Janna</t>
  </si>
  <si>
    <t>France</t>
  </si>
  <si>
    <t>Angela</t>
  </si>
  <si>
    <t>Hatik</t>
  </si>
  <si>
    <t>Chaise pliante</t>
  </si>
  <si>
    <t>JAUNÉ</t>
  </si>
  <si>
    <t>Booba, Zed</t>
  </si>
  <si>
    <t>Meleğim</t>
  </si>
  <si>
    <t>Soolking, Dadju</t>
  </si>
  <si>
    <t>Vintage</t>
  </si>
  <si>
    <t>Lettre à une femme</t>
  </si>
  <si>
    <t>Ninho</t>
  </si>
  <si>
    <t>M.I.L.S 3</t>
  </si>
  <si>
    <t>Naps, Ninho</t>
  </si>
  <si>
    <t>Carré VIP</t>
  </si>
  <si>
    <t>Sousou</t>
  </si>
  <si>
    <t>Jul</t>
  </si>
  <si>
    <t>Bro Bro</t>
  </si>
  <si>
    <t>Zola</t>
  </si>
  <si>
    <t>Blanche</t>
  </si>
  <si>
    <t>Maes, Booba</t>
  </si>
  <si>
    <t>Les derniers salopards</t>
  </si>
  <si>
    <t>Criminel (feat. Niska)</t>
  </si>
  <si>
    <t>Bramsito, Niska</t>
  </si>
  <si>
    <t>Criminel</t>
  </si>
  <si>
    <t>Distant</t>
  </si>
  <si>
    <t>Maes, Ninho</t>
  </si>
  <si>
    <t>Zipette</t>
  </si>
  <si>
    <t>Ne reviens pas</t>
  </si>
  <si>
    <t>Gradur, Heuss L'enfoiré</t>
  </si>
  <si>
    <t>Zone 59</t>
  </si>
  <si>
    <t>Dybala</t>
  </si>
  <si>
    <t>Maes, Jul</t>
  </si>
  <si>
    <t>1ère fois</t>
  </si>
  <si>
    <t>Imen Es, Alonzo</t>
  </si>
  <si>
    <t>Nos vies</t>
  </si>
  <si>
    <t>La vie qu'on mène</t>
  </si>
  <si>
    <t>Destin</t>
  </si>
  <si>
    <t>93% [Tijuana]</t>
  </si>
  <si>
    <t>GLK, Landy, DA Uzi, Hornet La Frappe</t>
  </si>
  <si>
    <t>Indécis</t>
  </si>
  <si>
    <t>MD (feat. Niska)</t>
  </si>
  <si>
    <t>4Keus, Niska</t>
  </si>
  <si>
    <t>Vie d'artiste</t>
  </si>
  <si>
    <t>Crois-moi (feat. Ninho)</t>
  </si>
  <si>
    <t>DA Uzi, Ninho</t>
  </si>
  <si>
    <t>Architecte</t>
  </si>
  <si>
    <t>Moulaga</t>
  </si>
  <si>
    <t>Heuss L'enfoiré, Jul</t>
  </si>
  <si>
    <t>Infinity - Dubdogz &amp; Bhaskar Edit</t>
  </si>
  <si>
    <t>Dubdogz, Bhaskar</t>
  </si>
  <si>
    <t>Infinity (Dubdogz &amp; Bhaskar Edit)</t>
  </si>
  <si>
    <t>Train de vie (feat. PLK)</t>
  </si>
  <si>
    <t>Leto, PLK</t>
  </si>
  <si>
    <t>Virus: avant l'album</t>
  </si>
  <si>
    <t>Prison pour mineurs</t>
  </si>
  <si>
    <t>Pirate</t>
  </si>
  <si>
    <t>Ninho, Hös Copperfield</t>
  </si>
  <si>
    <t>Fait d'or</t>
  </si>
  <si>
    <t>So Maness</t>
  </si>
  <si>
    <t>Soso Maness</t>
  </si>
  <si>
    <t>Anissa</t>
  </si>
  <si>
    <t>Wejdene</t>
  </si>
  <si>
    <t>Djomb</t>
  </si>
  <si>
    <t>Bosh</t>
  </si>
  <si>
    <t>Synkinisi</t>
  </si>
  <si>
    <t>Germany</t>
  </si>
  <si>
    <t>WEISSER RAUCH</t>
  </si>
  <si>
    <t>FOURTY</t>
  </si>
  <si>
    <t>Tränen aus Kajal</t>
  </si>
  <si>
    <t>CÉLINE</t>
  </si>
  <si>
    <t>WIEDER MAL</t>
  </si>
  <si>
    <t>FOURTY, Monet192</t>
  </si>
  <si>
    <t>Te Amo Mi Amor</t>
  </si>
  <si>
    <t>Sarah Lombardi</t>
  </si>
  <si>
    <t>Anders</t>
  </si>
  <si>
    <t>Fero47</t>
  </si>
  <si>
    <t>BaeBae</t>
  </si>
  <si>
    <t>Samra</t>
  </si>
  <si>
    <t>Jibrail &amp; Iblis</t>
  </si>
  <si>
    <t>Trendsetter</t>
  </si>
  <si>
    <t>Nimo, Rina</t>
  </si>
  <si>
    <t>Modela</t>
  </si>
  <si>
    <t>Ardian Bujupi</t>
  </si>
  <si>
    <t>H &lt;3 T E L</t>
  </si>
  <si>
    <t>Dardan, Monet192</t>
  </si>
  <si>
    <t>Namen</t>
  </si>
  <si>
    <t>Kontra K</t>
  </si>
  <si>
    <t>Conan x Xenia</t>
  </si>
  <si>
    <t>Haftbefehl, Shirin David</t>
  </si>
  <si>
    <t>Sehe schwarz</t>
  </si>
  <si>
    <t>Ra'is, XATAR</t>
  </si>
  <si>
    <t>Rollercoaster</t>
  </si>
  <si>
    <t>badmómzjay</t>
  </si>
  <si>
    <t>200 km/h</t>
  </si>
  <si>
    <t>Rückspiegel</t>
  </si>
  <si>
    <t>Sinan-G</t>
  </si>
  <si>
    <t>What's Luv</t>
  </si>
  <si>
    <t>Shindy</t>
  </si>
  <si>
    <t>Byzantinische Rose</t>
  </si>
  <si>
    <t>Greece</t>
  </si>
  <si>
    <t>Millionaire</t>
  </si>
  <si>
    <t>Snik</t>
  </si>
  <si>
    <t>TOPBOY</t>
  </si>
  <si>
    <t>Why</t>
  </si>
  <si>
    <t>TopBoy</t>
  </si>
  <si>
    <t>Snik, Capo Plaza</t>
  </si>
  <si>
    <t>Cubano</t>
  </si>
  <si>
    <t>Oh No</t>
  </si>
  <si>
    <t>Online</t>
  </si>
  <si>
    <t>PTSD</t>
  </si>
  <si>
    <t>Highway</t>
  </si>
  <si>
    <t>Sinefa</t>
  </si>
  <si>
    <t>Rockstar</t>
  </si>
  <si>
    <t>Colpo Grosso</t>
  </si>
  <si>
    <t>Snik, Guè Pequeno, Noizy, Capo Plaza</t>
  </si>
  <si>
    <t>Drip</t>
  </si>
  <si>
    <t>Snik, Mad Clip</t>
  </si>
  <si>
    <t>Kilo</t>
  </si>
  <si>
    <t>Cruel Summer</t>
  </si>
  <si>
    <t>DJ Stephan, Mad Clip, iLLEOo</t>
  </si>
  <si>
    <t>Woh - Remix</t>
  </si>
  <si>
    <t>Fy, Light, MC Bin Laden, Mad Clip, Mente Fuerte</t>
  </si>
  <si>
    <t>Woh (Remix)</t>
  </si>
  <si>
    <t>Senorita</t>
  </si>
  <si>
    <t>Snik, Tamta</t>
  </si>
  <si>
    <t>Kotera</t>
  </si>
  <si>
    <t>Mad Clip</t>
  </si>
  <si>
    <t>IG</t>
  </si>
  <si>
    <t>Slogan, MG</t>
  </si>
  <si>
    <t>Big Chunes</t>
  </si>
  <si>
    <t>BIG MAN</t>
  </si>
  <si>
    <t>Who U</t>
  </si>
  <si>
    <t>MG, iLLEOo</t>
  </si>
  <si>
    <t>Eros</t>
  </si>
  <si>
    <t>DJ Stephan, Ypo, Sophia</t>
  </si>
  <si>
    <t>Slang</t>
  </si>
  <si>
    <t>Light, Billy Sio, Atc Nico</t>
  </si>
  <si>
    <t>Presidente</t>
  </si>
  <si>
    <t>Magic</t>
  </si>
  <si>
    <t>Light</t>
  </si>
  <si>
    <t>Caliente</t>
  </si>
  <si>
    <t>Mente Fuerte, Hawk, Baghdad</t>
  </si>
  <si>
    <t>GANGSTA</t>
  </si>
  <si>
    <t>Snik, A.M. SNiPER</t>
  </si>
  <si>
    <t>Stars</t>
  </si>
  <si>
    <t>TOQUEL, Light</t>
  </si>
  <si>
    <t>Cyan</t>
  </si>
  <si>
    <t>Saske</t>
  </si>
  <si>
    <t>Saskepticism Vol. 1</t>
  </si>
  <si>
    <t>Monos Mou</t>
  </si>
  <si>
    <t>Guatemala</t>
  </si>
  <si>
    <t>Se Me Olvidó</t>
  </si>
  <si>
    <t>Christian Nodal</t>
  </si>
  <si>
    <t>Honduras</t>
  </si>
  <si>
    <t>Infeliz</t>
  </si>
  <si>
    <t>Arcangel, Bad Bunny</t>
  </si>
  <si>
    <t>Historias de un Capricornio</t>
  </si>
  <si>
    <t>Pero Ya No</t>
  </si>
  <si>
    <t>Hong Kong</t>
  </si>
  <si>
    <t>Asia</t>
  </si>
  <si>
    <t>Flossin'</t>
  </si>
  <si>
    <t>Big Loso</t>
  </si>
  <si>
    <t>Y Ahora (feat. Alex Rose, Nengo Flow, Randy Nota Loka &amp; Dalex)</t>
  </si>
  <si>
    <t>DNA, Alex Rose, Nengo Flow, Randy Nota Loka, Dalex</t>
  </si>
  <si>
    <t>X Celos</t>
  </si>
  <si>
    <t>Damián V</t>
  </si>
  <si>
    <t>Guaya Pared (feat. J-King y Maximan)</t>
  </si>
  <si>
    <t>DNA, J-King, Maximan</t>
  </si>
  <si>
    <t>Guaya Pared (feat. J-King &amp; Maximan)</t>
  </si>
  <si>
    <t>Loveless</t>
  </si>
  <si>
    <t>YNW Jordan, Kolé, Young Fay</t>
  </si>
  <si>
    <t>Static Interruptions</t>
  </si>
  <si>
    <t>Floating in Space - Project</t>
  </si>
  <si>
    <t>Soak up the Drip</t>
  </si>
  <si>
    <t>PBE PLUTO</t>
  </si>
  <si>
    <t>Lento y Sensual</t>
  </si>
  <si>
    <t>Jt el Utility</t>
  </si>
  <si>
    <t>Booty</t>
  </si>
  <si>
    <t>Windy Guai</t>
  </si>
  <si>
    <t>Piano Sonata No. 8 in C Minor, Op. 13, "Pathétique": II. Adagio cantabile</t>
  </si>
  <si>
    <t>Shunji Itani</t>
  </si>
  <si>
    <t>Beethoveniana Nr.1</t>
  </si>
  <si>
    <t>Tanha Nazar</t>
  </si>
  <si>
    <t>Sirvan Khosravi</t>
  </si>
  <si>
    <t>Emotional</t>
  </si>
  <si>
    <t>MariKuroso, Olivier Decrouille</t>
  </si>
  <si>
    <t>JOY</t>
  </si>
  <si>
    <t>Yesteday</t>
  </si>
  <si>
    <t>Thee JAE</t>
  </si>
  <si>
    <t>GoGo Shred (feat. Ernie C, Johnny Hiland, Jordan Ziff, Johnny Blade &amp; Oskar Cartaya)</t>
  </si>
  <si>
    <t>Mike Mostert &amp; The GoGo Tuner Family, Ernie C, Johnny Blade, Johnny Hiland, Jordan Ziff, Oskar Cartaya</t>
  </si>
  <si>
    <t>Mike Mostert &amp; The GoGo Tuner Family</t>
  </si>
  <si>
    <t>Escape LA</t>
  </si>
  <si>
    <t>Friday Santana</t>
  </si>
  <si>
    <t>Rainfall</t>
  </si>
  <si>
    <t>Prince Bishop F</t>
  </si>
  <si>
    <t>This Side</t>
  </si>
  <si>
    <t>Phantom Caine</t>
  </si>
  <si>
    <t>Crying in Autotune</t>
  </si>
  <si>
    <t>Your Occlusion Unbound</t>
  </si>
  <si>
    <t>From Under Concrete Kings</t>
  </si>
  <si>
    <t>Luna</t>
  </si>
  <si>
    <t>Dennis Fernando, Leonardo La Croix</t>
  </si>
  <si>
    <t>Destroyer</t>
  </si>
  <si>
    <t>Modus Exodus</t>
  </si>
  <si>
    <t>Sweet Night</t>
  </si>
  <si>
    <t>V</t>
  </si>
  <si>
    <t>ITAEWON CLASS (Original Television Soundtrack) Pt. 12</t>
  </si>
  <si>
    <t>Advienne que pourra</t>
  </si>
  <si>
    <t>Keyzs-Sean Sparsfa</t>
  </si>
  <si>
    <t>16.20 (Phoenix)</t>
  </si>
  <si>
    <t>Ex</t>
  </si>
  <si>
    <t>Buunkin</t>
  </si>
  <si>
    <t>W-UU</t>
  </si>
  <si>
    <t>Quimica</t>
  </si>
  <si>
    <t>Bogart Bonales</t>
  </si>
  <si>
    <t>Snakecrusher</t>
  </si>
  <si>
    <t>Anywhere</t>
  </si>
  <si>
    <t>Torito</t>
  </si>
  <si>
    <t>The Feeling</t>
  </si>
  <si>
    <t>ED LIIT</t>
  </si>
  <si>
    <t>Runaway / Higher</t>
  </si>
  <si>
    <t>Party Friends</t>
  </si>
  <si>
    <t>Kiian</t>
  </si>
  <si>
    <t>Heart Attack</t>
  </si>
  <si>
    <t>FAO&gt;dino</t>
  </si>
  <si>
    <t>P.Y.T</t>
  </si>
  <si>
    <t>TG, Young Invent</t>
  </si>
  <si>
    <t>Old Habits Never Die 2</t>
  </si>
  <si>
    <t>K Beezy</t>
  </si>
  <si>
    <t>Call on Me</t>
  </si>
  <si>
    <t>James Worthy, Sonna</t>
  </si>
  <si>
    <t>Blu Leisure</t>
  </si>
  <si>
    <t>The Kites</t>
  </si>
  <si>
    <t>Luca Natale</t>
  </si>
  <si>
    <t>Dying Inside</t>
  </si>
  <si>
    <t>Zoee8</t>
  </si>
  <si>
    <t>Super Mario Bros (Main Theme)</t>
  </si>
  <si>
    <t>Presiento</t>
  </si>
  <si>
    <t>Los Necesarios</t>
  </si>
  <si>
    <t>Your Time</t>
  </si>
  <si>
    <t>DeAnna Stealth</t>
  </si>
  <si>
    <t>銀河修理員</t>
  </si>
  <si>
    <t>Dear Jane</t>
  </si>
  <si>
    <t>Press Play</t>
  </si>
  <si>
    <t>JSnake, Nelis Joustra, Ray Bryan</t>
  </si>
  <si>
    <t>Se acabó</t>
  </si>
  <si>
    <t>Molina Molina</t>
  </si>
  <si>
    <t>Tik Tik Tok</t>
  </si>
  <si>
    <t>Marli Space</t>
  </si>
  <si>
    <t>All Night</t>
  </si>
  <si>
    <t>Mukaybin Mukayze</t>
  </si>
  <si>
    <t>想見你想見你想見你(電視劇"想見你"片尾曲)</t>
  </si>
  <si>
    <t>eight(Prod.&amp;Feat. SUGA of BTS)</t>
  </si>
  <si>
    <t>IU, SUGA</t>
  </si>
  <si>
    <t>eight</t>
  </si>
  <si>
    <t>呼吸有害</t>
  </si>
  <si>
    <t>Karen Mok</t>
  </si>
  <si>
    <t>Piano</t>
  </si>
  <si>
    <t>Nova</t>
  </si>
  <si>
    <t>Hungary</t>
  </si>
  <si>
    <t>Olyan Ő</t>
  </si>
  <si>
    <t>Bagossy Brothers Company</t>
  </si>
  <si>
    <t>Veled Utazom</t>
  </si>
  <si>
    <t>Tavasz</t>
  </si>
  <si>
    <t>Follow The Flow</t>
  </si>
  <si>
    <t>Mostantól</t>
  </si>
  <si>
    <t>Rácz Gergõ, Orsovai Reni</t>
  </si>
  <si>
    <t>Lej</t>
  </si>
  <si>
    <t>Dzsúdló, Lil Frakk</t>
  </si>
  <si>
    <t>Fotofóbia</t>
  </si>
  <si>
    <t>Feküdj ide</t>
  </si>
  <si>
    <t>ByeAlex és a Slepp</t>
  </si>
  <si>
    <t>Iceland</t>
  </si>
  <si>
    <t>Deyja Fyrir Stelpurnar Mínar</t>
  </si>
  <si>
    <t>ClubDub, Ra:tio</t>
  </si>
  <si>
    <t>Ég Myndi Deyja Fyrir Stelpurnar Mínar</t>
  </si>
  <si>
    <t>Esjan</t>
  </si>
  <si>
    <t>BRÍET</t>
  </si>
  <si>
    <t>Það bera sig allir vel</t>
  </si>
  <si>
    <t>Helgi Björnsson</t>
  </si>
  <si>
    <t>Think About Things</t>
  </si>
  <si>
    <t>Daði Freyr</t>
  </si>
  <si>
    <t>Í kvöld er gigg</t>
  </si>
  <si>
    <t>Ingó Veðurguð</t>
  </si>
  <si>
    <t>Heyrðu Mig</t>
  </si>
  <si>
    <t>Haltu Kjafti</t>
  </si>
  <si>
    <t>Birgir Hákon, M Can, Tommy</t>
  </si>
  <si>
    <t>Píla (feat. Lil Binni)</t>
  </si>
  <si>
    <t>Joey Christ, Lil Binni</t>
  </si>
  <si>
    <t>Óska mér</t>
  </si>
  <si>
    <t>JóiPé, Króli</t>
  </si>
  <si>
    <t>Í miðjum kjarnorkuvetri</t>
  </si>
  <si>
    <t>Enginn eins og þú</t>
  </si>
  <si>
    <t>Auður</t>
  </si>
  <si>
    <t>Sumargleðin (feat. Gummi Tóta &amp; Ingó Veðurguð)</t>
  </si>
  <si>
    <t>Doctor Victor, Ingó Veðurguð, Gummi Tóta</t>
  </si>
  <si>
    <t>Einn Tveir</t>
  </si>
  <si>
    <t>Huginn, Friðrik Dór</t>
  </si>
  <si>
    <t>Malbik</t>
  </si>
  <si>
    <t>Emmsjé Gauti, Króli</t>
  </si>
  <si>
    <t>Ég Er Svo Flottur</t>
  </si>
  <si>
    <t>Séra Bjössi</t>
  </si>
  <si>
    <t>On</t>
  </si>
  <si>
    <t>Síðan hittumst við aftur</t>
  </si>
  <si>
    <t>...syngur íslenskar dægurperlur ásamt gestum</t>
  </si>
  <si>
    <t>Shallow</t>
  </si>
  <si>
    <t>Lady Gaga, Bradley Cooper</t>
  </si>
  <si>
    <t>A Star Is Born Soundtrack</t>
  </si>
  <si>
    <t>Rómeó og Júlía</t>
  </si>
  <si>
    <t>Bubbi Morthens</t>
  </si>
  <si>
    <t>Kona</t>
  </si>
  <si>
    <t>Ofboðslega frægur</t>
  </si>
  <si>
    <t>Stuðmenn</t>
  </si>
  <si>
    <t>Hve glöð er vor æska</t>
  </si>
  <si>
    <t>Afgan</t>
  </si>
  <si>
    <t>Fingraför</t>
  </si>
  <si>
    <t>India</t>
  </si>
  <si>
    <t>Shayad</t>
  </si>
  <si>
    <t>Pritam, Arijit Singh</t>
  </si>
  <si>
    <t>Love Aaj Kal (Original Motion Picture Soundtrack)</t>
  </si>
  <si>
    <t>Genda Phool (feat. Payal Dev)</t>
  </si>
  <si>
    <t>Badshah, Payal Dev</t>
  </si>
  <si>
    <t>Malang (Title Track) [From "Malang - Unleash The Madness"]</t>
  </si>
  <si>
    <t>Ved Sharma</t>
  </si>
  <si>
    <t>Ghungroo (From "War")</t>
  </si>
  <si>
    <t>Arijit Singh, Shilpa Rao</t>
  </si>
  <si>
    <t>Tujhe Kitna Chahne Lage (From "Kabir Singh")</t>
  </si>
  <si>
    <t>Arijit Singh, Mithoon</t>
  </si>
  <si>
    <t>Illegal Weapon 2.0</t>
  </si>
  <si>
    <t>Jasmine Sandlas, Garry Sandhu</t>
  </si>
  <si>
    <t>Street Dancer 3D</t>
  </si>
  <si>
    <t>Haan Main Galat</t>
  </si>
  <si>
    <t>Pritam, Arijit Singh, Shashwat Singh</t>
  </si>
  <si>
    <t>Makhna</t>
  </si>
  <si>
    <t>Tanishk Bagchi, Yasser Desai, Asees Kaur</t>
  </si>
  <si>
    <t>Makhna (From "Drive")</t>
  </si>
  <si>
    <t>Garmi (From "Street Dancer 3D") (feat. Varun Dhawan)</t>
  </si>
  <si>
    <t>Badshah, Neha Kakkar, Varun Dhawan</t>
  </si>
  <si>
    <t>Garmi (From "Street Dancer 3D")</t>
  </si>
  <si>
    <t>Tu Hi Yaar Mera (From "Pati Patni Aur Woh")</t>
  </si>
  <si>
    <t>Rochak, Arijit Singh, Neha Kakkar, Rochak Kohli</t>
  </si>
  <si>
    <t>Humraah (From "Malang - Unleash The Madness")</t>
  </si>
  <si>
    <t>Sachet Tandon, The Fusion Project</t>
  </si>
  <si>
    <t>Kaise Hua (From "Kabir Singh")</t>
  </si>
  <si>
    <t>Vishal Mishra</t>
  </si>
  <si>
    <t>Pal Pal Dil Ke Paas- Title Track</t>
  </si>
  <si>
    <t>Arijit Singh, Parampara Thakur</t>
  </si>
  <si>
    <t>Pal Pal Dil Ke Paas- Title Track (From "Pal Pal Dil Ke Paas")</t>
  </si>
  <si>
    <t>Mere Liye Tum Kaafi Ho (From "Shubh Mangal Zyada Saavdhan")</t>
  </si>
  <si>
    <t>Ayushmann Khurrana, Tanishk-Vayu</t>
  </si>
  <si>
    <t>Mehrama</t>
  </si>
  <si>
    <t>Pritam, Darshan Raval, Antara Mitra</t>
  </si>
  <si>
    <t>Liggi</t>
  </si>
  <si>
    <t>Ritviz</t>
  </si>
  <si>
    <t>Duniyaa (From "Luka Chuppi")</t>
  </si>
  <si>
    <t>Akhil, Dhvani Bhanushali</t>
  </si>
  <si>
    <t>Feel-Good Tum Jo Aaye</t>
  </si>
  <si>
    <t>Tere Naal</t>
  </si>
  <si>
    <t>Tulsi Kumar, Darshan Raval</t>
  </si>
  <si>
    <t>Bekhayali (From "Kabir Singh")</t>
  </si>
  <si>
    <t>Sachet Tandon, Sachet-Parampara</t>
  </si>
  <si>
    <t>Tera Ban Jaunga (From "Kabir Singh")</t>
  </si>
  <si>
    <t>Akhil Sachdeva, Tulsi Kumar</t>
  </si>
  <si>
    <t>Best Of Akhil Sachdeva</t>
  </si>
  <si>
    <t>Ve Maahi</t>
  </si>
  <si>
    <t>Arijit Singh, Asees Kaur</t>
  </si>
  <si>
    <t>The Asees Kaur Collection</t>
  </si>
  <si>
    <t>Yaad Piya Ki Aane Lagi</t>
  </si>
  <si>
    <t>Neha Kakkar, Tanishk Bagchi, Lalit Sen</t>
  </si>
  <si>
    <t>Mere Sohneya (From "Kabir Singh")</t>
  </si>
  <si>
    <t>Sachet Tandon, Parampara Thakur, Sachet-Parampara</t>
  </si>
  <si>
    <t>Kuch Bhi Ho Jaye</t>
  </si>
  <si>
    <t>B Praak</t>
  </si>
  <si>
    <t>Lagdi Lahore Di (From "Street Dancer 3D")</t>
  </si>
  <si>
    <t>Guru Randhawa, Tulsi Kumar</t>
  </si>
  <si>
    <t>Enchantic Tulsi Kumar</t>
  </si>
  <si>
    <t>Agar Tum Saath Ho (From "Tamasha")</t>
  </si>
  <si>
    <t>Alka Yagnik, Arijit Singh</t>
  </si>
  <si>
    <t>Loveholic Arijit Singh</t>
  </si>
  <si>
    <t>Tum Hi Aana (From "Marjaavaan")</t>
  </si>
  <si>
    <t>Payal Dev, Jubin Nautiyal</t>
  </si>
  <si>
    <t>Yummy</t>
  </si>
  <si>
    <t>Justin Bieber</t>
  </si>
  <si>
    <t>Muqabla (From "Street Dancer 3D")</t>
  </si>
  <si>
    <t>Yash Narvekar, Parampara Thakur, Tanishk Bagchi</t>
  </si>
  <si>
    <t>Chal Ghar Chalen (From "Malang - Unleash The Madness") [Mithoon feat. Arijit Singh]</t>
  </si>
  <si>
    <t>Mithoon, Arijit Singh</t>
  </si>
  <si>
    <t>Indonesia</t>
  </si>
  <si>
    <t>LATHI (ꦭꦛꦶ)</t>
  </si>
  <si>
    <t>Weird Genius, Sara Fajira</t>
  </si>
  <si>
    <t>Surrender</t>
  </si>
  <si>
    <t>Natalie Taylor</t>
  </si>
  <si>
    <t>One Only</t>
  </si>
  <si>
    <t>Pamungkas</t>
  </si>
  <si>
    <t>Walk The Talk</t>
  </si>
  <si>
    <t>Bentuk Cinta</t>
  </si>
  <si>
    <t>Eclat Story</t>
  </si>
  <si>
    <t>Cerita</t>
  </si>
  <si>
    <t>Takbiran - Version 1</t>
  </si>
  <si>
    <t>Ustad Jefri Al Buchori, H. Aswan Faisal</t>
  </si>
  <si>
    <t>Takbiran</t>
  </si>
  <si>
    <t>Make You Mine</t>
  </si>
  <si>
    <t>PUBLIC</t>
  </si>
  <si>
    <t>Pura Pura Lupa</t>
  </si>
  <si>
    <t>Mahen</t>
  </si>
  <si>
    <t>Secukupnya</t>
  </si>
  <si>
    <t>Hindia</t>
  </si>
  <si>
    <t>Menari Dengan Bayangan</t>
  </si>
  <si>
    <t>Takbiran - Version 2</t>
  </si>
  <si>
    <t>Kenangan Manis</t>
  </si>
  <si>
    <t>I Like You So Much, You'll Know It</t>
  </si>
  <si>
    <t>Honey Jemlan</t>
  </si>
  <si>
    <t>Lost In Music</t>
  </si>
  <si>
    <t>Terlalu Cinta</t>
  </si>
  <si>
    <t>Rossa</t>
  </si>
  <si>
    <t>Yang Terpilih</t>
  </si>
  <si>
    <t>Waktu Yang Salah</t>
  </si>
  <si>
    <t>Fiersa Besari, Thantri</t>
  </si>
  <si>
    <t>Tempat Aku Pulang</t>
  </si>
  <si>
    <t>Lebih Dari Egoku</t>
  </si>
  <si>
    <t>Mawar De Jongh</t>
  </si>
  <si>
    <t>Perlahan</t>
  </si>
  <si>
    <t>GUYON WATON</t>
  </si>
  <si>
    <t>Pelukku Untuk Pelikmu - OST Imperfect: Karier, Cinta, &amp; Timbangan</t>
  </si>
  <si>
    <t>Fiersa Besari</t>
  </si>
  <si>
    <t>Pelukku Untuk Pelikmu (OST Imperfect: Karier, Cinta, &amp; Timbangan)</t>
  </si>
  <si>
    <t>Sedang Sayang Sayangnya</t>
  </si>
  <si>
    <t>Bad Liar</t>
  </si>
  <si>
    <t>Anna Hamilton</t>
  </si>
  <si>
    <t>Like That (feat. Gucci Mane)</t>
  </si>
  <si>
    <t>Doja Cat, Gucci Mane</t>
  </si>
  <si>
    <t>Rayu</t>
  </si>
  <si>
    <t>Marion Jola, Laleilmanino</t>
  </si>
  <si>
    <t>Marion</t>
  </si>
  <si>
    <t>Imagine Dragons</t>
  </si>
  <si>
    <t>Origins (Deluxe)</t>
  </si>
  <si>
    <t>Can't You See Me?</t>
  </si>
  <si>
    <t>TOMORROW X TOGETHER</t>
  </si>
  <si>
    <t>The Dream Chapter: ETERNITY</t>
  </si>
  <si>
    <t>Nyaman</t>
  </si>
  <si>
    <t>Andmesh</t>
  </si>
  <si>
    <t>Cinta Luar Biasa</t>
  </si>
  <si>
    <t>Halu</t>
  </si>
  <si>
    <t>Feby Putri</t>
  </si>
  <si>
    <t>Sekali Ini Saja</t>
  </si>
  <si>
    <t>Glenn Fredly</t>
  </si>
  <si>
    <t>Selamat Pagi, Dunia!</t>
  </si>
  <si>
    <t>Can We Kiss Forever?</t>
  </si>
  <si>
    <t>Kina, Adriana Proenza</t>
  </si>
  <si>
    <t>I Love You but I'm Letting Go</t>
  </si>
  <si>
    <t>bitterlove</t>
  </si>
  <si>
    <t>Ardhito Pramono</t>
  </si>
  <si>
    <t>Punch</t>
  </si>
  <si>
    <t>NCT 127</t>
  </si>
  <si>
    <t>NCT #127 Neo Zone: The Final Round - The 2nd Album Repackage</t>
  </si>
  <si>
    <t>Ireland</t>
  </si>
  <si>
    <t>Lonely</t>
  </si>
  <si>
    <t>Joel Corry</t>
  </si>
  <si>
    <t>Rain</t>
  </si>
  <si>
    <t>Aitch, AJ Tracey, Tay Keith</t>
  </si>
  <si>
    <t>Flowers (feat. Jaykae)</t>
  </si>
  <si>
    <t>Nathan Dawe, Jaykae</t>
  </si>
  <si>
    <t>Houdini (feat. Swarmz &amp; Tion Wayne)</t>
  </si>
  <si>
    <t>KSI, Tion Wayne, Swarmz</t>
  </si>
  <si>
    <t>Dissimulation</t>
  </si>
  <si>
    <t>Dinner Guest (feat. MoStack)</t>
  </si>
  <si>
    <t>AJ Tracey, MoStack</t>
  </si>
  <si>
    <t>Pour the Milk</t>
  </si>
  <si>
    <t>Robbie Doherty, Keees.</t>
  </si>
  <si>
    <t>Break Up Song</t>
  </si>
  <si>
    <t>Little Mix</t>
  </si>
  <si>
    <t>Tequila - Jax Jones &amp; Martin Solveig Present Europa</t>
  </si>
  <si>
    <t>Jax Jones, Martin Solveig, RAYE, Europa</t>
  </si>
  <si>
    <t>Snacks (Supersize)</t>
  </si>
  <si>
    <t>Outnumbered</t>
  </si>
  <si>
    <t>Dermot Kennedy</t>
  </si>
  <si>
    <t>Without Fear</t>
  </si>
  <si>
    <t>No Judgement</t>
  </si>
  <si>
    <t>Niall Horan</t>
  </si>
  <si>
    <t>Heartbreak Weather</t>
  </si>
  <si>
    <t>Boyfriend</t>
  </si>
  <si>
    <t>Mabel</t>
  </si>
  <si>
    <t>High Expectations</t>
  </si>
  <si>
    <t>Cap (feat. Offset)</t>
  </si>
  <si>
    <t>KSI, Offset</t>
  </si>
  <si>
    <t>Killa Killa (feat. Aiyana Lee)</t>
  </si>
  <si>
    <t>KSI, Aiyana-Lee</t>
  </si>
  <si>
    <t>Israel</t>
  </si>
  <si>
    <t>סטפן לגר</t>
  </si>
  <si>
    <t>Dudu Faruk</t>
  </si>
  <si>
    <t>את חסרה לי</t>
  </si>
  <si>
    <t>Eden Hason</t>
  </si>
  <si>
    <t>מסע</t>
  </si>
  <si>
    <t>Eliad</t>
  </si>
  <si>
    <t>אלוף העולם</t>
  </si>
  <si>
    <t>Hanan Ben Ari</t>
  </si>
  <si>
    <t>אם תרצי</t>
  </si>
  <si>
    <t>חצי בשבילי</t>
  </si>
  <si>
    <t>Itay Levi</t>
  </si>
  <si>
    <t>נחכה לך</t>
  </si>
  <si>
    <t>Nathan Goshen, Ishay Ribo</t>
  </si>
  <si>
    <t>באתי לחלום</t>
  </si>
  <si>
    <t>לשוב הביתה</t>
  </si>
  <si>
    <t>Ishay Ribo</t>
  </si>
  <si>
    <t>שטח אפור</t>
  </si>
  <si>
    <t>אין יותר מועדונים</t>
  </si>
  <si>
    <t>שמישהו יעצור אותי</t>
  </si>
  <si>
    <t>שגרה מפוארת</t>
  </si>
  <si>
    <t>Omer Adam</t>
  </si>
  <si>
    <t>עומר</t>
  </si>
  <si>
    <t>חלק מהזמן</t>
  </si>
  <si>
    <t>Idan Amedi</t>
  </si>
  <si>
    <t>מישהו איתי כאן</t>
  </si>
  <si>
    <t>Benaia Barabi</t>
  </si>
  <si>
    <t>Ve'Eem Tavo'ee Elay (And If You Will Come To Me)</t>
  </si>
  <si>
    <t>Idan Raichel</t>
  </si>
  <si>
    <t>And If You Will Come To Me</t>
  </si>
  <si>
    <t>אגרוף</t>
  </si>
  <si>
    <t>Eden Ben Zaken</t>
  </si>
  <si>
    <t>איתך</t>
  </si>
  <si>
    <t>הלב שלי</t>
  </si>
  <si>
    <t>אלול תשע״ט</t>
  </si>
  <si>
    <t>עברו חודשיים</t>
  </si>
  <si>
    <t>Agam Buhbut, Gal Adam</t>
  </si>
  <si>
    <t>ממה את מפחדת</t>
  </si>
  <si>
    <t>Eyal Golan, Benaia Barabi</t>
  </si>
  <si>
    <t>הפוך מהיקום - חלק שני</t>
  </si>
  <si>
    <t>מתגעגעת</t>
  </si>
  <si>
    <t>Nathan Goshen</t>
  </si>
  <si>
    <t>אם אתה גבר</t>
  </si>
  <si>
    <t>Noa Kirel</t>
  </si>
  <si>
    <t>עד מחר</t>
  </si>
  <si>
    <t>Eviatar Banai</t>
  </si>
  <si>
    <t>לילה כיום יאיר</t>
  </si>
  <si>
    <t>שמש</t>
  </si>
  <si>
    <t>Italy</t>
  </si>
  <si>
    <t>Good Times</t>
  </si>
  <si>
    <t>Ghali</t>
  </si>
  <si>
    <t>DNA</t>
  </si>
  <si>
    <t>Mediterranea</t>
  </si>
  <si>
    <t>Irama</t>
  </si>
  <si>
    <t>ELEGANTE (feat. Sfera Ebbasta)</t>
  </si>
  <si>
    <t>DrefGold, Sfera Ebbasta</t>
  </si>
  <si>
    <t>ELO</t>
  </si>
  <si>
    <t>Spigoli</t>
  </si>
  <si>
    <t>Carl Brave, Mara Sattei, tha Supreme</t>
  </si>
  <si>
    <t>Fiori di Chernobyl</t>
  </si>
  <si>
    <t>Mr.Rain</t>
  </si>
  <si>
    <t>Auto Blu</t>
  </si>
  <si>
    <t>Shiva, Eiffel 65</t>
  </si>
  <si>
    <t>Il bacio di Klimt</t>
  </si>
  <si>
    <t>Emanuele Aloia</t>
  </si>
  <si>
    <t>TesTa TrA Le NuVoLE, pT. 2</t>
  </si>
  <si>
    <t>Alfa, Yanomi</t>
  </si>
  <si>
    <t>Nena (feat. Geolier &amp; Andry The Hitmaker)</t>
  </si>
  <si>
    <t>Boro Boro, Geolier, Andry The Hitmaker</t>
  </si>
  <si>
    <t>OPPS (feat. Capo Plaza)</t>
  </si>
  <si>
    <t>DrefGold, Capo Plaza</t>
  </si>
  <si>
    <t>Problemi Con Tutti (Giuda)</t>
  </si>
  <si>
    <t>Fedez</t>
  </si>
  <si>
    <t>Chega</t>
  </si>
  <si>
    <t>Gaia</t>
  </si>
  <si>
    <t>Genesi</t>
  </si>
  <si>
    <t>Boogieman (feat. Salmo)</t>
  </si>
  <si>
    <t>Ghali, Salmo</t>
  </si>
  <si>
    <t>Le Feste Di Pablo (con Fedez)</t>
  </si>
  <si>
    <t>CARA, Fedez</t>
  </si>
  <si>
    <t>Per sentirmi vivo</t>
  </si>
  <si>
    <t>Fasma, GG</t>
  </si>
  <si>
    <t>Io sono Fasma</t>
  </si>
  <si>
    <t>ENJOY (feat. Tedua)</t>
  </si>
  <si>
    <t>DrefGold, Tedua</t>
  </si>
  <si>
    <t>Moonlight Popolare (feat. Massimo Pericolo)</t>
  </si>
  <si>
    <t>Mahmood, Massimo Pericolo</t>
  </si>
  <si>
    <t>Una volta ancora (feat. Ana Mena)</t>
  </si>
  <si>
    <t>Fred De Palma, Ana Mena</t>
  </si>
  <si>
    <t>Uebe</t>
  </si>
  <si>
    <t>Dilemme (with tha Supreme &amp; Mara Sattei)</t>
  </si>
  <si>
    <t>Lous and The Yakuza, tha Supreme, Mara Sattei</t>
  </si>
  <si>
    <t>Rapide</t>
  </si>
  <si>
    <t>Mahmood</t>
  </si>
  <si>
    <t>blun7 a swishland</t>
  </si>
  <si>
    <t>tha Supreme</t>
  </si>
  <si>
    <t>23 6451</t>
  </si>
  <si>
    <t>PUSSY (feat. Lazza &amp; Salmo)</t>
  </si>
  <si>
    <t>Dark Polo Gang, Tony Effe, Lazza, Salmo</t>
  </si>
  <si>
    <t>DARK BOYS CLUB</t>
  </si>
  <si>
    <t>AMIRI BOYS (feat. Capo Plaza)</t>
  </si>
  <si>
    <t>Dark Polo Gang, Tony Effe, Capo Plaza</t>
  </si>
  <si>
    <t>SNITCH E IMPICCI (feat. FSK SATELLITE)</t>
  </si>
  <si>
    <t>DrefGold, FSK SATELLITE</t>
  </si>
  <si>
    <t>Bando</t>
  </si>
  <si>
    <t>ANNA</t>
  </si>
  <si>
    <t>Missili</t>
  </si>
  <si>
    <t>Frah Quintale, Giorgio Poi</t>
  </si>
  <si>
    <t>Lungolinea.</t>
  </si>
  <si>
    <t>Chiasso</t>
  </si>
  <si>
    <t>Random</t>
  </si>
  <si>
    <t>Ringo Starr</t>
  </si>
  <si>
    <t>Pinguini Tattici Nucleari</t>
  </si>
  <si>
    <t>Fuori dall'Hype Ringo Starr</t>
  </si>
  <si>
    <t>BANKROLL (feat. Luchè)</t>
  </si>
  <si>
    <t>DrefGold, Luche</t>
  </si>
  <si>
    <t>16 Marzo (feat. Gow Tribe)</t>
  </si>
  <si>
    <t>Achille Lauro, Gow Tribe</t>
  </si>
  <si>
    <t>Musica (E Il Resto Scompare)</t>
  </si>
  <si>
    <t>Elettra Lamborghini</t>
  </si>
  <si>
    <t>Twerking Queen</t>
  </si>
  <si>
    <t>Ti volevo dedicare (feat. J-AX &amp; Boomdabash)</t>
  </si>
  <si>
    <t>Rocco Hunt, J-AX, Boomdabash</t>
  </si>
  <si>
    <t>Libertà</t>
  </si>
  <si>
    <t>ZERO+ZERO (feat. Lazza)</t>
  </si>
  <si>
    <t>DrefGold, Lazza</t>
  </si>
  <si>
    <t>Sono un bravo ragazzo un po' fuori di testa</t>
  </si>
  <si>
    <t>NEON - Le Ali (feat. Elisa)</t>
  </si>
  <si>
    <t>Marracash, Elisa</t>
  </si>
  <si>
    <t>Persona</t>
  </si>
  <si>
    <t>Japan</t>
  </si>
  <si>
    <t>夜に駆ける</t>
  </si>
  <si>
    <t>YOASOBI</t>
  </si>
  <si>
    <t>Pretender</t>
  </si>
  <si>
    <t>Official HIGE DANdism</t>
  </si>
  <si>
    <t>Traveler</t>
  </si>
  <si>
    <t>kousui</t>
  </si>
  <si>
    <t>Eito</t>
  </si>
  <si>
    <t>I Love...</t>
  </si>
  <si>
    <t>Hakujitsu</t>
  </si>
  <si>
    <t>King Gnu</t>
  </si>
  <si>
    <t>Ceremony</t>
  </si>
  <si>
    <t>Shukumei</t>
  </si>
  <si>
    <t>115万キロのフィルム</t>
  </si>
  <si>
    <t>エスカパレード</t>
  </si>
  <si>
    <t>Gurenge</t>
  </si>
  <si>
    <t>LiSA</t>
  </si>
  <si>
    <t>Yesterday</t>
  </si>
  <si>
    <t>ノーダウト</t>
  </si>
  <si>
    <t>Machigaisagashi</t>
  </si>
  <si>
    <t>Masaki Suda</t>
  </si>
  <si>
    <t>LOVE</t>
  </si>
  <si>
    <t>Marigold</t>
  </si>
  <si>
    <t>Aimyon</t>
  </si>
  <si>
    <t>Momentary Sixth Sense</t>
  </si>
  <si>
    <t>ただ君に晴れ</t>
  </si>
  <si>
    <t>Yorushika</t>
  </si>
  <si>
    <t>負け犬にアンコールはいらない</t>
  </si>
  <si>
    <t>snow jam</t>
  </si>
  <si>
    <t>Rin音</t>
  </si>
  <si>
    <t>Parabola</t>
  </si>
  <si>
    <t>Sayonara Elegy</t>
  </si>
  <si>
    <t>Play</t>
  </si>
  <si>
    <t>僕のこと</t>
  </si>
  <si>
    <t>Mrs. GREEN APPLE</t>
  </si>
  <si>
    <t>Attitude</t>
  </si>
  <si>
    <t>Harunohi</t>
  </si>
  <si>
    <t>高嶺の花子さん</t>
  </si>
  <si>
    <t>back number</t>
  </si>
  <si>
    <t>ラブストーリー</t>
  </si>
  <si>
    <t>Walking with you</t>
  </si>
  <si>
    <t>Novelbright</t>
  </si>
  <si>
    <t>SKYWALK</t>
  </si>
  <si>
    <t>インフェルノ</t>
  </si>
  <si>
    <t>Stand By You</t>
  </si>
  <si>
    <t>点描の唄</t>
  </si>
  <si>
    <t>Mrs. GREEN APPLE, Sonoko Inoue</t>
  </si>
  <si>
    <t>青と夏</t>
  </si>
  <si>
    <t>Anataga Iru Kotode</t>
  </si>
  <si>
    <t>Uru</t>
  </si>
  <si>
    <t>Orion Blue (Special Edition)</t>
  </si>
  <si>
    <t>裸の心</t>
  </si>
  <si>
    <t>君はロックを聴かない</t>
  </si>
  <si>
    <t>青春のエキサイトメント</t>
  </si>
  <si>
    <t>Hikoutei</t>
  </si>
  <si>
    <t>未完成</t>
  </si>
  <si>
    <t>Leo Ieiri</t>
  </si>
  <si>
    <t>KAIBUTSUSAN (feat. Aimyon)</t>
  </si>
  <si>
    <t>Ken Hirai, Aimyon</t>
  </si>
  <si>
    <t>Doron</t>
  </si>
  <si>
    <t>ロマンチシズム</t>
  </si>
  <si>
    <t>No Regret</t>
  </si>
  <si>
    <t>wacci</t>
  </si>
  <si>
    <t>Gunjo Refrain</t>
  </si>
  <si>
    <t>Teenager Forever</t>
  </si>
  <si>
    <t>HANABI</t>
  </si>
  <si>
    <t>Mr.Children</t>
  </si>
  <si>
    <t>SUPERMARKET FANTASY</t>
  </si>
  <si>
    <t>Let the Night</t>
  </si>
  <si>
    <t>奏(かなで)</t>
  </si>
  <si>
    <t>Sukima Switch</t>
  </si>
  <si>
    <t>夏雲ノイズ</t>
  </si>
  <si>
    <t>ハッピーエンド</t>
  </si>
  <si>
    <t>アンコール</t>
  </si>
  <si>
    <t>Time</t>
  </si>
  <si>
    <t>Hikaru Utada</t>
  </si>
  <si>
    <t>Turning Up</t>
  </si>
  <si>
    <t>ARASHI</t>
  </si>
  <si>
    <t>小さな恋のうた</t>
  </si>
  <si>
    <t>MONGOL800</t>
  </si>
  <si>
    <t>MESSAGE</t>
  </si>
  <si>
    <t>366日</t>
  </si>
  <si>
    <t>HY</t>
  </si>
  <si>
    <t>HeartY</t>
  </si>
  <si>
    <t>ワタリドリ</t>
  </si>
  <si>
    <t>[Alexandros]</t>
  </si>
  <si>
    <t>ALXD</t>
  </si>
  <si>
    <t>Wherever you are</t>
  </si>
  <si>
    <t>ONE OK ROCK</t>
  </si>
  <si>
    <t>Niche Syndrome</t>
  </si>
  <si>
    <t>Umbrella</t>
  </si>
  <si>
    <t>打上花火</t>
  </si>
  <si>
    <t>DAOKO, Kenshi Yonezu</t>
  </si>
  <si>
    <t>THANK YOU BLUE</t>
  </si>
  <si>
    <t>Closer - Tokyo Remix</t>
  </si>
  <si>
    <t>The Chainsmokers, Mackenyu Arata</t>
  </si>
  <si>
    <t>World War Joy (Japan Edition)</t>
  </si>
  <si>
    <t>愛をこめて花束を</t>
  </si>
  <si>
    <t>Superfly</t>
  </si>
  <si>
    <t>LOVE, PEACE &amp; FIRE</t>
  </si>
  <si>
    <t>Latvia</t>
  </si>
  <si>
    <t>Daisies</t>
  </si>
  <si>
    <t>Katy Perry</t>
  </si>
  <si>
    <t>Lithuania</t>
  </si>
  <si>
    <t>On Fire</t>
  </si>
  <si>
    <t>THE ROOP</t>
  </si>
  <si>
    <t>August</t>
  </si>
  <si>
    <t>Intelligency</t>
  </si>
  <si>
    <t>YES</t>
  </si>
  <si>
    <t>OG Version, Proflame</t>
  </si>
  <si>
    <t>Taip Jau Gavosi</t>
  </si>
  <si>
    <t>Sisters On Wire</t>
  </si>
  <si>
    <t>Судно (Борис Рижий)</t>
  </si>
  <si>
    <t>Molchat Doma</t>
  </si>
  <si>
    <t>Этажи</t>
  </si>
  <si>
    <t>Luxembourg</t>
  </si>
  <si>
    <t>No Time To Die</t>
  </si>
  <si>
    <t>Mios mit Bars</t>
  </si>
  <si>
    <t>Give No Fxk</t>
  </si>
  <si>
    <t>Migos, Travis Scott, Young Thug</t>
  </si>
  <si>
    <t>Verkackt</t>
  </si>
  <si>
    <t>Gzuz, Bonez MC</t>
  </si>
  <si>
    <t>Gzuz</t>
  </si>
  <si>
    <t>Forever (feat. Post Malone &amp; Clever)</t>
  </si>
  <si>
    <t>Justin Bieber, Post Malone, Clever</t>
  </si>
  <si>
    <t>Donuts</t>
  </si>
  <si>
    <t>What If I Told You That I Love You</t>
  </si>
  <si>
    <t>Ali Gatie</t>
  </si>
  <si>
    <t>Gazozial</t>
  </si>
  <si>
    <t>Weiss</t>
  </si>
  <si>
    <t>Suicidal</t>
  </si>
  <si>
    <t>YNW Melly</t>
  </si>
  <si>
    <t>Melly vs. Melvin</t>
  </si>
  <si>
    <t>My Oh My (feat. DaBaby)</t>
  </si>
  <si>
    <t>Camila Cabello, DaBaby</t>
  </si>
  <si>
    <t>Romance</t>
  </si>
  <si>
    <t>Ausgezahlt</t>
  </si>
  <si>
    <t>Gzuz, RAF Camora</t>
  </si>
  <si>
    <t>Was hat es gebracht</t>
  </si>
  <si>
    <t>AMEX BLACK</t>
  </si>
  <si>
    <t>Joker Bra</t>
  </si>
  <si>
    <t>Trampoline (with ZAYN)</t>
  </si>
  <si>
    <t>SHAED, ZAYN</t>
  </si>
  <si>
    <t>Melt (Deluxe)</t>
  </si>
  <si>
    <t>hot girl bummer</t>
  </si>
  <si>
    <t>blackbear</t>
  </si>
  <si>
    <t>Baianá</t>
  </si>
  <si>
    <t>Bakermat</t>
  </si>
  <si>
    <t>Kopfnüsse</t>
  </si>
  <si>
    <t>Nie erwartet</t>
  </si>
  <si>
    <t>Malaysia</t>
  </si>
  <si>
    <t>Suasana Di Hari Raya</t>
  </si>
  <si>
    <t>Anuar &amp; Ellina</t>
  </si>
  <si>
    <t>Seloka Hari Raya</t>
  </si>
  <si>
    <t>Uji Rashid, Hail Amir</t>
  </si>
  <si>
    <t>Siri Bintang Pujaan</t>
  </si>
  <si>
    <t>Suasana Hari Raya</t>
  </si>
  <si>
    <t>Datuk Sharifah Aini</t>
  </si>
  <si>
    <t>Syawal 1424</t>
  </si>
  <si>
    <t>Selamat Berhari Raya</t>
  </si>
  <si>
    <t>Rahimah Rahim</t>
  </si>
  <si>
    <t>Selamat Hari Raya</t>
  </si>
  <si>
    <t>Puan Sri Saloma</t>
  </si>
  <si>
    <t>Balik Kampung</t>
  </si>
  <si>
    <t>Dato' Sudirman</t>
  </si>
  <si>
    <t>Sesuci Lebaran</t>
  </si>
  <si>
    <t>Dato' Sri Siti Nurhaliza</t>
  </si>
  <si>
    <t>Anugerah Aidilfitri</t>
  </si>
  <si>
    <t>Dari Jauh Kupohon Maaf</t>
  </si>
  <si>
    <t>Satu Hari Di Hari Raya</t>
  </si>
  <si>
    <t>M. Nasir</t>
  </si>
  <si>
    <t>Datuk Ahmad Jais</t>
  </si>
  <si>
    <t>Menjelang Hari Raya</t>
  </si>
  <si>
    <t>Dato' DJ Dave</t>
  </si>
  <si>
    <t>Pulang Di Hari Raya</t>
  </si>
  <si>
    <t>Noorkumalasari</t>
  </si>
  <si>
    <t>Suasana Riang Di Hari Raya</t>
  </si>
  <si>
    <t>Junainah</t>
  </si>
  <si>
    <t>Senandung Hari Raya Untukmu</t>
  </si>
  <si>
    <t>Dayangku Intan</t>
  </si>
  <si>
    <t>Salam Aidilfitri Untuk Semua</t>
  </si>
  <si>
    <t>Takbir Raya</t>
  </si>
  <si>
    <t>Various artists</t>
  </si>
  <si>
    <t>Dendang Perantau</t>
  </si>
  <si>
    <t>Tan Sri P. Ramlee</t>
  </si>
  <si>
    <t>Siri Kenangan Abadi Volume 1: Getaran Jiwa</t>
  </si>
  <si>
    <t>Nazam Lebaran</t>
  </si>
  <si>
    <t>Warna Warni Aidilfitri</t>
  </si>
  <si>
    <t>Nyanyian Ramai</t>
  </si>
  <si>
    <t>Bila Takbir Bergema</t>
  </si>
  <si>
    <t>Rafeah Buang</t>
  </si>
  <si>
    <t>Kepulangan Yang Di Nanti</t>
  </si>
  <si>
    <t>Aman Shah</t>
  </si>
  <si>
    <t>Kepulangan Yang Dinanti</t>
  </si>
  <si>
    <t>Indahnya Beraya Di Desa</t>
  </si>
  <si>
    <t>Azlina Aziz</t>
  </si>
  <si>
    <t>Fazidah Joned</t>
  </si>
  <si>
    <t>Cahaya Aidilfitri</t>
  </si>
  <si>
    <t>Black Dog Bone</t>
  </si>
  <si>
    <t>Aidilfitri</t>
  </si>
  <si>
    <t>Sanisah Huri</t>
  </si>
  <si>
    <t>Bersabarlah Sayang</t>
  </si>
  <si>
    <t>Bersama Di Hari Raya</t>
  </si>
  <si>
    <t>Cenderawasih</t>
  </si>
  <si>
    <t>Bila Hari Raya Menjelma</t>
  </si>
  <si>
    <t>Air Mata Syawal</t>
  </si>
  <si>
    <t>Di Pagi Aidilfitri</t>
  </si>
  <si>
    <t>Rosemaria</t>
  </si>
  <si>
    <t>Malta</t>
  </si>
  <si>
    <t>All I Want for Christmas Is You</t>
  </si>
  <si>
    <t>Mariah Carey</t>
  </si>
  <si>
    <t>Merry Christmas</t>
  </si>
  <si>
    <t>Last Christmas</t>
  </si>
  <si>
    <t>Wham!</t>
  </si>
  <si>
    <t>LAST CHRISTMAS</t>
  </si>
  <si>
    <t>It's the Most Wonderful Time of the Year</t>
  </si>
  <si>
    <t>Andy Williams</t>
  </si>
  <si>
    <t>The Andy Williams Christmas Album</t>
  </si>
  <si>
    <t>Rockin' Around The Christmas Tree</t>
  </si>
  <si>
    <t>Brenda Lee</t>
  </si>
  <si>
    <t>Merry Christmas From Brenda Lee</t>
  </si>
  <si>
    <t>Jingle Bell Rock</t>
  </si>
  <si>
    <t>Bobby Helms</t>
  </si>
  <si>
    <t>The Classic Years: 1956-1962</t>
  </si>
  <si>
    <t>It's Beginning to Look a Lot like Christmas</t>
  </si>
  <si>
    <t>Michael Bublé</t>
  </si>
  <si>
    <t>Christmas (Deluxe Special Edition)</t>
  </si>
  <si>
    <t>Feliz Navidad</t>
  </si>
  <si>
    <t>José Feliciano</t>
  </si>
  <si>
    <t>My Name Is José Feliciano</t>
  </si>
  <si>
    <t>Let It Snow! Let It Snow! Let It Snow! (with The B. Swanson Quartet)</t>
  </si>
  <si>
    <t>Frank Sinatra, B. Swanson Quartet</t>
  </si>
  <si>
    <t>Christmas Songs by Sinatra</t>
  </si>
  <si>
    <t>Holly Jolly Christmas</t>
  </si>
  <si>
    <t>Do They Know It's Christmas? - 1984 Version</t>
  </si>
  <si>
    <t>Band Aid</t>
  </si>
  <si>
    <t>Do They Know It's Christmas?</t>
  </si>
  <si>
    <t>Santa Tell Me</t>
  </si>
  <si>
    <t>Ariana Grande</t>
  </si>
  <si>
    <t>Happy Xmas (War Is Over) - Remastered</t>
  </si>
  <si>
    <t>John Lennon, The Harlem Community Choir, The Plastic Ono Band, Yoko Ono</t>
  </si>
  <si>
    <t>Power To The People - The Hits</t>
  </si>
  <si>
    <t>It's Beginning to Look a Lot Like Christmas (with Mitchell Ayres &amp; His Orchestra)</t>
  </si>
  <si>
    <t>Perry Como, The Fontane Sisters, Mitchell Ayres &amp; His Orchestra</t>
  </si>
  <si>
    <t>Greatest Christmas Songs</t>
  </si>
  <si>
    <t>The Christmas Song (Merry Christmas To You)</t>
  </si>
  <si>
    <t>Nat King Cole</t>
  </si>
  <si>
    <t>The Christmas Song (Expanded Edition)</t>
  </si>
  <si>
    <t>Christmas (Baby Please Come Home)</t>
  </si>
  <si>
    <t>Darlene Love</t>
  </si>
  <si>
    <t>Caroling at Christmas</t>
  </si>
  <si>
    <t>Underneath the Tree</t>
  </si>
  <si>
    <t>Kelly Clarkson</t>
  </si>
  <si>
    <t>Wrapped In Red</t>
  </si>
  <si>
    <t>A Holly Jolly Christmas - Single Version</t>
  </si>
  <si>
    <t>Burl Ives</t>
  </si>
  <si>
    <t>Christmas Eve</t>
  </si>
  <si>
    <t>Wonderful Christmastime - Edited Version / Remastered 2011</t>
  </si>
  <si>
    <t>Paul McCartney</t>
  </si>
  <si>
    <t>McCartney II</t>
  </si>
  <si>
    <t>White Christmas</t>
  </si>
  <si>
    <t>Bing Crosby, Ken Darby Singers, John Scott Trotter &amp; His Orchestra</t>
  </si>
  <si>
    <t>Holiday Inn (Original Motion Picture Soundtrack)</t>
  </si>
  <si>
    <t>Mistletoe</t>
  </si>
  <si>
    <t>Under The Mistletoe (Deluxe Edition)</t>
  </si>
  <si>
    <t>Santa Claus Is Coming to Town</t>
  </si>
  <si>
    <t>Merry Christmas Everyone</t>
  </si>
  <si>
    <t>Shakin' Stevens</t>
  </si>
  <si>
    <t>The Hits Of Shakin' Stevens Vol II</t>
  </si>
  <si>
    <t>Blue Christmas</t>
  </si>
  <si>
    <t>Elvis Presley</t>
  </si>
  <si>
    <t>Elvis' Christmas Album</t>
  </si>
  <si>
    <t>Let It Snow! Let It Snow! Let It Snow!</t>
  </si>
  <si>
    <t>Dean Martin</t>
  </si>
  <si>
    <t>A Winter Romance</t>
  </si>
  <si>
    <t>Sleigh Ride</t>
  </si>
  <si>
    <t>The Ronettes</t>
  </si>
  <si>
    <t>Jingle Bell Rock - Daryl's Version</t>
  </si>
  <si>
    <t>Daryl Hall &amp; John Oates</t>
  </si>
  <si>
    <t>Santa Claus Is Coming To Town</t>
  </si>
  <si>
    <t>The Jackson 5</t>
  </si>
  <si>
    <t>Christmas Album</t>
  </si>
  <si>
    <t>Driving Home for Christmas - 2019 Remaster</t>
  </si>
  <si>
    <t>Chris Rea</t>
  </si>
  <si>
    <t>Dancing with Strangers (Deluxe Edition, 2019 Remaster)</t>
  </si>
  <si>
    <t>Santa Claus Is Comin' to Town - Live at C.W. Post College, Greenvale, NY - December 1975</t>
  </si>
  <si>
    <t>Bruce Springsteen</t>
  </si>
  <si>
    <t>Santa Claus Is Comin' to Town (Live at C.W. Post College, Greenvale, NY - December 1975)</t>
  </si>
  <si>
    <t>Have Yourself A Merry Little Christmas</t>
  </si>
  <si>
    <t>Sam Smith</t>
  </si>
  <si>
    <t>My Only Wish (This Year)</t>
  </si>
  <si>
    <t>Britney Spears</t>
  </si>
  <si>
    <t>Run Rudolph Run - Single Version</t>
  </si>
  <si>
    <t>Chuck Berry</t>
  </si>
  <si>
    <t>Rock 'N' Roll Rarities</t>
  </si>
  <si>
    <t>I Saw Mommy Kissing Santa Claus</t>
  </si>
  <si>
    <t>I'll Be Home for Christmas</t>
  </si>
  <si>
    <t>Winter Wonderland</t>
  </si>
  <si>
    <t>Tony Bennett</t>
  </si>
  <si>
    <t>Snowfall - The Tony Bennett Christmas Album</t>
  </si>
  <si>
    <t>Fairytale of New York (feat. Kirsty MacColl)</t>
  </si>
  <si>
    <t>The Pogues, Kirsty MacColl</t>
  </si>
  <si>
    <t>If I Should Fall From Grace With God (Expanded)</t>
  </si>
  <si>
    <t>One More Sleep</t>
  </si>
  <si>
    <t>Leona Lewis</t>
  </si>
  <si>
    <t>Christmas, With Love</t>
  </si>
  <si>
    <t>Baby, It's Cold Outside</t>
  </si>
  <si>
    <t>Mistletoe And Holly - Remastered 1999</t>
  </si>
  <si>
    <t>Frank Sinatra</t>
  </si>
  <si>
    <t>A Jolly Christmas From Frank Sinatra</t>
  </si>
  <si>
    <t>Happy Xmas (War Is Over)</t>
  </si>
  <si>
    <t>Céline Dion</t>
  </si>
  <si>
    <t>These Are Special Times</t>
  </si>
  <si>
    <t>Santa Baby</t>
  </si>
  <si>
    <t>Ariana Grande, Liz Gillies</t>
  </si>
  <si>
    <t>Christmas Kisses</t>
  </si>
  <si>
    <t>Santa Baby (with Henri René &amp; His Orchestra)</t>
  </si>
  <si>
    <t>Eartha Kitt, Henri Rene &amp; His Orchestra</t>
  </si>
  <si>
    <t>Heavenly Eartha</t>
  </si>
  <si>
    <t>Joy To The World</t>
  </si>
  <si>
    <t>Mexico</t>
  </si>
  <si>
    <t>Arriba</t>
  </si>
  <si>
    <t>Natanael Cano</t>
  </si>
  <si>
    <t>Me La Avente</t>
  </si>
  <si>
    <t>Carin Leon</t>
  </si>
  <si>
    <t>El Malo</t>
  </si>
  <si>
    <t>AYAYAY!</t>
  </si>
  <si>
    <t>Yo Ya No Vuelvo Contigo - En Vivo</t>
  </si>
  <si>
    <t>Lenin Ramírez, Grupo Firme</t>
  </si>
  <si>
    <t>En Vivo Desde Mi Ranchito</t>
  </si>
  <si>
    <t>Amor Tumbado</t>
  </si>
  <si>
    <t>Mi Nuevo Yo</t>
  </si>
  <si>
    <t>Netherlands</t>
  </si>
  <si>
    <t>Gordelweg</t>
  </si>
  <si>
    <t>Kevin</t>
  </si>
  <si>
    <t>Video Vixen</t>
  </si>
  <si>
    <t>Bilal Wahib, Bizzey</t>
  </si>
  <si>
    <t>17 Miljoen Mensen - Live @538 in Ahoy</t>
  </si>
  <si>
    <t>Davina Michelle, Snelle</t>
  </si>
  <si>
    <t>17 Miljoen Mensen (Live @538 in Ahoy)</t>
  </si>
  <si>
    <t>Het Is Al Laat Toch</t>
  </si>
  <si>
    <t>Racoon</t>
  </si>
  <si>
    <t>Jongen Van De Straat</t>
  </si>
  <si>
    <t>Lil Kleine</t>
  </si>
  <si>
    <t>Soldier On</t>
  </si>
  <si>
    <t>DI-RECT</t>
  </si>
  <si>
    <t>Loop Niet Weg</t>
  </si>
  <si>
    <t>Kris Kross Amsterdam, Tino Martin, Emma Heesters</t>
  </si>
  <si>
    <t>Pa Olvidarte (Beste Zangers Seizoen 2019)</t>
  </si>
  <si>
    <t>Emma Heesters, Rolf Sanchez</t>
  </si>
  <si>
    <t>Christian Dior (feat. Bryan Mg &amp; SRNO)</t>
  </si>
  <si>
    <t>Dopebwoy, Bryan Mg, SRNO</t>
  </si>
  <si>
    <t>Wat Is Je Naam</t>
  </si>
  <si>
    <t>Yxng Le, Frenna</t>
  </si>
  <si>
    <t>Beat Me - Official Song F1 Dutch Grand Prix</t>
  </si>
  <si>
    <t>Davina Michelle</t>
  </si>
  <si>
    <t>Beat Me (Official Song F1 Dutch Grand Prix)</t>
  </si>
  <si>
    <t>Weg Van Jou</t>
  </si>
  <si>
    <t>Suzan &amp; Freek</t>
  </si>
  <si>
    <t>Roller Coaster</t>
  </si>
  <si>
    <t>Danny Vera</t>
  </si>
  <si>
    <t>Pressure Makes Diamonds</t>
  </si>
  <si>
    <t>Rode Wijn</t>
  </si>
  <si>
    <t>Maan, Kraantje Pappie</t>
  </si>
  <si>
    <t>Smoorverliefd</t>
  </si>
  <si>
    <t>Snelle</t>
  </si>
  <si>
    <t>Drown (feat. Clinton Kane)</t>
  </si>
  <si>
    <t>Martin Garrix, Clinton Kane</t>
  </si>
  <si>
    <t>Underdog</t>
  </si>
  <si>
    <t>Alicia Keys</t>
  </si>
  <si>
    <t>Busje (feat. Chivv &amp; Lauwtje)</t>
  </si>
  <si>
    <t>Zefanio, Chivv, Lauwtje</t>
  </si>
  <si>
    <t>Follow Your Dreams (with Jonna Fraser)</t>
  </si>
  <si>
    <t>Emms, Jonna Fraser</t>
  </si>
  <si>
    <t>Follow Your Dreams</t>
  </si>
  <si>
    <t>Slapen Met Het Licht Aan</t>
  </si>
  <si>
    <t>Tabitha, Nielson</t>
  </si>
  <si>
    <t>Perfect (feat. Haris)</t>
  </si>
  <si>
    <t>Lucas &amp; Steve, Haris</t>
  </si>
  <si>
    <t>Afrika</t>
  </si>
  <si>
    <t>Chivv, Boef</t>
  </si>
  <si>
    <t>UN4GETTABLE NIGHTS</t>
  </si>
  <si>
    <t>New Zealand</t>
  </si>
  <si>
    <t>In the Air</t>
  </si>
  <si>
    <t>L.A.B.</t>
  </si>
  <si>
    <t>L.A.B. III</t>
  </si>
  <si>
    <t>Long Gone</t>
  </si>
  <si>
    <t>SIX60</t>
  </si>
  <si>
    <t>Catching Feelings (feat. SIX60)</t>
  </si>
  <si>
    <t>Drax Project, SIX60</t>
  </si>
  <si>
    <t>Drax Project</t>
  </si>
  <si>
    <t>Glitter</t>
  </si>
  <si>
    <t>BENEE</t>
  </si>
  <si>
    <t>FIRE ON MARZZ</t>
  </si>
  <si>
    <t>BELIEVE IT</t>
  </si>
  <si>
    <t>PARTYNEXTDOOR, Rihanna</t>
  </si>
  <si>
    <t>PARTYMOBILE</t>
  </si>
  <si>
    <t>The Greatest</t>
  </si>
  <si>
    <t>Controller</t>
  </si>
  <si>
    <t>6 To The WORLD</t>
  </si>
  <si>
    <t>Hp Boyz</t>
  </si>
  <si>
    <t>Nicaragua</t>
  </si>
  <si>
    <t>Bichiyal</t>
  </si>
  <si>
    <t>Bad Bunny, Yaviah</t>
  </si>
  <si>
    <t>Norway</t>
  </si>
  <si>
    <t>Svag</t>
  </si>
  <si>
    <t>Victor Leksell</t>
  </si>
  <si>
    <t>Sykepleierinnen (Sykehuset 2020)</t>
  </si>
  <si>
    <t>El Papi</t>
  </si>
  <si>
    <t>Karantene</t>
  </si>
  <si>
    <t>TIX</t>
  </si>
  <si>
    <t>SKÅL</t>
  </si>
  <si>
    <t>Kaller På Deg</t>
  </si>
  <si>
    <t>Somebody</t>
  </si>
  <si>
    <t>Dagny</t>
  </si>
  <si>
    <t>Dommedagen 2020</t>
  </si>
  <si>
    <t>TIX, Soppgirobygget</t>
  </si>
  <si>
    <t>Hvis verden</t>
  </si>
  <si>
    <t>Chris Holsten, Frida Ånnevik</t>
  </si>
  <si>
    <t>End of Time</t>
  </si>
  <si>
    <t>K-391, Alan Walker, Ahrix</t>
  </si>
  <si>
    <t>I Don't Know Why</t>
  </si>
  <si>
    <t>NOTD, Astrid S</t>
  </si>
  <si>
    <t>The Truth</t>
  </si>
  <si>
    <t>Kygo, Valerie Broussard</t>
  </si>
  <si>
    <t>Like It Is</t>
  </si>
  <si>
    <t>Kygo, Zara Larsson, Tyga</t>
  </si>
  <si>
    <t>Burn Down This Room</t>
  </si>
  <si>
    <t>Ruben</t>
  </si>
  <si>
    <t>DANCE</t>
  </si>
  <si>
    <t>CLMD, Tungevaag</t>
  </si>
  <si>
    <t>Haugenstua</t>
  </si>
  <si>
    <t>Herman Flesvig</t>
  </si>
  <si>
    <t>Valhalla</t>
  </si>
  <si>
    <t>Ringnes-Ronny</t>
  </si>
  <si>
    <t>Jævlig</t>
  </si>
  <si>
    <t>Josefine</t>
  </si>
  <si>
    <t>Vi tar det igjen neste år</t>
  </si>
  <si>
    <t>Kuselofte, Postgirobygget</t>
  </si>
  <si>
    <t>Unfamiliar</t>
  </si>
  <si>
    <t>Seeb, Goodboys, HRVY</t>
  </si>
  <si>
    <t>Panama</t>
  </si>
  <si>
    <t>Bentley</t>
  </si>
  <si>
    <t>Sech, Myke Towers</t>
  </si>
  <si>
    <t>Me Olvidé</t>
  </si>
  <si>
    <t>Casino</t>
  </si>
  <si>
    <t>Oficial</t>
  </si>
  <si>
    <t>Sech, Arcangel, Gigolo Y La Exce</t>
  </si>
  <si>
    <t>Party En Mi Casa</t>
  </si>
  <si>
    <t>Boza</t>
  </si>
  <si>
    <t>Sonrisas Tristes</t>
  </si>
  <si>
    <t>Se Va Viral</t>
  </si>
  <si>
    <t>Sech, Nando Boom</t>
  </si>
  <si>
    <t>Trofeo</t>
  </si>
  <si>
    <t>Portarse Mal</t>
  </si>
  <si>
    <t>Dale</t>
  </si>
  <si>
    <t>Sech, Lenny Tavárez</t>
  </si>
  <si>
    <t>Fe</t>
  </si>
  <si>
    <t>Tu y Yo</t>
  </si>
  <si>
    <t>Sech, Zion &amp; Lennox</t>
  </si>
  <si>
    <t>En Lo Oscuro</t>
  </si>
  <si>
    <t>Uni</t>
  </si>
  <si>
    <t>Fabuloso</t>
  </si>
  <si>
    <t>Sech, Justin Quiles</t>
  </si>
  <si>
    <t>Sech, Farruko</t>
  </si>
  <si>
    <t>Paraguay</t>
  </si>
  <si>
    <t>Mi Error - Remix</t>
  </si>
  <si>
    <t>Eladio Carrion, Zion &amp; Lennox, Wisin &amp; Yandel, Lunay</t>
  </si>
  <si>
    <t>Sauce Boyz</t>
  </si>
  <si>
    <t>Peru</t>
  </si>
  <si>
    <t>DJ No Pare (feat. Zion, Dalex, Lenny Tavárez) - Remix</t>
  </si>
  <si>
    <t>Justin Quiles, Natti Natasha, Farruko, Dalex, Lenny Tavárez, Zion</t>
  </si>
  <si>
    <t>DJ No Pare (feat. Zion, Dalex, Lenny Tavárez) [Remix]</t>
  </si>
  <si>
    <t>Dream Girl - Remix</t>
  </si>
  <si>
    <t>Ir Sais, Rauw Alejandro</t>
  </si>
  <si>
    <t>Dream Girl (Remix)</t>
  </si>
  <si>
    <t>Te Vi</t>
  </si>
  <si>
    <t>Piso 21, Micro TDH</t>
  </si>
  <si>
    <t>Philippines</t>
  </si>
  <si>
    <t>Teka Lang</t>
  </si>
  <si>
    <t>Emman</t>
  </si>
  <si>
    <t>Imahe</t>
  </si>
  <si>
    <t>Magnus Haven</t>
  </si>
  <si>
    <t>Beautiful Scars</t>
  </si>
  <si>
    <t>Maximillian</t>
  </si>
  <si>
    <t>Malayo Ka Man</t>
  </si>
  <si>
    <t>Jr Crown, Kath, Cyclone, Young Weezy</t>
  </si>
  <si>
    <t>Make It With You</t>
  </si>
  <si>
    <t>Ben&amp;Ben</t>
  </si>
  <si>
    <t>10,000 Hours (with Justin Bieber)</t>
  </si>
  <si>
    <t>Dan + Shay, Justin Bieber</t>
  </si>
  <si>
    <t>Sa Susunod na Habang Buhay</t>
  </si>
  <si>
    <t>Hindi Tayo Pwede</t>
  </si>
  <si>
    <t>The Juans</t>
  </si>
  <si>
    <t>Umaga</t>
  </si>
  <si>
    <t>Kathang Isip</t>
  </si>
  <si>
    <t>Vibe With Me</t>
  </si>
  <si>
    <t>Matthaios, Lonezo</t>
  </si>
  <si>
    <t>Araw-Araw Love</t>
  </si>
  <si>
    <t>Flow G</t>
  </si>
  <si>
    <t>Binibini</t>
  </si>
  <si>
    <t>Matthaios, Calvin De Leon</t>
  </si>
  <si>
    <t>Maybe The Night</t>
  </si>
  <si>
    <t>good guys</t>
  </si>
  <si>
    <t>LANY</t>
  </si>
  <si>
    <t>Pagtingin</t>
  </si>
  <si>
    <t>LIMASAWA STREET</t>
  </si>
  <si>
    <t>Ivana</t>
  </si>
  <si>
    <t>Soulstice</t>
  </si>
  <si>
    <t>Mean It</t>
  </si>
  <si>
    <t>Lauv, LANY</t>
  </si>
  <si>
    <t>~how i'm feeling~</t>
  </si>
  <si>
    <t>Titig</t>
  </si>
  <si>
    <t>MC Einstein, Flow G, Jekkpot, Yuridope</t>
  </si>
  <si>
    <t>Yellow Hearts</t>
  </si>
  <si>
    <t>Ant Saunders</t>
  </si>
  <si>
    <t>Sana</t>
  </si>
  <si>
    <t>I Belong to the Zoo</t>
  </si>
  <si>
    <t>Bounty</t>
  </si>
  <si>
    <t>Ex Battalion</t>
  </si>
  <si>
    <t>Leaves</t>
  </si>
  <si>
    <t>Kung Pwede Lang</t>
  </si>
  <si>
    <t>Poland</t>
  </si>
  <si>
    <t>BUBBLETEA</t>
  </si>
  <si>
    <t>Quebonafide, Daria Zawiałow</t>
  </si>
  <si>
    <t>ROMANTIC PSYCHO</t>
  </si>
  <si>
    <t>#Hot16Challenge2</t>
  </si>
  <si>
    <t>Szpaku, Raff J.R.</t>
  </si>
  <si>
    <t>TOKYO2020</t>
  </si>
  <si>
    <t>Quebonafide, Taco Hemingway</t>
  </si>
  <si>
    <t>Impreza</t>
  </si>
  <si>
    <t>Sobel, Lezter</t>
  </si>
  <si>
    <t>Szampan</t>
  </si>
  <si>
    <t>sanah</t>
  </si>
  <si>
    <t>Królowa dram</t>
  </si>
  <si>
    <t>SZUBIENICAPESTYCYDYBROŃ</t>
  </si>
  <si>
    <t>Quebonafide</t>
  </si>
  <si>
    <t>Niedostępny (prod. by Olek) (feat. DMN)</t>
  </si>
  <si>
    <t>Malik Montana, OLEK, DMN</t>
  </si>
  <si>
    <t>Młody Boss</t>
  </si>
  <si>
    <t>Żabson</t>
  </si>
  <si>
    <t>100 dni do matury</t>
  </si>
  <si>
    <t>Mata</t>
  </si>
  <si>
    <t>Melodia</t>
  </si>
  <si>
    <t>Rainman</t>
  </si>
  <si>
    <t>Tymek, TEDE, Trill Pem, Michał Graczyk, 2K</t>
  </si>
  <si>
    <t>FIT</t>
  </si>
  <si>
    <t>BLUE</t>
  </si>
  <si>
    <t>Tiësto, Stevie Appleton</t>
  </si>
  <si>
    <t>The London Sessions</t>
  </si>
  <si>
    <t>Patointeligencja</t>
  </si>
  <si>
    <t>NIEPŁACZĘPONOTREDAME</t>
  </si>
  <si>
    <t>Quebonafide, Bedoes</t>
  </si>
  <si>
    <t>VOGUE</t>
  </si>
  <si>
    <t>Bedoes, Lanek</t>
  </si>
  <si>
    <t>Opowieści z Doliny Smoków</t>
  </si>
  <si>
    <t>Surfer</t>
  </si>
  <si>
    <t>Be Vis</t>
  </si>
  <si>
    <t>duch czasu</t>
  </si>
  <si>
    <t>Drift</t>
  </si>
  <si>
    <t>Bialas, Mata, Lanek</t>
  </si>
  <si>
    <t>H8</t>
  </si>
  <si>
    <t>W PIĄTKI LEŻĘ W WANNIE</t>
  </si>
  <si>
    <t>Taco Hemingway, Dawid Podsiadło</t>
  </si>
  <si>
    <t>POCZTÓWKA Z WWA, LATO '19</t>
  </si>
  <si>
    <t>Język ciała</t>
  </si>
  <si>
    <t>Tymek, Big Scythe</t>
  </si>
  <si>
    <t>Klubowe</t>
  </si>
  <si>
    <t>GOMBAO 33</t>
  </si>
  <si>
    <t>Mata, Wyguś, Szczepan, Adam</t>
  </si>
  <si>
    <t>ASPARTAM</t>
  </si>
  <si>
    <t>Quebonafide, Mata</t>
  </si>
  <si>
    <t>GAZPROM</t>
  </si>
  <si>
    <t>Quebonafide, Sokół, Czarny HIFI</t>
  </si>
  <si>
    <t>Będzie Lepiej</t>
  </si>
  <si>
    <t>Miyo, Tymek</t>
  </si>
  <si>
    <t>Mogę Dziś Umierać</t>
  </si>
  <si>
    <t>White 2115</t>
  </si>
  <si>
    <t>Młody Książę</t>
  </si>
  <si>
    <t>Portugal</t>
  </si>
  <si>
    <t>Tempo (feat. Tóy Tóy T-Rex, LON3R JOHNY &amp; BISPO)</t>
  </si>
  <si>
    <t>FRANKIEONTHEGUITAR, Tóy Tóy T-Rex, LON3R JOHNY, Bispo</t>
  </si>
  <si>
    <t>La Bella Mafia</t>
  </si>
  <si>
    <t>Wet Bed Gang</t>
  </si>
  <si>
    <t>Conclusão</t>
  </si>
  <si>
    <t>Julinho Ksd</t>
  </si>
  <si>
    <t>Lembrei-me</t>
  </si>
  <si>
    <t>Bispo</t>
  </si>
  <si>
    <t>Mais Antigo</t>
  </si>
  <si>
    <t>Mama Ta Xinti</t>
  </si>
  <si>
    <t>Somos Iguais</t>
  </si>
  <si>
    <t>Plutónio</t>
  </si>
  <si>
    <t>Sacrifício: Sangue, Lágrimas, Suor</t>
  </si>
  <si>
    <t>Louco</t>
  </si>
  <si>
    <t>Piruka, Bluay</t>
  </si>
  <si>
    <t>Te Amo</t>
  </si>
  <si>
    <t>Calema</t>
  </si>
  <si>
    <t>Yellow</t>
  </si>
  <si>
    <t>Hoji N'ka ta Rola</t>
  </si>
  <si>
    <t>Eterna Sacanagem</t>
  </si>
  <si>
    <t>MC JottaPê, MC Kekel, MC Kevinho</t>
  </si>
  <si>
    <t>Tranquilo</t>
  </si>
  <si>
    <t>Aragão</t>
  </si>
  <si>
    <t>Don't Rush (feat. Headie One)</t>
  </si>
  <si>
    <t>Young T &amp; Bugsey, Headie One</t>
  </si>
  <si>
    <t>Plead The 5th</t>
  </si>
  <si>
    <t>Conto</t>
  </si>
  <si>
    <t>Dillaz</t>
  </si>
  <si>
    <t>HEI</t>
  </si>
  <si>
    <t>ProfJam</t>
  </si>
  <si>
    <t>Essa Saia (feat. Ivandro)</t>
  </si>
  <si>
    <t>Bispo, Ivandro</t>
  </si>
  <si>
    <t>S2</t>
  </si>
  <si>
    <t>Romania</t>
  </si>
  <si>
    <t>Go Gettas</t>
  </si>
  <si>
    <t>andrei, Killa Fonic, Nane, bbno$, Azteca</t>
  </si>
  <si>
    <t>Miami Bici</t>
  </si>
  <si>
    <t>Killa Fonic</t>
  </si>
  <si>
    <t>Sigur Dar Incet</t>
  </si>
  <si>
    <t>Ian, Azteca</t>
  </si>
  <si>
    <t>Dau Moda</t>
  </si>
  <si>
    <t>Jador, Lino Golden</t>
  </si>
  <si>
    <t>Dragostea Ta</t>
  </si>
  <si>
    <t>Nane</t>
  </si>
  <si>
    <t>Pala Mande</t>
  </si>
  <si>
    <t>Azteca, Ian</t>
  </si>
  <si>
    <t>Dior</t>
  </si>
  <si>
    <t>Marko Glass, Bvcovia</t>
  </si>
  <si>
    <t>Mili</t>
  </si>
  <si>
    <t>Ian, Amtilb, Simiz</t>
  </si>
  <si>
    <t>60 De Zile</t>
  </si>
  <si>
    <t>Ian, Amuly</t>
  </si>
  <si>
    <t>Haolo</t>
  </si>
  <si>
    <t>Killa Fonic, Nane</t>
  </si>
  <si>
    <t>Nefiu</t>
  </si>
  <si>
    <t>Singapore</t>
  </si>
  <si>
    <t>怎麼了</t>
  </si>
  <si>
    <t>Eric Chou</t>
  </si>
  <si>
    <t>終於了解自由 (Deluxe)</t>
  </si>
  <si>
    <t>說好不哭</t>
  </si>
  <si>
    <t>Jay Chou, Ashin Chen</t>
  </si>
  <si>
    <t>WANNABE</t>
  </si>
  <si>
    <t>ITZY</t>
  </si>
  <si>
    <t>IT'z ME</t>
  </si>
  <si>
    <t>你,好不好? - Ending Theme Song of TVBS Series "Life List"</t>
  </si>
  <si>
    <t>愛,教會我們的事</t>
  </si>
  <si>
    <t>有一種悲傷 - 電影《比悲傷更悲傷的故事》主題曲</t>
  </si>
  <si>
    <t>A-Lin</t>
  </si>
  <si>
    <t>A-Lin原聲帶</t>
  </si>
  <si>
    <t>告白氣球</t>
  </si>
  <si>
    <t>Jay Chou</t>
  </si>
  <si>
    <t>周杰倫的床邊故事</t>
  </si>
  <si>
    <t>Agust D, NiiHWA</t>
  </si>
  <si>
    <t>Moonlight</t>
  </si>
  <si>
    <t>Slovakia</t>
  </si>
  <si>
    <t>Viac</t>
  </si>
  <si>
    <t>Nerieš, Separ</t>
  </si>
  <si>
    <t>OK</t>
  </si>
  <si>
    <t>Ahoj Ahoj Čo Ty</t>
  </si>
  <si>
    <t>Separ</t>
  </si>
  <si>
    <t>Og</t>
  </si>
  <si>
    <t>Origami</t>
  </si>
  <si>
    <t>Separ, Ben Cristovao</t>
  </si>
  <si>
    <t>Čo Odo Mňa Chcete</t>
  </si>
  <si>
    <t>Separ, Karlo, Nik Tendo, Yzomandias</t>
  </si>
  <si>
    <t>Strýko Separ</t>
  </si>
  <si>
    <t>Čo Sa Dá</t>
  </si>
  <si>
    <t>Všetci Za Jedného</t>
  </si>
  <si>
    <t>Separ, Tina</t>
  </si>
  <si>
    <t>Pinokio</t>
  </si>
  <si>
    <t>Separ, Dano Kapitán</t>
  </si>
  <si>
    <t>J Lo</t>
  </si>
  <si>
    <t>Kontrafakt, Dalyb, Dokkeytino, Mirez, Zayo</t>
  </si>
  <si>
    <t>Real Newz</t>
  </si>
  <si>
    <t>Ruka Na Volante</t>
  </si>
  <si>
    <t>Nerieš</t>
  </si>
  <si>
    <t>Schíza</t>
  </si>
  <si>
    <t>Separ, DMS</t>
  </si>
  <si>
    <t>Snake Moves</t>
  </si>
  <si>
    <t>Separ, Yzomandias</t>
  </si>
  <si>
    <t>Neviditelnej</t>
  </si>
  <si>
    <t>Kontrafakt, Calin, Viktor Sheen</t>
  </si>
  <si>
    <t>Ruky Preč</t>
  </si>
  <si>
    <t>Separ, Bitman, Rest</t>
  </si>
  <si>
    <t>So Mnou</t>
  </si>
  <si>
    <t>Vietor</t>
  </si>
  <si>
    <t>Separ, Nerieš</t>
  </si>
  <si>
    <t>Hood Hero</t>
  </si>
  <si>
    <t>South Africa</t>
  </si>
  <si>
    <t>Africa</t>
  </si>
  <si>
    <t>ZOL</t>
  </si>
  <si>
    <t>Max Hurrell</t>
  </si>
  <si>
    <t>You're the One</t>
  </si>
  <si>
    <t>Elaine</t>
  </si>
  <si>
    <t>Elements</t>
  </si>
  <si>
    <t>Beautiful People (feat. Khalid)</t>
  </si>
  <si>
    <t>Ed Sheeran, Khalid</t>
  </si>
  <si>
    <t>No.6 Collaborations Project</t>
  </si>
  <si>
    <t>eMcimbini - Live</t>
  </si>
  <si>
    <t>Kabza De Small, DJ Maphorisa, Aymos, Samthing Soweto, Mas Musiq, Myztro</t>
  </si>
  <si>
    <t>Scorpion Kings Live</t>
  </si>
  <si>
    <t>I Need You - From the Netflix original series "Blood &amp; Water"</t>
  </si>
  <si>
    <t>Nasty C, Rowlene</t>
  </si>
  <si>
    <t>I Need You (From the Netflix original series "Blood &amp; Water")</t>
  </si>
  <si>
    <t>I Don't Care (with Justin Bieber)</t>
  </si>
  <si>
    <t>Ed Sheeran, Justin Bieber</t>
  </si>
  <si>
    <t>Spain</t>
  </si>
  <si>
    <t>Nunca Estoy</t>
  </si>
  <si>
    <t>C. Tangana</t>
  </si>
  <si>
    <t>Mil Tequilas</t>
  </si>
  <si>
    <t>Chema Rivas</t>
  </si>
  <si>
    <t>Hola, Nena (feat. Omar Montes)</t>
  </si>
  <si>
    <t>Nyno Vargas, Omar Montes</t>
  </si>
  <si>
    <t>Dime Bbsita</t>
  </si>
  <si>
    <t>Robledo, Alex Martini</t>
  </si>
  <si>
    <t>4 besos</t>
  </si>
  <si>
    <t>Lola Indigo, Rauw Alejandro, Lalo Ebratt</t>
  </si>
  <si>
    <t>Una Mala (Remix)</t>
  </si>
  <si>
    <t>El Completo Rd, Chimbala</t>
  </si>
  <si>
    <t>Se iluminaba</t>
  </si>
  <si>
    <t>Sur y Norte</t>
  </si>
  <si>
    <t>Nengo Flow, Anuel AA</t>
  </si>
  <si>
    <t>The Goat</t>
  </si>
  <si>
    <t>Enemigos</t>
  </si>
  <si>
    <t>Aitana, Reik</t>
  </si>
  <si>
    <t>Atrévete</t>
  </si>
  <si>
    <t>Yago Roche</t>
  </si>
  <si>
    <t>Tu Eres Un Bom Bom - Remix</t>
  </si>
  <si>
    <t>Kafu Banton, Bad Gyal</t>
  </si>
  <si>
    <t>Tu Eres Un Bom Bom (Remix)</t>
  </si>
  <si>
    <t>Si Tú La Quieres</t>
  </si>
  <si>
    <t>David Bisbal, Aitana</t>
  </si>
  <si>
    <t>Pegamos Tela</t>
  </si>
  <si>
    <t>Lérica, Omar Montes, Abraham Mateo</t>
  </si>
  <si>
    <t>Prendio (Remix)</t>
  </si>
  <si>
    <t>Rvfv, Omar Montes, Daviles de Novelda</t>
  </si>
  <si>
    <t>Ponte Pa' Mi</t>
  </si>
  <si>
    <t>Rauw Alejandro, Myke Towers, Sky Rompiendo</t>
  </si>
  <si>
    <t>Alocao (With Bad Gyal)</t>
  </si>
  <si>
    <t>Omar Montes, Bad Gyal</t>
  </si>
  <si>
    <t>Sweden</t>
  </si>
  <si>
    <t>Young &amp; Heartless</t>
  </si>
  <si>
    <t>Yasin</t>
  </si>
  <si>
    <t>98.01.11</t>
  </si>
  <si>
    <t>Komplicerad</t>
  </si>
  <si>
    <t>Miss Li</t>
  </si>
  <si>
    <t>Complicated</t>
  </si>
  <si>
    <t>Chris Tukker Ft Asme</t>
  </si>
  <si>
    <t>Yasin, Asme</t>
  </si>
  <si>
    <t>Hiphop N RnB</t>
  </si>
  <si>
    <t>Source Ft Aden</t>
  </si>
  <si>
    <t>Yasin, Aden</t>
  </si>
  <si>
    <t>Workin</t>
  </si>
  <si>
    <t>Spiderman ( Intro )</t>
  </si>
  <si>
    <t>Buzz Light Year</t>
  </si>
  <si>
    <t>Think About It</t>
  </si>
  <si>
    <t>Amen</t>
  </si>
  <si>
    <t>Drownin</t>
  </si>
  <si>
    <t>En säng av rosor</t>
  </si>
  <si>
    <t>Darin</t>
  </si>
  <si>
    <t>Kanske var vi rätt bra ändå</t>
  </si>
  <si>
    <t>Newkid</t>
  </si>
  <si>
    <t>Ghetto Mamacita</t>
  </si>
  <si>
    <t>Einár, Dree Low</t>
  </si>
  <si>
    <t>Welcome To Sweden</t>
  </si>
  <si>
    <t>Lev nu dö sen</t>
  </si>
  <si>
    <t>Passa dig</t>
  </si>
  <si>
    <t>Miriam Bryant</t>
  </si>
  <si>
    <t>DIP DIP</t>
  </si>
  <si>
    <t>Dree Low, Owen</t>
  </si>
  <si>
    <t>FLAWLESS 2</t>
  </si>
  <si>
    <t>Sexcigg</t>
  </si>
  <si>
    <t>Lov1</t>
  </si>
  <si>
    <t>BLod</t>
  </si>
  <si>
    <t>Asme</t>
  </si>
  <si>
    <t>Einár</t>
  </si>
  <si>
    <t>PIPPI</t>
  </si>
  <si>
    <t>Dree Low</t>
  </si>
  <si>
    <t>FLAWLESS</t>
  </si>
  <si>
    <t>Det Kommer Bli Bra</t>
  </si>
  <si>
    <t>Laleh</t>
  </si>
  <si>
    <t>Va händish</t>
  </si>
  <si>
    <t>Einár, Thrife</t>
  </si>
  <si>
    <t>Nån av oss</t>
  </si>
  <si>
    <t>Chambea</t>
  </si>
  <si>
    <t>Apelsinskal (feat. Newkid)</t>
  </si>
  <si>
    <t>Tjuvjakt, Newkid</t>
  </si>
  <si>
    <t>Alla drömmar är uppfyllda</t>
  </si>
  <si>
    <t>Håkan Hellström</t>
  </si>
  <si>
    <t>Rampljus Vol. 1</t>
  </si>
  <si>
    <t>Switzerland</t>
  </si>
  <si>
    <t>Taiwan</t>
  </si>
  <si>
    <t>她沒在看我</t>
  </si>
  <si>
    <t>瘦子E.SO</t>
  </si>
  <si>
    <t>Without You</t>
  </si>
  <si>
    <t>高爾宣 OSN</t>
  </si>
  <si>
    <t>#osnrap</t>
  </si>
  <si>
    <t>CHANGE</t>
  </si>
  <si>
    <t>太陽</t>
  </si>
  <si>
    <t>Pika Chiu</t>
  </si>
  <si>
    <t>邱振哲《遠行的太陽》首張創作專輯</t>
  </si>
  <si>
    <t>天黑請閉眼 feat. 邱鋒澤</t>
  </si>
  <si>
    <t>Nine Chen, Feng Ze</t>
  </si>
  <si>
    <t>過 (PASS)</t>
  </si>
  <si>
    <t>真的傻 (電影《一吻定情》追愛版主題曲)</t>
  </si>
  <si>
    <t>LaLa Hsu</t>
  </si>
  <si>
    <t>年少有為</t>
  </si>
  <si>
    <t>Ronghao Li</t>
  </si>
  <si>
    <t>耳朵</t>
  </si>
  <si>
    <t>路過人間</t>
  </si>
  <si>
    <t>Yisa Yu</t>
  </si>
  <si>
    <t>绿色</t>
  </si>
  <si>
    <t>Shirley Chen</t>
  </si>
  <si>
    <t>Why You Gonna Lie</t>
  </si>
  <si>
    <t>浪流連</t>
  </si>
  <si>
    <t>EggPlantEgg</t>
  </si>
  <si>
    <t>我們以後要結婚</t>
  </si>
  <si>
    <t>句號</t>
  </si>
  <si>
    <t>G.E.M.</t>
  </si>
  <si>
    <t>摩天動物園</t>
  </si>
  <si>
    <t>披星戴月的想你</t>
  </si>
  <si>
    <t>告五人</t>
  </si>
  <si>
    <t>那女孩對我說</t>
  </si>
  <si>
    <t>Rachel Liang</t>
  </si>
  <si>
    <t>#2019還在聽</t>
  </si>
  <si>
    <t>你的酒馆对我打了烊</t>
  </si>
  <si>
    <t>COLORFUL</t>
  </si>
  <si>
    <t>婁峻碩</t>
  </si>
  <si>
    <t>BOARDING</t>
  </si>
  <si>
    <t>Without You - Acoustic Version</t>
  </si>
  <si>
    <t>高爾宣 OSN, Vicky Chen</t>
  </si>
  <si>
    <t>倒數</t>
  </si>
  <si>
    <t>最後一次</t>
  </si>
  <si>
    <t>慢冷</t>
  </si>
  <si>
    <t>Fish Leong</t>
  </si>
  <si>
    <t>我好嗎? - 太陽如常升起</t>
  </si>
  <si>
    <t>你要的全拿走</t>
  </si>
  <si>
    <t>Tiger Hu</t>
  </si>
  <si>
    <t>覅忒好</t>
  </si>
  <si>
    <t>嚣张</t>
  </si>
  <si>
    <t>En</t>
  </si>
  <si>
    <t>兜圈 (偶像劇「必娶女人」片尾曲)</t>
  </si>
  <si>
    <t>Yoga Lin</t>
  </si>
  <si>
    <t>Thailand</t>
  </si>
  <si>
    <t>คิด(แต่ไม่)ถึง (Same Page?)</t>
  </si>
  <si>
    <t>Tilly Birds</t>
  </si>
  <si>
    <t>วาฬเกยตื้น</t>
  </si>
  <si>
    <t>GUNGUN</t>
  </si>
  <si>
    <t>นิโคติน</t>
  </si>
  <si>
    <t>Mirrr</t>
  </si>
  <si>
    <t>ฝนตกไหม</t>
  </si>
  <si>
    <t>Three Man Down</t>
  </si>
  <si>
    <t>ลงใจ</t>
  </si>
  <si>
    <t>BOWKYLION</t>
  </si>
  <si>
    <t>ใกล้</t>
  </si>
  <si>
    <t>Scrubb</t>
  </si>
  <si>
    <t>Club</t>
  </si>
  <si>
    <t>หรือฉันคิดไปเอง</t>
  </si>
  <si>
    <t>Zommarie</t>
  </si>
  <si>
    <t>คั่นกู - เพลงประกอบซีรีส์ เพราะเราคู่กัน</t>
  </si>
  <si>
    <t>ไบร์ท วชิรวิชญ์</t>
  </si>
  <si>
    <t>เพลงประกอบซีรีส์ เพราะเราคู่กัน</t>
  </si>
  <si>
    <t>คิดถึงแต่</t>
  </si>
  <si>
    <t>Best Part (feat. Daniel Caesar)</t>
  </si>
  <si>
    <t>H.E.R., Daniel Caesar</t>
  </si>
  <si>
    <t>H.E.R.</t>
  </si>
  <si>
    <t>คนเราจะแอบรักใครสักคนได้นานแค่ไหน</t>
  </si>
  <si>
    <t>Rooftop, AUTTA</t>
  </si>
  <si>
    <t>ตกลงฉันคิดไปเองใช่ไหม - เพลงประกอบซีรีส์ เพราะเราคู่กัน</t>
  </si>
  <si>
    <t>กอดในใจ</t>
  </si>
  <si>
    <t>Billkin, JAYLERR</t>
  </si>
  <si>
    <t>ดี๊ดี (UNEXPECTED)</t>
  </si>
  <si>
    <t>JAYLERR, PARIS</t>
  </si>
  <si>
    <t>แอบดี (How to live without you)</t>
  </si>
  <si>
    <t>Stamp</t>
  </si>
  <si>
    <t>ทุกอย่าง</t>
  </si>
  <si>
    <t>SSSSS..!</t>
  </si>
  <si>
    <t>เลือกคนที่เขารักเรา</t>
  </si>
  <si>
    <t>ภาวนา</t>
  </si>
  <si>
    <t>MEYOU</t>
  </si>
  <si>
    <t>รางวัลปลอบใจ</t>
  </si>
  <si>
    <t>Zommarie, Lazyloxy</t>
  </si>
  <si>
    <t>เมษา (MAYSA) feat. BLACKSHEEP</t>
  </si>
  <si>
    <t>fellow fellow</t>
  </si>
  <si>
    <t>เมษา (MAYSA)</t>
  </si>
  <si>
    <t>ถ้าฉันเป็นเขา</t>
  </si>
  <si>
    <t>Indigo</t>
  </si>
  <si>
    <t>A Rocket to the Moon</t>
  </si>
  <si>
    <t>Gavin D</t>
  </si>
  <si>
    <t>ข้างเดียว</t>
  </si>
  <si>
    <t>Chart Suchart</t>
  </si>
  <si>
    <t>รักได้ป่าว</t>
  </si>
  <si>
    <t>Gavin D, PUI, VARINZ, Nonny9, Z TRIP, MITEENNN</t>
  </si>
  <si>
    <t>หวง (You're Mine)</t>
  </si>
  <si>
    <t>Earth Patravee</t>
  </si>
  <si>
    <t>โลกอีกใบ</t>
  </si>
  <si>
    <t>Zommarie, Oat Pramote</t>
  </si>
  <si>
    <t>เจ็บจนพอ</t>
  </si>
  <si>
    <t>Wanyai</t>
  </si>
  <si>
    <t>ทิ้งแต่เก็บ - เพลงประกอบภาพยนตร์ ฮาวทูทิ้ง..ทิ้งอย่างไร ไม่ให้เหลือเธอ</t>
  </si>
  <si>
    <t>The Toys</t>
  </si>
  <si>
    <t>เพลงประกอบภาพยนตร์ ฮาวทูทิ้ง..ทิ้งอย่างไร ไม่ให้เหลือเธอ</t>
  </si>
  <si>
    <t>ลืมว่าต้องลืม (Forgot to forget)</t>
  </si>
  <si>
    <t>Getsunova</t>
  </si>
  <si>
    <t>Psycho</t>
  </si>
  <si>
    <t>Red Velvet</t>
  </si>
  <si>
    <t>‘The ReVe Festival’ Finale</t>
  </si>
  <si>
    <t>แค่นี้...พอ</t>
  </si>
  <si>
    <t>The Parkinson</t>
  </si>
  <si>
    <t>แรก</t>
  </si>
  <si>
    <t>หัวหิน</t>
  </si>
  <si>
    <t>นี่ฉันเอง feat. KOB FLAT BOY</t>
  </si>
  <si>
    <t>Lipta, KOB FLAT BOY</t>
  </si>
  <si>
    <t>นี่ฉันเอง</t>
  </si>
  <si>
    <t>คำตอบ</t>
  </si>
  <si>
    <t>Safeplanet</t>
  </si>
  <si>
    <t>Safeboys</t>
  </si>
  <si>
    <t>พอเถอะ</t>
  </si>
  <si>
    <t>MEAN</t>
  </si>
  <si>
    <t>Turkey</t>
  </si>
  <si>
    <t>Spacejump</t>
  </si>
  <si>
    <t>BEGE</t>
  </si>
  <si>
    <t>Her Mevsim Yazım</t>
  </si>
  <si>
    <t>Zeynep Bastık</t>
  </si>
  <si>
    <t>Bi Sonraki Hayatımda Gel</t>
  </si>
  <si>
    <t>Murda, Ezhel</t>
  </si>
  <si>
    <t>Unutulacak Dünler</t>
  </si>
  <si>
    <t>Gazapizm</t>
  </si>
  <si>
    <t>HİZA</t>
  </si>
  <si>
    <t>Darbe</t>
  </si>
  <si>
    <t>Emir Can İğrek, Patron</t>
  </si>
  <si>
    <t>ALEV ALEV</t>
  </si>
  <si>
    <t>Zen-G, Ati242</t>
  </si>
  <si>
    <t>Sağı Solu Kes</t>
  </si>
  <si>
    <t>kan sahibi</t>
  </si>
  <si>
    <t>Contra</t>
  </si>
  <si>
    <t>Sar Bu Şehri (Akustik)</t>
  </si>
  <si>
    <t>Canozan</t>
  </si>
  <si>
    <t>Dolunay</t>
  </si>
  <si>
    <t>Görünce Dünyamın Yıkıldığını</t>
  </si>
  <si>
    <t>Şanışer</t>
  </si>
  <si>
    <t>Daha Mutlu Olamam</t>
  </si>
  <si>
    <t>mor ve ötesi</t>
  </si>
  <si>
    <t>Gül Kendine</t>
  </si>
  <si>
    <t>Kazılı Kuyum</t>
  </si>
  <si>
    <t>Yüzyüzeyken Konuşuruz</t>
  </si>
  <si>
    <t>Uslanmıyor Bu</t>
  </si>
  <si>
    <t>Yağmurlar</t>
  </si>
  <si>
    <t>Anıl Piyancı, Perdenin Ardındakiler</t>
  </si>
  <si>
    <t>Bırakma Kendini</t>
  </si>
  <si>
    <t>Kaan Boşnak</t>
  </si>
  <si>
    <t>Leila</t>
  </si>
  <si>
    <t>Reynmen</t>
  </si>
  <si>
    <t>RnBesk</t>
  </si>
  <si>
    <t>Kalmam</t>
  </si>
  <si>
    <t>Ebru Yaşar</t>
  </si>
  <si>
    <t>AYA</t>
  </si>
  <si>
    <t>Bütün Istanbul Biliyo</t>
  </si>
  <si>
    <t>İkiye On Kala</t>
  </si>
  <si>
    <t>Sıkı Dur</t>
  </si>
  <si>
    <t>Ben Fero, Anıl Piyancı</t>
  </si>
  <si>
    <t>Ben De Yoluma Giderim</t>
  </si>
  <si>
    <t>Sezen Aksu</t>
  </si>
  <si>
    <t>Mert KIYAK - Gel</t>
  </si>
  <si>
    <t>Mert Kiyak, Çağrı Kaymak</t>
  </si>
  <si>
    <t>El-Âlem</t>
  </si>
  <si>
    <t>Tuğçe Kandemir</t>
  </si>
  <si>
    <t>Perişanım</t>
  </si>
  <si>
    <t>Edis</t>
  </si>
  <si>
    <t>Eskimiş Senelere</t>
  </si>
  <si>
    <t>Aspova</t>
  </si>
  <si>
    <t>Hell</t>
  </si>
  <si>
    <t>Neyin Nesi</t>
  </si>
  <si>
    <t>Dolu Kadehi Ters Tut</t>
  </si>
  <si>
    <t>Dinle Beni Bi'</t>
  </si>
  <si>
    <t>Akustik Travma</t>
  </si>
  <si>
    <t>Böyle Sever</t>
  </si>
  <si>
    <t>Kahraman Deniz</t>
  </si>
  <si>
    <t>Tuzaklara Düştüm</t>
  </si>
  <si>
    <t>Teni Tenime</t>
  </si>
  <si>
    <t>Sena Şener</t>
  </si>
  <si>
    <t>Yalan</t>
  </si>
  <si>
    <t>Aleyna Tilki</t>
  </si>
  <si>
    <t>Nalan</t>
  </si>
  <si>
    <t>Emir Can İğrek</t>
  </si>
  <si>
    <t>Acının İlacı</t>
  </si>
  <si>
    <t>Adamlar</t>
  </si>
  <si>
    <t>Rüyalarda Buruşmuşuz</t>
  </si>
  <si>
    <t>Beni Kendinden Kurtar</t>
  </si>
  <si>
    <t>Perdenin Ardındakiler</t>
  </si>
  <si>
    <t>Hokkabazlar</t>
  </si>
  <si>
    <t>Heijan, Muti</t>
  </si>
  <si>
    <t>İlerle</t>
  </si>
  <si>
    <t>Ölsem Yeridir</t>
  </si>
  <si>
    <t>Güneș</t>
  </si>
  <si>
    <t>Murda, Zeynep Bastık, Idaly</t>
  </si>
  <si>
    <t>DOĞA</t>
  </si>
  <si>
    <t>Pahalı</t>
  </si>
  <si>
    <t>Murda</t>
  </si>
  <si>
    <t>Güzel Kızlar Patron Dinler</t>
  </si>
  <si>
    <t>Patron</t>
  </si>
  <si>
    <t>Sosyo Pat</t>
  </si>
  <si>
    <t>United Kingdom</t>
  </si>
  <si>
    <t>Bad Lil Vibe (feat. Jeremih)</t>
  </si>
  <si>
    <t>KSI, Jeremih</t>
  </si>
  <si>
    <t>Millions</t>
  </si>
  <si>
    <t>KSI</t>
  </si>
  <si>
    <t>Don’t Need Love (with GRACEY)</t>
  </si>
  <si>
    <t>220 KID, GRACEY</t>
  </si>
  <si>
    <t>Don't Need Love</t>
  </si>
  <si>
    <t>What You Been On</t>
  </si>
  <si>
    <t>Domain</t>
  </si>
  <si>
    <t>Down Like That (feat. Rick Ross, Lil Baby &amp; S-X)</t>
  </si>
  <si>
    <t>KSI, S-X, Rick Ross, Lil Baby</t>
  </si>
  <si>
    <t>Undefeated</t>
  </si>
  <si>
    <t>Poppin (feat. Lil Pump &amp; Smokepurpp)</t>
  </si>
  <si>
    <t>KSI, Lil Pump, Smokepurpp</t>
  </si>
  <si>
    <t>United States</t>
  </si>
  <si>
    <t>Flex (feat. Juice WRLD)</t>
  </si>
  <si>
    <t>Polo G, Juice WRLD</t>
  </si>
  <si>
    <t>THE GOAT</t>
  </si>
  <si>
    <t>TOP FLOOR (feat. Travis Scott)</t>
  </si>
  <si>
    <t>Gunna, Travis Scott</t>
  </si>
  <si>
    <t>Turks (with Gunna &amp; ft. Travis Scott)</t>
  </si>
  <si>
    <t>NAV, Gunna, Travis Scott</t>
  </si>
  <si>
    <t>Good Intentions</t>
  </si>
  <si>
    <t>Ballin' (with Roddy Ricch)</t>
  </si>
  <si>
    <t>Mustard, Roddy Ricch</t>
  </si>
  <si>
    <t>Perfect Ten</t>
  </si>
  <si>
    <t>Solitaires (feat. Travis Scott)</t>
  </si>
  <si>
    <t>Future, Travis Scott</t>
  </si>
  <si>
    <t>High Fashion (feat. Mustard)</t>
  </si>
  <si>
    <t>Roddy Ricch, Mustard</t>
  </si>
  <si>
    <t>Myron</t>
  </si>
  <si>
    <t>Lil Uzi Vert</t>
  </si>
  <si>
    <t>Eternal Atake (Deluxe) - LUV vs. The World 2</t>
  </si>
  <si>
    <t>Uruguay</t>
  </si>
  <si>
    <t>TBT</t>
  </si>
  <si>
    <t>Sebastian Yatra, Rauw Alejandro, Manuel Turizo</t>
  </si>
  <si>
    <t>Vietnam</t>
  </si>
  <si>
    <t>em bỏ hút thuốc chưa?</t>
  </si>
  <si>
    <t>Bich Phuong, traitimtrongvang</t>
  </si>
  <si>
    <t>tâm trạng tan hơi chậm một chút</t>
  </si>
  <si>
    <t>Ke Cap Gap Ba Gia (feat. BINZ)</t>
  </si>
  <si>
    <t>Hoang Thuy Linh, Binz</t>
  </si>
  <si>
    <t>Hoang</t>
  </si>
  <si>
    <t>Mascara</t>
  </si>
  <si>
    <t>Chillies</t>
  </si>
  <si>
    <t>Vùng Ký Ức</t>
  </si>
  <si>
    <t>Lối Nhỏ</t>
  </si>
  <si>
    <t>Đen, Phương Anh Đào</t>
  </si>
  <si>
    <t>Bài Này Chill Phết</t>
  </si>
  <si>
    <t>Đen, Min</t>
  </si>
  <si>
    <t>People</t>
  </si>
  <si>
    <t>Thanh Xuan</t>
  </si>
  <si>
    <t>Da LAB</t>
  </si>
  <si>
    <t>Có Em Đời Bỗng Vui</t>
  </si>
  <si>
    <t>Dear my friend (feat. Kim Jong Wan of NELL)</t>
  </si>
  <si>
    <t>Agust D, Kim Jong Wan</t>
  </si>
  <si>
    <t>Honsool</t>
  </si>
  <si>
    <t>Duyen Am</t>
  </si>
  <si>
    <t>Hoang Thuy Linh</t>
  </si>
  <si>
    <t>Và Thế Là Hết</t>
  </si>
  <si>
    <t>Cần Gì Hơn</t>
  </si>
  <si>
    <t>Tien Tien, JustaTee</t>
  </si>
  <si>
    <t>Interlude : Set me free</t>
  </si>
  <si>
    <t>Hãy Trao Cho Anh</t>
  </si>
  <si>
    <t>Sơn Tùng M-TP, Snoop Dogg</t>
  </si>
  <si>
    <t>7 rings</t>
  </si>
  <si>
    <t>thank u, next</t>
  </si>
  <si>
    <t>Let Me Down Slowly</t>
  </si>
  <si>
    <t>Alec Benjamin</t>
  </si>
  <si>
    <t>Narrated For You</t>
  </si>
  <si>
    <t>comethru (bonus track)</t>
  </si>
  <si>
    <t>Jeremy Zucker</t>
  </si>
  <si>
    <t>love is not dying</t>
  </si>
  <si>
    <t>LẦN CUỐI (đi bên em xót xa người ơi)</t>
  </si>
  <si>
    <t>Ngọt</t>
  </si>
  <si>
    <t>3 (tuyển tập nhạc Ngọt mới trẻ sôi động 2019)</t>
  </si>
  <si>
    <t>Em Day Chang Phai Thuy Kieu</t>
  </si>
  <si>
    <t>ĐÃ TỪNG LÀ</t>
  </si>
  <si>
    <t>Vũ.</t>
  </si>
  <si>
    <t>Mượn Rượu Tỏ Tình</t>
  </si>
  <si>
    <t>BigDaddy, Emily</t>
  </si>
  <si>
    <t>Ngày Tận Thế</t>
  </si>
  <si>
    <t>Tóc Tiên, Da LAB, Touliver</t>
  </si>
  <si>
    <t>Đi Đu Đưa Đi</t>
  </si>
  <si>
    <t>Bich Phuong</t>
  </si>
  <si>
    <r>
      <rPr>
        <b/>
        <sz val="18.0"/>
      </rPr>
      <t>Spotify top songs By country</t>
    </r>
    <r>
      <rPr>
        <b/>
        <sz val="36.0"/>
      </rPr>
      <t xml:space="preserve"> </t>
    </r>
  </si>
  <si>
    <t>TOTAL NUMBER OF SONGS</t>
  </si>
  <si>
    <t>TOTAL NUMBER OF COUNTRIES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</si>
</sst>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36.0"/>
    </font>
    <font>
      <b/>
      <sz val="12.0"/>
    </font>
    <font>
      <b/>
      <sz val="18.0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0" xfId="0" applyFont="1" applyNumberFormat="1"/>
    <xf borderId="1" fillId="2" fontId="2" numFmtId="0" xfId="0" applyAlignment="1" applyBorder="1" applyFill="1" applyFont="1">
      <alignment horizontal="center" readingOrder="2" shrinkToFit="0" vertical="center" wrapText="1"/>
    </xf>
    <xf borderId="2" fillId="0" fontId="1" numFmtId="0" xfId="0" applyBorder="1" applyFont="1"/>
    <xf borderId="3" fillId="0" fontId="1" numFmtId="0" xfId="0" applyBorder="1" applyFont="1"/>
    <xf borderId="0" fillId="2" fontId="1" numFmtId="0" xfId="0" applyAlignment="1" applyFont="1">
      <alignment readingOrder="0"/>
    </xf>
    <xf borderId="4" fillId="2" fontId="3" numFmtId="0" xfId="0" applyAlignment="1" applyBorder="1" applyFont="1">
      <alignment readingOrder="0"/>
    </xf>
    <xf borderId="5" fillId="0" fontId="1" numFmtId="0" xfId="0" applyBorder="1" applyFont="1"/>
    <xf borderId="4" fillId="2" fontId="3" numFmtId="0" xfId="0" applyAlignment="1" applyBorder="1" applyFont="1">
      <alignment horizontal="center" readingOrder="0"/>
    </xf>
    <xf borderId="0" fillId="2" fontId="1" numFmtId="0" xfId="0" applyFont="1"/>
    <xf borderId="6" fillId="0" fontId="1" numFmtId="0" xfId="0" applyBorder="1" applyFont="1"/>
    <xf borderId="7" fillId="0" fontId="1" numFmtId="0" xfId="0" applyBorder="1" applyFont="1"/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0.14"/>
    <col customWidth="1" min="5" max="5" width="41.14"/>
    <col customWidth="1" min="6" max="6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8</v>
      </c>
      <c r="C2" s="1">
        <v>1.0</v>
      </c>
      <c r="D2" s="1" t="s">
        <v>9</v>
      </c>
      <c r="E2" s="1" t="s">
        <v>10</v>
      </c>
      <c r="F2" s="1" t="s">
        <v>9</v>
      </c>
      <c r="G2" s="1">
        <v>0.0</v>
      </c>
      <c r="H2" s="2">
        <v>0.12638888888888888</v>
      </c>
    </row>
    <row r="3">
      <c r="A3" s="1" t="s">
        <v>8</v>
      </c>
      <c r="B3" s="1" t="s">
        <v>8</v>
      </c>
      <c r="C3" s="1">
        <v>2.0</v>
      </c>
      <c r="D3" s="1" t="s">
        <v>11</v>
      </c>
      <c r="E3" s="1" t="s">
        <v>12</v>
      </c>
      <c r="F3" s="1" t="s">
        <v>13</v>
      </c>
      <c r="G3" s="1">
        <v>0.0</v>
      </c>
      <c r="H3" s="2">
        <v>0.1388888888888889</v>
      </c>
    </row>
    <row r="4">
      <c r="A4" s="1" t="s">
        <v>8</v>
      </c>
      <c r="B4" s="1" t="s">
        <v>8</v>
      </c>
      <c r="C4" s="1">
        <v>3.0</v>
      </c>
      <c r="D4" s="1" t="s">
        <v>14</v>
      </c>
      <c r="E4" s="1" t="s">
        <v>15</v>
      </c>
      <c r="F4" s="1" t="s">
        <v>16</v>
      </c>
      <c r="G4" s="1">
        <v>1.0</v>
      </c>
      <c r="H4" s="2">
        <v>0.12569444444444444</v>
      </c>
    </row>
    <row r="5">
      <c r="A5" s="1" t="s">
        <v>8</v>
      </c>
      <c r="B5" s="1" t="s">
        <v>8</v>
      </c>
      <c r="C5" s="1">
        <v>4.0</v>
      </c>
      <c r="D5" s="1" t="s">
        <v>17</v>
      </c>
      <c r="E5" s="1" t="s">
        <v>18</v>
      </c>
      <c r="F5" s="1" t="s">
        <v>19</v>
      </c>
      <c r="G5" s="1">
        <v>1.0</v>
      </c>
      <c r="H5" s="2">
        <v>0.12222222222222222</v>
      </c>
    </row>
    <row r="6">
      <c r="A6" s="1" t="s">
        <v>8</v>
      </c>
      <c r="B6" s="1" t="s">
        <v>8</v>
      </c>
      <c r="C6" s="1">
        <v>5.0</v>
      </c>
      <c r="D6" s="1" t="s">
        <v>20</v>
      </c>
      <c r="E6" s="1" t="s">
        <v>21</v>
      </c>
      <c r="F6" s="1" t="s">
        <v>22</v>
      </c>
      <c r="G6" s="1">
        <v>1.0</v>
      </c>
      <c r="H6" s="2">
        <v>0.17152777777777778</v>
      </c>
    </row>
    <row r="7">
      <c r="A7" s="1" t="s">
        <v>8</v>
      </c>
      <c r="B7" s="1" t="s">
        <v>8</v>
      </c>
      <c r="C7" s="1">
        <v>6.0</v>
      </c>
      <c r="D7" s="1" t="s">
        <v>23</v>
      </c>
      <c r="E7" s="1" t="s">
        <v>24</v>
      </c>
      <c r="F7" s="1" t="s">
        <v>23</v>
      </c>
      <c r="G7" s="1">
        <v>0.0</v>
      </c>
      <c r="H7" s="2">
        <v>0.12013888888888889</v>
      </c>
    </row>
    <row r="8">
      <c r="A8" s="1" t="s">
        <v>8</v>
      </c>
      <c r="B8" s="1" t="s">
        <v>8</v>
      </c>
      <c r="C8" s="1">
        <v>7.0</v>
      </c>
      <c r="D8" s="1" t="s">
        <v>25</v>
      </c>
      <c r="E8" s="1" t="s">
        <v>26</v>
      </c>
      <c r="F8" s="1" t="s">
        <v>25</v>
      </c>
      <c r="G8" s="1">
        <v>1.0</v>
      </c>
      <c r="H8" s="2">
        <v>0.11458333333333333</v>
      </c>
    </row>
    <row r="9">
      <c r="A9" s="1" t="s">
        <v>8</v>
      </c>
      <c r="B9" s="1" t="s">
        <v>8</v>
      </c>
      <c r="C9" s="1">
        <v>8.0</v>
      </c>
      <c r="D9" s="1" t="s">
        <v>27</v>
      </c>
      <c r="E9" s="1" t="s">
        <v>28</v>
      </c>
      <c r="F9" s="1" t="s">
        <v>29</v>
      </c>
      <c r="G9" s="1">
        <v>0.0</v>
      </c>
      <c r="H9" s="2">
        <v>0.12708333333333333</v>
      </c>
    </row>
    <row r="10">
      <c r="A10" s="1" t="s">
        <v>8</v>
      </c>
      <c r="B10" s="1" t="s">
        <v>8</v>
      </c>
      <c r="C10" s="1">
        <v>9.0</v>
      </c>
      <c r="D10" s="1" t="s">
        <v>30</v>
      </c>
      <c r="E10" s="1" t="s">
        <v>31</v>
      </c>
      <c r="F10" s="1" t="s">
        <v>32</v>
      </c>
      <c r="G10" s="1">
        <v>0.0</v>
      </c>
      <c r="H10" s="2">
        <v>0.15833333333333333</v>
      </c>
    </row>
    <row r="11">
      <c r="A11" s="1" t="s">
        <v>8</v>
      </c>
      <c r="B11" s="1" t="s">
        <v>8</v>
      </c>
      <c r="C11" s="1">
        <v>10.0</v>
      </c>
      <c r="D11" s="1" t="s">
        <v>33</v>
      </c>
      <c r="E11" s="1" t="s">
        <v>34</v>
      </c>
      <c r="F11" s="1" t="s">
        <v>35</v>
      </c>
      <c r="G11" s="1">
        <v>0.0</v>
      </c>
      <c r="H11" s="2">
        <v>0.1451388888888889</v>
      </c>
    </row>
    <row r="12">
      <c r="A12" s="1" t="s">
        <v>8</v>
      </c>
      <c r="B12" s="1" t="s">
        <v>8</v>
      </c>
      <c r="C12" s="1">
        <v>11.0</v>
      </c>
      <c r="D12" s="1" t="s">
        <v>36</v>
      </c>
      <c r="E12" s="1" t="s">
        <v>37</v>
      </c>
      <c r="F12" s="1" t="s">
        <v>36</v>
      </c>
      <c r="G12" s="1">
        <v>1.0</v>
      </c>
      <c r="H12" s="2">
        <v>0.09166666666666666</v>
      </c>
    </row>
    <row r="13">
      <c r="A13" s="1" t="s">
        <v>8</v>
      </c>
      <c r="B13" s="1" t="s">
        <v>8</v>
      </c>
      <c r="C13" s="1">
        <v>12.0</v>
      </c>
      <c r="D13" s="1" t="s">
        <v>38</v>
      </c>
      <c r="E13" s="1" t="s">
        <v>39</v>
      </c>
      <c r="F13" s="1" t="s">
        <v>40</v>
      </c>
      <c r="G13" s="1">
        <v>1.0</v>
      </c>
      <c r="H13" s="2">
        <v>0.1125</v>
      </c>
    </row>
    <row r="14">
      <c r="A14" s="1" t="s">
        <v>8</v>
      </c>
      <c r="B14" s="1" t="s">
        <v>8</v>
      </c>
      <c r="C14" s="1">
        <v>13.0</v>
      </c>
      <c r="D14" s="1" t="s">
        <v>41</v>
      </c>
      <c r="E14" s="1" t="s">
        <v>42</v>
      </c>
      <c r="F14" s="1" t="s">
        <v>43</v>
      </c>
      <c r="G14" s="1">
        <v>1.0</v>
      </c>
      <c r="H14" s="2">
        <v>0.1361111111111111</v>
      </c>
    </row>
    <row r="15">
      <c r="A15" s="1" t="s">
        <v>8</v>
      </c>
      <c r="B15" s="1" t="s">
        <v>8</v>
      </c>
      <c r="C15" s="1">
        <v>14.0</v>
      </c>
      <c r="D15" s="1" t="s">
        <v>44</v>
      </c>
      <c r="E15" s="1" t="s">
        <v>45</v>
      </c>
      <c r="F15" s="1" t="s">
        <v>44</v>
      </c>
      <c r="G15" s="1">
        <v>0.0</v>
      </c>
      <c r="H15" s="2">
        <v>0.12222222222222222</v>
      </c>
    </row>
    <row r="16">
      <c r="A16" s="1" t="s">
        <v>8</v>
      </c>
      <c r="B16" s="1" t="s">
        <v>8</v>
      </c>
      <c r="C16" s="1">
        <v>15.0</v>
      </c>
      <c r="D16" s="1" t="s">
        <v>46</v>
      </c>
      <c r="E16" s="1" t="s">
        <v>28</v>
      </c>
      <c r="F16" s="1" t="s">
        <v>29</v>
      </c>
      <c r="G16" s="1">
        <v>0.0</v>
      </c>
      <c r="H16" s="2">
        <v>0.15347222222222223</v>
      </c>
    </row>
    <row r="17">
      <c r="A17" s="1" t="s">
        <v>8</v>
      </c>
      <c r="B17" s="1" t="s">
        <v>8</v>
      </c>
      <c r="C17" s="1">
        <v>16.0</v>
      </c>
      <c r="D17" s="1" t="s">
        <v>47</v>
      </c>
      <c r="E17" s="1" t="s">
        <v>48</v>
      </c>
      <c r="F17" s="1" t="s">
        <v>49</v>
      </c>
      <c r="G17" s="1">
        <v>1.0</v>
      </c>
      <c r="H17" s="2">
        <v>0.15486111111111112</v>
      </c>
    </row>
    <row r="18">
      <c r="A18" s="1" t="s">
        <v>8</v>
      </c>
      <c r="B18" s="1" t="s">
        <v>8</v>
      </c>
      <c r="C18" s="1">
        <v>17.0</v>
      </c>
      <c r="D18" s="1" t="s">
        <v>50</v>
      </c>
      <c r="E18" s="1" t="s">
        <v>51</v>
      </c>
      <c r="F18" s="1" t="s">
        <v>52</v>
      </c>
      <c r="G18" s="1">
        <v>0.0</v>
      </c>
      <c r="H18" s="2">
        <v>0.14722222222222223</v>
      </c>
    </row>
    <row r="19">
      <c r="A19" s="1" t="s">
        <v>8</v>
      </c>
      <c r="B19" s="1" t="s">
        <v>8</v>
      </c>
      <c r="C19" s="1">
        <v>18.0</v>
      </c>
      <c r="D19" s="1" t="s">
        <v>53</v>
      </c>
      <c r="E19" s="1" t="s">
        <v>12</v>
      </c>
      <c r="F19" s="1" t="s">
        <v>13</v>
      </c>
      <c r="G19" s="1">
        <v>1.0</v>
      </c>
      <c r="H19" s="2">
        <v>0.16458333333333333</v>
      </c>
    </row>
    <row r="20">
      <c r="A20" s="1" t="s">
        <v>8</v>
      </c>
      <c r="B20" s="1" t="s">
        <v>8</v>
      </c>
      <c r="C20" s="1">
        <v>19.0</v>
      </c>
      <c r="D20" s="1" t="s">
        <v>54</v>
      </c>
      <c r="E20" s="1" t="s">
        <v>55</v>
      </c>
      <c r="F20" s="1" t="s">
        <v>56</v>
      </c>
      <c r="G20" s="1">
        <v>0.0</v>
      </c>
      <c r="H20" s="2">
        <v>0.10972222222222222</v>
      </c>
    </row>
    <row r="21">
      <c r="A21" s="1" t="s">
        <v>8</v>
      </c>
      <c r="B21" s="1" t="s">
        <v>8</v>
      </c>
      <c r="C21" s="1">
        <v>20.0</v>
      </c>
      <c r="D21" s="1" t="s">
        <v>57</v>
      </c>
      <c r="E21" s="1" t="s">
        <v>58</v>
      </c>
      <c r="F21" s="1" t="s">
        <v>59</v>
      </c>
      <c r="G21" s="1">
        <v>1.0</v>
      </c>
      <c r="H21" s="2">
        <v>0.16458333333333333</v>
      </c>
    </row>
    <row r="22">
      <c r="A22" s="1" t="s">
        <v>8</v>
      </c>
      <c r="B22" s="1" t="s">
        <v>8</v>
      </c>
      <c r="C22" s="1">
        <v>21.0</v>
      </c>
      <c r="D22" s="1" t="s">
        <v>60</v>
      </c>
      <c r="E22" s="1" t="s">
        <v>61</v>
      </c>
      <c r="F22" s="1" t="s">
        <v>62</v>
      </c>
      <c r="G22" s="1">
        <v>0.0</v>
      </c>
      <c r="H22" s="2">
        <v>0.11041666666666666</v>
      </c>
    </row>
    <row r="23">
      <c r="A23" s="1" t="s">
        <v>8</v>
      </c>
      <c r="B23" s="1" t="s">
        <v>8</v>
      </c>
      <c r="C23" s="1">
        <v>22.0</v>
      </c>
      <c r="D23" s="1" t="s">
        <v>63</v>
      </c>
      <c r="E23" s="1" t="s">
        <v>64</v>
      </c>
      <c r="F23" s="1" t="s">
        <v>63</v>
      </c>
      <c r="G23" s="1">
        <v>1.0</v>
      </c>
      <c r="H23" s="2">
        <v>0.16805555555555557</v>
      </c>
    </row>
    <row r="24">
      <c r="A24" s="1" t="s">
        <v>8</v>
      </c>
      <c r="B24" s="1" t="s">
        <v>8</v>
      </c>
      <c r="C24" s="1">
        <v>23.0</v>
      </c>
      <c r="D24" s="1" t="s">
        <v>65</v>
      </c>
      <c r="E24" s="1" t="s">
        <v>66</v>
      </c>
      <c r="F24" s="1" t="s">
        <v>67</v>
      </c>
      <c r="G24" s="1">
        <v>1.0</v>
      </c>
      <c r="H24" s="2">
        <v>0.2048611111111111</v>
      </c>
    </row>
    <row r="25">
      <c r="A25" s="1" t="s">
        <v>8</v>
      </c>
      <c r="B25" s="1" t="s">
        <v>8</v>
      </c>
      <c r="C25" s="1">
        <v>24.0</v>
      </c>
      <c r="D25" s="1" t="s">
        <v>68</v>
      </c>
      <c r="E25" s="1" t="s">
        <v>69</v>
      </c>
      <c r="F25" s="1" t="s">
        <v>70</v>
      </c>
      <c r="G25" s="1">
        <v>0.0</v>
      </c>
      <c r="H25" s="2">
        <v>0.12638888888888888</v>
      </c>
    </row>
    <row r="26">
      <c r="A26" s="1" t="s">
        <v>8</v>
      </c>
      <c r="B26" s="1" t="s">
        <v>8</v>
      </c>
      <c r="C26" s="1">
        <v>25.0</v>
      </c>
      <c r="D26" s="1" t="s">
        <v>71</v>
      </c>
      <c r="E26" s="1" t="s">
        <v>72</v>
      </c>
      <c r="F26" s="1" t="s">
        <v>67</v>
      </c>
      <c r="G26" s="1">
        <v>0.0</v>
      </c>
      <c r="H26" s="2">
        <v>0.11944444444444445</v>
      </c>
    </row>
    <row r="27">
      <c r="A27" s="1" t="s">
        <v>8</v>
      </c>
      <c r="B27" s="1" t="s">
        <v>8</v>
      </c>
      <c r="C27" s="1">
        <v>26.0</v>
      </c>
      <c r="D27" s="1" t="s">
        <v>73</v>
      </c>
      <c r="E27" s="1" t="s">
        <v>74</v>
      </c>
      <c r="F27" s="1" t="s">
        <v>75</v>
      </c>
      <c r="G27" s="1">
        <v>0.0</v>
      </c>
      <c r="H27" s="2">
        <v>0.14930555555555555</v>
      </c>
    </row>
    <row r="28">
      <c r="A28" s="1" t="s">
        <v>8</v>
      </c>
      <c r="B28" s="1" t="s">
        <v>8</v>
      </c>
      <c r="C28" s="1">
        <v>27.0</v>
      </c>
      <c r="D28" s="1" t="s">
        <v>76</v>
      </c>
      <c r="E28" s="1" t="s">
        <v>77</v>
      </c>
      <c r="F28" s="1" t="s">
        <v>76</v>
      </c>
      <c r="G28" s="1">
        <v>1.0</v>
      </c>
      <c r="H28" s="2">
        <v>0.14305555555555555</v>
      </c>
    </row>
    <row r="29">
      <c r="A29" s="1" t="s">
        <v>8</v>
      </c>
      <c r="B29" s="1" t="s">
        <v>8</v>
      </c>
      <c r="C29" s="1">
        <v>28.0</v>
      </c>
      <c r="D29" s="1" t="s">
        <v>78</v>
      </c>
      <c r="E29" s="1" t="s">
        <v>79</v>
      </c>
      <c r="F29" s="1" t="s">
        <v>78</v>
      </c>
      <c r="G29" s="1">
        <v>0.0</v>
      </c>
      <c r="H29" s="2">
        <v>0.10208333333333333</v>
      </c>
    </row>
    <row r="30">
      <c r="A30" s="1" t="s">
        <v>8</v>
      </c>
      <c r="B30" s="1" t="s">
        <v>8</v>
      </c>
      <c r="C30" s="1">
        <v>29.0</v>
      </c>
      <c r="D30" s="1" t="s">
        <v>80</v>
      </c>
      <c r="E30" s="1" t="s">
        <v>81</v>
      </c>
      <c r="F30" s="1" t="s">
        <v>82</v>
      </c>
      <c r="G30" s="1">
        <v>0.0</v>
      </c>
      <c r="H30" s="2">
        <v>0.12083333333333333</v>
      </c>
    </row>
    <row r="31">
      <c r="A31" s="1" t="s">
        <v>8</v>
      </c>
      <c r="B31" s="1" t="s">
        <v>8</v>
      </c>
      <c r="C31" s="1">
        <v>30.0</v>
      </c>
      <c r="D31" s="1" t="s">
        <v>83</v>
      </c>
      <c r="E31" s="1" t="s">
        <v>84</v>
      </c>
      <c r="F31" s="1" t="s">
        <v>85</v>
      </c>
      <c r="G31" s="1">
        <v>1.0</v>
      </c>
      <c r="H31" s="2">
        <v>0.16875</v>
      </c>
    </row>
    <row r="32">
      <c r="A32" s="1" t="s">
        <v>8</v>
      </c>
      <c r="B32" s="1" t="s">
        <v>8</v>
      </c>
      <c r="C32" s="1">
        <v>31.0</v>
      </c>
      <c r="D32" s="1" t="s">
        <v>86</v>
      </c>
      <c r="E32" s="1" t="s">
        <v>87</v>
      </c>
      <c r="F32" s="1" t="s">
        <v>86</v>
      </c>
      <c r="G32" s="1">
        <v>0.0</v>
      </c>
      <c r="H32" s="2">
        <v>0.1388888888888889</v>
      </c>
    </row>
    <row r="33">
      <c r="A33" s="1" t="s">
        <v>8</v>
      </c>
      <c r="B33" s="1" t="s">
        <v>8</v>
      </c>
      <c r="C33" s="1">
        <v>32.0</v>
      </c>
      <c r="D33" s="1" t="s">
        <v>88</v>
      </c>
      <c r="E33" s="1" t="s">
        <v>89</v>
      </c>
      <c r="F33" s="1" t="s">
        <v>90</v>
      </c>
      <c r="G33" s="1">
        <v>1.0</v>
      </c>
      <c r="H33" s="2">
        <v>0.09652777777777778</v>
      </c>
    </row>
    <row r="34">
      <c r="A34" s="1" t="s">
        <v>8</v>
      </c>
      <c r="B34" s="1" t="s">
        <v>8</v>
      </c>
      <c r="C34" s="1">
        <v>33.0</v>
      </c>
      <c r="D34" s="1" t="s">
        <v>91</v>
      </c>
      <c r="E34" s="1" t="s">
        <v>58</v>
      </c>
      <c r="F34" s="1" t="s">
        <v>91</v>
      </c>
      <c r="G34" s="1">
        <v>0.0</v>
      </c>
      <c r="H34" s="2">
        <v>0.09305555555555556</v>
      </c>
    </row>
    <row r="35">
      <c r="A35" s="1" t="s">
        <v>8</v>
      </c>
      <c r="B35" s="1" t="s">
        <v>8</v>
      </c>
      <c r="C35" s="1">
        <v>34.0</v>
      </c>
      <c r="D35" s="1" t="s">
        <v>92</v>
      </c>
      <c r="E35" s="1" t="s">
        <v>93</v>
      </c>
      <c r="F35" s="1" t="s">
        <v>92</v>
      </c>
      <c r="G35" s="1">
        <v>1.0</v>
      </c>
      <c r="H35" s="2">
        <v>0.11319444444444444</v>
      </c>
    </row>
    <row r="36">
      <c r="A36" s="1" t="s">
        <v>8</v>
      </c>
      <c r="B36" s="1" t="s">
        <v>8</v>
      </c>
      <c r="C36" s="1">
        <v>35.0</v>
      </c>
      <c r="D36" s="1" t="s">
        <v>94</v>
      </c>
      <c r="E36" s="1" t="s">
        <v>84</v>
      </c>
      <c r="F36" s="1" t="s">
        <v>95</v>
      </c>
      <c r="G36" s="1">
        <v>1.0</v>
      </c>
      <c r="H36" s="2">
        <v>0.21666666666666667</v>
      </c>
    </row>
    <row r="37">
      <c r="A37" s="1" t="s">
        <v>8</v>
      </c>
      <c r="B37" s="1" t="s">
        <v>8</v>
      </c>
      <c r="C37" s="1">
        <v>36.0</v>
      </c>
      <c r="D37" s="1" t="s">
        <v>96</v>
      </c>
      <c r="E37" s="1" t="s">
        <v>97</v>
      </c>
      <c r="F37" s="1" t="s">
        <v>98</v>
      </c>
      <c r="G37" s="1">
        <v>1.0</v>
      </c>
      <c r="H37" s="2">
        <v>0.12430555555555556</v>
      </c>
    </row>
    <row r="38">
      <c r="A38" s="1" t="s">
        <v>8</v>
      </c>
      <c r="B38" s="1" t="s">
        <v>8</v>
      </c>
      <c r="C38" s="1">
        <v>37.0</v>
      </c>
      <c r="D38" s="1" t="s">
        <v>99</v>
      </c>
      <c r="E38" s="1" t="s">
        <v>100</v>
      </c>
      <c r="F38" s="1" t="s">
        <v>99</v>
      </c>
      <c r="G38" s="1">
        <v>0.0</v>
      </c>
      <c r="H38" s="2">
        <v>0.11944444444444445</v>
      </c>
    </row>
    <row r="39">
      <c r="A39" s="1" t="s">
        <v>8</v>
      </c>
      <c r="B39" s="1" t="s">
        <v>8</v>
      </c>
      <c r="C39" s="1">
        <v>38.0</v>
      </c>
      <c r="D39" s="1" t="s">
        <v>101</v>
      </c>
      <c r="E39" s="1" t="s">
        <v>102</v>
      </c>
      <c r="F39" s="1" t="s">
        <v>103</v>
      </c>
      <c r="G39" s="1">
        <v>1.0</v>
      </c>
      <c r="H39" s="2">
        <v>0.16458333333333333</v>
      </c>
    </row>
    <row r="40">
      <c r="A40" s="1" t="s">
        <v>8</v>
      </c>
      <c r="B40" s="1" t="s">
        <v>8</v>
      </c>
      <c r="C40" s="1">
        <v>39.0</v>
      </c>
      <c r="D40" s="1" t="s">
        <v>104</v>
      </c>
      <c r="E40" s="1" t="s">
        <v>84</v>
      </c>
      <c r="F40" s="1" t="s">
        <v>104</v>
      </c>
      <c r="G40" s="1">
        <v>1.0</v>
      </c>
      <c r="H40" s="2">
        <v>0.12152777777777778</v>
      </c>
    </row>
    <row r="41">
      <c r="A41" s="1" t="s">
        <v>8</v>
      </c>
      <c r="B41" s="1" t="s">
        <v>8</v>
      </c>
      <c r="C41" s="1">
        <v>40.0</v>
      </c>
      <c r="D41" s="1" t="s">
        <v>105</v>
      </c>
      <c r="E41" s="1" t="s">
        <v>106</v>
      </c>
      <c r="F41" s="1" t="s">
        <v>105</v>
      </c>
      <c r="G41" s="1">
        <v>0.0</v>
      </c>
      <c r="H41" s="2">
        <v>0.11527777777777778</v>
      </c>
    </row>
    <row r="42">
      <c r="A42" s="1" t="s">
        <v>8</v>
      </c>
      <c r="B42" s="1" t="s">
        <v>8</v>
      </c>
      <c r="C42" s="1">
        <v>41.0</v>
      </c>
      <c r="D42" s="1" t="s">
        <v>107</v>
      </c>
      <c r="E42" s="1" t="s">
        <v>81</v>
      </c>
      <c r="F42" s="1" t="s">
        <v>82</v>
      </c>
      <c r="G42" s="1">
        <v>0.0</v>
      </c>
      <c r="H42" s="2">
        <v>0.14375</v>
      </c>
    </row>
    <row r="43">
      <c r="A43" s="1" t="s">
        <v>8</v>
      </c>
      <c r="B43" s="1" t="s">
        <v>8</v>
      </c>
      <c r="C43" s="1">
        <v>42.0</v>
      </c>
      <c r="D43" s="1" t="s">
        <v>108</v>
      </c>
      <c r="E43" s="1" t="s">
        <v>109</v>
      </c>
      <c r="F43" s="1" t="s">
        <v>110</v>
      </c>
      <c r="G43" s="1">
        <v>0.0</v>
      </c>
      <c r="H43" s="2">
        <v>0.10416666666666667</v>
      </c>
    </row>
    <row r="44">
      <c r="A44" s="1" t="s">
        <v>8</v>
      </c>
      <c r="B44" s="1" t="s">
        <v>8</v>
      </c>
      <c r="C44" s="1">
        <v>43.0</v>
      </c>
      <c r="D44" s="1" t="s">
        <v>111</v>
      </c>
      <c r="E44" s="1" t="s">
        <v>69</v>
      </c>
      <c r="F44" s="1" t="s">
        <v>112</v>
      </c>
      <c r="G44" s="1">
        <v>0.0</v>
      </c>
      <c r="H44" s="2">
        <v>0.14930555555555555</v>
      </c>
    </row>
    <row r="45">
      <c r="A45" s="1" t="s">
        <v>8</v>
      </c>
      <c r="B45" s="1" t="s">
        <v>8</v>
      </c>
      <c r="C45" s="1">
        <v>44.0</v>
      </c>
      <c r="D45" s="1" t="s">
        <v>113</v>
      </c>
      <c r="E45" s="1" t="s">
        <v>114</v>
      </c>
      <c r="F45" s="1" t="s">
        <v>113</v>
      </c>
      <c r="G45" s="1">
        <v>0.0</v>
      </c>
      <c r="H45" s="2">
        <v>0.13125</v>
      </c>
    </row>
    <row r="46">
      <c r="A46" s="1" t="s">
        <v>8</v>
      </c>
      <c r="B46" s="1" t="s">
        <v>8</v>
      </c>
      <c r="C46" s="1">
        <v>45.0</v>
      </c>
      <c r="D46" s="1" t="s">
        <v>115</v>
      </c>
      <c r="E46" s="1" t="s">
        <v>116</v>
      </c>
      <c r="F46" s="1" t="s">
        <v>117</v>
      </c>
      <c r="G46" s="1">
        <v>1.0</v>
      </c>
      <c r="H46" s="2">
        <v>0.11597222222222223</v>
      </c>
    </row>
    <row r="47">
      <c r="A47" s="1" t="s">
        <v>8</v>
      </c>
      <c r="B47" s="1" t="s">
        <v>8</v>
      </c>
      <c r="C47" s="1">
        <v>46.0</v>
      </c>
      <c r="D47" s="1" t="s">
        <v>118</v>
      </c>
      <c r="E47" s="1" t="s">
        <v>119</v>
      </c>
      <c r="F47" s="1" t="s">
        <v>120</v>
      </c>
      <c r="G47" s="1">
        <v>0.0</v>
      </c>
      <c r="H47" s="2">
        <v>0.13472222222222222</v>
      </c>
    </row>
    <row r="48">
      <c r="A48" s="1" t="s">
        <v>8</v>
      </c>
      <c r="B48" s="1" t="s">
        <v>8</v>
      </c>
      <c r="C48" s="1">
        <v>47.0</v>
      </c>
      <c r="D48" s="1" t="s">
        <v>121</v>
      </c>
      <c r="E48" s="1" t="s">
        <v>122</v>
      </c>
      <c r="F48" s="1" t="s">
        <v>123</v>
      </c>
      <c r="G48" s="1">
        <v>0.0</v>
      </c>
      <c r="H48" s="2">
        <v>0.13194444444444445</v>
      </c>
    </row>
    <row r="49">
      <c r="A49" s="1" t="s">
        <v>8</v>
      </c>
      <c r="B49" s="1" t="s">
        <v>8</v>
      </c>
      <c r="C49" s="1">
        <v>48.0</v>
      </c>
      <c r="D49" s="1" t="s">
        <v>124</v>
      </c>
      <c r="E49" s="1" t="s">
        <v>125</v>
      </c>
      <c r="F49" s="1" t="s">
        <v>126</v>
      </c>
      <c r="G49" s="1">
        <v>1.0</v>
      </c>
      <c r="H49" s="2">
        <v>0.15625</v>
      </c>
    </row>
    <row r="50">
      <c r="A50" s="1" t="s">
        <v>8</v>
      </c>
      <c r="B50" s="1" t="s">
        <v>8</v>
      </c>
      <c r="C50" s="1">
        <v>49.0</v>
      </c>
      <c r="D50" s="1" t="s">
        <v>127</v>
      </c>
      <c r="E50" s="1" t="s">
        <v>128</v>
      </c>
      <c r="F50" s="1" t="s">
        <v>127</v>
      </c>
      <c r="G50" s="1">
        <v>1.0</v>
      </c>
      <c r="H50" s="2">
        <v>0.17291666666666666</v>
      </c>
    </row>
    <row r="51">
      <c r="A51" s="1" t="s">
        <v>8</v>
      </c>
      <c r="B51" s="1" t="s">
        <v>8</v>
      </c>
      <c r="C51" s="1">
        <v>50.0</v>
      </c>
      <c r="D51" s="1" t="s">
        <v>129</v>
      </c>
      <c r="E51" s="1" t="s">
        <v>130</v>
      </c>
      <c r="F51" s="1" t="s">
        <v>131</v>
      </c>
      <c r="G51" s="1">
        <v>0.0</v>
      </c>
      <c r="H51" s="2">
        <v>0.1451388888888889</v>
      </c>
    </row>
    <row r="52">
      <c r="A52" s="1" t="s">
        <v>132</v>
      </c>
      <c r="B52" s="1" t="s">
        <v>133</v>
      </c>
      <c r="C52" s="1">
        <v>1.0</v>
      </c>
      <c r="D52" s="1" t="s">
        <v>134</v>
      </c>
      <c r="E52" s="1" t="s">
        <v>135</v>
      </c>
      <c r="F52" s="1" t="s">
        <v>134</v>
      </c>
      <c r="G52" s="1">
        <v>1.0</v>
      </c>
      <c r="H52" s="2">
        <v>0.12430555555555556</v>
      </c>
    </row>
    <row r="53">
      <c r="A53" s="1" t="s">
        <v>132</v>
      </c>
      <c r="B53" s="1" t="s">
        <v>133</v>
      </c>
      <c r="C53" s="1">
        <v>2.0</v>
      </c>
      <c r="D53" s="1" t="s">
        <v>129</v>
      </c>
      <c r="E53" s="1" t="s">
        <v>130</v>
      </c>
      <c r="F53" s="1" t="s">
        <v>131</v>
      </c>
      <c r="G53" s="1">
        <v>0.0</v>
      </c>
      <c r="H53" s="2">
        <v>0.1451388888888889</v>
      </c>
    </row>
    <row r="54">
      <c r="A54" s="1" t="s">
        <v>132</v>
      </c>
      <c r="B54" s="1" t="s">
        <v>133</v>
      </c>
      <c r="C54" s="1">
        <v>3.0</v>
      </c>
      <c r="D54" s="1" t="s">
        <v>136</v>
      </c>
      <c r="E54" s="1" t="s">
        <v>137</v>
      </c>
      <c r="F54" s="1" t="s">
        <v>138</v>
      </c>
      <c r="G54" s="1">
        <v>0.0</v>
      </c>
      <c r="H54" s="2">
        <v>0.16111111111111112</v>
      </c>
    </row>
    <row r="55">
      <c r="A55" s="1" t="s">
        <v>132</v>
      </c>
      <c r="B55" s="1" t="s">
        <v>133</v>
      </c>
      <c r="C55" s="1">
        <v>4.0</v>
      </c>
      <c r="D55" s="1" t="s">
        <v>71</v>
      </c>
      <c r="E55" s="1" t="s">
        <v>72</v>
      </c>
      <c r="F55" s="1" t="s">
        <v>67</v>
      </c>
      <c r="G55" s="1">
        <v>0.0</v>
      </c>
      <c r="H55" s="2">
        <v>0.11944444444444445</v>
      </c>
    </row>
    <row r="56">
      <c r="A56" s="1" t="s">
        <v>132</v>
      </c>
      <c r="B56" s="1" t="s">
        <v>133</v>
      </c>
      <c r="C56" s="1">
        <v>5.0</v>
      </c>
      <c r="D56" s="1" t="s">
        <v>139</v>
      </c>
      <c r="E56" s="1" t="s">
        <v>140</v>
      </c>
      <c r="F56" s="1" t="s">
        <v>139</v>
      </c>
      <c r="G56" s="1">
        <v>0.0</v>
      </c>
      <c r="H56" s="2">
        <v>0.10138888888888889</v>
      </c>
    </row>
    <row r="57">
      <c r="A57" s="1" t="s">
        <v>132</v>
      </c>
      <c r="B57" s="1" t="s">
        <v>133</v>
      </c>
      <c r="C57" s="1">
        <v>6.0</v>
      </c>
      <c r="D57" s="1" t="s">
        <v>141</v>
      </c>
      <c r="E57" s="1" t="s">
        <v>142</v>
      </c>
      <c r="F57" s="1" t="s">
        <v>141</v>
      </c>
      <c r="G57" s="1">
        <v>0.0</v>
      </c>
      <c r="H57" s="2">
        <v>0.13680555555555557</v>
      </c>
    </row>
    <row r="58">
      <c r="A58" s="1" t="s">
        <v>132</v>
      </c>
      <c r="B58" s="1" t="s">
        <v>133</v>
      </c>
      <c r="C58" s="1">
        <v>7.0</v>
      </c>
      <c r="D58" s="1" t="s">
        <v>108</v>
      </c>
      <c r="E58" s="1" t="s">
        <v>109</v>
      </c>
      <c r="F58" s="1" t="s">
        <v>110</v>
      </c>
      <c r="G58" s="1">
        <v>0.0</v>
      </c>
      <c r="H58" s="2">
        <v>0.10416666666666667</v>
      </c>
    </row>
    <row r="59">
      <c r="A59" s="1" t="s">
        <v>132</v>
      </c>
      <c r="B59" s="1" t="s">
        <v>133</v>
      </c>
      <c r="C59" s="1">
        <v>8.0</v>
      </c>
      <c r="D59" s="1" t="s">
        <v>65</v>
      </c>
      <c r="E59" s="1" t="s">
        <v>66</v>
      </c>
      <c r="F59" s="1" t="s">
        <v>67</v>
      </c>
      <c r="G59" s="1">
        <v>1.0</v>
      </c>
      <c r="H59" s="2">
        <v>0.2048611111111111</v>
      </c>
    </row>
    <row r="60">
      <c r="A60" s="1" t="s">
        <v>132</v>
      </c>
      <c r="B60" s="1" t="s">
        <v>133</v>
      </c>
      <c r="C60" s="1">
        <v>9.0</v>
      </c>
      <c r="D60" s="1" t="s">
        <v>143</v>
      </c>
      <c r="E60" s="1" t="s">
        <v>144</v>
      </c>
      <c r="F60" s="1" t="s">
        <v>143</v>
      </c>
      <c r="G60" s="1">
        <v>0.0</v>
      </c>
      <c r="H60" s="2">
        <v>0.14027777777777778</v>
      </c>
    </row>
    <row r="61">
      <c r="A61" s="1" t="s">
        <v>132</v>
      </c>
      <c r="B61" s="1" t="s">
        <v>133</v>
      </c>
      <c r="C61" s="1">
        <v>10.0</v>
      </c>
      <c r="D61" s="1" t="s">
        <v>145</v>
      </c>
      <c r="E61" s="1" t="s">
        <v>146</v>
      </c>
      <c r="F61" s="1" t="s">
        <v>145</v>
      </c>
      <c r="G61" s="1">
        <v>0.0</v>
      </c>
      <c r="H61" s="2">
        <v>0.15625</v>
      </c>
    </row>
    <row r="62">
      <c r="A62" s="1" t="s">
        <v>132</v>
      </c>
      <c r="B62" s="1" t="s">
        <v>133</v>
      </c>
      <c r="C62" s="1">
        <v>11.0</v>
      </c>
      <c r="D62" s="1" t="s">
        <v>86</v>
      </c>
      <c r="E62" s="1" t="s">
        <v>87</v>
      </c>
      <c r="F62" s="1" t="s">
        <v>86</v>
      </c>
      <c r="G62" s="1">
        <v>0.0</v>
      </c>
      <c r="H62" s="2">
        <v>0.1388888888888889</v>
      </c>
    </row>
    <row r="63">
      <c r="A63" s="1" t="s">
        <v>132</v>
      </c>
      <c r="B63" s="1" t="s">
        <v>133</v>
      </c>
      <c r="C63" s="1">
        <v>12.0</v>
      </c>
      <c r="D63" s="1" t="s">
        <v>147</v>
      </c>
      <c r="E63" s="1" t="s">
        <v>148</v>
      </c>
      <c r="F63" s="1" t="s">
        <v>149</v>
      </c>
      <c r="G63" s="1">
        <v>0.0</v>
      </c>
      <c r="H63" s="2">
        <v>0.17291666666666666</v>
      </c>
    </row>
    <row r="64">
      <c r="A64" s="1" t="s">
        <v>132</v>
      </c>
      <c r="B64" s="1" t="s">
        <v>133</v>
      </c>
      <c r="C64" s="1">
        <v>13.0</v>
      </c>
      <c r="D64" s="1" t="s">
        <v>131</v>
      </c>
      <c r="E64" s="1" t="s">
        <v>150</v>
      </c>
      <c r="F64" s="1" t="s">
        <v>131</v>
      </c>
      <c r="G64" s="1">
        <v>0.0</v>
      </c>
      <c r="H64" s="2">
        <v>0.12638888888888888</v>
      </c>
    </row>
    <row r="65">
      <c r="A65" s="1" t="s">
        <v>132</v>
      </c>
      <c r="B65" s="1" t="s">
        <v>133</v>
      </c>
      <c r="C65" s="1">
        <v>14.0</v>
      </c>
      <c r="D65" s="1" t="s">
        <v>151</v>
      </c>
      <c r="E65" s="1" t="s">
        <v>152</v>
      </c>
      <c r="F65" s="1" t="s">
        <v>153</v>
      </c>
      <c r="G65" s="1">
        <v>1.0</v>
      </c>
      <c r="H65" s="2">
        <v>0.1486111111111111</v>
      </c>
    </row>
    <row r="66">
      <c r="A66" s="1" t="s">
        <v>132</v>
      </c>
      <c r="B66" s="1" t="s">
        <v>133</v>
      </c>
      <c r="C66" s="1">
        <v>15.0</v>
      </c>
      <c r="D66" s="1" t="s">
        <v>154</v>
      </c>
      <c r="E66" s="1" t="s">
        <v>155</v>
      </c>
      <c r="F66" s="1" t="s">
        <v>156</v>
      </c>
      <c r="G66" s="1">
        <v>1.0</v>
      </c>
      <c r="H66" s="2">
        <v>0.23958333333333334</v>
      </c>
    </row>
    <row r="67">
      <c r="A67" s="1" t="s">
        <v>132</v>
      </c>
      <c r="B67" s="1" t="s">
        <v>133</v>
      </c>
      <c r="C67" s="1">
        <v>16.0</v>
      </c>
      <c r="D67" s="1" t="s">
        <v>157</v>
      </c>
      <c r="E67" s="1" t="s">
        <v>158</v>
      </c>
      <c r="F67" s="1" t="s">
        <v>159</v>
      </c>
      <c r="G67" s="1">
        <v>0.0</v>
      </c>
      <c r="H67" s="2">
        <v>0.12777777777777777</v>
      </c>
    </row>
    <row r="68">
      <c r="A68" s="1" t="s">
        <v>132</v>
      </c>
      <c r="B68" s="1" t="s">
        <v>133</v>
      </c>
      <c r="C68" s="1">
        <v>17.0</v>
      </c>
      <c r="D68" s="1" t="s">
        <v>160</v>
      </c>
      <c r="E68" s="1" t="s">
        <v>109</v>
      </c>
      <c r="F68" s="1" t="s">
        <v>110</v>
      </c>
      <c r="G68" s="1">
        <v>0.0</v>
      </c>
      <c r="H68" s="2">
        <v>0.1388888888888889</v>
      </c>
    </row>
    <row r="69">
      <c r="A69" s="1" t="s">
        <v>132</v>
      </c>
      <c r="B69" s="1" t="s">
        <v>133</v>
      </c>
      <c r="C69" s="1">
        <v>18.0</v>
      </c>
      <c r="D69" s="1" t="s">
        <v>161</v>
      </c>
      <c r="E69" s="1" t="s">
        <v>162</v>
      </c>
      <c r="F69" s="1" t="s">
        <v>161</v>
      </c>
      <c r="G69" s="1">
        <v>0.0</v>
      </c>
      <c r="H69" s="2">
        <v>0.15694444444444444</v>
      </c>
    </row>
    <row r="70">
      <c r="A70" s="1" t="s">
        <v>132</v>
      </c>
      <c r="B70" s="1" t="s">
        <v>133</v>
      </c>
      <c r="C70" s="1">
        <v>19.0</v>
      </c>
      <c r="D70" s="1" t="s">
        <v>11</v>
      </c>
      <c r="E70" s="1" t="s">
        <v>12</v>
      </c>
      <c r="F70" s="1" t="s">
        <v>13</v>
      </c>
      <c r="G70" s="1">
        <v>0.0</v>
      </c>
      <c r="H70" s="2">
        <v>0.1388888888888889</v>
      </c>
    </row>
    <row r="71">
      <c r="A71" s="1" t="s">
        <v>132</v>
      </c>
      <c r="B71" s="1" t="s">
        <v>133</v>
      </c>
      <c r="C71" s="1">
        <v>20.0</v>
      </c>
      <c r="D71" s="1" t="s">
        <v>163</v>
      </c>
      <c r="E71" s="1" t="s">
        <v>164</v>
      </c>
      <c r="F71" s="1" t="s">
        <v>163</v>
      </c>
      <c r="G71" s="1">
        <v>1.0</v>
      </c>
      <c r="H71" s="2">
        <v>0.14722222222222223</v>
      </c>
    </row>
    <row r="72">
      <c r="A72" s="1" t="s">
        <v>132</v>
      </c>
      <c r="B72" s="1" t="s">
        <v>133</v>
      </c>
      <c r="C72" s="1">
        <v>21.0</v>
      </c>
      <c r="D72" s="1" t="s">
        <v>33</v>
      </c>
      <c r="E72" s="1" t="s">
        <v>34</v>
      </c>
      <c r="F72" s="1" t="s">
        <v>35</v>
      </c>
      <c r="G72" s="1">
        <v>0.0</v>
      </c>
      <c r="H72" s="2">
        <v>0.1451388888888889</v>
      </c>
    </row>
    <row r="73">
      <c r="A73" s="1" t="s">
        <v>132</v>
      </c>
      <c r="B73" s="1" t="s">
        <v>133</v>
      </c>
      <c r="C73" s="1">
        <v>22.0</v>
      </c>
      <c r="D73" s="1" t="s">
        <v>165</v>
      </c>
      <c r="E73" s="1" t="s">
        <v>166</v>
      </c>
      <c r="F73" s="1" t="s">
        <v>165</v>
      </c>
      <c r="G73" s="1">
        <v>0.0</v>
      </c>
      <c r="H73" s="2">
        <v>0.13819444444444445</v>
      </c>
    </row>
    <row r="74">
      <c r="A74" s="1" t="s">
        <v>132</v>
      </c>
      <c r="B74" s="1" t="s">
        <v>133</v>
      </c>
      <c r="C74" s="1">
        <v>23.0</v>
      </c>
      <c r="D74" s="1" t="s">
        <v>167</v>
      </c>
      <c r="E74" s="1" t="s">
        <v>168</v>
      </c>
      <c r="F74" s="1" t="s">
        <v>167</v>
      </c>
      <c r="G74" s="1">
        <v>0.0</v>
      </c>
      <c r="H74" s="2">
        <v>0.14166666666666666</v>
      </c>
    </row>
    <row r="75">
      <c r="A75" s="1" t="s">
        <v>132</v>
      </c>
      <c r="B75" s="1" t="s">
        <v>133</v>
      </c>
      <c r="C75" s="1">
        <v>24.0</v>
      </c>
      <c r="D75" s="1" t="s">
        <v>169</v>
      </c>
      <c r="E75" s="1" t="s">
        <v>170</v>
      </c>
      <c r="F75" s="1" t="s">
        <v>171</v>
      </c>
      <c r="G75" s="1">
        <v>0.0</v>
      </c>
      <c r="H75" s="2">
        <v>0.1451388888888889</v>
      </c>
    </row>
    <row r="76">
      <c r="A76" s="1" t="s">
        <v>132</v>
      </c>
      <c r="B76" s="1" t="s">
        <v>133</v>
      </c>
      <c r="C76" s="1">
        <v>25.0</v>
      </c>
      <c r="D76" s="1" t="s">
        <v>17</v>
      </c>
      <c r="E76" s="1" t="s">
        <v>18</v>
      </c>
      <c r="F76" s="1" t="s">
        <v>19</v>
      </c>
      <c r="G76" s="1">
        <v>1.0</v>
      </c>
      <c r="H76" s="2">
        <v>0.12222222222222222</v>
      </c>
    </row>
    <row r="77">
      <c r="A77" s="1" t="s">
        <v>132</v>
      </c>
      <c r="B77" s="1" t="s">
        <v>133</v>
      </c>
      <c r="C77" s="1">
        <v>26.0</v>
      </c>
      <c r="D77" s="1" t="s">
        <v>27</v>
      </c>
      <c r="E77" s="1" t="s">
        <v>28</v>
      </c>
      <c r="F77" s="1" t="s">
        <v>29</v>
      </c>
      <c r="G77" s="1">
        <v>0.0</v>
      </c>
      <c r="H77" s="2">
        <v>0.12708333333333333</v>
      </c>
    </row>
    <row r="78">
      <c r="A78" s="1" t="s">
        <v>132</v>
      </c>
      <c r="B78" s="1" t="s">
        <v>133</v>
      </c>
      <c r="C78" s="1">
        <v>27.0</v>
      </c>
      <c r="D78" s="1" t="s">
        <v>172</v>
      </c>
      <c r="E78" s="1" t="s">
        <v>72</v>
      </c>
      <c r="F78" s="1" t="s">
        <v>67</v>
      </c>
      <c r="G78" s="1">
        <v>1.0</v>
      </c>
      <c r="H78" s="2">
        <v>0.11319444444444444</v>
      </c>
    </row>
    <row r="79">
      <c r="A79" s="1" t="s">
        <v>132</v>
      </c>
      <c r="B79" s="1" t="s">
        <v>133</v>
      </c>
      <c r="C79" s="1">
        <v>28.0</v>
      </c>
      <c r="D79" s="1" t="s">
        <v>9</v>
      </c>
      <c r="E79" s="1" t="s">
        <v>10</v>
      </c>
      <c r="F79" s="1" t="s">
        <v>9</v>
      </c>
      <c r="G79" s="1">
        <v>0.0</v>
      </c>
      <c r="H79" s="2">
        <v>0.12638888888888888</v>
      </c>
    </row>
    <row r="80">
      <c r="A80" s="1" t="s">
        <v>132</v>
      </c>
      <c r="B80" s="1" t="s">
        <v>133</v>
      </c>
      <c r="C80" s="1">
        <v>29.0</v>
      </c>
      <c r="D80" s="1" t="s">
        <v>173</v>
      </c>
      <c r="E80" s="1" t="s">
        <v>109</v>
      </c>
      <c r="F80" s="1" t="s">
        <v>110</v>
      </c>
      <c r="G80" s="1">
        <v>0.0</v>
      </c>
      <c r="H80" s="2">
        <v>0.10902777777777778</v>
      </c>
    </row>
    <row r="81">
      <c r="A81" s="1" t="s">
        <v>132</v>
      </c>
      <c r="B81" s="1" t="s">
        <v>133</v>
      </c>
      <c r="C81" s="1">
        <v>30.0</v>
      </c>
      <c r="D81" s="1" t="s">
        <v>174</v>
      </c>
      <c r="E81" s="1" t="s">
        <v>175</v>
      </c>
      <c r="F81" s="1" t="s">
        <v>176</v>
      </c>
      <c r="G81" s="1">
        <v>0.0</v>
      </c>
      <c r="H81" s="2">
        <v>0.12013888888888889</v>
      </c>
    </row>
    <row r="82">
      <c r="A82" s="1" t="s">
        <v>132</v>
      </c>
      <c r="B82" s="1" t="s">
        <v>133</v>
      </c>
      <c r="C82" s="1">
        <v>31.0</v>
      </c>
      <c r="D82" s="1" t="s">
        <v>177</v>
      </c>
      <c r="E82" s="1" t="s">
        <v>178</v>
      </c>
      <c r="F82" s="1" t="s">
        <v>67</v>
      </c>
      <c r="G82" s="1">
        <v>1.0</v>
      </c>
      <c r="H82" s="2">
        <v>0.14583333333333334</v>
      </c>
    </row>
    <row r="83">
      <c r="A83" s="1" t="s">
        <v>132</v>
      </c>
      <c r="B83" s="1" t="s">
        <v>133</v>
      </c>
      <c r="C83" s="1">
        <v>32.0</v>
      </c>
      <c r="D83" s="1" t="s">
        <v>179</v>
      </c>
      <c r="E83" s="1" t="s">
        <v>180</v>
      </c>
      <c r="F83" s="1" t="s">
        <v>181</v>
      </c>
      <c r="G83" s="1">
        <v>1.0</v>
      </c>
      <c r="H83" s="2">
        <v>0.20069444444444445</v>
      </c>
    </row>
    <row r="84">
      <c r="A84" s="1" t="s">
        <v>132</v>
      </c>
      <c r="B84" s="1" t="s">
        <v>133</v>
      </c>
      <c r="C84" s="1">
        <v>33.0</v>
      </c>
      <c r="D84" s="1" t="s">
        <v>182</v>
      </c>
      <c r="E84" s="1" t="s">
        <v>183</v>
      </c>
      <c r="F84" s="1" t="s">
        <v>182</v>
      </c>
      <c r="G84" s="1">
        <v>1.0</v>
      </c>
      <c r="H84" s="2">
        <v>0.12986111111111112</v>
      </c>
    </row>
    <row r="85">
      <c r="A85" s="1" t="s">
        <v>132</v>
      </c>
      <c r="B85" s="1" t="s">
        <v>133</v>
      </c>
      <c r="C85" s="1">
        <v>34.0</v>
      </c>
      <c r="D85" s="1" t="s">
        <v>184</v>
      </c>
      <c r="E85" s="1" t="s">
        <v>185</v>
      </c>
      <c r="F85" s="1" t="s">
        <v>184</v>
      </c>
      <c r="G85" s="1">
        <v>0.0</v>
      </c>
      <c r="H85" s="2">
        <v>0.10972222222222222</v>
      </c>
    </row>
    <row r="86">
      <c r="A86" s="1" t="s">
        <v>132</v>
      </c>
      <c r="B86" s="1" t="s">
        <v>133</v>
      </c>
      <c r="C86" s="1">
        <v>35.0</v>
      </c>
      <c r="D86" s="1" t="s">
        <v>23</v>
      </c>
      <c r="E86" s="1" t="s">
        <v>24</v>
      </c>
      <c r="F86" s="1" t="s">
        <v>23</v>
      </c>
      <c r="G86" s="1">
        <v>0.0</v>
      </c>
      <c r="H86" s="2">
        <v>0.12013888888888889</v>
      </c>
    </row>
    <row r="87">
      <c r="A87" s="1" t="s">
        <v>132</v>
      </c>
      <c r="B87" s="1" t="s">
        <v>133</v>
      </c>
      <c r="C87" s="1">
        <v>36.0</v>
      </c>
      <c r="D87" s="1" t="s">
        <v>186</v>
      </c>
      <c r="E87" s="1" t="s">
        <v>187</v>
      </c>
      <c r="F87" s="1" t="s">
        <v>186</v>
      </c>
      <c r="G87" s="1">
        <v>0.0</v>
      </c>
      <c r="H87" s="2">
        <v>0.12152777777777778</v>
      </c>
    </row>
    <row r="88">
      <c r="A88" s="1" t="s">
        <v>132</v>
      </c>
      <c r="B88" s="1" t="s">
        <v>133</v>
      </c>
      <c r="C88" s="1">
        <v>37.0</v>
      </c>
      <c r="D88" s="1" t="s">
        <v>188</v>
      </c>
      <c r="E88" s="1" t="s">
        <v>189</v>
      </c>
      <c r="F88" s="1" t="s">
        <v>188</v>
      </c>
      <c r="G88" s="1">
        <v>0.0</v>
      </c>
      <c r="H88" s="2">
        <v>0.12986111111111112</v>
      </c>
    </row>
    <row r="89">
      <c r="A89" s="1" t="s">
        <v>132</v>
      </c>
      <c r="B89" s="1" t="s">
        <v>133</v>
      </c>
      <c r="C89" s="1">
        <v>38.0</v>
      </c>
      <c r="D89" s="1" t="s">
        <v>190</v>
      </c>
      <c r="E89" s="1" t="s">
        <v>191</v>
      </c>
      <c r="F89" s="1" t="s">
        <v>190</v>
      </c>
      <c r="G89" s="1">
        <v>0.0</v>
      </c>
      <c r="H89" s="2">
        <v>0.14652777777777778</v>
      </c>
    </row>
    <row r="90">
      <c r="A90" s="1" t="s">
        <v>132</v>
      </c>
      <c r="B90" s="1" t="s">
        <v>133</v>
      </c>
      <c r="C90" s="1">
        <v>39.0</v>
      </c>
      <c r="D90" s="1" t="s">
        <v>192</v>
      </c>
      <c r="E90" s="1" t="s">
        <v>193</v>
      </c>
      <c r="F90" s="1" t="s">
        <v>131</v>
      </c>
      <c r="G90" s="1">
        <v>0.0</v>
      </c>
      <c r="H90" s="2">
        <v>0.12430555555555556</v>
      </c>
    </row>
    <row r="91">
      <c r="A91" s="1" t="s">
        <v>132</v>
      </c>
      <c r="B91" s="1" t="s">
        <v>133</v>
      </c>
      <c r="C91" s="1">
        <v>40.0</v>
      </c>
      <c r="D91" s="1" t="s">
        <v>194</v>
      </c>
      <c r="E91" s="1" t="s">
        <v>195</v>
      </c>
      <c r="F91" s="1" t="s">
        <v>194</v>
      </c>
      <c r="G91" s="1">
        <v>0.0</v>
      </c>
      <c r="H91" s="2">
        <v>0.13472222222222222</v>
      </c>
    </row>
    <row r="92">
      <c r="A92" s="1" t="s">
        <v>132</v>
      </c>
      <c r="B92" s="1" t="s">
        <v>133</v>
      </c>
      <c r="C92" s="1">
        <v>41.0</v>
      </c>
      <c r="D92" s="1" t="s">
        <v>196</v>
      </c>
      <c r="E92" s="1" t="s">
        <v>197</v>
      </c>
      <c r="F92" s="1" t="s">
        <v>196</v>
      </c>
      <c r="G92" s="1">
        <v>0.0</v>
      </c>
      <c r="H92" s="2">
        <v>0.10625</v>
      </c>
    </row>
    <row r="93">
      <c r="A93" s="1" t="s">
        <v>132</v>
      </c>
      <c r="B93" s="1" t="s">
        <v>133</v>
      </c>
      <c r="C93" s="1">
        <v>42.0</v>
      </c>
      <c r="D93" s="1" t="s">
        <v>198</v>
      </c>
      <c r="E93" s="1" t="s">
        <v>199</v>
      </c>
      <c r="F93" s="1" t="s">
        <v>198</v>
      </c>
      <c r="G93" s="1">
        <v>0.0</v>
      </c>
      <c r="H93" s="2">
        <v>0.1388888888888889</v>
      </c>
    </row>
    <row r="94">
      <c r="A94" s="1" t="s">
        <v>132</v>
      </c>
      <c r="B94" s="1" t="s">
        <v>133</v>
      </c>
      <c r="C94" s="1">
        <v>43.0</v>
      </c>
      <c r="D94" s="1" t="s">
        <v>200</v>
      </c>
      <c r="E94" s="1" t="s">
        <v>201</v>
      </c>
      <c r="F94" s="1" t="s">
        <v>202</v>
      </c>
      <c r="G94" s="1">
        <v>0.0</v>
      </c>
      <c r="H94" s="2">
        <v>0.09236111111111112</v>
      </c>
    </row>
    <row r="95">
      <c r="A95" s="1" t="s">
        <v>132</v>
      </c>
      <c r="B95" s="1" t="s">
        <v>133</v>
      </c>
      <c r="C95" s="1">
        <v>44.0</v>
      </c>
      <c r="D95" s="1" t="s">
        <v>203</v>
      </c>
      <c r="E95" s="1" t="s">
        <v>204</v>
      </c>
      <c r="F95" s="1" t="s">
        <v>205</v>
      </c>
      <c r="G95" s="1">
        <v>0.0</v>
      </c>
      <c r="H95" s="2">
        <v>0.22916666666666666</v>
      </c>
    </row>
    <row r="96">
      <c r="A96" s="1" t="s">
        <v>132</v>
      </c>
      <c r="B96" s="1" t="s">
        <v>133</v>
      </c>
      <c r="C96" s="1">
        <v>45.0</v>
      </c>
      <c r="D96" s="1" t="s">
        <v>206</v>
      </c>
      <c r="E96" s="1" t="s">
        <v>72</v>
      </c>
      <c r="F96" s="1" t="s">
        <v>207</v>
      </c>
      <c r="G96" s="1">
        <v>1.0</v>
      </c>
      <c r="H96" s="2">
        <v>0.12361111111111112</v>
      </c>
    </row>
    <row r="97">
      <c r="A97" s="1" t="s">
        <v>132</v>
      </c>
      <c r="B97" s="1" t="s">
        <v>133</v>
      </c>
      <c r="C97" s="1">
        <v>46.0</v>
      </c>
      <c r="D97" s="1" t="s">
        <v>208</v>
      </c>
      <c r="E97" s="1" t="s">
        <v>209</v>
      </c>
      <c r="F97" s="1" t="s">
        <v>208</v>
      </c>
      <c r="G97" s="1">
        <v>1.0</v>
      </c>
      <c r="H97" s="2">
        <v>0.10694444444444444</v>
      </c>
    </row>
    <row r="98">
      <c r="A98" s="1" t="s">
        <v>132</v>
      </c>
      <c r="B98" s="1" t="s">
        <v>133</v>
      </c>
      <c r="C98" s="1">
        <v>47.0</v>
      </c>
      <c r="D98" s="1" t="s">
        <v>210</v>
      </c>
      <c r="E98" s="1" t="s">
        <v>211</v>
      </c>
      <c r="F98" s="1" t="s">
        <v>210</v>
      </c>
      <c r="G98" s="1">
        <v>0.0</v>
      </c>
      <c r="H98" s="2">
        <v>0.14027777777777778</v>
      </c>
    </row>
    <row r="99">
      <c r="A99" s="1" t="s">
        <v>132</v>
      </c>
      <c r="B99" s="1" t="s">
        <v>133</v>
      </c>
      <c r="C99" s="1">
        <v>48.0</v>
      </c>
      <c r="D99" s="1" t="s">
        <v>212</v>
      </c>
      <c r="E99" s="1" t="s">
        <v>213</v>
      </c>
      <c r="F99" s="1" t="s">
        <v>214</v>
      </c>
      <c r="G99" s="1">
        <v>1.0</v>
      </c>
      <c r="H99" s="2">
        <v>0.2111111111111111</v>
      </c>
    </row>
    <row r="100">
      <c r="A100" s="1" t="s">
        <v>132</v>
      </c>
      <c r="B100" s="1" t="s">
        <v>133</v>
      </c>
      <c r="C100" s="1">
        <v>49.0</v>
      </c>
      <c r="D100" s="1" t="s">
        <v>215</v>
      </c>
      <c r="E100" s="1" t="s">
        <v>216</v>
      </c>
      <c r="F100" s="1" t="s">
        <v>176</v>
      </c>
      <c r="G100" s="1">
        <v>0.0</v>
      </c>
      <c r="H100" s="2">
        <v>0.14791666666666667</v>
      </c>
    </row>
    <row r="101">
      <c r="A101" s="1" t="s">
        <v>132</v>
      </c>
      <c r="B101" s="1" t="s">
        <v>133</v>
      </c>
      <c r="C101" s="1">
        <v>50.0</v>
      </c>
      <c r="D101" s="1" t="s">
        <v>217</v>
      </c>
      <c r="E101" s="1" t="s">
        <v>218</v>
      </c>
      <c r="F101" s="1" t="s">
        <v>217</v>
      </c>
      <c r="G101" s="1">
        <v>1.0</v>
      </c>
      <c r="H101" s="2">
        <v>0.13194444444444445</v>
      </c>
    </row>
    <row r="102">
      <c r="A102" s="1" t="s">
        <v>219</v>
      </c>
      <c r="B102" s="1" t="s">
        <v>219</v>
      </c>
      <c r="C102" s="1">
        <v>1.0</v>
      </c>
      <c r="D102" s="1" t="s">
        <v>14</v>
      </c>
      <c r="E102" s="1" t="s">
        <v>15</v>
      </c>
      <c r="F102" s="1" t="s">
        <v>16</v>
      </c>
      <c r="G102" s="1">
        <v>1.0</v>
      </c>
      <c r="H102" s="2">
        <v>0.12569444444444444</v>
      </c>
    </row>
    <row r="103">
      <c r="A103" s="1" t="s">
        <v>219</v>
      </c>
      <c r="B103" s="1" t="s">
        <v>219</v>
      </c>
      <c r="C103" s="1">
        <v>2.0</v>
      </c>
      <c r="D103" s="1" t="s">
        <v>17</v>
      </c>
      <c r="E103" s="1" t="s">
        <v>18</v>
      </c>
      <c r="F103" s="1" t="s">
        <v>19</v>
      </c>
      <c r="G103" s="1">
        <v>1.0</v>
      </c>
      <c r="H103" s="2">
        <v>0.12222222222222222</v>
      </c>
    </row>
    <row r="104">
      <c r="A104" s="1" t="s">
        <v>219</v>
      </c>
      <c r="B104" s="1" t="s">
        <v>219</v>
      </c>
      <c r="C104" s="1">
        <v>3.0</v>
      </c>
      <c r="D104" s="1" t="s">
        <v>11</v>
      </c>
      <c r="E104" s="1" t="s">
        <v>12</v>
      </c>
      <c r="F104" s="1" t="s">
        <v>13</v>
      </c>
      <c r="G104" s="1">
        <v>0.0</v>
      </c>
      <c r="H104" s="2">
        <v>0.1388888888888889</v>
      </c>
    </row>
    <row r="105">
      <c r="A105" s="1" t="s">
        <v>219</v>
      </c>
      <c r="B105" s="1" t="s">
        <v>219</v>
      </c>
      <c r="C105" s="1">
        <v>4.0</v>
      </c>
      <c r="D105" s="1" t="s">
        <v>9</v>
      </c>
      <c r="E105" s="1" t="s">
        <v>10</v>
      </c>
      <c r="F105" s="1" t="s">
        <v>9</v>
      </c>
      <c r="G105" s="1">
        <v>0.0</v>
      </c>
      <c r="H105" s="2">
        <v>0.12638888888888888</v>
      </c>
    </row>
    <row r="106">
      <c r="A106" s="1" t="s">
        <v>219</v>
      </c>
      <c r="B106" s="1" t="s">
        <v>219</v>
      </c>
      <c r="C106" s="1">
        <v>5.0</v>
      </c>
      <c r="D106" s="1" t="s">
        <v>20</v>
      </c>
      <c r="E106" s="1" t="s">
        <v>21</v>
      </c>
      <c r="F106" s="1" t="s">
        <v>22</v>
      </c>
      <c r="G106" s="1">
        <v>1.0</v>
      </c>
      <c r="H106" s="2">
        <v>0.17152777777777778</v>
      </c>
    </row>
    <row r="107">
      <c r="A107" s="1" t="s">
        <v>219</v>
      </c>
      <c r="B107" s="1" t="s">
        <v>219</v>
      </c>
      <c r="C107" s="1">
        <v>6.0</v>
      </c>
      <c r="D107" s="1" t="s">
        <v>30</v>
      </c>
      <c r="E107" s="1" t="s">
        <v>31</v>
      </c>
      <c r="F107" s="1" t="s">
        <v>32</v>
      </c>
      <c r="G107" s="1">
        <v>0.0</v>
      </c>
      <c r="H107" s="2">
        <v>0.15833333333333333</v>
      </c>
    </row>
    <row r="108">
      <c r="A108" s="1" t="s">
        <v>219</v>
      </c>
      <c r="B108" s="1" t="s">
        <v>219</v>
      </c>
      <c r="C108" s="1">
        <v>7.0</v>
      </c>
      <c r="D108" s="1" t="s">
        <v>23</v>
      </c>
      <c r="E108" s="1" t="s">
        <v>24</v>
      </c>
      <c r="F108" s="1" t="s">
        <v>23</v>
      </c>
      <c r="G108" s="1">
        <v>0.0</v>
      </c>
      <c r="H108" s="2">
        <v>0.12013888888888889</v>
      </c>
    </row>
    <row r="109">
      <c r="A109" s="1" t="s">
        <v>219</v>
      </c>
      <c r="B109" s="1" t="s">
        <v>219</v>
      </c>
      <c r="C109" s="1">
        <v>8.0</v>
      </c>
      <c r="D109" s="1" t="s">
        <v>47</v>
      </c>
      <c r="E109" s="1" t="s">
        <v>48</v>
      </c>
      <c r="F109" s="1" t="s">
        <v>49</v>
      </c>
      <c r="G109" s="1">
        <v>1.0</v>
      </c>
      <c r="H109" s="2">
        <v>0.15486111111111112</v>
      </c>
    </row>
    <row r="110">
      <c r="A110" s="1" t="s">
        <v>219</v>
      </c>
      <c r="B110" s="1" t="s">
        <v>219</v>
      </c>
      <c r="C110" s="1">
        <v>9.0</v>
      </c>
      <c r="D110" s="1" t="s">
        <v>46</v>
      </c>
      <c r="E110" s="1" t="s">
        <v>28</v>
      </c>
      <c r="F110" s="1" t="s">
        <v>29</v>
      </c>
      <c r="G110" s="1">
        <v>0.0</v>
      </c>
      <c r="H110" s="2">
        <v>0.15347222222222223</v>
      </c>
    </row>
    <row r="111">
      <c r="A111" s="1" t="s">
        <v>219</v>
      </c>
      <c r="B111" s="1" t="s">
        <v>219</v>
      </c>
      <c r="C111" s="1">
        <v>10.0</v>
      </c>
      <c r="D111" s="1" t="s">
        <v>27</v>
      </c>
      <c r="E111" s="1" t="s">
        <v>28</v>
      </c>
      <c r="F111" s="1" t="s">
        <v>29</v>
      </c>
      <c r="G111" s="1">
        <v>0.0</v>
      </c>
      <c r="H111" s="2">
        <v>0.12708333333333333</v>
      </c>
    </row>
    <row r="112">
      <c r="A112" s="1" t="s">
        <v>219</v>
      </c>
      <c r="B112" s="1" t="s">
        <v>219</v>
      </c>
      <c r="C112" s="1">
        <v>11.0</v>
      </c>
      <c r="D112" s="1" t="s">
        <v>25</v>
      </c>
      <c r="E112" s="1" t="s">
        <v>26</v>
      </c>
      <c r="F112" s="1" t="s">
        <v>25</v>
      </c>
      <c r="G112" s="1">
        <v>1.0</v>
      </c>
      <c r="H112" s="2">
        <v>0.11458333333333333</v>
      </c>
    </row>
    <row r="113">
      <c r="A113" s="1" t="s">
        <v>219</v>
      </c>
      <c r="B113" s="1" t="s">
        <v>219</v>
      </c>
      <c r="C113" s="1">
        <v>12.0</v>
      </c>
      <c r="D113" s="1" t="s">
        <v>50</v>
      </c>
      <c r="E113" s="1" t="s">
        <v>51</v>
      </c>
      <c r="F113" s="1" t="s">
        <v>52</v>
      </c>
      <c r="G113" s="1">
        <v>0.0</v>
      </c>
      <c r="H113" s="2">
        <v>0.14722222222222223</v>
      </c>
    </row>
    <row r="114">
      <c r="A114" s="1" t="s">
        <v>219</v>
      </c>
      <c r="B114" s="1" t="s">
        <v>219</v>
      </c>
      <c r="C114" s="1">
        <v>13.0</v>
      </c>
      <c r="D114" s="1" t="s">
        <v>44</v>
      </c>
      <c r="E114" s="1" t="s">
        <v>45</v>
      </c>
      <c r="F114" s="1" t="s">
        <v>44</v>
      </c>
      <c r="G114" s="1">
        <v>0.0</v>
      </c>
      <c r="H114" s="2">
        <v>0.12222222222222222</v>
      </c>
    </row>
    <row r="115">
      <c r="A115" s="1" t="s">
        <v>219</v>
      </c>
      <c r="B115" s="1" t="s">
        <v>219</v>
      </c>
      <c r="C115" s="1">
        <v>14.0</v>
      </c>
      <c r="D115" s="1" t="s">
        <v>54</v>
      </c>
      <c r="E115" s="1" t="s">
        <v>55</v>
      </c>
      <c r="F115" s="1" t="s">
        <v>56</v>
      </c>
      <c r="G115" s="1">
        <v>0.0</v>
      </c>
      <c r="H115" s="2">
        <v>0.10972222222222222</v>
      </c>
    </row>
    <row r="116">
      <c r="A116" s="1" t="s">
        <v>219</v>
      </c>
      <c r="B116" s="1" t="s">
        <v>219</v>
      </c>
      <c r="C116" s="1">
        <v>15.0</v>
      </c>
      <c r="D116" s="1" t="s">
        <v>80</v>
      </c>
      <c r="E116" s="1" t="s">
        <v>81</v>
      </c>
      <c r="F116" s="1" t="s">
        <v>82</v>
      </c>
      <c r="G116" s="1">
        <v>0.0</v>
      </c>
      <c r="H116" s="2">
        <v>0.12083333333333333</v>
      </c>
    </row>
    <row r="117">
      <c r="A117" s="1" t="s">
        <v>219</v>
      </c>
      <c r="B117" s="1" t="s">
        <v>219</v>
      </c>
      <c r="C117" s="1">
        <v>16.0</v>
      </c>
      <c r="D117" s="1" t="s">
        <v>38</v>
      </c>
      <c r="E117" s="1" t="s">
        <v>39</v>
      </c>
      <c r="F117" s="1" t="s">
        <v>40</v>
      </c>
      <c r="G117" s="1">
        <v>1.0</v>
      </c>
      <c r="H117" s="2">
        <v>0.1125</v>
      </c>
    </row>
    <row r="118">
      <c r="A118" s="1" t="s">
        <v>219</v>
      </c>
      <c r="B118" s="1" t="s">
        <v>219</v>
      </c>
      <c r="C118" s="1">
        <v>17.0</v>
      </c>
      <c r="D118" s="1" t="s">
        <v>53</v>
      </c>
      <c r="E118" s="1" t="s">
        <v>12</v>
      </c>
      <c r="F118" s="1" t="s">
        <v>13</v>
      </c>
      <c r="G118" s="1">
        <v>1.0</v>
      </c>
      <c r="H118" s="2">
        <v>0.16458333333333333</v>
      </c>
    </row>
    <row r="119">
      <c r="A119" s="1" t="s">
        <v>219</v>
      </c>
      <c r="B119" s="1" t="s">
        <v>219</v>
      </c>
      <c r="C119" s="1">
        <v>18.0</v>
      </c>
      <c r="D119" s="1" t="s">
        <v>99</v>
      </c>
      <c r="E119" s="1" t="s">
        <v>100</v>
      </c>
      <c r="F119" s="1" t="s">
        <v>99</v>
      </c>
      <c r="G119" s="1">
        <v>0.0</v>
      </c>
      <c r="H119" s="2">
        <v>0.11944444444444445</v>
      </c>
    </row>
    <row r="120">
      <c r="A120" s="1" t="s">
        <v>219</v>
      </c>
      <c r="B120" s="1" t="s">
        <v>219</v>
      </c>
      <c r="C120" s="1">
        <v>19.0</v>
      </c>
      <c r="D120" s="1" t="s">
        <v>91</v>
      </c>
      <c r="E120" s="1" t="s">
        <v>58</v>
      </c>
      <c r="F120" s="1" t="s">
        <v>91</v>
      </c>
      <c r="G120" s="1">
        <v>0.0</v>
      </c>
      <c r="H120" s="2">
        <v>0.09305555555555556</v>
      </c>
    </row>
    <row r="121">
      <c r="A121" s="1" t="s">
        <v>219</v>
      </c>
      <c r="B121" s="1" t="s">
        <v>219</v>
      </c>
      <c r="C121" s="1">
        <v>20.0</v>
      </c>
      <c r="D121" s="1" t="s">
        <v>220</v>
      </c>
      <c r="E121" s="1" t="s">
        <v>221</v>
      </c>
      <c r="F121" s="1" t="s">
        <v>220</v>
      </c>
      <c r="G121" s="1">
        <v>0.0</v>
      </c>
      <c r="H121" s="2">
        <v>0.10416666666666667</v>
      </c>
    </row>
    <row r="122">
      <c r="A122" s="1" t="s">
        <v>219</v>
      </c>
      <c r="B122" s="1" t="s">
        <v>219</v>
      </c>
      <c r="C122" s="1">
        <v>21.0</v>
      </c>
      <c r="D122" s="1" t="s">
        <v>63</v>
      </c>
      <c r="E122" s="1" t="s">
        <v>64</v>
      </c>
      <c r="F122" s="1" t="s">
        <v>63</v>
      </c>
      <c r="G122" s="1">
        <v>1.0</v>
      </c>
      <c r="H122" s="2">
        <v>0.16805555555555557</v>
      </c>
    </row>
    <row r="123">
      <c r="A123" s="1" t="s">
        <v>219</v>
      </c>
      <c r="B123" s="1" t="s">
        <v>219</v>
      </c>
      <c r="C123" s="1">
        <v>22.0</v>
      </c>
      <c r="D123" s="1" t="s">
        <v>105</v>
      </c>
      <c r="E123" s="1" t="s">
        <v>106</v>
      </c>
      <c r="F123" s="1" t="s">
        <v>105</v>
      </c>
      <c r="G123" s="1">
        <v>0.0</v>
      </c>
      <c r="H123" s="2">
        <v>0.11527777777777778</v>
      </c>
    </row>
    <row r="124">
      <c r="A124" s="1" t="s">
        <v>219</v>
      </c>
      <c r="B124" s="1" t="s">
        <v>219</v>
      </c>
      <c r="C124" s="1">
        <v>23.0</v>
      </c>
      <c r="D124" s="1" t="s">
        <v>36</v>
      </c>
      <c r="E124" s="1" t="s">
        <v>37</v>
      </c>
      <c r="F124" s="1" t="s">
        <v>36</v>
      </c>
      <c r="G124" s="1">
        <v>1.0</v>
      </c>
      <c r="H124" s="2">
        <v>0.09166666666666666</v>
      </c>
    </row>
    <row r="125">
      <c r="A125" s="1" t="s">
        <v>219</v>
      </c>
      <c r="B125" s="1" t="s">
        <v>219</v>
      </c>
      <c r="C125" s="1">
        <v>24.0</v>
      </c>
      <c r="D125" s="1" t="s">
        <v>88</v>
      </c>
      <c r="E125" s="1" t="s">
        <v>89</v>
      </c>
      <c r="F125" s="1" t="s">
        <v>90</v>
      </c>
      <c r="G125" s="1">
        <v>1.0</v>
      </c>
      <c r="H125" s="2">
        <v>0.09652777777777778</v>
      </c>
    </row>
    <row r="126">
      <c r="A126" s="1" t="s">
        <v>219</v>
      </c>
      <c r="B126" s="1" t="s">
        <v>219</v>
      </c>
      <c r="C126" s="1">
        <v>25.0</v>
      </c>
      <c r="D126" s="1" t="s">
        <v>41</v>
      </c>
      <c r="E126" s="1" t="s">
        <v>42</v>
      </c>
      <c r="F126" s="1" t="s">
        <v>43</v>
      </c>
      <c r="G126" s="1">
        <v>1.0</v>
      </c>
      <c r="H126" s="2">
        <v>0.1361111111111111</v>
      </c>
    </row>
    <row r="127">
      <c r="A127" s="1" t="s">
        <v>219</v>
      </c>
      <c r="B127" s="1" t="s">
        <v>219</v>
      </c>
      <c r="C127" s="1">
        <v>26.0</v>
      </c>
      <c r="D127" s="1" t="s">
        <v>222</v>
      </c>
      <c r="E127" s="1" t="s">
        <v>223</v>
      </c>
      <c r="F127" s="1" t="s">
        <v>222</v>
      </c>
      <c r="G127" s="1">
        <v>0.0</v>
      </c>
      <c r="H127" s="2">
        <v>0.13472222222222222</v>
      </c>
    </row>
    <row r="128">
      <c r="A128" s="1" t="s">
        <v>219</v>
      </c>
      <c r="B128" s="1" t="s">
        <v>219</v>
      </c>
      <c r="C128" s="1">
        <v>27.0</v>
      </c>
      <c r="D128" s="1" t="s">
        <v>115</v>
      </c>
      <c r="E128" s="1" t="s">
        <v>116</v>
      </c>
      <c r="F128" s="1" t="s">
        <v>117</v>
      </c>
      <c r="G128" s="1">
        <v>1.0</v>
      </c>
      <c r="H128" s="2">
        <v>0.11597222222222223</v>
      </c>
    </row>
    <row r="129">
      <c r="A129" s="1" t="s">
        <v>219</v>
      </c>
      <c r="B129" s="1" t="s">
        <v>219</v>
      </c>
      <c r="C129" s="1">
        <v>28.0</v>
      </c>
      <c r="D129" s="1" t="s">
        <v>76</v>
      </c>
      <c r="E129" s="1" t="s">
        <v>77</v>
      </c>
      <c r="F129" s="1" t="s">
        <v>76</v>
      </c>
      <c r="G129" s="1">
        <v>1.0</v>
      </c>
      <c r="H129" s="2">
        <v>0.14305555555555555</v>
      </c>
    </row>
    <row r="130">
      <c r="A130" s="1" t="s">
        <v>219</v>
      </c>
      <c r="B130" s="1" t="s">
        <v>219</v>
      </c>
      <c r="C130" s="1">
        <v>29.0</v>
      </c>
      <c r="D130" s="1" t="s">
        <v>33</v>
      </c>
      <c r="E130" s="1" t="s">
        <v>34</v>
      </c>
      <c r="F130" s="1" t="s">
        <v>35</v>
      </c>
      <c r="G130" s="1">
        <v>0.0</v>
      </c>
      <c r="H130" s="2">
        <v>0.1451388888888889</v>
      </c>
    </row>
    <row r="131">
      <c r="A131" s="1" t="s">
        <v>219</v>
      </c>
      <c r="B131" s="1" t="s">
        <v>219</v>
      </c>
      <c r="C131" s="1">
        <v>30.0</v>
      </c>
      <c r="D131" s="1" t="s">
        <v>73</v>
      </c>
      <c r="E131" s="1" t="s">
        <v>74</v>
      </c>
      <c r="F131" s="1" t="s">
        <v>75</v>
      </c>
      <c r="G131" s="1">
        <v>0.0</v>
      </c>
      <c r="H131" s="2">
        <v>0.14930555555555555</v>
      </c>
    </row>
    <row r="132">
      <c r="A132" s="1" t="s">
        <v>219</v>
      </c>
      <c r="B132" s="1" t="s">
        <v>219</v>
      </c>
      <c r="C132" s="1">
        <v>31.0</v>
      </c>
      <c r="D132" s="1" t="s">
        <v>78</v>
      </c>
      <c r="E132" s="1" t="s">
        <v>79</v>
      </c>
      <c r="F132" s="1" t="s">
        <v>78</v>
      </c>
      <c r="G132" s="1">
        <v>0.0</v>
      </c>
      <c r="H132" s="2">
        <v>0.10208333333333333</v>
      </c>
    </row>
    <row r="133">
      <c r="A133" s="1" t="s">
        <v>219</v>
      </c>
      <c r="B133" s="1" t="s">
        <v>219</v>
      </c>
      <c r="C133" s="1">
        <v>32.0</v>
      </c>
      <c r="D133" s="1" t="s">
        <v>68</v>
      </c>
      <c r="E133" s="1" t="s">
        <v>69</v>
      </c>
      <c r="F133" s="1" t="s">
        <v>70</v>
      </c>
      <c r="G133" s="1">
        <v>0.0</v>
      </c>
      <c r="H133" s="2">
        <v>0.12638888888888888</v>
      </c>
    </row>
    <row r="134">
      <c r="A134" s="1" t="s">
        <v>219</v>
      </c>
      <c r="B134" s="1" t="s">
        <v>219</v>
      </c>
      <c r="C134" s="1">
        <v>33.0</v>
      </c>
      <c r="D134" s="1" t="s">
        <v>224</v>
      </c>
      <c r="E134" s="1" t="s">
        <v>225</v>
      </c>
      <c r="F134" s="1" t="s">
        <v>226</v>
      </c>
      <c r="G134" s="1">
        <v>0.0</v>
      </c>
      <c r="H134" s="2">
        <v>0.14444444444444443</v>
      </c>
    </row>
    <row r="135">
      <c r="A135" s="1" t="s">
        <v>219</v>
      </c>
      <c r="B135" s="1" t="s">
        <v>219</v>
      </c>
      <c r="C135" s="1">
        <v>34.0</v>
      </c>
      <c r="D135" s="1" t="s">
        <v>227</v>
      </c>
      <c r="E135" s="1" t="s">
        <v>228</v>
      </c>
      <c r="F135" s="1" t="s">
        <v>227</v>
      </c>
      <c r="G135" s="1">
        <v>1.0</v>
      </c>
      <c r="H135" s="2">
        <v>0.11597222222222223</v>
      </c>
    </row>
    <row r="136">
      <c r="A136" s="1" t="s">
        <v>219</v>
      </c>
      <c r="B136" s="1" t="s">
        <v>219</v>
      </c>
      <c r="C136" s="1">
        <v>35.0</v>
      </c>
      <c r="D136" s="1" t="s">
        <v>107</v>
      </c>
      <c r="E136" s="1" t="s">
        <v>81</v>
      </c>
      <c r="F136" s="1" t="s">
        <v>82</v>
      </c>
      <c r="G136" s="1">
        <v>0.0</v>
      </c>
      <c r="H136" s="2">
        <v>0.14375</v>
      </c>
    </row>
    <row r="137">
      <c r="A137" s="1" t="s">
        <v>219</v>
      </c>
      <c r="B137" s="1" t="s">
        <v>219</v>
      </c>
      <c r="C137" s="1">
        <v>36.0</v>
      </c>
      <c r="D137" s="1" t="s">
        <v>111</v>
      </c>
      <c r="E137" s="1" t="s">
        <v>69</v>
      </c>
      <c r="F137" s="1" t="s">
        <v>112</v>
      </c>
      <c r="G137" s="1">
        <v>0.0</v>
      </c>
      <c r="H137" s="2">
        <v>0.14930555555555555</v>
      </c>
    </row>
    <row r="138">
      <c r="A138" s="1" t="s">
        <v>219</v>
      </c>
      <c r="B138" s="1" t="s">
        <v>219</v>
      </c>
      <c r="C138" s="1">
        <v>37.0</v>
      </c>
      <c r="D138" s="1" t="s">
        <v>229</v>
      </c>
      <c r="E138" s="1" t="s">
        <v>230</v>
      </c>
      <c r="F138" s="1" t="s">
        <v>229</v>
      </c>
      <c r="G138" s="1">
        <v>0.0</v>
      </c>
      <c r="H138" s="2">
        <v>0.15</v>
      </c>
    </row>
    <row r="139">
      <c r="A139" s="1" t="s">
        <v>219</v>
      </c>
      <c r="B139" s="1" t="s">
        <v>219</v>
      </c>
      <c r="C139" s="1">
        <v>38.0</v>
      </c>
      <c r="D139" s="1" t="s">
        <v>57</v>
      </c>
      <c r="E139" s="1" t="s">
        <v>58</v>
      </c>
      <c r="F139" s="1" t="s">
        <v>59</v>
      </c>
      <c r="G139" s="1">
        <v>1.0</v>
      </c>
      <c r="H139" s="2">
        <v>0.16458333333333333</v>
      </c>
    </row>
    <row r="140">
      <c r="A140" s="1" t="s">
        <v>219</v>
      </c>
      <c r="B140" s="1" t="s">
        <v>219</v>
      </c>
      <c r="C140" s="1">
        <v>39.0</v>
      </c>
      <c r="D140" s="1" t="s">
        <v>231</v>
      </c>
      <c r="E140" s="1" t="s">
        <v>232</v>
      </c>
      <c r="F140" s="1" t="s">
        <v>231</v>
      </c>
      <c r="G140" s="1">
        <v>0.0</v>
      </c>
      <c r="H140" s="2">
        <v>0.10902777777777778</v>
      </c>
    </row>
    <row r="141">
      <c r="A141" s="1" t="s">
        <v>219</v>
      </c>
      <c r="B141" s="1" t="s">
        <v>219</v>
      </c>
      <c r="C141" s="1">
        <v>40.0</v>
      </c>
      <c r="D141" s="1" t="s">
        <v>233</v>
      </c>
      <c r="E141" s="1" t="s">
        <v>234</v>
      </c>
      <c r="F141" s="1" t="s">
        <v>233</v>
      </c>
      <c r="G141" s="1">
        <v>1.0</v>
      </c>
      <c r="H141" s="2">
        <v>0.16875</v>
      </c>
    </row>
    <row r="142">
      <c r="A142" s="1" t="s">
        <v>219</v>
      </c>
      <c r="B142" s="1" t="s">
        <v>219</v>
      </c>
      <c r="C142" s="1">
        <v>41.0</v>
      </c>
      <c r="D142" s="1" t="s">
        <v>235</v>
      </c>
      <c r="E142" s="1" t="s">
        <v>236</v>
      </c>
      <c r="F142" s="1" t="s">
        <v>237</v>
      </c>
      <c r="G142" s="1">
        <v>1.0</v>
      </c>
      <c r="H142" s="2">
        <v>0.1423611111111111</v>
      </c>
    </row>
    <row r="143">
      <c r="A143" s="1" t="s">
        <v>219</v>
      </c>
      <c r="B143" s="1" t="s">
        <v>219</v>
      </c>
      <c r="C143" s="1">
        <v>42.0</v>
      </c>
      <c r="D143" s="1" t="s">
        <v>92</v>
      </c>
      <c r="E143" s="1" t="s">
        <v>93</v>
      </c>
      <c r="F143" s="1" t="s">
        <v>92</v>
      </c>
      <c r="G143" s="1">
        <v>1.0</v>
      </c>
      <c r="H143" s="2">
        <v>0.11319444444444444</v>
      </c>
    </row>
    <row r="144">
      <c r="A144" s="1" t="s">
        <v>219</v>
      </c>
      <c r="B144" s="1" t="s">
        <v>219</v>
      </c>
      <c r="C144" s="1">
        <v>43.0</v>
      </c>
      <c r="D144" s="1" t="s">
        <v>238</v>
      </c>
      <c r="E144" s="1" t="s">
        <v>239</v>
      </c>
      <c r="F144" s="1" t="s">
        <v>238</v>
      </c>
      <c r="G144" s="1">
        <v>0.0</v>
      </c>
      <c r="H144" s="2">
        <v>0.11666666666666667</v>
      </c>
    </row>
    <row r="145">
      <c r="A145" s="1" t="s">
        <v>219</v>
      </c>
      <c r="B145" s="1" t="s">
        <v>219</v>
      </c>
      <c r="C145" s="1">
        <v>44.0</v>
      </c>
      <c r="D145" s="1" t="s">
        <v>60</v>
      </c>
      <c r="E145" s="1" t="s">
        <v>61</v>
      </c>
      <c r="F145" s="1" t="s">
        <v>62</v>
      </c>
      <c r="G145" s="1">
        <v>0.0</v>
      </c>
      <c r="H145" s="2">
        <v>0.11041666666666666</v>
      </c>
    </row>
    <row r="146">
      <c r="A146" s="1" t="s">
        <v>219</v>
      </c>
      <c r="B146" s="1" t="s">
        <v>219</v>
      </c>
      <c r="C146" s="1">
        <v>45.0</v>
      </c>
      <c r="D146" s="1" t="s">
        <v>240</v>
      </c>
      <c r="E146" s="1" t="s">
        <v>34</v>
      </c>
      <c r="F146" s="1" t="s">
        <v>241</v>
      </c>
      <c r="G146" s="1">
        <v>1.0</v>
      </c>
      <c r="H146" s="2">
        <v>0.15347222222222223</v>
      </c>
    </row>
    <row r="147">
      <c r="A147" s="1" t="s">
        <v>219</v>
      </c>
      <c r="B147" s="1" t="s">
        <v>219</v>
      </c>
      <c r="C147" s="1">
        <v>46.0</v>
      </c>
      <c r="D147" s="1" t="s">
        <v>101</v>
      </c>
      <c r="E147" s="1" t="s">
        <v>102</v>
      </c>
      <c r="F147" s="1" t="s">
        <v>103</v>
      </c>
      <c r="G147" s="1">
        <v>1.0</v>
      </c>
      <c r="H147" s="2">
        <v>0.16458333333333333</v>
      </c>
    </row>
    <row r="148">
      <c r="A148" s="1" t="s">
        <v>219</v>
      </c>
      <c r="B148" s="1" t="s">
        <v>219</v>
      </c>
      <c r="C148" s="1">
        <v>47.0</v>
      </c>
      <c r="D148" s="1" t="s">
        <v>113</v>
      </c>
      <c r="E148" s="1" t="s">
        <v>114</v>
      </c>
      <c r="F148" s="1" t="s">
        <v>113</v>
      </c>
      <c r="G148" s="1">
        <v>0.0</v>
      </c>
      <c r="H148" s="2">
        <v>0.13125</v>
      </c>
    </row>
    <row r="149">
      <c r="A149" s="1" t="s">
        <v>219</v>
      </c>
      <c r="B149" s="1" t="s">
        <v>219</v>
      </c>
      <c r="C149" s="1">
        <v>48.0</v>
      </c>
      <c r="D149" s="1" t="s">
        <v>242</v>
      </c>
      <c r="E149" s="1" t="s">
        <v>243</v>
      </c>
      <c r="F149" s="1" t="s">
        <v>242</v>
      </c>
      <c r="G149" s="1">
        <v>0.0</v>
      </c>
      <c r="H149" s="2">
        <v>0.12569444444444444</v>
      </c>
    </row>
    <row r="150">
      <c r="A150" s="1" t="s">
        <v>219</v>
      </c>
      <c r="B150" s="1" t="s">
        <v>219</v>
      </c>
      <c r="C150" s="1">
        <v>49.0</v>
      </c>
      <c r="D150" s="1" t="s">
        <v>244</v>
      </c>
      <c r="E150" s="1" t="s">
        <v>245</v>
      </c>
      <c r="F150" s="1" t="s">
        <v>244</v>
      </c>
      <c r="G150" s="1">
        <v>0.0</v>
      </c>
      <c r="H150" s="2">
        <v>0.13819444444444445</v>
      </c>
    </row>
    <row r="151">
      <c r="A151" s="1" t="s">
        <v>219</v>
      </c>
      <c r="B151" s="1" t="s">
        <v>219</v>
      </c>
      <c r="C151" s="1">
        <v>50.0</v>
      </c>
      <c r="D151" s="1" t="s">
        <v>246</v>
      </c>
      <c r="E151" s="1" t="s">
        <v>247</v>
      </c>
      <c r="F151" s="1" t="s">
        <v>248</v>
      </c>
      <c r="G151" s="1">
        <v>1.0</v>
      </c>
      <c r="H151" s="2">
        <v>0.12222222222222222</v>
      </c>
    </row>
    <row r="152">
      <c r="A152" s="1" t="s">
        <v>249</v>
      </c>
      <c r="B152" s="1" t="s">
        <v>250</v>
      </c>
      <c r="C152" s="1">
        <v>1.0</v>
      </c>
      <c r="D152" s="1" t="s">
        <v>251</v>
      </c>
      <c r="E152" s="1" t="s">
        <v>252</v>
      </c>
      <c r="F152" s="1" t="s">
        <v>251</v>
      </c>
      <c r="G152" s="1">
        <v>0.0</v>
      </c>
      <c r="H152" s="2">
        <v>0.10347222222222222</v>
      </c>
    </row>
    <row r="153">
      <c r="A153" s="1" t="s">
        <v>249</v>
      </c>
      <c r="B153" s="1" t="s">
        <v>250</v>
      </c>
      <c r="C153" s="1">
        <v>2.0</v>
      </c>
      <c r="D153" s="1" t="s">
        <v>253</v>
      </c>
      <c r="E153" s="1" t="s">
        <v>254</v>
      </c>
      <c r="F153" s="1" t="s">
        <v>253</v>
      </c>
      <c r="G153" s="1">
        <v>0.0</v>
      </c>
      <c r="H153" s="2">
        <v>0.1111111111111111</v>
      </c>
    </row>
    <row r="154">
      <c r="A154" s="1" t="s">
        <v>249</v>
      </c>
      <c r="B154" s="1" t="s">
        <v>250</v>
      </c>
      <c r="C154" s="1">
        <v>3.0</v>
      </c>
      <c r="D154" s="1" t="s">
        <v>14</v>
      </c>
      <c r="E154" s="1" t="s">
        <v>15</v>
      </c>
      <c r="F154" s="1" t="s">
        <v>16</v>
      </c>
      <c r="G154" s="1">
        <v>1.0</v>
      </c>
      <c r="H154" s="2">
        <v>0.12569444444444444</v>
      </c>
    </row>
    <row r="155">
      <c r="A155" s="1" t="s">
        <v>249</v>
      </c>
      <c r="B155" s="1" t="s">
        <v>250</v>
      </c>
      <c r="C155" s="1">
        <v>4.0</v>
      </c>
      <c r="D155" s="1" t="s">
        <v>17</v>
      </c>
      <c r="E155" s="1" t="s">
        <v>18</v>
      </c>
      <c r="F155" s="1" t="s">
        <v>19</v>
      </c>
      <c r="G155" s="1">
        <v>1.0</v>
      </c>
      <c r="H155" s="2">
        <v>0.12222222222222222</v>
      </c>
    </row>
    <row r="156">
      <c r="A156" s="1" t="s">
        <v>249</v>
      </c>
      <c r="B156" s="1" t="s">
        <v>250</v>
      </c>
      <c r="C156" s="1">
        <v>5.0</v>
      </c>
      <c r="D156" s="1" t="s">
        <v>36</v>
      </c>
      <c r="E156" s="1" t="s">
        <v>37</v>
      </c>
      <c r="F156" s="1" t="s">
        <v>36</v>
      </c>
      <c r="G156" s="1">
        <v>1.0</v>
      </c>
      <c r="H156" s="2">
        <v>0.09166666666666666</v>
      </c>
    </row>
    <row r="157">
      <c r="A157" s="1" t="s">
        <v>249</v>
      </c>
      <c r="B157" s="1" t="s">
        <v>250</v>
      </c>
      <c r="C157" s="1">
        <v>6.0</v>
      </c>
      <c r="D157" s="1" t="s">
        <v>255</v>
      </c>
      <c r="E157" s="1" t="s">
        <v>256</v>
      </c>
      <c r="F157" s="1" t="s">
        <v>255</v>
      </c>
      <c r="G157" s="1">
        <v>0.0</v>
      </c>
      <c r="H157" s="2">
        <v>0.12013888888888889</v>
      </c>
    </row>
    <row r="158">
      <c r="A158" s="1" t="s">
        <v>249</v>
      </c>
      <c r="B158" s="1" t="s">
        <v>250</v>
      </c>
      <c r="C158" s="1">
        <v>7.0</v>
      </c>
      <c r="D158" s="1" t="s">
        <v>11</v>
      </c>
      <c r="E158" s="1" t="s">
        <v>12</v>
      </c>
      <c r="F158" s="1" t="s">
        <v>13</v>
      </c>
      <c r="G158" s="1">
        <v>0.0</v>
      </c>
      <c r="H158" s="2">
        <v>0.1388888888888889</v>
      </c>
    </row>
    <row r="159">
      <c r="A159" s="1" t="s">
        <v>249</v>
      </c>
      <c r="B159" s="1" t="s">
        <v>250</v>
      </c>
      <c r="C159" s="1">
        <v>8.0</v>
      </c>
      <c r="D159" s="1" t="s">
        <v>257</v>
      </c>
      <c r="E159" s="1" t="s">
        <v>258</v>
      </c>
      <c r="F159" s="1" t="s">
        <v>257</v>
      </c>
      <c r="G159" s="1">
        <v>0.0</v>
      </c>
      <c r="H159" s="2">
        <v>0.12222222222222222</v>
      </c>
    </row>
    <row r="160">
      <c r="A160" s="1" t="s">
        <v>249</v>
      </c>
      <c r="B160" s="1" t="s">
        <v>250</v>
      </c>
      <c r="C160" s="1">
        <v>9.0</v>
      </c>
      <c r="D160" s="1" t="s">
        <v>44</v>
      </c>
      <c r="E160" s="1" t="s">
        <v>45</v>
      </c>
      <c r="F160" s="1" t="s">
        <v>44</v>
      </c>
      <c r="G160" s="1">
        <v>0.0</v>
      </c>
      <c r="H160" s="2">
        <v>0.12222222222222222</v>
      </c>
    </row>
    <row r="161">
      <c r="A161" s="1" t="s">
        <v>249</v>
      </c>
      <c r="B161" s="1" t="s">
        <v>250</v>
      </c>
      <c r="C161" s="1">
        <v>10.0</v>
      </c>
      <c r="D161" s="1" t="s">
        <v>20</v>
      </c>
      <c r="E161" s="1" t="s">
        <v>21</v>
      </c>
      <c r="F161" s="1" t="s">
        <v>22</v>
      </c>
      <c r="G161" s="1">
        <v>1.0</v>
      </c>
      <c r="H161" s="2">
        <v>0.17152777777777778</v>
      </c>
    </row>
    <row r="162">
      <c r="A162" s="1" t="s">
        <v>249</v>
      </c>
      <c r="B162" s="1" t="s">
        <v>250</v>
      </c>
      <c r="C162" s="1">
        <v>11.0</v>
      </c>
      <c r="D162" s="1" t="s">
        <v>105</v>
      </c>
      <c r="E162" s="1" t="s">
        <v>106</v>
      </c>
      <c r="F162" s="1" t="s">
        <v>105</v>
      </c>
      <c r="G162" s="1">
        <v>0.0</v>
      </c>
      <c r="H162" s="2">
        <v>0.11527777777777778</v>
      </c>
    </row>
    <row r="163">
      <c r="A163" s="1" t="s">
        <v>249</v>
      </c>
      <c r="B163" s="1" t="s">
        <v>250</v>
      </c>
      <c r="C163" s="1">
        <v>12.0</v>
      </c>
      <c r="D163" s="1" t="s">
        <v>259</v>
      </c>
      <c r="E163" s="1" t="s">
        <v>256</v>
      </c>
      <c r="F163" s="1" t="s">
        <v>260</v>
      </c>
      <c r="G163" s="1">
        <v>1.0</v>
      </c>
      <c r="H163" s="2">
        <v>0.10902777777777778</v>
      </c>
    </row>
    <row r="164">
      <c r="A164" s="1" t="s">
        <v>249</v>
      </c>
      <c r="B164" s="1" t="s">
        <v>250</v>
      </c>
      <c r="C164" s="1">
        <v>13.0</v>
      </c>
      <c r="D164" s="1" t="s">
        <v>261</v>
      </c>
      <c r="E164" s="1" t="s">
        <v>262</v>
      </c>
      <c r="F164" s="1" t="s">
        <v>261</v>
      </c>
      <c r="G164" s="1">
        <v>1.0</v>
      </c>
      <c r="H164" s="2">
        <v>0.11041666666666666</v>
      </c>
    </row>
    <row r="165">
      <c r="A165" s="1" t="s">
        <v>249</v>
      </c>
      <c r="B165" s="1" t="s">
        <v>250</v>
      </c>
      <c r="C165" s="1">
        <v>14.0</v>
      </c>
      <c r="D165" s="1" t="s">
        <v>263</v>
      </c>
      <c r="E165" s="1" t="s">
        <v>264</v>
      </c>
      <c r="F165" s="1" t="s">
        <v>263</v>
      </c>
      <c r="G165" s="1">
        <v>0.0</v>
      </c>
      <c r="H165" s="2">
        <v>0.12361111111111112</v>
      </c>
    </row>
    <row r="166">
      <c r="A166" s="1" t="s">
        <v>249</v>
      </c>
      <c r="B166" s="1" t="s">
        <v>250</v>
      </c>
      <c r="C166" s="1">
        <v>15.0</v>
      </c>
      <c r="D166" s="1" t="s">
        <v>265</v>
      </c>
      <c r="E166" s="1" t="s">
        <v>266</v>
      </c>
      <c r="F166" s="1" t="s">
        <v>265</v>
      </c>
      <c r="G166" s="1">
        <v>0.0</v>
      </c>
      <c r="H166" s="2">
        <v>0.125</v>
      </c>
    </row>
    <row r="167">
      <c r="A167" s="1" t="s">
        <v>249</v>
      </c>
      <c r="B167" s="1" t="s">
        <v>250</v>
      </c>
      <c r="C167" s="1">
        <v>16.0</v>
      </c>
      <c r="D167" s="1" t="s">
        <v>9</v>
      </c>
      <c r="E167" s="1" t="s">
        <v>10</v>
      </c>
      <c r="F167" s="1" t="s">
        <v>9</v>
      </c>
      <c r="G167" s="1">
        <v>0.0</v>
      </c>
      <c r="H167" s="2">
        <v>0.12638888888888888</v>
      </c>
    </row>
    <row r="168">
      <c r="A168" s="1" t="s">
        <v>249</v>
      </c>
      <c r="B168" s="1" t="s">
        <v>250</v>
      </c>
      <c r="C168" s="1">
        <v>17.0</v>
      </c>
      <c r="D168" s="1" t="s">
        <v>267</v>
      </c>
      <c r="E168" s="1" t="s">
        <v>268</v>
      </c>
      <c r="F168" s="1" t="s">
        <v>269</v>
      </c>
      <c r="G168" s="1">
        <v>0.0</v>
      </c>
      <c r="H168" s="2">
        <v>0.10138888888888889</v>
      </c>
    </row>
    <row r="169">
      <c r="A169" s="1" t="s">
        <v>249</v>
      </c>
      <c r="B169" s="1" t="s">
        <v>250</v>
      </c>
      <c r="C169" s="1">
        <v>18.0</v>
      </c>
      <c r="D169" s="1" t="s">
        <v>25</v>
      </c>
      <c r="E169" s="1" t="s">
        <v>26</v>
      </c>
      <c r="F169" s="1" t="s">
        <v>25</v>
      </c>
      <c r="G169" s="1">
        <v>1.0</v>
      </c>
      <c r="H169" s="2">
        <v>0.11458333333333333</v>
      </c>
    </row>
    <row r="170">
      <c r="A170" s="1" t="s">
        <v>249</v>
      </c>
      <c r="B170" s="1" t="s">
        <v>250</v>
      </c>
      <c r="C170" s="1">
        <v>19.0</v>
      </c>
      <c r="D170" s="1" t="s">
        <v>47</v>
      </c>
      <c r="E170" s="1" t="s">
        <v>48</v>
      </c>
      <c r="F170" s="1" t="s">
        <v>49</v>
      </c>
      <c r="G170" s="1">
        <v>1.0</v>
      </c>
      <c r="H170" s="2">
        <v>0.15486111111111112</v>
      </c>
    </row>
    <row r="171">
      <c r="A171" s="1" t="s">
        <v>249</v>
      </c>
      <c r="B171" s="1" t="s">
        <v>250</v>
      </c>
      <c r="C171" s="1">
        <v>20.0</v>
      </c>
      <c r="D171" s="1" t="s">
        <v>33</v>
      </c>
      <c r="E171" s="1" t="s">
        <v>34</v>
      </c>
      <c r="F171" s="1" t="s">
        <v>35</v>
      </c>
      <c r="G171" s="1">
        <v>0.0</v>
      </c>
      <c r="H171" s="2">
        <v>0.1451388888888889</v>
      </c>
    </row>
    <row r="172">
      <c r="A172" s="1" t="s">
        <v>249</v>
      </c>
      <c r="B172" s="1" t="s">
        <v>250</v>
      </c>
      <c r="C172" s="1">
        <v>21.0</v>
      </c>
      <c r="D172" s="1" t="s">
        <v>270</v>
      </c>
      <c r="E172" s="1" t="s">
        <v>271</v>
      </c>
      <c r="F172" s="1" t="s">
        <v>270</v>
      </c>
      <c r="G172" s="1">
        <v>0.0</v>
      </c>
      <c r="H172" s="2">
        <v>0.14444444444444443</v>
      </c>
    </row>
    <row r="173">
      <c r="A173" s="1" t="s">
        <v>249</v>
      </c>
      <c r="B173" s="1" t="s">
        <v>250</v>
      </c>
      <c r="C173" s="1">
        <v>22.0</v>
      </c>
      <c r="D173" s="1" t="s">
        <v>23</v>
      </c>
      <c r="E173" s="1" t="s">
        <v>24</v>
      </c>
      <c r="F173" s="1" t="s">
        <v>23</v>
      </c>
      <c r="G173" s="1">
        <v>0.0</v>
      </c>
      <c r="H173" s="2">
        <v>0.12013888888888889</v>
      </c>
    </row>
    <row r="174">
      <c r="A174" s="1" t="s">
        <v>249</v>
      </c>
      <c r="B174" s="1" t="s">
        <v>250</v>
      </c>
      <c r="C174" s="1">
        <v>23.0</v>
      </c>
      <c r="D174" s="1" t="s">
        <v>272</v>
      </c>
      <c r="E174" s="1" t="s">
        <v>273</v>
      </c>
      <c r="F174" s="1" t="s">
        <v>272</v>
      </c>
      <c r="G174" s="1">
        <v>0.0</v>
      </c>
      <c r="H174" s="2">
        <v>0.125</v>
      </c>
    </row>
    <row r="175">
      <c r="A175" s="1" t="s">
        <v>249</v>
      </c>
      <c r="B175" s="1" t="s">
        <v>250</v>
      </c>
      <c r="C175" s="1">
        <v>24.0</v>
      </c>
      <c r="D175" s="1" t="s">
        <v>274</v>
      </c>
      <c r="E175" s="1" t="s">
        <v>266</v>
      </c>
      <c r="F175" s="1" t="s">
        <v>274</v>
      </c>
      <c r="G175" s="1">
        <v>0.0</v>
      </c>
      <c r="H175" s="2">
        <v>0.1125</v>
      </c>
    </row>
    <row r="176">
      <c r="A176" s="1" t="s">
        <v>249</v>
      </c>
      <c r="B176" s="1" t="s">
        <v>250</v>
      </c>
      <c r="C176" s="1">
        <v>25.0</v>
      </c>
      <c r="D176" s="1" t="s">
        <v>275</v>
      </c>
      <c r="E176" s="1" t="s">
        <v>276</v>
      </c>
      <c r="F176" s="1" t="s">
        <v>275</v>
      </c>
      <c r="G176" s="1">
        <v>0.0</v>
      </c>
      <c r="H176" s="2">
        <v>0.13402777777777777</v>
      </c>
    </row>
    <row r="177">
      <c r="A177" s="1" t="s">
        <v>249</v>
      </c>
      <c r="B177" s="1" t="s">
        <v>250</v>
      </c>
      <c r="C177" s="1">
        <v>26.0</v>
      </c>
      <c r="D177" s="1" t="s">
        <v>277</v>
      </c>
      <c r="E177" s="1" t="s">
        <v>278</v>
      </c>
      <c r="F177" s="1" t="s">
        <v>277</v>
      </c>
      <c r="G177" s="1">
        <v>1.0</v>
      </c>
      <c r="H177" s="2">
        <v>0.09791666666666667</v>
      </c>
    </row>
    <row r="178">
      <c r="A178" s="1" t="s">
        <v>249</v>
      </c>
      <c r="B178" s="1" t="s">
        <v>250</v>
      </c>
      <c r="C178" s="1">
        <v>27.0</v>
      </c>
      <c r="D178" s="1" t="s">
        <v>279</v>
      </c>
      <c r="E178" s="1" t="s">
        <v>280</v>
      </c>
      <c r="F178" s="1" t="s">
        <v>279</v>
      </c>
      <c r="G178" s="1">
        <v>0.0</v>
      </c>
      <c r="H178" s="2">
        <v>0.11458333333333333</v>
      </c>
    </row>
    <row r="179">
      <c r="A179" s="1" t="s">
        <v>249</v>
      </c>
      <c r="B179" s="1" t="s">
        <v>250</v>
      </c>
      <c r="C179" s="1">
        <v>28.0</v>
      </c>
      <c r="D179" s="1" t="s">
        <v>27</v>
      </c>
      <c r="E179" s="1" t="s">
        <v>28</v>
      </c>
      <c r="F179" s="1" t="s">
        <v>29</v>
      </c>
      <c r="G179" s="1">
        <v>0.0</v>
      </c>
      <c r="H179" s="2">
        <v>0.12708333333333333</v>
      </c>
    </row>
    <row r="180">
      <c r="A180" s="1" t="s">
        <v>249</v>
      </c>
      <c r="B180" s="1" t="s">
        <v>250</v>
      </c>
      <c r="C180" s="1">
        <v>29.0</v>
      </c>
      <c r="D180" s="1" t="s">
        <v>281</v>
      </c>
      <c r="E180" s="1" t="s">
        <v>282</v>
      </c>
      <c r="F180" s="1" t="s">
        <v>283</v>
      </c>
      <c r="G180" s="1">
        <v>0.0</v>
      </c>
      <c r="H180" s="2">
        <v>0.11319444444444444</v>
      </c>
    </row>
    <row r="181">
      <c r="A181" s="1" t="s">
        <v>249</v>
      </c>
      <c r="B181" s="1" t="s">
        <v>250</v>
      </c>
      <c r="C181" s="1">
        <v>30.0</v>
      </c>
      <c r="D181" s="1" t="s">
        <v>284</v>
      </c>
      <c r="E181" s="1" t="s">
        <v>252</v>
      </c>
      <c r="F181" s="1" t="s">
        <v>284</v>
      </c>
      <c r="G181" s="1">
        <v>1.0</v>
      </c>
      <c r="H181" s="2">
        <v>0.12430555555555556</v>
      </c>
    </row>
    <row r="182">
      <c r="A182" s="1" t="s">
        <v>249</v>
      </c>
      <c r="B182" s="1" t="s">
        <v>250</v>
      </c>
      <c r="C182" s="1">
        <v>31.0</v>
      </c>
      <c r="D182" s="1" t="s">
        <v>60</v>
      </c>
      <c r="E182" s="1" t="s">
        <v>61</v>
      </c>
      <c r="F182" s="1" t="s">
        <v>62</v>
      </c>
      <c r="G182" s="1">
        <v>0.0</v>
      </c>
      <c r="H182" s="2">
        <v>0.11041666666666666</v>
      </c>
    </row>
    <row r="183">
      <c r="A183" s="1" t="s">
        <v>249</v>
      </c>
      <c r="B183" s="1" t="s">
        <v>250</v>
      </c>
      <c r="C183" s="1">
        <v>32.0</v>
      </c>
      <c r="D183" s="1" t="s">
        <v>285</v>
      </c>
      <c r="E183" s="1" t="s">
        <v>286</v>
      </c>
      <c r="F183" s="1" t="s">
        <v>285</v>
      </c>
      <c r="G183" s="1">
        <v>0.0</v>
      </c>
      <c r="H183" s="2">
        <v>0.11041666666666666</v>
      </c>
    </row>
    <row r="184">
      <c r="A184" s="1" t="s">
        <v>249</v>
      </c>
      <c r="B184" s="1" t="s">
        <v>250</v>
      </c>
      <c r="C184" s="1">
        <v>33.0</v>
      </c>
      <c r="D184" s="1" t="s">
        <v>30</v>
      </c>
      <c r="E184" s="1" t="s">
        <v>31</v>
      </c>
      <c r="F184" s="1" t="s">
        <v>32</v>
      </c>
      <c r="G184" s="1">
        <v>0.0</v>
      </c>
      <c r="H184" s="2">
        <v>0.15833333333333333</v>
      </c>
    </row>
    <row r="185">
      <c r="A185" s="1" t="s">
        <v>249</v>
      </c>
      <c r="B185" s="1" t="s">
        <v>250</v>
      </c>
      <c r="C185" s="1">
        <v>34.0</v>
      </c>
      <c r="D185" s="1" t="s">
        <v>287</v>
      </c>
      <c r="E185" s="1" t="s">
        <v>276</v>
      </c>
      <c r="F185" s="1" t="s">
        <v>287</v>
      </c>
      <c r="G185" s="1">
        <v>0.0</v>
      </c>
      <c r="H185" s="2">
        <v>0.1388888888888889</v>
      </c>
    </row>
    <row r="186">
      <c r="A186" s="1" t="s">
        <v>249</v>
      </c>
      <c r="B186" s="1" t="s">
        <v>250</v>
      </c>
      <c r="C186" s="1">
        <v>35.0</v>
      </c>
      <c r="D186" s="1" t="s">
        <v>288</v>
      </c>
      <c r="E186" s="1" t="s">
        <v>289</v>
      </c>
      <c r="F186" s="1" t="s">
        <v>290</v>
      </c>
      <c r="G186" s="1">
        <v>0.0</v>
      </c>
      <c r="H186" s="2">
        <v>0.12916666666666668</v>
      </c>
    </row>
    <row r="187">
      <c r="A187" s="1" t="s">
        <v>249</v>
      </c>
      <c r="B187" s="1" t="s">
        <v>250</v>
      </c>
      <c r="C187" s="1">
        <v>36.0</v>
      </c>
      <c r="D187" s="1" t="s">
        <v>41</v>
      </c>
      <c r="E187" s="1" t="s">
        <v>42</v>
      </c>
      <c r="F187" s="1" t="s">
        <v>43</v>
      </c>
      <c r="G187" s="1">
        <v>1.0</v>
      </c>
      <c r="H187" s="2">
        <v>0.1361111111111111</v>
      </c>
    </row>
    <row r="188">
      <c r="A188" s="1" t="s">
        <v>249</v>
      </c>
      <c r="B188" s="1" t="s">
        <v>250</v>
      </c>
      <c r="C188" s="1">
        <v>37.0</v>
      </c>
      <c r="D188" s="1" t="s">
        <v>38</v>
      </c>
      <c r="E188" s="1" t="s">
        <v>39</v>
      </c>
      <c r="F188" s="1" t="s">
        <v>40</v>
      </c>
      <c r="G188" s="1">
        <v>1.0</v>
      </c>
      <c r="H188" s="2">
        <v>0.1125</v>
      </c>
    </row>
    <row r="189">
      <c r="A189" s="1" t="s">
        <v>249</v>
      </c>
      <c r="B189" s="1" t="s">
        <v>250</v>
      </c>
      <c r="C189" s="1">
        <v>38.0</v>
      </c>
      <c r="D189" s="1" t="s">
        <v>244</v>
      </c>
      <c r="E189" s="1" t="s">
        <v>245</v>
      </c>
      <c r="F189" s="1" t="s">
        <v>244</v>
      </c>
      <c r="G189" s="1">
        <v>0.0</v>
      </c>
      <c r="H189" s="2">
        <v>0.13819444444444445</v>
      </c>
    </row>
    <row r="190">
      <c r="A190" s="1" t="s">
        <v>249</v>
      </c>
      <c r="B190" s="1" t="s">
        <v>250</v>
      </c>
      <c r="C190" s="1">
        <v>39.0</v>
      </c>
      <c r="D190" s="1" t="s">
        <v>83</v>
      </c>
      <c r="E190" s="1" t="s">
        <v>84</v>
      </c>
      <c r="F190" s="1" t="s">
        <v>85</v>
      </c>
      <c r="G190" s="1">
        <v>1.0</v>
      </c>
      <c r="H190" s="2">
        <v>0.16875</v>
      </c>
    </row>
    <row r="191">
      <c r="A191" s="1" t="s">
        <v>249</v>
      </c>
      <c r="B191" s="1" t="s">
        <v>250</v>
      </c>
      <c r="C191" s="1">
        <v>40.0</v>
      </c>
      <c r="D191" s="1" t="s">
        <v>104</v>
      </c>
      <c r="E191" s="1" t="s">
        <v>84</v>
      </c>
      <c r="F191" s="1" t="s">
        <v>104</v>
      </c>
      <c r="G191" s="1">
        <v>1.0</v>
      </c>
      <c r="H191" s="2">
        <v>0.12152777777777778</v>
      </c>
    </row>
    <row r="192">
      <c r="A192" s="1" t="s">
        <v>249</v>
      </c>
      <c r="B192" s="1" t="s">
        <v>250</v>
      </c>
      <c r="C192" s="1">
        <v>41.0</v>
      </c>
      <c r="D192" s="1" t="s">
        <v>127</v>
      </c>
      <c r="E192" s="1" t="s">
        <v>128</v>
      </c>
      <c r="F192" s="1" t="s">
        <v>127</v>
      </c>
      <c r="G192" s="1">
        <v>1.0</v>
      </c>
      <c r="H192" s="2">
        <v>0.17291666666666666</v>
      </c>
    </row>
    <row r="193">
      <c r="A193" s="1" t="s">
        <v>249</v>
      </c>
      <c r="B193" s="1" t="s">
        <v>250</v>
      </c>
      <c r="C193" s="1">
        <v>42.0</v>
      </c>
      <c r="D193" s="1" t="s">
        <v>88</v>
      </c>
      <c r="E193" s="1" t="s">
        <v>89</v>
      </c>
      <c r="F193" s="1" t="s">
        <v>90</v>
      </c>
      <c r="G193" s="1">
        <v>1.0</v>
      </c>
      <c r="H193" s="2">
        <v>0.09652777777777778</v>
      </c>
    </row>
    <row r="194">
      <c r="A194" s="1" t="s">
        <v>249</v>
      </c>
      <c r="B194" s="1" t="s">
        <v>250</v>
      </c>
      <c r="C194" s="1">
        <v>43.0</v>
      </c>
      <c r="D194" s="1" t="s">
        <v>291</v>
      </c>
      <c r="E194" s="1" t="s">
        <v>292</v>
      </c>
      <c r="F194" s="1" t="s">
        <v>291</v>
      </c>
      <c r="G194" s="1">
        <v>0.0</v>
      </c>
      <c r="H194" s="2">
        <v>0.1111111111111111</v>
      </c>
    </row>
    <row r="195">
      <c r="A195" s="1" t="s">
        <v>249</v>
      </c>
      <c r="B195" s="1" t="s">
        <v>250</v>
      </c>
      <c r="C195" s="1">
        <v>44.0</v>
      </c>
      <c r="D195" s="1" t="s">
        <v>91</v>
      </c>
      <c r="E195" s="1" t="s">
        <v>58</v>
      </c>
      <c r="F195" s="1" t="s">
        <v>91</v>
      </c>
      <c r="G195" s="1">
        <v>0.0</v>
      </c>
      <c r="H195" s="2">
        <v>0.09305555555555556</v>
      </c>
    </row>
    <row r="196">
      <c r="A196" s="1" t="s">
        <v>249</v>
      </c>
      <c r="B196" s="1" t="s">
        <v>250</v>
      </c>
      <c r="C196" s="1">
        <v>45.0</v>
      </c>
      <c r="D196" s="1" t="s">
        <v>293</v>
      </c>
      <c r="E196" s="1" t="s">
        <v>294</v>
      </c>
      <c r="F196" s="1" t="s">
        <v>293</v>
      </c>
      <c r="G196" s="1">
        <v>0.0</v>
      </c>
      <c r="H196" s="2">
        <v>0.10625</v>
      </c>
    </row>
    <row r="197">
      <c r="A197" s="1" t="s">
        <v>249</v>
      </c>
      <c r="B197" s="1" t="s">
        <v>250</v>
      </c>
      <c r="C197" s="1">
        <v>46.0</v>
      </c>
      <c r="D197" s="1" t="s">
        <v>295</v>
      </c>
      <c r="E197" s="1" t="s">
        <v>296</v>
      </c>
      <c r="F197" s="1" t="s">
        <v>297</v>
      </c>
      <c r="G197" s="1">
        <v>0.0</v>
      </c>
      <c r="H197" s="2">
        <v>0.14097222222222222</v>
      </c>
    </row>
    <row r="198">
      <c r="A198" s="1" t="s">
        <v>249</v>
      </c>
      <c r="B198" s="1" t="s">
        <v>250</v>
      </c>
      <c r="C198" s="1">
        <v>47.0</v>
      </c>
      <c r="D198" s="1" t="s">
        <v>231</v>
      </c>
      <c r="E198" s="1" t="s">
        <v>232</v>
      </c>
      <c r="F198" s="1" t="s">
        <v>231</v>
      </c>
      <c r="G198" s="1">
        <v>0.0</v>
      </c>
      <c r="H198" s="2">
        <v>0.10902777777777778</v>
      </c>
    </row>
    <row r="199">
      <c r="A199" s="1" t="s">
        <v>249</v>
      </c>
      <c r="B199" s="1" t="s">
        <v>250</v>
      </c>
      <c r="C199" s="1">
        <v>48.0</v>
      </c>
      <c r="D199" s="1" t="s">
        <v>118</v>
      </c>
      <c r="E199" s="1" t="s">
        <v>119</v>
      </c>
      <c r="F199" s="1" t="s">
        <v>120</v>
      </c>
      <c r="G199" s="1">
        <v>0.0</v>
      </c>
      <c r="H199" s="2">
        <v>0.13472222222222222</v>
      </c>
    </row>
    <row r="200">
      <c r="A200" s="1" t="s">
        <v>249</v>
      </c>
      <c r="B200" s="1" t="s">
        <v>250</v>
      </c>
      <c r="C200" s="1">
        <v>49.0</v>
      </c>
      <c r="D200" s="1" t="s">
        <v>111</v>
      </c>
      <c r="E200" s="1" t="s">
        <v>69</v>
      </c>
      <c r="F200" s="1" t="s">
        <v>112</v>
      </c>
      <c r="G200" s="1">
        <v>0.0</v>
      </c>
      <c r="H200" s="2">
        <v>0.14930555555555555</v>
      </c>
    </row>
    <row r="201">
      <c r="A201" s="1" t="s">
        <v>249</v>
      </c>
      <c r="B201" s="1" t="s">
        <v>250</v>
      </c>
      <c r="C201" s="1">
        <v>50.0</v>
      </c>
      <c r="D201" s="1" t="s">
        <v>94</v>
      </c>
      <c r="E201" s="1" t="s">
        <v>84</v>
      </c>
      <c r="F201" s="1" t="s">
        <v>95</v>
      </c>
      <c r="G201" s="1">
        <v>1.0</v>
      </c>
      <c r="H201" s="2">
        <v>0.21666666666666667</v>
      </c>
    </row>
    <row r="202">
      <c r="A202" s="1" t="s">
        <v>298</v>
      </c>
      <c r="B202" s="1" t="s">
        <v>250</v>
      </c>
      <c r="C202" s="1">
        <v>1.0</v>
      </c>
      <c r="D202" s="1" t="s">
        <v>11</v>
      </c>
      <c r="E202" s="1" t="s">
        <v>12</v>
      </c>
      <c r="F202" s="1" t="s">
        <v>13</v>
      </c>
      <c r="G202" s="1">
        <v>0.0</v>
      </c>
      <c r="H202" s="2">
        <v>0.1388888888888889</v>
      </c>
    </row>
    <row r="203">
      <c r="A203" s="1" t="s">
        <v>298</v>
      </c>
      <c r="B203" s="1" t="s">
        <v>250</v>
      </c>
      <c r="C203" s="1">
        <v>2.0</v>
      </c>
      <c r="D203" s="1" t="s">
        <v>14</v>
      </c>
      <c r="E203" s="1" t="s">
        <v>15</v>
      </c>
      <c r="F203" s="1" t="s">
        <v>16</v>
      </c>
      <c r="G203" s="1">
        <v>1.0</v>
      </c>
      <c r="H203" s="2">
        <v>0.12569444444444444</v>
      </c>
    </row>
    <row r="204">
      <c r="A204" s="1" t="s">
        <v>298</v>
      </c>
      <c r="B204" s="1" t="s">
        <v>250</v>
      </c>
      <c r="C204" s="1">
        <v>3.0</v>
      </c>
      <c r="D204" s="1" t="s">
        <v>17</v>
      </c>
      <c r="E204" s="1" t="s">
        <v>18</v>
      </c>
      <c r="F204" s="1" t="s">
        <v>19</v>
      </c>
      <c r="G204" s="1">
        <v>1.0</v>
      </c>
      <c r="H204" s="2">
        <v>0.12222222222222222</v>
      </c>
    </row>
    <row r="205">
      <c r="A205" s="1" t="s">
        <v>298</v>
      </c>
      <c r="B205" s="1" t="s">
        <v>250</v>
      </c>
      <c r="C205" s="1">
        <v>4.0</v>
      </c>
      <c r="D205" s="1" t="s">
        <v>299</v>
      </c>
      <c r="E205" s="1" t="s">
        <v>300</v>
      </c>
      <c r="F205" s="1" t="s">
        <v>301</v>
      </c>
      <c r="G205" s="1">
        <v>0.0</v>
      </c>
      <c r="H205" s="2">
        <v>0.14166666666666666</v>
      </c>
    </row>
    <row r="206">
      <c r="A206" s="1" t="s">
        <v>298</v>
      </c>
      <c r="B206" s="1" t="s">
        <v>250</v>
      </c>
      <c r="C206" s="1">
        <v>5.0</v>
      </c>
      <c r="D206" s="1" t="s">
        <v>20</v>
      </c>
      <c r="E206" s="1" t="s">
        <v>21</v>
      </c>
      <c r="F206" s="1" t="s">
        <v>22</v>
      </c>
      <c r="G206" s="1">
        <v>1.0</v>
      </c>
      <c r="H206" s="2">
        <v>0.17152777777777778</v>
      </c>
    </row>
    <row r="207">
      <c r="A207" s="1" t="s">
        <v>298</v>
      </c>
      <c r="B207" s="1" t="s">
        <v>250</v>
      </c>
      <c r="C207" s="1">
        <v>6.0</v>
      </c>
      <c r="D207" s="1" t="s">
        <v>105</v>
      </c>
      <c r="E207" s="1" t="s">
        <v>106</v>
      </c>
      <c r="F207" s="1" t="s">
        <v>105</v>
      </c>
      <c r="G207" s="1">
        <v>0.0</v>
      </c>
      <c r="H207" s="2">
        <v>0.11527777777777778</v>
      </c>
    </row>
    <row r="208">
      <c r="A208" s="1" t="s">
        <v>298</v>
      </c>
      <c r="B208" s="1" t="s">
        <v>250</v>
      </c>
      <c r="C208" s="1">
        <v>7.0</v>
      </c>
      <c r="D208" s="1" t="s">
        <v>44</v>
      </c>
      <c r="E208" s="1" t="s">
        <v>45</v>
      </c>
      <c r="F208" s="1" t="s">
        <v>44</v>
      </c>
      <c r="G208" s="1">
        <v>0.0</v>
      </c>
      <c r="H208" s="2">
        <v>0.12222222222222222</v>
      </c>
    </row>
    <row r="209">
      <c r="A209" s="1" t="s">
        <v>298</v>
      </c>
      <c r="B209" s="1" t="s">
        <v>250</v>
      </c>
      <c r="C209" s="1">
        <v>8.0</v>
      </c>
      <c r="D209" s="1" t="s">
        <v>36</v>
      </c>
      <c r="E209" s="1" t="s">
        <v>37</v>
      </c>
      <c r="F209" s="1" t="s">
        <v>36</v>
      </c>
      <c r="G209" s="1">
        <v>1.0</v>
      </c>
      <c r="H209" s="2">
        <v>0.09166666666666666</v>
      </c>
    </row>
    <row r="210">
      <c r="A210" s="1" t="s">
        <v>298</v>
      </c>
      <c r="B210" s="1" t="s">
        <v>250</v>
      </c>
      <c r="C210" s="1">
        <v>9.0</v>
      </c>
      <c r="D210" s="1" t="s">
        <v>9</v>
      </c>
      <c r="E210" s="1" t="s">
        <v>10</v>
      </c>
      <c r="F210" s="1" t="s">
        <v>9</v>
      </c>
      <c r="G210" s="1">
        <v>0.0</v>
      </c>
      <c r="H210" s="2">
        <v>0.12638888888888888</v>
      </c>
    </row>
    <row r="211">
      <c r="A211" s="1" t="s">
        <v>298</v>
      </c>
      <c r="B211" s="1" t="s">
        <v>250</v>
      </c>
      <c r="C211" s="1">
        <v>10.0</v>
      </c>
      <c r="D211" s="1" t="s">
        <v>33</v>
      </c>
      <c r="E211" s="1" t="s">
        <v>34</v>
      </c>
      <c r="F211" s="1" t="s">
        <v>35</v>
      </c>
      <c r="G211" s="1">
        <v>0.0</v>
      </c>
      <c r="H211" s="2">
        <v>0.1451388888888889</v>
      </c>
    </row>
    <row r="212">
      <c r="A212" s="1" t="s">
        <v>298</v>
      </c>
      <c r="B212" s="1" t="s">
        <v>250</v>
      </c>
      <c r="C212" s="1">
        <v>11.0</v>
      </c>
      <c r="D212" s="1" t="s">
        <v>23</v>
      </c>
      <c r="E212" s="1" t="s">
        <v>24</v>
      </c>
      <c r="F212" s="1" t="s">
        <v>23</v>
      </c>
      <c r="G212" s="1">
        <v>0.0</v>
      </c>
      <c r="H212" s="2">
        <v>0.12013888888888889</v>
      </c>
    </row>
    <row r="213">
      <c r="A213" s="1" t="s">
        <v>298</v>
      </c>
      <c r="B213" s="1" t="s">
        <v>250</v>
      </c>
      <c r="C213" s="1">
        <v>12.0</v>
      </c>
      <c r="D213" s="1" t="s">
        <v>47</v>
      </c>
      <c r="E213" s="1" t="s">
        <v>48</v>
      </c>
      <c r="F213" s="1" t="s">
        <v>49</v>
      </c>
      <c r="G213" s="1">
        <v>1.0</v>
      </c>
      <c r="H213" s="2">
        <v>0.15486111111111112</v>
      </c>
    </row>
    <row r="214">
      <c r="A214" s="1" t="s">
        <v>298</v>
      </c>
      <c r="B214" s="1" t="s">
        <v>250</v>
      </c>
      <c r="C214" s="1">
        <v>13.0</v>
      </c>
      <c r="D214" s="1" t="s">
        <v>27</v>
      </c>
      <c r="E214" s="1" t="s">
        <v>28</v>
      </c>
      <c r="F214" s="1" t="s">
        <v>29</v>
      </c>
      <c r="G214" s="1">
        <v>0.0</v>
      </c>
      <c r="H214" s="2">
        <v>0.12708333333333333</v>
      </c>
    </row>
    <row r="215">
      <c r="A215" s="1" t="s">
        <v>298</v>
      </c>
      <c r="B215" s="1" t="s">
        <v>250</v>
      </c>
      <c r="C215" s="1">
        <v>14.0</v>
      </c>
      <c r="D215" s="1" t="s">
        <v>25</v>
      </c>
      <c r="E215" s="1" t="s">
        <v>26</v>
      </c>
      <c r="F215" s="1" t="s">
        <v>25</v>
      </c>
      <c r="G215" s="1">
        <v>1.0</v>
      </c>
      <c r="H215" s="2">
        <v>0.11458333333333333</v>
      </c>
    </row>
    <row r="216">
      <c r="A216" s="1" t="s">
        <v>298</v>
      </c>
      <c r="B216" s="1" t="s">
        <v>250</v>
      </c>
      <c r="C216" s="1">
        <v>15.0</v>
      </c>
      <c r="D216" s="1" t="s">
        <v>54</v>
      </c>
      <c r="E216" s="1" t="s">
        <v>55</v>
      </c>
      <c r="F216" s="1" t="s">
        <v>56</v>
      </c>
      <c r="G216" s="1">
        <v>0.0</v>
      </c>
      <c r="H216" s="2">
        <v>0.10972222222222222</v>
      </c>
    </row>
    <row r="217">
      <c r="A217" s="1" t="s">
        <v>298</v>
      </c>
      <c r="B217" s="1" t="s">
        <v>250</v>
      </c>
      <c r="C217" s="1">
        <v>16.0</v>
      </c>
      <c r="D217" s="1" t="s">
        <v>41</v>
      </c>
      <c r="E217" s="1" t="s">
        <v>42</v>
      </c>
      <c r="F217" s="1" t="s">
        <v>43</v>
      </c>
      <c r="G217" s="1">
        <v>1.0</v>
      </c>
      <c r="H217" s="2">
        <v>0.1361111111111111</v>
      </c>
    </row>
    <row r="218">
      <c r="A218" s="1" t="s">
        <v>298</v>
      </c>
      <c r="B218" s="1" t="s">
        <v>250</v>
      </c>
      <c r="C218" s="1">
        <v>17.0</v>
      </c>
      <c r="D218" s="1" t="s">
        <v>30</v>
      </c>
      <c r="E218" s="1" t="s">
        <v>31</v>
      </c>
      <c r="F218" s="1" t="s">
        <v>32</v>
      </c>
      <c r="G218" s="1">
        <v>0.0</v>
      </c>
      <c r="H218" s="2">
        <v>0.15833333333333333</v>
      </c>
    </row>
    <row r="219">
      <c r="A219" s="1" t="s">
        <v>298</v>
      </c>
      <c r="B219" s="1" t="s">
        <v>250</v>
      </c>
      <c r="C219" s="1">
        <v>18.0</v>
      </c>
      <c r="D219" s="1" t="s">
        <v>231</v>
      </c>
      <c r="E219" s="1" t="s">
        <v>232</v>
      </c>
      <c r="F219" s="1" t="s">
        <v>231</v>
      </c>
      <c r="G219" s="1">
        <v>0.0</v>
      </c>
      <c r="H219" s="2">
        <v>0.10902777777777778</v>
      </c>
    </row>
    <row r="220">
      <c r="A220" s="1" t="s">
        <v>298</v>
      </c>
      <c r="B220" s="1" t="s">
        <v>250</v>
      </c>
      <c r="C220" s="1">
        <v>19.0</v>
      </c>
      <c r="D220" s="1" t="s">
        <v>60</v>
      </c>
      <c r="E220" s="1" t="s">
        <v>61</v>
      </c>
      <c r="F220" s="1" t="s">
        <v>62</v>
      </c>
      <c r="G220" s="1">
        <v>0.0</v>
      </c>
      <c r="H220" s="2">
        <v>0.11041666666666666</v>
      </c>
    </row>
    <row r="221">
      <c r="A221" s="1" t="s">
        <v>298</v>
      </c>
      <c r="B221" s="1" t="s">
        <v>250</v>
      </c>
      <c r="C221" s="1">
        <v>20.0</v>
      </c>
      <c r="D221" s="1" t="s">
        <v>302</v>
      </c>
      <c r="E221" s="1" t="s">
        <v>34</v>
      </c>
      <c r="F221" s="1" t="s">
        <v>303</v>
      </c>
      <c r="G221" s="1">
        <v>0.0</v>
      </c>
      <c r="H221" s="2">
        <v>0.1388888888888889</v>
      </c>
    </row>
    <row r="222">
      <c r="A222" s="1" t="s">
        <v>298</v>
      </c>
      <c r="B222" s="1" t="s">
        <v>250</v>
      </c>
      <c r="C222" s="1">
        <v>21.0</v>
      </c>
      <c r="D222" s="1" t="s">
        <v>111</v>
      </c>
      <c r="E222" s="1" t="s">
        <v>69</v>
      </c>
      <c r="F222" s="1" t="s">
        <v>112</v>
      </c>
      <c r="G222" s="1">
        <v>0.0</v>
      </c>
      <c r="H222" s="2">
        <v>0.14930555555555555</v>
      </c>
    </row>
    <row r="223">
      <c r="A223" s="1" t="s">
        <v>298</v>
      </c>
      <c r="B223" s="1" t="s">
        <v>250</v>
      </c>
      <c r="C223" s="1">
        <v>22.0</v>
      </c>
      <c r="D223" s="1" t="s">
        <v>53</v>
      </c>
      <c r="E223" s="1" t="s">
        <v>12</v>
      </c>
      <c r="F223" s="1" t="s">
        <v>13</v>
      </c>
      <c r="G223" s="1">
        <v>1.0</v>
      </c>
      <c r="H223" s="2">
        <v>0.16458333333333333</v>
      </c>
    </row>
    <row r="224">
      <c r="A224" s="1" t="s">
        <v>298</v>
      </c>
      <c r="B224" s="1" t="s">
        <v>250</v>
      </c>
      <c r="C224" s="1">
        <v>23.0</v>
      </c>
      <c r="D224" s="1" t="s">
        <v>46</v>
      </c>
      <c r="E224" s="1" t="s">
        <v>28</v>
      </c>
      <c r="F224" s="1" t="s">
        <v>29</v>
      </c>
      <c r="G224" s="1">
        <v>0.0</v>
      </c>
      <c r="H224" s="2">
        <v>0.15347222222222223</v>
      </c>
    </row>
    <row r="225">
      <c r="A225" s="1" t="s">
        <v>298</v>
      </c>
      <c r="B225" s="1" t="s">
        <v>250</v>
      </c>
      <c r="C225" s="1">
        <v>24.0</v>
      </c>
      <c r="D225" s="1" t="s">
        <v>270</v>
      </c>
      <c r="E225" s="1" t="s">
        <v>271</v>
      </c>
      <c r="F225" s="1" t="s">
        <v>270</v>
      </c>
      <c r="G225" s="1">
        <v>0.0</v>
      </c>
      <c r="H225" s="2">
        <v>0.14444444444444443</v>
      </c>
    </row>
    <row r="226">
      <c r="A226" s="1" t="s">
        <v>298</v>
      </c>
      <c r="B226" s="1" t="s">
        <v>250</v>
      </c>
      <c r="C226" s="1">
        <v>25.0</v>
      </c>
      <c r="D226" s="1" t="s">
        <v>304</v>
      </c>
      <c r="E226" s="1" t="s">
        <v>28</v>
      </c>
      <c r="F226" s="1" t="s">
        <v>29</v>
      </c>
      <c r="G226" s="1">
        <v>0.0</v>
      </c>
      <c r="H226" s="2">
        <v>0.13402777777777777</v>
      </c>
    </row>
    <row r="227">
      <c r="A227" s="1" t="s">
        <v>298</v>
      </c>
      <c r="B227" s="1" t="s">
        <v>250</v>
      </c>
      <c r="C227" s="1">
        <v>26.0</v>
      </c>
      <c r="D227" s="1" t="s">
        <v>57</v>
      </c>
      <c r="E227" s="1" t="s">
        <v>58</v>
      </c>
      <c r="F227" s="1" t="s">
        <v>59</v>
      </c>
      <c r="G227" s="1">
        <v>1.0</v>
      </c>
      <c r="H227" s="2">
        <v>0.16458333333333333</v>
      </c>
    </row>
    <row r="228">
      <c r="A228" s="1" t="s">
        <v>298</v>
      </c>
      <c r="B228" s="1" t="s">
        <v>250</v>
      </c>
      <c r="C228" s="1">
        <v>27.0</v>
      </c>
      <c r="D228" s="1" t="s">
        <v>305</v>
      </c>
      <c r="E228" s="1" t="s">
        <v>300</v>
      </c>
      <c r="F228" s="1" t="s">
        <v>301</v>
      </c>
      <c r="G228" s="1">
        <v>0.0</v>
      </c>
      <c r="H228" s="2">
        <v>0.1701388888888889</v>
      </c>
    </row>
    <row r="229">
      <c r="A229" s="1" t="s">
        <v>298</v>
      </c>
      <c r="B229" s="1" t="s">
        <v>250</v>
      </c>
      <c r="C229" s="1">
        <v>28.0</v>
      </c>
      <c r="D229" s="1" t="s">
        <v>38</v>
      </c>
      <c r="E229" s="1" t="s">
        <v>39</v>
      </c>
      <c r="F229" s="1" t="s">
        <v>40</v>
      </c>
      <c r="G229" s="1">
        <v>1.0</v>
      </c>
      <c r="H229" s="2">
        <v>0.1125</v>
      </c>
    </row>
    <row r="230">
      <c r="A230" s="1" t="s">
        <v>298</v>
      </c>
      <c r="B230" s="1" t="s">
        <v>250</v>
      </c>
      <c r="C230" s="1">
        <v>29.0</v>
      </c>
      <c r="D230" s="1" t="s">
        <v>224</v>
      </c>
      <c r="E230" s="1" t="s">
        <v>225</v>
      </c>
      <c r="F230" s="1" t="s">
        <v>226</v>
      </c>
      <c r="G230" s="1">
        <v>0.0</v>
      </c>
      <c r="H230" s="2">
        <v>0.14444444444444443</v>
      </c>
    </row>
    <row r="231">
      <c r="A231" s="1" t="s">
        <v>298</v>
      </c>
      <c r="B231" s="1" t="s">
        <v>250</v>
      </c>
      <c r="C231" s="1">
        <v>30.0</v>
      </c>
      <c r="D231" s="1" t="s">
        <v>68</v>
      </c>
      <c r="E231" s="1" t="s">
        <v>69</v>
      </c>
      <c r="F231" s="1" t="s">
        <v>70</v>
      </c>
      <c r="G231" s="1">
        <v>0.0</v>
      </c>
      <c r="H231" s="2">
        <v>0.12638888888888888</v>
      </c>
    </row>
    <row r="232">
      <c r="A232" s="1" t="s">
        <v>298</v>
      </c>
      <c r="B232" s="1" t="s">
        <v>250</v>
      </c>
      <c r="C232" s="1">
        <v>31.0</v>
      </c>
      <c r="D232" s="1" t="s">
        <v>83</v>
      </c>
      <c r="E232" s="1" t="s">
        <v>84</v>
      </c>
      <c r="F232" s="1" t="s">
        <v>85</v>
      </c>
      <c r="G232" s="1">
        <v>1.0</v>
      </c>
      <c r="H232" s="2">
        <v>0.16875</v>
      </c>
    </row>
    <row r="233">
      <c r="A233" s="1" t="s">
        <v>298</v>
      </c>
      <c r="B233" s="1" t="s">
        <v>250</v>
      </c>
      <c r="C233" s="1">
        <v>32.0</v>
      </c>
      <c r="D233" s="1" t="s">
        <v>238</v>
      </c>
      <c r="E233" s="1" t="s">
        <v>239</v>
      </c>
      <c r="F233" s="1" t="s">
        <v>238</v>
      </c>
      <c r="G233" s="1">
        <v>0.0</v>
      </c>
      <c r="H233" s="2">
        <v>0.11666666666666667</v>
      </c>
    </row>
    <row r="234">
      <c r="A234" s="1" t="s">
        <v>298</v>
      </c>
      <c r="B234" s="1" t="s">
        <v>250</v>
      </c>
      <c r="C234" s="1">
        <v>33.0</v>
      </c>
      <c r="D234" s="1" t="s">
        <v>50</v>
      </c>
      <c r="E234" s="1" t="s">
        <v>51</v>
      </c>
      <c r="F234" s="1" t="s">
        <v>52</v>
      </c>
      <c r="G234" s="1">
        <v>0.0</v>
      </c>
      <c r="H234" s="2">
        <v>0.14722222222222223</v>
      </c>
    </row>
    <row r="235">
      <c r="A235" s="1" t="s">
        <v>298</v>
      </c>
      <c r="B235" s="1" t="s">
        <v>250</v>
      </c>
      <c r="C235" s="1">
        <v>34.0</v>
      </c>
      <c r="D235" s="1" t="s">
        <v>92</v>
      </c>
      <c r="E235" s="1" t="s">
        <v>93</v>
      </c>
      <c r="F235" s="1" t="s">
        <v>92</v>
      </c>
      <c r="G235" s="1">
        <v>1.0</v>
      </c>
      <c r="H235" s="2">
        <v>0.11319444444444444</v>
      </c>
    </row>
    <row r="236">
      <c r="A236" s="1" t="s">
        <v>298</v>
      </c>
      <c r="B236" s="1" t="s">
        <v>250</v>
      </c>
      <c r="C236" s="1">
        <v>35.0</v>
      </c>
      <c r="D236" s="1" t="s">
        <v>127</v>
      </c>
      <c r="E236" s="1" t="s">
        <v>128</v>
      </c>
      <c r="F236" s="1" t="s">
        <v>127</v>
      </c>
      <c r="G236" s="1">
        <v>1.0</v>
      </c>
      <c r="H236" s="2">
        <v>0.17291666666666666</v>
      </c>
    </row>
    <row r="237">
      <c r="A237" s="1" t="s">
        <v>298</v>
      </c>
      <c r="B237" s="1" t="s">
        <v>250</v>
      </c>
      <c r="C237" s="1">
        <v>36.0</v>
      </c>
      <c r="D237" s="1" t="s">
        <v>78</v>
      </c>
      <c r="E237" s="1" t="s">
        <v>79</v>
      </c>
      <c r="F237" s="1" t="s">
        <v>78</v>
      </c>
      <c r="G237" s="1">
        <v>0.0</v>
      </c>
      <c r="H237" s="2">
        <v>0.10208333333333333</v>
      </c>
    </row>
    <row r="238">
      <c r="A238" s="1" t="s">
        <v>298</v>
      </c>
      <c r="B238" s="1" t="s">
        <v>250</v>
      </c>
      <c r="C238" s="1">
        <v>37.0</v>
      </c>
      <c r="D238" s="1" t="s">
        <v>306</v>
      </c>
      <c r="E238" s="1" t="s">
        <v>307</v>
      </c>
      <c r="F238" s="1" t="s">
        <v>306</v>
      </c>
      <c r="G238" s="1">
        <v>0.0</v>
      </c>
      <c r="H238" s="2">
        <v>0.12152777777777778</v>
      </c>
    </row>
    <row r="239">
      <c r="A239" s="1" t="s">
        <v>298</v>
      </c>
      <c r="B239" s="1" t="s">
        <v>250</v>
      </c>
      <c r="C239" s="1">
        <v>38.0</v>
      </c>
      <c r="D239" s="1" t="s">
        <v>94</v>
      </c>
      <c r="E239" s="1" t="s">
        <v>84</v>
      </c>
      <c r="F239" s="1" t="s">
        <v>95</v>
      </c>
      <c r="G239" s="1">
        <v>1.0</v>
      </c>
      <c r="H239" s="2">
        <v>0.21666666666666667</v>
      </c>
    </row>
    <row r="240">
      <c r="A240" s="1" t="s">
        <v>298</v>
      </c>
      <c r="B240" s="1" t="s">
        <v>250</v>
      </c>
      <c r="C240" s="1">
        <v>39.0</v>
      </c>
      <c r="D240" s="1" t="s">
        <v>308</v>
      </c>
      <c r="E240" s="1" t="s">
        <v>309</v>
      </c>
      <c r="F240" s="1" t="s">
        <v>308</v>
      </c>
      <c r="G240" s="1">
        <v>1.0</v>
      </c>
      <c r="H240" s="2">
        <v>0.07361111111111111</v>
      </c>
    </row>
    <row r="241">
      <c r="A241" s="1" t="s">
        <v>298</v>
      </c>
      <c r="B241" s="1" t="s">
        <v>250</v>
      </c>
      <c r="C241" s="1">
        <v>40.0</v>
      </c>
      <c r="D241" s="1" t="s">
        <v>310</v>
      </c>
      <c r="E241" s="1" t="s">
        <v>311</v>
      </c>
      <c r="F241" s="1" t="s">
        <v>310</v>
      </c>
      <c r="G241" s="1">
        <v>0.0</v>
      </c>
      <c r="H241" s="2">
        <v>0.12430555555555556</v>
      </c>
    </row>
    <row r="242">
      <c r="A242" s="1" t="s">
        <v>298</v>
      </c>
      <c r="B242" s="1" t="s">
        <v>250</v>
      </c>
      <c r="C242" s="1">
        <v>41.0</v>
      </c>
      <c r="D242" s="1" t="s">
        <v>312</v>
      </c>
      <c r="E242" s="1" t="s">
        <v>119</v>
      </c>
      <c r="F242" s="1" t="s">
        <v>312</v>
      </c>
      <c r="G242" s="1">
        <v>0.0</v>
      </c>
      <c r="H242" s="2">
        <v>0.1701388888888889</v>
      </c>
    </row>
    <row r="243">
      <c r="A243" s="1" t="s">
        <v>298</v>
      </c>
      <c r="B243" s="1" t="s">
        <v>250</v>
      </c>
      <c r="C243" s="1">
        <v>42.0</v>
      </c>
      <c r="D243" s="1" t="s">
        <v>118</v>
      </c>
      <c r="E243" s="1" t="s">
        <v>119</v>
      </c>
      <c r="F243" s="1" t="s">
        <v>120</v>
      </c>
      <c r="G243" s="1">
        <v>0.0</v>
      </c>
      <c r="H243" s="2">
        <v>0.13472222222222222</v>
      </c>
    </row>
    <row r="244">
      <c r="A244" s="1" t="s">
        <v>298</v>
      </c>
      <c r="B244" s="1" t="s">
        <v>250</v>
      </c>
      <c r="C244" s="1">
        <v>43.0</v>
      </c>
      <c r="D244" s="1" t="s">
        <v>265</v>
      </c>
      <c r="E244" s="1" t="s">
        <v>266</v>
      </c>
      <c r="F244" s="1" t="s">
        <v>265</v>
      </c>
      <c r="G244" s="1">
        <v>0.0</v>
      </c>
      <c r="H244" s="2">
        <v>0.125</v>
      </c>
    </row>
    <row r="245">
      <c r="A245" s="1" t="s">
        <v>298</v>
      </c>
      <c r="B245" s="1" t="s">
        <v>250</v>
      </c>
      <c r="C245" s="1">
        <v>44.0</v>
      </c>
      <c r="D245" s="1" t="s">
        <v>86</v>
      </c>
      <c r="E245" s="1" t="s">
        <v>87</v>
      </c>
      <c r="F245" s="1" t="s">
        <v>86</v>
      </c>
      <c r="G245" s="1">
        <v>0.0</v>
      </c>
      <c r="H245" s="2">
        <v>0.1388888888888889</v>
      </c>
    </row>
    <row r="246">
      <c r="A246" s="1" t="s">
        <v>298</v>
      </c>
      <c r="B246" s="1" t="s">
        <v>250</v>
      </c>
      <c r="C246" s="1">
        <v>45.0</v>
      </c>
      <c r="D246" s="1" t="s">
        <v>107</v>
      </c>
      <c r="E246" s="1" t="s">
        <v>81</v>
      </c>
      <c r="F246" s="1" t="s">
        <v>82</v>
      </c>
      <c r="G246" s="1">
        <v>0.0</v>
      </c>
      <c r="H246" s="2">
        <v>0.14375</v>
      </c>
    </row>
    <row r="247">
      <c r="A247" s="1" t="s">
        <v>298</v>
      </c>
      <c r="B247" s="1" t="s">
        <v>250</v>
      </c>
      <c r="C247" s="1">
        <v>46.0</v>
      </c>
      <c r="D247" s="1" t="s">
        <v>313</v>
      </c>
      <c r="E247" s="1" t="s">
        <v>314</v>
      </c>
      <c r="F247" s="1" t="s">
        <v>315</v>
      </c>
      <c r="G247" s="1">
        <v>0.0</v>
      </c>
      <c r="H247" s="2">
        <v>0.13958333333333334</v>
      </c>
    </row>
    <row r="248">
      <c r="A248" s="1" t="s">
        <v>298</v>
      </c>
      <c r="B248" s="1" t="s">
        <v>250</v>
      </c>
      <c r="C248" s="1">
        <v>47.0</v>
      </c>
      <c r="D248" s="1" t="s">
        <v>316</v>
      </c>
      <c r="E248" s="1" t="s">
        <v>317</v>
      </c>
      <c r="F248" s="1" t="s">
        <v>318</v>
      </c>
      <c r="G248" s="1">
        <v>1.0</v>
      </c>
      <c r="H248" s="2">
        <v>0.1076388888888889</v>
      </c>
    </row>
    <row r="249">
      <c r="A249" s="1" t="s">
        <v>298</v>
      </c>
      <c r="B249" s="1" t="s">
        <v>250</v>
      </c>
      <c r="C249" s="1">
        <v>48.0</v>
      </c>
      <c r="D249" s="1" t="s">
        <v>99</v>
      </c>
      <c r="E249" s="1" t="s">
        <v>100</v>
      </c>
      <c r="F249" s="1" t="s">
        <v>99</v>
      </c>
      <c r="G249" s="1">
        <v>0.0</v>
      </c>
      <c r="H249" s="2">
        <v>0.11944444444444445</v>
      </c>
    </row>
    <row r="250">
      <c r="A250" s="1" t="s">
        <v>298</v>
      </c>
      <c r="B250" s="1" t="s">
        <v>250</v>
      </c>
      <c r="C250" s="1">
        <v>49.0</v>
      </c>
      <c r="D250" s="1" t="s">
        <v>319</v>
      </c>
      <c r="E250" s="1" t="s">
        <v>320</v>
      </c>
      <c r="F250" s="1" t="s">
        <v>319</v>
      </c>
      <c r="G250" s="1">
        <v>0.0</v>
      </c>
      <c r="H250" s="2">
        <v>0.125</v>
      </c>
    </row>
    <row r="251">
      <c r="A251" s="1" t="s">
        <v>298</v>
      </c>
      <c r="B251" s="1" t="s">
        <v>250</v>
      </c>
      <c r="C251" s="1">
        <v>50.0</v>
      </c>
      <c r="D251" s="1" t="s">
        <v>104</v>
      </c>
      <c r="E251" s="1" t="s">
        <v>84</v>
      </c>
      <c r="F251" s="1" t="s">
        <v>104</v>
      </c>
      <c r="G251" s="1">
        <v>1.0</v>
      </c>
      <c r="H251" s="2">
        <v>0.12152777777777778</v>
      </c>
    </row>
    <row r="252">
      <c r="A252" s="1" t="s">
        <v>321</v>
      </c>
      <c r="B252" s="1" t="s">
        <v>133</v>
      </c>
      <c r="C252" s="1">
        <v>1.0</v>
      </c>
      <c r="D252" s="1" t="s">
        <v>108</v>
      </c>
      <c r="E252" s="1" t="s">
        <v>109</v>
      </c>
      <c r="F252" s="1" t="s">
        <v>110</v>
      </c>
      <c r="G252" s="1">
        <v>0.0</v>
      </c>
      <c r="H252" s="2">
        <v>0.10416666666666667</v>
      </c>
    </row>
    <row r="253">
      <c r="A253" s="1" t="s">
        <v>321</v>
      </c>
      <c r="B253" s="1" t="s">
        <v>133</v>
      </c>
      <c r="C253" s="1">
        <v>2.0</v>
      </c>
      <c r="D253" s="1" t="s">
        <v>129</v>
      </c>
      <c r="E253" s="1" t="s">
        <v>130</v>
      </c>
      <c r="F253" s="1" t="s">
        <v>131</v>
      </c>
      <c r="G253" s="1">
        <v>0.0</v>
      </c>
      <c r="H253" s="2">
        <v>0.1451388888888889</v>
      </c>
    </row>
    <row r="254">
      <c r="A254" s="1" t="s">
        <v>321</v>
      </c>
      <c r="B254" s="1" t="s">
        <v>133</v>
      </c>
      <c r="C254" s="1">
        <v>3.0</v>
      </c>
      <c r="D254" s="1" t="s">
        <v>11</v>
      </c>
      <c r="E254" s="1" t="s">
        <v>12</v>
      </c>
      <c r="F254" s="1" t="s">
        <v>13</v>
      </c>
      <c r="G254" s="1">
        <v>0.0</v>
      </c>
      <c r="H254" s="2">
        <v>0.1388888888888889</v>
      </c>
    </row>
    <row r="255">
      <c r="A255" s="1" t="s">
        <v>321</v>
      </c>
      <c r="B255" s="1" t="s">
        <v>133</v>
      </c>
      <c r="C255" s="1">
        <v>4.0</v>
      </c>
      <c r="D255" s="1" t="s">
        <v>322</v>
      </c>
      <c r="E255" s="1" t="s">
        <v>323</v>
      </c>
      <c r="F255" s="1" t="s">
        <v>322</v>
      </c>
      <c r="G255" s="1">
        <v>0.0</v>
      </c>
      <c r="H255" s="2">
        <v>0.10902777777777778</v>
      </c>
    </row>
    <row r="256">
      <c r="A256" s="1" t="s">
        <v>321</v>
      </c>
      <c r="B256" s="1" t="s">
        <v>133</v>
      </c>
      <c r="C256" s="1">
        <v>5.0</v>
      </c>
      <c r="D256" s="1" t="s">
        <v>71</v>
      </c>
      <c r="E256" s="1" t="s">
        <v>72</v>
      </c>
      <c r="F256" s="1" t="s">
        <v>67</v>
      </c>
      <c r="G256" s="1">
        <v>0.0</v>
      </c>
      <c r="H256" s="2">
        <v>0.11944444444444445</v>
      </c>
    </row>
    <row r="257">
      <c r="A257" s="1" t="s">
        <v>321</v>
      </c>
      <c r="B257" s="1" t="s">
        <v>133</v>
      </c>
      <c r="C257" s="1">
        <v>6.0</v>
      </c>
      <c r="D257" s="1" t="s">
        <v>65</v>
      </c>
      <c r="E257" s="1" t="s">
        <v>66</v>
      </c>
      <c r="F257" s="1" t="s">
        <v>67</v>
      </c>
      <c r="G257" s="1">
        <v>1.0</v>
      </c>
      <c r="H257" s="2">
        <v>0.2048611111111111</v>
      </c>
    </row>
    <row r="258">
      <c r="A258" s="1" t="s">
        <v>321</v>
      </c>
      <c r="B258" s="1" t="s">
        <v>133</v>
      </c>
      <c r="C258" s="1">
        <v>7.0</v>
      </c>
      <c r="D258" s="1" t="s">
        <v>143</v>
      </c>
      <c r="E258" s="1" t="s">
        <v>144</v>
      </c>
      <c r="F258" s="1" t="s">
        <v>143</v>
      </c>
      <c r="G258" s="1">
        <v>0.0</v>
      </c>
      <c r="H258" s="2">
        <v>0.14027777777777778</v>
      </c>
    </row>
    <row r="259">
      <c r="A259" s="1" t="s">
        <v>321</v>
      </c>
      <c r="B259" s="1" t="s">
        <v>133</v>
      </c>
      <c r="C259" s="1">
        <v>8.0</v>
      </c>
      <c r="D259" s="1" t="s">
        <v>141</v>
      </c>
      <c r="E259" s="1" t="s">
        <v>142</v>
      </c>
      <c r="F259" s="1" t="s">
        <v>141</v>
      </c>
      <c r="G259" s="1">
        <v>0.0</v>
      </c>
      <c r="H259" s="2">
        <v>0.13680555555555557</v>
      </c>
    </row>
    <row r="260">
      <c r="A260" s="1" t="s">
        <v>321</v>
      </c>
      <c r="B260" s="1" t="s">
        <v>133</v>
      </c>
      <c r="C260" s="1">
        <v>9.0</v>
      </c>
      <c r="D260" s="1" t="s">
        <v>147</v>
      </c>
      <c r="E260" s="1" t="s">
        <v>148</v>
      </c>
      <c r="F260" s="1" t="s">
        <v>149</v>
      </c>
      <c r="G260" s="1">
        <v>0.0</v>
      </c>
      <c r="H260" s="2">
        <v>0.17291666666666666</v>
      </c>
    </row>
    <row r="261">
      <c r="A261" s="1" t="s">
        <v>321</v>
      </c>
      <c r="B261" s="1" t="s">
        <v>133</v>
      </c>
      <c r="C261" s="1">
        <v>10.0</v>
      </c>
      <c r="D261" s="1" t="s">
        <v>136</v>
      </c>
      <c r="E261" s="1" t="s">
        <v>137</v>
      </c>
      <c r="F261" s="1" t="s">
        <v>138</v>
      </c>
      <c r="G261" s="1">
        <v>0.0</v>
      </c>
      <c r="H261" s="2">
        <v>0.16111111111111112</v>
      </c>
    </row>
    <row r="262">
      <c r="A262" s="1" t="s">
        <v>321</v>
      </c>
      <c r="B262" s="1" t="s">
        <v>133</v>
      </c>
      <c r="C262" s="1">
        <v>11.0</v>
      </c>
      <c r="D262" s="1" t="s">
        <v>157</v>
      </c>
      <c r="E262" s="1" t="s">
        <v>158</v>
      </c>
      <c r="F262" s="1" t="s">
        <v>159</v>
      </c>
      <c r="G262" s="1">
        <v>0.0</v>
      </c>
      <c r="H262" s="2">
        <v>0.12777777777777777</v>
      </c>
    </row>
    <row r="263">
      <c r="A263" s="1" t="s">
        <v>321</v>
      </c>
      <c r="B263" s="1" t="s">
        <v>133</v>
      </c>
      <c r="C263" s="1">
        <v>12.0</v>
      </c>
      <c r="D263" s="1" t="s">
        <v>86</v>
      </c>
      <c r="E263" s="1" t="s">
        <v>87</v>
      </c>
      <c r="F263" s="1" t="s">
        <v>86</v>
      </c>
      <c r="G263" s="1">
        <v>0.0</v>
      </c>
      <c r="H263" s="2">
        <v>0.1388888888888889</v>
      </c>
    </row>
    <row r="264">
      <c r="A264" s="1" t="s">
        <v>321</v>
      </c>
      <c r="B264" s="1" t="s">
        <v>133</v>
      </c>
      <c r="C264" s="1">
        <v>13.0</v>
      </c>
      <c r="D264" s="1" t="s">
        <v>324</v>
      </c>
      <c r="E264" s="1" t="s">
        <v>325</v>
      </c>
      <c r="F264" s="1" t="s">
        <v>324</v>
      </c>
      <c r="G264" s="1">
        <v>1.0</v>
      </c>
      <c r="H264" s="2">
        <v>0.15763888888888888</v>
      </c>
    </row>
    <row r="265">
      <c r="A265" s="1" t="s">
        <v>321</v>
      </c>
      <c r="B265" s="1" t="s">
        <v>133</v>
      </c>
      <c r="C265" s="1">
        <v>14.0</v>
      </c>
      <c r="D265" s="1" t="s">
        <v>161</v>
      </c>
      <c r="E265" s="1" t="s">
        <v>162</v>
      </c>
      <c r="F265" s="1" t="s">
        <v>161</v>
      </c>
      <c r="G265" s="1">
        <v>0.0</v>
      </c>
      <c r="H265" s="2">
        <v>0.15694444444444444</v>
      </c>
    </row>
    <row r="266">
      <c r="A266" s="1" t="s">
        <v>321</v>
      </c>
      <c r="B266" s="1" t="s">
        <v>133</v>
      </c>
      <c r="C266" s="1">
        <v>15.0</v>
      </c>
      <c r="D266" s="1" t="s">
        <v>169</v>
      </c>
      <c r="E266" s="1" t="s">
        <v>170</v>
      </c>
      <c r="F266" s="1" t="s">
        <v>171</v>
      </c>
      <c r="G266" s="1">
        <v>0.0</v>
      </c>
      <c r="H266" s="2">
        <v>0.1451388888888889</v>
      </c>
    </row>
    <row r="267">
      <c r="A267" s="1" t="s">
        <v>321</v>
      </c>
      <c r="B267" s="1" t="s">
        <v>133</v>
      </c>
      <c r="C267" s="1">
        <v>16.0</v>
      </c>
      <c r="D267" s="1" t="s">
        <v>177</v>
      </c>
      <c r="E267" s="1" t="s">
        <v>178</v>
      </c>
      <c r="F267" s="1" t="s">
        <v>67</v>
      </c>
      <c r="G267" s="1">
        <v>1.0</v>
      </c>
      <c r="H267" s="2">
        <v>0.14583333333333334</v>
      </c>
    </row>
    <row r="268">
      <c r="A268" s="1" t="s">
        <v>321</v>
      </c>
      <c r="B268" s="1" t="s">
        <v>133</v>
      </c>
      <c r="C268" s="1">
        <v>17.0</v>
      </c>
      <c r="D268" s="1" t="s">
        <v>151</v>
      </c>
      <c r="E268" s="1" t="s">
        <v>152</v>
      </c>
      <c r="F268" s="1" t="s">
        <v>153</v>
      </c>
      <c r="G268" s="1">
        <v>1.0</v>
      </c>
      <c r="H268" s="2">
        <v>0.1486111111111111</v>
      </c>
    </row>
    <row r="269">
      <c r="A269" s="1" t="s">
        <v>321</v>
      </c>
      <c r="B269" s="1" t="s">
        <v>133</v>
      </c>
      <c r="C269" s="1">
        <v>18.0</v>
      </c>
      <c r="D269" s="1" t="s">
        <v>160</v>
      </c>
      <c r="E269" s="1" t="s">
        <v>109</v>
      </c>
      <c r="F269" s="1" t="s">
        <v>110</v>
      </c>
      <c r="G269" s="1">
        <v>0.0</v>
      </c>
      <c r="H269" s="2">
        <v>0.1388888888888889</v>
      </c>
    </row>
    <row r="270">
      <c r="A270" s="1" t="s">
        <v>321</v>
      </c>
      <c r="B270" s="1" t="s">
        <v>133</v>
      </c>
      <c r="C270" s="1">
        <v>19.0</v>
      </c>
      <c r="D270" s="1" t="s">
        <v>326</v>
      </c>
      <c r="E270" s="1" t="s">
        <v>327</v>
      </c>
      <c r="F270" s="1" t="s">
        <v>328</v>
      </c>
      <c r="G270" s="1">
        <v>0.0</v>
      </c>
      <c r="H270" s="2">
        <v>0.1798611111111111</v>
      </c>
    </row>
    <row r="271">
      <c r="A271" s="1" t="s">
        <v>321</v>
      </c>
      <c r="B271" s="1" t="s">
        <v>133</v>
      </c>
      <c r="C271" s="1">
        <v>20.0</v>
      </c>
      <c r="D271" s="1" t="s">
        <v>206</v>
      </c>
      <c r="E271" s="1" t="s">
        <v>72</v>
      </c>
      <c r="F271" s="1" t="s">
        <v>207</v>
      </c>
      <c r="G271" s="1">
        <v>1.0</v>
      </c>
      <c r="H271" s="2">
        <v>0.12361111111111112</v>
      </c>
    </row>
    <row r="272">
      <c r="A272" s="1" t="s">
        <v>321</v>
      </c>
      <c r="B272" s="1" t="s">
        <v>133</v>
      </c>
      <c r="C272" s="1">
        <v>21.0</v>
      </c>
      <c r="D272" s="1" t="s">
        <v>173</v>
      </c>
      <c r="E272" s="1" t="s">
        <v>109</v>
      </c>
      <c r="F272" s="1" t="s">
        <v>110</v>
      </c>
      <c r="G272" s="1">
        <v>0.0</v>
      </c>
      <c r="H272" s="2">
        <v>0.10902777777777778</v>
      </c>
    </row>
    <row r="273">
      <c r="A273" s="1" t="s">
        <v>321</v>
      </c>
      <c r="B273" s="1" t="s">
        <v>133</v>
      </c>
      <c r="C273" s="1">
        <v>22.0</v>
      </c>
      <c r="D273" s="1" t="s">
        <v>131</v>
      </c>
      <c r="E273" s="1" t="s">
        <v>150</v>
      </c>
      <c r="F273" s="1" t="s">
        <v>131</v>
      </c>
      <c r="G273" s="1">
        <v>0.0</v>
      </c>
      <c r="H273" s="2">
        <v>0.12638888888888888</v>
      </c>
    </row>
    <row r="274">
      <c r="A274" s="1" t="s">
        <v>321</v>
      </c>
      <c r="B274" s="1" t="s">
        <v>133</v>
      </c>
      <c r="C274" s="1">
        <v>23.0</v>
      </c>
      <c r="D274" s="1" t="s">
        <v>163</v>
      </c>
      <c r="E274" s="1" t="s">
        <v>164</v>
      </c>
      <c r="F274" s="1" t="s">
        <v>163</v>
      </c>
      <c r="G274" s="1">
        <v>1.0</v>
      </c>
      <c r="H274" s="2">
        <v>0.14722222222222223</v>
      </c>
    </row>
    <row r="275">
      <c r="A275" s="1" t="s">
        <v>321</v>
      </c>
      <c r="B275" s="1" t="s">
        <v>133</v>
      </c>
      <c r="C275" s="1">
        <v>24.0</v>
      </c>
      <c r="D275" s="1" t="s">
        <v>329</v>
      </c>
      <c r="E275" s="1" t="s">
        <v>109</v>
      </c>
      <c r="F275" s="1" t="s">
        <v>110</v>
      </c>
      <c r="G275" s="1">
        <v>0.0</v>
      </c>
      <c r="H275" s="2">
        <v>0.1423611111111111</v>
      </c>
    </row>
    <row r="276">
      <c r="A276" s="1" t="s">
        <v>321</v>
      </c>
      <c r="B276" s="1" t="s">
        <v>133</v>
      </c>
      <c r="C276" s="1">
        <v>25.0</v>
      </c>
      <c r="D276" s="1" t="s">
        <v>165</v>
      </c>
      <c r="E276" s="1" t="s">
        <v>166</v>
      </c>
      <c r="F276" s="1" t="s">
        <v>165</v>
      </c>
      <c r="G276" s="1">
        <v>0.0</v>
      </c>
      <c r="H276" s="2">
        <v>0.13819444444444445</v>
      </c>
    </row>
    <row r="277">
      <c r="A277" s="1" t="s">
        <v>321</v>
      </c>
      <c r="B277" s="1" t="s">
        <v>133</v>
      </c>
      <c r="C277" s="1">
        <v>26.0</v>
      </c>
      <c r="D277" s="1" t="s">
        <v>33</v>
      </c>
      <c r="E277" s="1" t="s">
        <v>34</v>
      </c>
      <c r="F277" s="1" t="s">
        <v>35</v>
      </c>
      <c r="G277" s="1">
        <v>0.0</v>
      </c>
      <c r="H277" s="2">
        <v>0.1451388888888889</v>
      </c>
    </row>
    <row r="278">
      <c r="A278" s="1" t="s">
        <v>321</v>
      </c>
      <c r="B278" s="1" t="s">
        <v>133</v>
      </c>
      <c r="C278" s="1">
        <v>27.0</v>
      </c>
      <c r="D278" s="1" t="s">
        <v>27</v>
      </c>
      <c r="E278" s="1" t="s">
        <v>28</v>
      </c>
      <c r="F278" s="1" t="s">
        <v>29</v>
      </c>
      <c r="G278" s="1">
        <v>0.0</v>
      </c>
      <c r="H278" s="2">
        <v>0.12708333333333333</v>
      </c>
    </row>
    <row r="279">
      <c r="A279" s="1" t="s">
        <v>321</v>
      </c>
      <c r="B279" s="1" t="s">
        <v>133</v>
      </c>
      <c r="C279" s="1">
        <v>28.0</v>
      </c>
      <c r="D279" s="1" t="s">
        <v>23</v>
      </c>
      <c r="E279" s="1" t="s">
        <v>24</v>
      </c>
      <c r="F279" s="1" t="s">
        <v>23</v>
      </c>
      <c r="G279" s="1">
        <v>0.0</v>
      </c>
      <c r="H279" s="2">
        <v>0.12013888888888889</v>
      </c>
    </row>
    <row r="280">
      <c r="A280" s="1" t="s">
        <v>321</v>
      </c>
      <c r="B280" s="1" t="s">
        <v>133</v>
      </c>
      <c r="C280" s="1">
        <v>29.0</v>
      </c>
      <c r="D280" s="1" t="s">
        <v>330</v>
      </c>
      <c r="E280" s="1" t="s">
        <v>72</v>
      </c>
      <c r="F280" s="1" t="s">
        <v>67</v>
      </c>
      <c r="G280" s="1">
        <v>0.0</v>
      </c>
      <c r="H280" s="2">
        <v>0.11805555555555555</v>
      </c>
    </row>
    <row r="281">
      <c r="A281" s="1" t="s">
        <v>321</v>
      </c>
      <c r="B281" s="1" t="s">
        <v>133</v>
      </c>
      <c r="C281" s="1">
        <v>30.0</v>
      </c>
      <c r="D281" s="1" t="s">
        <v>192</v>
      </c>
      <c r="E281" s="1" t="s">
        <v>193</v>
      </c>
      <c r="F281" s="1" t="s">
        <v>131</v>
      </c>
      <c r="G281" s="1">
        <v>0.0</v>
      </c>
      <c r="H281" s="2">
        <v>0.12430555555555556</v>
      </c>
    </row>
    <row r="282">
      <c r="A282" s="1" t="s">
        <v>321</v>
      </c>
      <c r="B282" s="1" t="s">
        <v>133</v>
      </c>
      <c r="C282" s="1">
        <v>31.0</v>
      </c>
      <c r="D282" s="1" t="s">
        <v>172</v>
      </c>
      <c r="E282" s="1" t="s">
        <v>72</v>
      </c>
      <c r="F282" s="1" t="s">
        <v>67</v>
      </c>
      <c r="G282" s="1">
        <v>1.0</v>
      </c>
      <c r="H282" s="2">
        <v>0.11319444444444444</v>
      </c>
    </row>
    <row r="283">
      <c r="A283" s="1" t="s">
        <v>321</v>
      </c>
      <c r="B283" s="1" t="s">
        <v>133</v>
      </c>
      <c r="C283" s="1">
        <v>32.0</v>
      </c>
      <c r="D283" s="1" t="s">
        <v>331</v>
      </c>
      <c r="E283" s="1" t="s">
        <v>332</v>
      </c>
      <c r="F283" s="1" t="s">
        <v>333</v>
      </c>
      <c r="G283" s="1">
        <v>0.0</v>
      </c>
      <c r="H283" s="2">
        <v>0.16805555555555557</v>
      </c>
    </row>
    <row r="284">
      <c r="A284" s="1" t="s">
        <v>321</v>
      </c>
      <c r="B284" s="1" t="s">
        <v>133</v>
      </c>
      <c r="C284" s="1">
        <v>33.0</v>
      </c>
      <c r="D284" s="1" t="s">
        <v>334</v>
      </c>
      <c r="E284" s="1" t="s">
        <v>335</v>
      </c>
      <c r="F284" s="1" t="s">
        <v>334</v>
      </c>
      <c r="G284" s="1">
        <v>0.0</v>
      </c>
      <c r="H284" s="2">
        <v>0.15069444444444444</v>
      </c>
    </row>
    <row r="285">
      <c r="A285" s="1" t="s">
        <v>321</v>
      </c>
      <c r="B285" s="1" t="s">
        <v>133</v>
      </c>
      <c r="C285" s="1">
        <v>34.0</v>
      </c>
      <c r="D285" s="1" t="s">
        <v>336</v>
      </c>
      <c r="E285" s="1" t="s">
        <v>337</v>
      </c>
      <c r="F285" s="1" t="s">
        <v>336</v>
      </c>
      <c r="G285" s="1">
        <v>0.0</v>
      </c>
      <c r="H285" s="2">
        <v>0.1326388888888889</v>
      </c>
    </row>
    <row r="286">
      <c r="A286" s="1" t="s">
        <v>321</v>
      </c>
      <c r="B286" s="1" t="s">
        <v>133</v>
      </c>
      <c r="C286" s="1">
        <v>35.0</v>
      </c>
      <c r="D286" s="1" t="s">
        <v>190</v>
      </c>
      <c r="E286" s="1" t="s">
        <v>191</v>
      </c>
      <c r="F286" s="1" t="s">
        <v>190</v>
      </c>
      <c r="G286" s="1">
        <v>0.0</v>
      </c>
      <c r="H286" s="2">
        <v>0.14652777777777778</v>
      </c>
    </row>
    <row r="287">
      <c r="A287" s="1" t="s">
        <v>321</v>
      </c>
      <c r="B287" s="1" t="s">
        <v>133</v>
      </c>
      <c r="C287" s="1">
        <v>36.0</v>
      </c>
      <c r="D287" s="1" t="s">
        <v>338</v>
      </c>
      <c r="E287" s="1" t="s">
        <v>339</v>
      </c>
      <c r="F287" s="1" t="s">
        <v>340</v>
      </c>
      <c r="G287" s="1">
        <v>0.0</v>
      </c>
      <c r="H287" s="2">
        <v>0.13125</v>
      </c>
    </row>
    <row r="288">
      <c r="A288" s="1" t="s">
        <v>321</v>
      </c>
      <c r="B288" s="1" t="s">
        <v>133</v>
      </c>
      <c r="C288" s="1">
        <v>37.0</v>
      </c>
      <c r="D288" s="1" t="s">
        <v>341</v>
      </c>
      <c r="E288" s="1" t="s">
        <v>342</v>
      </c>
      <c r="F288" s="1" t="s">
        <v>343</v>
      </c>
      <c r="G288" s="1">
        <v>0.0</v>
      </c>
      <c r="H288" s="2">
        <v>0.11875</v>
      </c>
    </row>
    <row r="289">
      <c r="A289" s="1" t="s">
        <v>321</v>
      </c>
      <c r="B289" s="1" t="s">
        <v>133</v>
      </c>
      <c r="C289" s="1">
        <v>38.0</v>
      </c>
      <c r="D289" s="1" t="s">
        <v>172</v>
      </c>
      <c r="E289" s="1" t="s">
        <v>130</v>
      </c>
      <c r="F289" s="1" t="s">
        <v>131</v>
      </c>
      <c r="G289" s="1">
        <v>0.0</v>
      </c>
      <c r="H289" s="2">
        <v>0.10972222222222222</v>
      </c>
    </row>
    <row r="290">
      <c r="A290" s="1" t="s">
        <v>321</v>
      </c>
      <c r="B290" s="1" t="s">
        <v>133</v>
      </c>
      <c r="C290" s="1">
        <v>39.0</v>
      </c>
      <c r="D290" s="1" t="s">
        <v>344</v>
      </c>
      <c r="E290" s="1" t="s">
        <v>345</v>
      </c>
      <c r="F290" s="1" t="s">
        <v>346</v>
      </c>
      <c r="G290" s="1">
        <v>0.0</v>
      </c>
      <c r="H290" s="2">
        <v>0.21458333333333332</v>
      </c>
    </row>
    <row r="291">
      <c r="A291" s="1" t="s">
        <v>321</v>
      </c>
      <c r="B291" s="1" t="s">
        <v>133</v>
      </c>
      <c r="C291" s="1">
        <v>40.0</v>
      </c>
      <c r="D291" s="1" t="s">
        <v>347</v>
      </c>
      <c r="E291" s="1" t="s">
        <v>348</v>
      </c>
      <c r="F291" s="1" t="s">
        <v>131</v>
      </c>
      <c r="G291" s="1">
        <v>0.0</v>
      </c>
      <c r="H291" s="2">
        <v>0.12291666666666666</v>
      </c>
    </row>
    <row r="292">
      <c r="A292" s="1" t="s">
        <v>321</v>
      </c>
      <c r="B292" s="1" t="s">
        <v>133</v>
      </c>
      <c r="C292" s="1">
        <v>41.0</v>
      </c>
      <c r="D292" s="1" t="s">
        <v>349</v>
      </c>
      <c r="E292" s="1" t="s">
        <v>72</v>
      </c>
      <c r="F292" s="1" t="s">
        <v>67</v>
      </c>
      <c r="G292" s="1">
        <v>1.0</v>
      </c>
      <c r="H292" s="2">
        <v>0.13333333333333333</v>
      </c>
    </row>
    <row r="293">
      <c r="A293" s="1" t="s">
        <v>321</v>
      </c>
      <c r="B293" s="1" t="s">
        <v>133</v>
      </c>
      <c r="C293" s="1">
        <v>42.0</v>
      </c>
      <c r="D293" s="1" t="s">
        <v>350</v>
      </c>
      <c r="E293" s="1" t="s">
        <v>351</v>
      </c>
      <c r="F293" s="1" t="s">
        <v>350</v>
      </c>
      <c r="G293" s="1">
        <v>0.0</v>
      </c>
      <c r="H293" s="2">
        <v>0.13402777777777777</v>
      </c>
    </row>
    <row r="294">
      <c r="A294" s="1" t="s">
        <v>321</v>
      </c>
      <c r="B294" s="1" t="s">
        <v>133</v>
      </c>
      <c r="C294" s="1">
        <v>43.0</v>
      </c>
      <c r="D294" s="1" t="s">
        <v>17</v>
      </c>
      <c r="E294" s="1" t="s">
        <v>18</v>
      </c>
      <c r="F294" s="1" t="s">
        <v>19</v>
      </c>
      <c r="G294" s="1">
        <v>1.0</v>
      </c>
      <c r="H294" s="2">
        <v>0.12222222222222222</v>
      </c>
    </row>
    <row r="295">
      <c r="A295" s="1" t="s">
        <v>321</v>
      </c>
      <c r="B295" s="1" t="s">
        <v>133</v>
      </c>
      <c r="C295" s="1">
        <v>44.0</v>
      </c>
      <c r="D295" s="1" t="s">
        <v>352</v>
      </c>
      <c r="E295" s="1" t="s">
        <v>353</v>
      </c>
      <c r="F295" s="1" t="s">
        <v>207</v>
      </c>
      <c r="G295" s="1">
        <v>1.0</v>
      </c>
      <c r="H295" s="2">
        <v>0.1451388888888889</v>
      </c>
    </row>
    <row r="296">
      <c r="A296" s="1" t="s">
        <v>321</v>
      </c>
      <c r="B296" s="1" t="s">
        <v>133</v>
      </c>
      <c r="C296" s="1">
        <v>45.0</v>
      </c>
      <c r="D296" s="1" t="s">
        <v>179</v>
      </c>
      <c r="E296" s="1" t="s">
        <v>180</v>
      </c>
      <c r="F296" s="1" t="s">
        <v>181</v>
      </c>
      <c r="G296" s="1">
        <v>1.0</v>
      </c>
      <c r="H296" s="2">
        <v>0.20069444444444445</v>
      </c>
    </row>
    <row r="297">
      <c r="A297" s="1" t="s">
        <v>321</v>
      </c>
      <c r="B297" s="1" t="s">
        <v>133</v>
      </c>
      <c r="C297" s="1">
        <v>46.0</v>
      </c>
      <c r="D297" s="1" t="s">
        <v>354</v>
      </c>
      <c r="E297" s="1" t="s">
        <v>355</v>
      </c>
      <c r="F297" s="1" t="s">
        <v>356</v>
      </c>
      <c r="G297" s="1">
        <v>0.0</v>
      </c>
      <c r="H297" s="2">
        <v>0.12569444444444444</v>
      </c>
    </row>
    <row r="298">
      <c r="A298" s="1" t="s">
        <v>321</v>
      </c>
      <c r="B298" s="1" t="s">
        <v>133</v>
      </c>
      <c r="C298" s="1">
        <v>47.0</v>
      </c>
      <c r="D298" s="1" t="s">
        <v>357</v>
      </c>
      <c r="E298" s="1" t="s">
        <v>358</v>
      </c>
      <c r="F298" s="1" t="s">
        <v>359</v>
      </c>
      <c r="G298" s="1">
        <v>1.0</v>
      </c>
      <c r="H298" s="2">
        <v>0.14166666666666666</v>
      </c>
    </row>
    <row r="299">
      <c r="A299" s="1" t="s">
        <v>321</v>
      </c>
      <c r="B299" s="1" t="s">
        <v>133</v>
      </c>
      <c r="C299" s="1">
        <v>48.0</v>
      </c>
      <c r="D299" s="1" t="s">
        <v>360</v>
      </c>
      <c r="E299" s="1" t="s">
        <v>361</v>
      </c>
      <c r="F299" s="1" t="s">
        <v>360</v>
      </c>
      <c r="G299" s="1">
        <v>0.0</v>
      </c>
      <c r="H299" s="2">
        <v>0.20902777777777778</v>
      </c>
    </row>
    <row r="300">
      <c r="A300" s="1" t="s">
        <v>321</v>
      </c>
      <c r="B300" s="1" t="s">
        <v>133</v>
      </c>
      <c r="C300" s="1">
        <v>49.0</v>
      </c>
      <c r="D300" s="1" t="s">
        <v>9</v>
      </c>
      <c r="E300" s="1" t="s">
        <v>10</v>
      </c>
      <c r="F300" s="1" t="s">
        <v>9</v>
      </c>
      <c r="G300" s="1">
        <v>0.0</v>
      </c>
      <c r="H300" s="2">
        <v>0.12638888888888888</v>
      </c>
    </row>
    <row r="301">
      <c r="A301" s="1" t="s">
        <v>321</v>
      </c>
      <c r="B301" s="1" t="s">
        <v>133</v>
      </c>
      <c r="C301" s="1">
        <v>50.0</v>
      </c>
      <c r="D301" s="1" t="s">
        <v>212</v>
      </c>
      <c r="E301" s="1" t="s">
        <v>213</v>
      </c>
      <c r="F301" s="1" t="s">
        <v>214</v>
      </c>
      <c r="G301" s="1">
        <v>1.0</v>
      </c>
      <c r="H301" s="2">
        <v>0.2111111111111111</v>
      </c>
    </row>
    <row r="302">
      <c r="A302" s="1" t="s">
        <v>362</v>
      </c>
      <c r="B302" s="1" t="s">
        <v>133</v>
      </c>
      <c r="C302" s="1">
        <v>1.0</v>
      </c>
      <c r="D302" s="1" t="s">
        <v>363</v>
      </c>
      <c r="E302" s="1" t="s">
        <v>364</v>
      </c>
      <c r="F302" s="1" t="s">
        <v>365</v>
      </c>
      <c r="G302" s="1">
        <v>0.0</v>
      </c>
      <c r="H302" s="2">
        <v>0.16458333333333333</v>
      </c>
    </row>
    <row r="303">
      <c r="A303" s="1" t="s">
        <v>362</v>
      </c>
      <c r="B303" s="1" t="s">
        <v>133</v>
      </c>
      <c r="C303" s="1">
        <v>2.0</v>
      </c>
      <c r="D303" s="1" t="s">
        <v>366</v>
      </c>
      <c r="E303" s="1" t="s">
        <v>364</v>
      </c>
      <c r="F303" s="1" t="s">
        <v>366</v>
      </c>
      <c r="G303" s="1">
        <v>0.0</v>
      </c>
      <c r="H303" s="2">
        <v>0.14583333333333334</v>
      </c>
    </row>
    <row r="304">
      <c r="A304" s="1" t="s">
        <v>362</v>
      </c>
      <c r="B304" s="1" t="s">
        <v>133</v>
      </c>
      <c r="C304" s="1">
        <v>3.0</v>
      </c>
      <c r="D304" s="1" t="s">
        <v>9</v>
      </c>
      <c r="E304" s="1" t="s">
        <v>10</v>
      </c>
      <c r="F304" s="1" t="s">
        <v>9</v>
      </c>
      <c r="G304" s="1">
        <v>0.0</v>
      </c>
      <c r="H304" s="2">
        <v>0.12638888888888888</v>
      </c>
    </row>
    <row r="305">
      <c r="A305" s="1" t="s">
        <v>362</v>
      </c>
      <c r="B305" s="1" t="s">
        <v>133</v>
      </c>
      <c r="C305" s="1">
        <v>4.0</v>
      </c>
      <c r="D305" s="1" t="s">
        <v>367</v>
      </c>
      <c r="E305" s="1" t="s">
        <v>368</v>
      </c>
      <c r="F305" s="1" t="s">
        <v>369</v>
      </c>
      <c r="G305" s="1">
        <v>0.0</v>
      </c>
      <c r="H305" s="2">
        <v>0.12986111111111112</v>
      </c>
    </row>
    <row r="306">
      <c r="A306" s="1" t="s">
        <v>362</v>
      </c>
      <c r="B306" s="1" t="s">
        <v>133</v>
      </c>
      <c r="C306" s="1">
        <v>5.0</v>
      </c>
      <c r="D306" s="1" t="s">
        <v>370</v>
      </c>
      <c r="E306" s="1" t="s">
        <v>371</v>
      </c>
      <c r="F306" s="1" t="s">
        <v>370</v>
      </c>
      <c r="G306" s="1">
        <v>0.0</v>
      </c>
      <c r="H306" s="2">
        <v>0.08958333333333333</v>
      </c>
    </row>
    <row r="307">
      <c r="A307" s="1" t="s">
        <v>362</v>
      </c>
      <c r="B307" s="1" t="s">
        <v>133</v>
      </c>
      <c r="C307" s="1">
        <v>6.0</v>
      </c>
      <c r="D307" s="1" t="s">
        <v>372</v>
      </c>
      <c r="E307" s="1" t="s">
        <v>373</v>
      </c>
      <c r="F307" s="1" t="s">
        <v>372</v>
      </c>
      <c r="G307" s="1">
        <v>1.0</v>
      </c>
      <c r="H307" s="2">
        <v>0.10833333333333334</v>
      </c>
    </row>
    <row r="308">
      <c r="A308" s="1" t="s">
        <v>362</v>
      </c>
      <c r="B308" s="1" t="s">
        <v>133</v>
      </c>
      <c r="C308" s="1">
        <v>7.0</v>
      </c>
      <c r="D308" s="1" t="s">
        <v>374</v>
      </c>
      <c r="E308" s="1" t="s">
        <v>375</v>
      </c>
      <c r="F308" s="1" t="s">
        <v>376</v>
      </c>
      <c r="G308" s="1">
        <v>0.0</v>
      </c>
      <c r="H308" s="2">
        <v>0.17291666666666666</v>
      </c>
    </row>
    <row r="309">
      <c r="A309" s="1" t="s">
        <v>362</v>
      </c>
      <c r="B309" s="1" t="s">
        <v>133</v>
      </c>
      <c r="C309" s="1">
        <v>8.0</v>
      </c>
      <c r="D309" s="1" t="s">
        <v>377</v>
      </c>
      <c r="E309" s="1" t="s">
        <v>378</v>
      </c>
      <c r="F309" s="1" t="s">
        <v>379</v>
      </c>
      <c r="G309" s="1">
        <v>0.0</v>
      </c>
      <c r="H309" s="2">
        <v>0.11527777777777778</v>
      </c>
    </row>
    <row r="310">
      <c r="A310" s="1" t="s">
        <v>362</v>
      </c>
      <c r="B310" s="1" t="s">
        <v>133</v>
      </c>
      <c r="C310" s="1">
        <v>9.0</v>
      </c>
      <c r="D310" s="1" t="s">
        <v>380</v>
      </c>
      <c r="E310" s="1" t="s">
        <v>381</v>
      </c>
      <c r="F310" s="1" t="s">
        <v>382</v>
      </c>
      <c r="G310" s="1">
        <v>0.0</v>
      </c>
      <c r="H310" s="2">
        <v>0.11805555555555555</v>
      </c>
    </row>
    <row r="311">
      <c r="A311" s="1" t="s">
        <v>362</v>
      </c>
      <c r="B311" s="1" t="s">
        <v>133</v>
      </c>
      <c r="C311" s="1">
        <v>10.0</v>
      </c>
      <c r="D311" s="1" t="s">
        <v>383</v>
      </c>
      <c r="E311" s="1" t="s">
        <v>384</v>
      </c>
      <c r="F311" s="1" t="s">
        <v>385</v>
      </c>
      <c r="G311" s="1">
        <v>0.0</v>
      </c>
      <c r="H311" s="2">
        <v>0.11805555555555555</v>
      </c>
    </row>
    <row r="312">
      <c r="A312" s="1" t="s">
        <v>362</v>
      </c>
      <c r="B312" s="1" t="s">
        <v>133</v>
      </c>
      <c r="C312" s="1">
        <v>11.0</v>
      </c>
      <c r="D312" s="1" t="s">
        <v>386</v>
      </c>
      <c r="E312" s="1" t="s">
        <v>368</v>
      </c>
      <c r="F312" s="1" t="s">
        <v>369</v>
      </c>
      <c r="G312" s="1">
        <v>0.0</v>
      </c>
      <c r="H312" s="2">
        <v>0.13333333333333333</v>
      </c>
    </row>
    <row r="313">
      <c r="A313" s="1" t="s">
        <v>362</v>
      </c>
      <c r="B313" s="1" t="s">
        <v>133</v>
      </c>
      <c r="C313" s="1">
        <v>12.0</v>
      </c>
      <c r="D313" s="1" t="s">
        <v>387</v>
      </c>
      <c r="E313" s="1" t="s">
        <v>388</v>
      </c>
      <c r="F313" s="1" t="s">
        <v>387</v>
      </c>
      <c r="G313" s="1">
        <v>0.0</v>
      </c>
      <c r="H313" s="2">
        <v>0.12083333333333333</v>
      </c>
    </row>
    <row r="314">
      <c r="A314" s="1" t="s">
        <v>362</v>
      </c>
      <c r="B314" s="1" t="s">
        <v>133</v>
      </c>
      <c r="C314" s="1">
        <v>13.0</v>
      </c>
      <c r="D314" s="1" t="s">
        <v>389</v>
      </c>
      <c r="E314" s="1" t="s">
        <v>390</v>
      </c>
      <c r="F314" s="1" t="s">
        <v>389</v>
      </c>
      <c r="G314" s="1">
        <v>0.0</v>
      </c>
      <c r="H314" s="2">
        <v>0.11458333333333333</v>
      </c>
    </row>
    <row r="315">
      <c r="A315" s="1" t="s">
        <v>362</v>
      </c>
      <c r="B315" s="1" t="s">
        <v>133</v>
      </c>
      <c r="C315" s="1">
        <v>14.0</v>
      </c>
      <c r="D315" s="1" t="s">
        <v>391</v>
      </c>
      <c r="E315" s="1" t="s">
        <v>392</v>
      </c>
      <c r="F315" s="1" t="s">
        <v>391</v>
      </c>
      <c r="G315" s="1">
        <v>0.0</v>
      </c>
      <c r="H315" s="2">
        <v>0.11180555555555556</v>
      </c>
    </row>
    <row r="316">
      <c r="A316" s="1" t="s">
        <v>362</v>
      </c>
      <c r="B316" s="1" t="s">
        <v>133</v>
      </c>
      <c r="C316" s="1">
        <v>15.0</v>
      </c>
      <c r="D316" s="1" t="s">
        <v>27</v>
      </c>
      <c r="E316" s="1" t="s">
        <v>28</v>
      </c>
      <c r="F316" s="1" t="s">
        <v>29</v>
      </c>
      <c r="G316" s="1">
        <v>0.0</v>
      </c>
      <c r="H316" s="2">
        <v>0.12708333333333333</v>
      </c>
    </row>
    <row r="317">
      <c r="A317" s="1" t="s">
        <v>362</v>
      </c>
      <c r="B317" s="1" t="s">
        <v>133</v>
      </c>
      <c r="C317" s="1">
        <v>16.0</v>
      </c>
      <c r="D317" s="1" t="s">
        <v>393</v>
      </c>
      <c r="E317" s="1" t="s">
        <v>394</v>
      </c>
      <c r="F317" s="1" t="s">
        <v>393</v>
      </c>
      <c r="G317" s="1">
        <v>1.0</v>
      </c>
      <c r="H317" s="2">
        <v>0.1076388888888889</v>
      </c>
    </row>
    <row r="318">
      <c r="A318" s="1" t="s">
        <v>362</v>
      </c>
      <c r="B318" s="1" t="s">
        <v>133</v>
      </c>
      <c r="C318" s="1">
        <v>17.0</v>
      </c>
      <c r="D318" s="1" t="s">
        <v>395</v>
      </c>
      <c r="E318" s="1" t="s">
        <v>396</v>
      </c>
      <c r="F318" s="1" t="s">
        <v>397</v>
      </c>
      <c r="G318" s="1">
        <v>0.0</v>
      </c>
      <c r="H318" s="2">
        <v>0.10972222222222222</v>
      </c>
    </row>
    <row r="319">
      <c r="A319" s="1" t="s">
        <v>362</v>
      </c>
      <c r="B319" s="1" t="s">
        <v>133</v>
      </c>
      <c r="C319" s="1">
        <v>18.0</v>
      </c>
      <c r="D319" s="1" t="s">
        <v>398</v>
      </c>
      <c r="E319" s="1" t="s">
        <v>399</v>
      </c>
      <c r="F319" s="1" t="s">
        <v>400</v>
      </c>
      <c r="G319" s="1">
        <v>0.0</v>
      </c>
      <c r="H319" s="2">
        <v>0.12569444444444444</v>
      </c>
    </row>
    <row r="320">
      <c r="A320" s="1" t="s">
        <v>362</v>
      </c>
      <c r="B320" s="1" t="s">
        <v>133</v>
      </c>
      <c r="C320" s="1">
        <v>19.0</v>
      </c>
      <c r="D320" s="1" t="s">
        <v>401</v>
      </c>
      <c r="E320" s="1" t="s">
        <v>402</v>
      </c>
      <c r="F320" s="1" t="s">
        <v>403</v>
      </c>
      <c r="G320" s="1">
        <v>0.0</v>
      </c>
      <c r="H320" s="2">
        <v>0.13402777777777777</v>
      </c>
    </row>
    <row r="321">
      <c r="A321" s="1" t="s">
        <v>362</v>
      </c>
      <c r="B321" s="1" t="s">
        <v>133</v>
      </c>
      <c r="C321" s="1">
        <v>20.0</v>
      </c>
      <c r="D321" s="1" t="s">
        <v>17</v>
      </c>
      <c r="E321" s="1" t="s">
        <v>18</v>
      </c>
      <c r="F321" s="1" t="s">
        <v>19</v>
      </c>
      <c r="G321" s="1">
        <v>1.0</v>
      </c>
      <c r="H321" s="2">
        <v>0.12222222222222222</v>
      </c>
    </row>
    <row r="322">
      <c r="A322" s="1" t="s">
        <v>362</v>
      </c>
      <c r="B322" s="1" t="s">
        <v>133</v>
      </c>
      <c r="C322" s="1">
        <v>21.0</v>
      </c>
      <c r="D322" s="1" t="s">
        <v>404</v>
      </c>
      <c r="E322" s="1" t="s">
        <v>405</v>
      </c>
      <c r="F322" s="1" t="s">
        <v>406</v>
      </c>
      <c r="G322" s="1">
        <v>0.0</v>
      </c>
      <c r="H322" s="2">
        <v>0.14027777777777778</v>
      </c>
    </row>
    <row r="323">
      <c r="A323" s="1" t="s">
        <v>362</v>
      </c>
      <c r="B323" s="1" t="s">
        <v>133</v>
      </c>
      <c r="C323" s="1">
        <v>22.0</v>
      </c>
      <c r="D323" s="1" t="s">
        <v>407</v>
      </c>
      <c r="E323" s="1" t="s">
        <v>408</v>
      </c>
      <c r="F323" s="1" t="s">
        <v>409</v>
      </c>
      <c r="G323" s="1">
        <v>0.0</v>
      </c>
      <c r="H323" s="2">
        <v>0.13958333333333334</v>
      </c>
    </row>
    <row r="324">
      <c r="A324" s="1" t="s">
        <v>362</v>
      </c>
      <c r="B324" s="1" t="s">
        <v>133</v>
      </c>
      <c r="C324" s="1">
        <v>23.0</v>
      </c>
      <c r="D324" s="1" t="s">
        <v>410</v>
      </c>
      <c r="E324" s="1" t="s">
        <v>378</v>
      </c>
      <c r="F324" s="1" t="s">
        <v>411</v>
      </c>
      <c r="G324" s="1">
        <v>0.0</v>
      </c>
      <c r="H324" s="2">
        <v>0.12569444444444444</v>
      </c>
    </row>
    <row r="325">
      <c r="A325" s="1" t="s">
        <v>362</v>
      </c>
      <c r="B325" s="1" t="s">
        <v>133</v>
      </c>
      <c r="C325" s="1">
        <v>24.0</v>
      </c>
      <c r="D325" s="1" t="s">
        <v>412</v>
      </c>
      <c r="E325" s="1" t="s">
        <v>381</v>
      </c>
      <c r="F325" s="1" t="s">
        <v>413</v>
      </c>
      <c r="G325" s="1">
        <v>0.0</v>
      </c>
      <c r="H325" s="2">
        <v>0.10208333333333333</v>
      </c>
    </row>
    <row r="326">
      <c r="A326" s="1" t="s">
        <v>362</v>
      </c>
      <c r="B326" s="1" t="s">
        <v>133</v>
      </c>
      <c r="C326" s="1">
        <v>25.0</v>
      </c>
      <c r="D326" s="1" t="s">
        <v>414</v>
      </c>
      <c r="E326" s="1" t="s">
        <v>415</v>
      </c>
      <c r="F326" s="1" t="s">
        <v>414</v>
      </c>
      <c r="G326" s="1">
        <v>0.0</v>
      </c>
      <c r="H326" s="2">
        <v>0.09930555555555555</v>
      </c>
    </row>
    <row r="327">
      <c r="A327" s="1" t="s">
        <v>362</v>
      </c>
      <c r="B327" s="1" t="s">
        <v>133</v>
      </c>
      <c r="C327" s="1">
        <v>26.0</v>
      </c>
      <c r="D327" s="1" t="s">
        <v>416</v>
      </c>
      <c r="E327" s="1" t="s">
        <v>417</v>
      </c>
      <c r="F327" s="1" t="s">
        <v>418</v>
      </c>
      <c r="G327" s="1">
        <v>0.0</v>
      </c>
      <c r="H327" s="2">
        <v>0.12013888888888889</v>
      </c>
    </row>
    <row r="328">
      <c r="A328" s="1" t="s">
        <v>362</v>
      </c>
      <c r="B328" s="1" t="s">
        <v>133</v>
      </c>
      <c r="C328" s="1">
        <v>27.0</v>
      </c>
      <c r="D328" s="1" t="s">
        <v>419</v>
      </c>
      <c r="E328" s="1" t="s">
        <v>396</v>
      </c>
      <c r="F328" s="1" t="s">
        <v>397</v>
      </c>
      <c r="G328" s="1">
        <v>0.0</v>
      </c>
      <c r="H328" s="2">
        <v>0.12569444444444444</v>
      </c>
    </row>
    <row r="329">
      <c r="A329" s="1" t="s">
        <v>362</v>
      </c>
      <c r="B329" s="1" t="s">
        <v>133</v>
      </c>
      <c r="C329" s="1">
        <v>28.0</v>
      </c>
      <c r="D329" s="1" t="s">
        <v>23</v>
      </c>
      <c r="E329" s="1" t="s">
        <v>24</v>
      </c>
      <c r="F329" s="1" t="s">
        <v>23</v>
      </c>
      <c r="G329" s="1">
        <v>0.0</v>
      </c>
      <c r="H329" s="2">
        <v>0.12013888888888889</v>
      </c>
    </row>
    <row r="330">
      <c r="A330" s="1" t="s">
        <v>362</v>
      </c>
      <c r="B330" s="1" t="s">
        <v>133</v>
      </c>
      <c r="C330" s="1">
        <v>29.0</v>
      </c>
      <c r="D330" s="1" t="s">
        <v>420</v>
      </c>
      <c r="E330" s="1" t="s">
        <v>421</v>
      </c>
      <c r="F330" s="1" t="s">
        <v>422</v>
      </c>
      <c r="G330" s="1">
        <v>0.0</v>
      </c>
      <c r="H330" s="2">
        <v>0.10902777777777778</v>
      </c>
    </row>
    <row r="331">
      <c r="A331" s="1" t="s">
        <v>362</v>
      </c>
      <c r="B331" s="1" t="s">
        <v>133</v>
      </c>
      <c r="C331" s="1">
        <v>30.0</v>
      </c>
      <c r="D331" s="1" t="s">
        <v>423</v>
      </c>
      <c r="E331" s="1" t="s">
        <v>368</v>
      </c>
      <c r="F331" s="1" t="s">
        <v>369</v>
      </c>
      <c r="G331" s="1">
        <v>0.0</v>
      </c>
      <c r="H331" s="2">
        <v>0.13472222222222222</v>
      </c>
    </row>
    <row r="332">
      <c r="A332" s="1" t="s">
        <v>362</v>
      </c>
      <c r="B332" s="1" t="s">
        <v>133</v>
      </c>
      <c r="C332" s="1">
        <v>31.0</v>
      </c>
      <c r="D332" s="1" t="s">
        <v>424</v>
      </c>
      <c r="E332" s="1" t="s">
        <v>381</v>
      </c>
      <c r="F332" s="1" t="s">
        <v>424</v>
      </c>
      <c r="G332" s="1">
        <v>0.0</v>
      </c>
      <c r="H332" s="2">
        <v>0.1361111111111111</v>
      </c>
    </row>
    <row r="333">
      <c r="A333" s="1" t="s">
        <v>362</v>
      </c>
      <c r="B333" s="1" t="s">
        <v>133</v>
      </c>
      <c r="C333" s="1">
        <v>32.0</v>
      </c>
      <c r="D333" s="1" t="s">
        <v>425</v>
      </c>
      <c r="E333" s="1" t="s">
        <v>426</v>
      </c>
      <c r="F333" s="1" t="s">
        <v>427</v>
      </c>
      <c r="G333" s="1">
        <v>0.0</v>
      </c>
      <c r="H333" s="2">
        <v>0.13194444444444445</v>
      </c>
    </row>
    <row r="334">
      <c r="A334" s="1" t="s">
        <v>362</v>
      </c>
      <c r="B334" s="1" t="s">
        <v>133</v>
      </c>
      <c r="C334" s="1">
        <v>33.0</v>
      </c>
      <c r="D334" s="1" t="s">
        <v>33</v>
      </c>
      <c r="E334" s="1" t="s">
        <v>34</v>
      </c>
      <c r="F334" s="1" t="s">
        <v>35</v>
      </c>
      <c r="G334" s="1">
        <v>0.0</v>
      </c>
      <c r="H334" s="2">
        <v>0.1451388888888889</v>
      </c>
    </row>
    <row r="335">
      <c r="A335" s="1" t="s">
        <v>362</v>
      </c>
      <c r="B335" s="1" t="s">
        <v>133</v>
      </c>
      <c r="C335" s="1">
        <v>34.0</v>
      </c>
      <c r="D335" s="1" t="s">
        <v>11</v>
      </c>
      <c r="E335" s="1" t="s">
        <v>12</v>
      </c>
      <c r="F335" s="1" t="s">
        <v>13</v>
      </c>
      <c r="G335" s="1">
        <v>0.0</v>
      </c>
      <c r="H335" s="2">
        <v>0.1388888888888889</v>
      </c>
    </row>
    <row r="336">
      <c r="A336" s="1" t="s">
        <v>362</v>
      </c>
      <c r="B336" s="1" t="s">
        <v>133</v>
      </c>
      <c r="C336" s="1">
        <v>35.0</v>
      </c>
      <c r="D336" s="1" t="s">
        <v>428</v>
      </c>
      <c r="E336" s="1" t="s">
        <v>429</v>
      </c>
      <c r="F336" s="1" t="s">
        <v>428</v>
      </c>
      <c r="G336" s="1">
        <v>0.0</v>
      </c>
      <c r="H336" s="2">
        <v>0.0875</v>
      </c>
    </row>
    <row r="337">
      <c r="A337" s="1" t="s">
        <v>362</v>
      </c>
      <c r="B337" s="1" t="s">
        <v>133</v>
      </c>
      <c r="C337" s="1">
        <v>36.0</v>
      </c>
      <c r="D337" s="1" t="s">
        <v>430</v>
      </c>
      <c r="E337" s="1" t="s">
        <v>431</v>
      </c>
      <c r="F337" s="1" t="s">
        <v>430</v>
      </c>
      <c r="G337" s="1">
        <v>0.0</v>
      </c>
      <c r="H337" s="2">
        <v>0.10416666666666667</v>
      </c>
    </row>
    <row r="338">
      <c r="A338" s="1" t="s">
        <v>362</v>
      </c>
      <c r="B338" s="1" t="s">
        <v>133</v>
      </c>
      <c r="C338" s="1">
        <v>37.0</v>
      </c>
      <c r="D338" s="1" t="s">
        <v>432</v>
      </c>
      <c r="E338" s="1" t="s">
        <v>433</v>
      </c>
      <c r="F338" s="1" t="s">
        <v>432</v>
      </c>
      <c r="G338" s="1">
        <v>0.0</v>
      </c>
      <c r="H338" s="2">
        <v>0.125</v>
      </c>
    </row>
    <row r="339">
      <c r="A339" s="1" t="s">
        <v>362</v>
      </c>
      <c r="B339" s="1" t="s">
        <v>133</v>
      </c>
      <c r="C339" s="1">
        <v>38.0</v>
      </c>
      <c r="D339" s="1" t="s">
        <v>434</v>
      </c>
      <c r="E339" s="1" t="s">
        <v>435</v>
      </c>
      <c r="F339" s="1" t="s">
        <v>434</v>
      </c>
      <c r="G339" s="1">
        <v>0.0</v>
      </c>
      <c r="H339" s="2">
        <v>0.13055555555555556</v>
      </c>
    </row>
    <row r="340">
      <c r="A340" s="1" t="s">
        <v>362</v>
      </c>
      <c r="B340" s="1" t="s">
        <v>133</v>
      </c>
      <c r="C340" s="1">
        <v>39.0</v>
      </c>
      <c r="D340" s="1" t="s">
        <v>436</v>
      </c>
      <c r="E340" s="1" t="s">
        <v>437</v>
      </c>
      <c r="F340" s="1" t="s">
        <v>436</v>
      </c>
      <c r="G340" s="1">
        <v>0.0</v>
      </c>
      <c r="H340" s="2">
        <v>0.125</v>
      </c>
    </row>
    <row r="341">
      <c r="A341" s="1" t="s">
        <v>362</v>
      </c>
      <c r="B341" s="1" t="s">
        <v>133</v>
      </c>
      <c r="C341" s="1">
        <v>40.0</v>
      </c>
      <c r="D341" s="1" t="s">
        <v>438</v>
      </c>
      <c r="E341" s="1" t="s">
        <v>364</v>
      </c>
      <c r="F341" s="1" t="s">
        <v>365</v>
      </c>
      <c r="G341" s="1">
        <v>0.0</v>
      </c>
      <c r="H341" s="2">
        <v>0.10694444444444444</v>
      </c>
    </row>
    <row r="342">
      <c r="A342" s="1" t="s">
        <v>362</v>
      </c>
      <c r="B342" s="1" t="s">
        <v>133</v>
      </c>
      <c r="C342" s="1">
        <v>41.0</v>
      </c>
      <c r="D342" s="1" t="s">
        <v>439</v>
      </c>
      <c r="E342" s="1" t="s">
        <v>375</v>
      </c>
      <c r="F342" s="1" t="s">
        <v>376</v>
      </c>
      <c r="G342" s="1">
        <v>0.0</v>
      </c>
      <c r="H342" s="2">
        <v>0.1486111111111111</v>
      </c>
    </row>
    <row r="343">
      <c r="A343" s="1" t="s">
        <v>362</v>
      </c>
      <c r="B343" s="1" t="s">
        <v>133</v>
      </c>
      <c r="C343" s="1">
        <v>42.0</v>
      </c>
      <c r="D343" s="1" t="s">
        <v>440</v>
      </c>
      <c r="E343" s="1" t="s">
        <v>441</v>
      </c>
      <c r="F343" s="1" t="s">
        <v>442</v>
      </c>
      <c r="G343" s="1">
        <v>1.0</v>
      </c>
      <c r="H343" s="2">
        <v>0.15347222222222223</v>
      </c>
    </row>
    <row r="344">
      <c r="A344" s="1" t="s">
        <v>362</v>
      </c>
      <c r="B344" s="1" t="s">
        <v>133</v>
      </c>
      <c r="C344" s="1">
        <v>43.0</v>
      </c>
      <c r="D344" s="1" t="s">
        <v>443</v>
      </c>
      <c r="E344" s="1" t="s">
        <v>444</v>
      </c>
      <c r="F344" s="1" t="s">
        <v>445</v>
      </c>
      <c r="G344" s="1">
        <v>0.0</v>
      </c>
      <c r="H344" s="2">
        <v>0.11388888888888889</v>
      </c>
    </row>
    <row r="345">
      <c r="A345" s="1" t="s">
        <v>362</v>
      </c>
      <c r="B345" s="1" t="s">
        <v>133</v>
      </c>
      <c r="C345" s="1">
        <v>44.0</v>
      </c>
      <c r="D345" s="1" t="s">
        <v>46</v>
      </c>
      <c r="E345" s="1" t="s">
        <v>28</v>
      </c>
      <c r="F345" s="1" t="s">
        <v>29</v>
      </c>
      <c r="G345" s="1">
        <v>0.0</v>
      </c>
      <c r="H345" s="2">
        <v>0.15347222222222223</v>
      </c>
    </row>
    <row r="346">
      <c r="A346" s="1" t="s">
        <v>362</v>
      </c>
      <c r="B346" s="1" t="s">
        <v>133</v>
      </c>
      <c r="C346" s="1">
        <v>45.0</v>
      </c>
      <c r="D346" s="1" t="s">
        <v>446</v>
      </c>
      <c r="E346" s="1" t="s">
        <v>378</v>
      </c>
      <c r="F346" s="1" t="s">
        <v>447</v>
      </c>
      <c r="G346" s="1">
        <v>0.0</v>
      </c>
      <c r="H346" s="2">
        <v>0.12152777777777778</v>
      </c>
    </row>
    <row r="347">
      <c r="A347" s="1" t="s">
        <v>362</v>
      </c>
      <c r="B347" s="1" t="s">
        <v>133</v>
      </c>
      <c r="C347" s="1">
        <v>46.0</v>
      </c>
      <c r="D347" s="1" t="s">
        <v>20</v>
      </c>
      <c r="E347" s="1" t="s">
        <v>21</v>
      </c>
      <c r="F347" s="1" t="s">
        <v>22</v>
      </c>
      <c r="G347" s="1">
        <v>1.0</v>
      </c>
      <c r="H347" s="2">
        <v>0.17152777777777778</v>
      </c>
    </row>
    <row r="348">
      <c r="A348" s="1" t="s">
        <v>362</v>
      </c>
      <c r="B348" s="1" t="s">
        <v>133</v>
      </c>
      <c r="C348" s="1">
        <v>47.0</v>
      </c>
      <c r="D348" s="1" t="s">
        <v>448</v>
      </c>
      <c r="E348" s="1" t="s">
        <v>449</v>
      </c>
      <c r="F348" s="1" t="s">
        <v>448</v>
      </c>
      <c r="G348" s="1">
        <v>0.0</v>
      </c>
      <c r="H348" s="2">
        <v>0.1423611111111111</v>
      </c>
    </row>
    <row r="349">
      <c r="A349" s="1" t="s">
        <v>362</v>
      </c>
      <c r="B349" s="1" t="s">
        <v>133</v>
      </c>
      <c r="C349" s="1">
        <v>48.0</v>
      </c>
      <c r="D349" s="1" t="s">
        <v>450</v>
      </c>
      <c r="E349" s="1" t="s">
        <v>451</v>
      </c>
      <c r="F349" s="1" t="s">
        <v>450</v>
      </c>
      <c r="G349" s="1">
        <v>0.0</v>
      </c>
      <c r="H349" s="2">
        <v>0.12361111111111112</v>
      </c>
    </row>
    <row r="350">
      <c r="A350" s="1" t="s">
        <v>362</v>
      </c>
      <c r="B350" s="1" t="s">
        <v>133</v>
      </c>
      <c r="C350" s="1">
        <v>49.0</v>
      </c>
      <c r="D350" s="1" t="s">
        <v>452</v>
      </c>
      <c r="E350" s="1" t="s">
        <v>453</v>
      </c>
      <c r="F350" s="1" t="s">
        <v>454</v>
      </c>
      <c r="G350" s="1">
        <v>0.0</v>
      </c>
      <c r="H350" s="2">
        <v>0.1284722222222222</v>
      </c>
    </row>
    <row r="351">
      <c r="A351" s="1" t="s">
        <v>362</v>
      </c>
      <c r="B351" s="1" t="s">
        <v>133</v>
      </c>
      <c r="C351" s="1">
        <v>50.0</v>
      </c>
      <c r="D351" s="1" t="s">
        <v>455</v>
      </c>
      <c r="E351" s="1" t="s">
        <v>384</v>
      </c>
      <c r="F351" s="1" t="s">
        <v>456</v>
      </c>
      <c r="G351" s="1">
        <v>0.0</v>
      </c>
      <c r="H351" s="2">
        <v>0.11180555555555556</v>
      </c>
    </row>
    <row r="352">
      <c r="A352" s="1" t="s">
        <v>457</v>
      </c>
      <c r="B352" s="1" t="s">
        <v>250</v>
      </c>
      <c r="C352" s="1">
        <v>1.0</v>
      </c>
      <c r="D352" s="1" t="s">
        <v>36</v>
      </c>
      <c r="E352" s="1" t="s">
        <v>37</v>
      </c>
      <c r="F352" s="1" t="s">
        <v>36</v>
      </c>
      <c r="G352" s="1">
        <v>1.0</v>
      </c>
      <c r="H352" s="2">
        <v>0.09166666666666666</v>
      </c>
    </row>
    <row r="353">
      <c r="A353" s="1" t="s">
        <v>457</v>
      </c>
      <c r="B353" s="1" t="s">
        <v>250</v>
      </c>
      <c r="C353" s="1">
        <v>2.0</v>
      </c>
      <c r="D353" s="1" t="s">
        <v>9</v>
      </c>
      <c r="E353" s="1" t="s">
        <v>10</v>
      </c>
      <c r="F353" s="1" t="s">
        <v>9</v>
      </c>
      <c r="G353" s="1">
        <v>0.0</v>
      </c>
      <c r="H353" s="2">
        <v>0.12638888888888888</v>
      </c>
    </row>
    <row r="354">
      <c r="A354" s="1" t="s">
        <v>457</v>
      </c>
      <c r="B354" s="1" t="s">
        <v>250</v>
      </c>
      <c r="C354" s="1">
        <v>3.0</v>
      </c>
      <c r="D354" s="1" t="s">
        <v>25</v>
      </c>
      <c r="E354" s="1" t="s">
        <v>26</v>
      </c>
      <c r="F354" s="1" t="s">
        <v>25</v>
      </c>
      <c r="G354" s="1">
        <v>1.0</v>
      </c>
      <c r="H354" s="2">
        <v>0.11458333333333333</v>
      </c>
    </row>
    <row r="355">
      <c r="A355" s="1" t="s">
        <v>457</v>
      </c>
      <c r="B355" s="1" t="s">
        <v>250</v>
      </c>
      <c r="C355" s="1">
        <v>4.0</v>
      </c>
      <c r="D355" s="1" t="s">
        <v>458</v>
      </c>
      <c r="E355" s="1" t="s">
        <v>459</v>
      </c>
      <c r="F355" s="1" t="s">
        <v>458</v>
      </c>
      <c r="G355" s="1">
        <v>0.0</v>
      </c>
      <c r="H355" s="2">
        <v>0.17569444444444443</v>
      </c>
    </row>
    <row r="356">
      <c r="A356" s="1" t="s">
        <v>457</v>
      </c>
      <c r="B356" s="1" t="s">
        <v>250</v>
      </c>
      <c r="C356" s="1">
        <v>5.0</v>
      </c>
      <c r="D356" s="1" t="s">
        <v>17</v>
      </c>
      <c r="E356" s="1" t="s">
        <v>18</v>
      </c>
      <c r="F356" s="1" t="s">
        <v>19</v>
      </c>
      <c r="G356" s="1">
        <v>1.0</v>
      </c>
      <c r="H356" s="2">
        <v>0.12222222222222222</v>
      </c>
    </row>
    <row r="357">
      <c r="A357" s="1" t="s">
        <v>457</v>
      </c>
      <c r="B357" s="1" t="s">
        <v>250</v>
      </c>
      <c r="C357" s="1">
        <v>6.0</v>
      </c>
      <c r="D357" s="1" t="s">
        <v>11</v>
      </c>
      <c r="E357" s="1" t="s">
        <v>12</v>
      </c>
      <c r="F357" s="1" t="s">
        <v>13</v>
      </c>
      <c r="G357" s="1">
        <v>0.0</v>
      </c>
      <c r="H357" s="2">
        <v>0.1388888888888889</v>
      </c>
    </row>
    <row r="358">
      <c r="A358" s="1" t="s">
        <v>457</v>
      </c>
      <c r="B358" s="1" t="s">
        <v>250</v>
      </c>
      <c r="C358" s="1">
        <v>7.0</v>
      </c>
      <c r="D358" s="1" t="s">
        <v>460</v>
      </c>
      <c r="E358" s="1" t="s">
        <v>461</v>
      </c>
      <c r="F358" s="1" t="s">
        <v>460</v>
      </c>
      <c r="G358" s="1">
        <v>1.0</v>
      </c>
      <c r="H358" s="2">
        <v>0.10138888888888889</v>
      </c>
    </row>
    <row r="359">
      <c r="A359" s="1" t="s">
        <v>457</v>
      </c>
      <c r="B359" s="1" t="s">
        <v>250</v>
      </c>
      <c r="C359" s="1">
        <v>8.0</v>
      </c>
      <c r="D359" s="1" t="s">
        <v>20</v>
      </c>
      <c r="E359" s="1" t="s">
        <v>21</v>
      </c>
      <c r="F359" s="1" t="s">
        <v>22</v>
      </c>
      <c r="G359" s="1">
        <v>1.0</v>
      </c>
      <c r="H359" s="2">
        <v>0.17152777777777778</v>
      </c>
    </row>
    <row r="360">
      <c r="A360" s="1" t="s">
        <v>457</v>
      </c>
      <c r="B360" s="1" t="s">
        <v>250</v>
      </c>
      <c r="C360" s="1">
        <v>9.0</v>
      </c>
      <c r="D360" s="1" t="s">
        <v>14</v>
      </c>
      <c r="E360" s="1" t="s">
        <v>15</v>
      </c>
      <c r="F360" s="1" t="s">
        <v>16</v>
      </c>
      <c r="G360" s="1">
        <v>1.0</v>
      </c>
      <c r="H360" s="2">
        <v>0.12569444444444444</v>
      </c>
    </row>
    <row r="361">
      <c r="A361" s="1" t="s">
        <v>457</v>
      </c>
      <c r="B361" s="1" t="s">
        <v>250</v>
      </c>
      <c r="C361" s="1">
        <v>10.0</v>
      </c>
      <c r="D361" s="1" t="s">
        <v>41</v>
      </c>
      <c r="E361" s="1" t="s">
        <v>42</v>
      </c>
      <c r="F361" s="1" t="s">
        <v>43</v>
      </c>
      <c r="G361" s="1">
        <v>1.0</v>
      </c>
      <c r="H361" s="2">
        <v>0.1361111111111111</v>
      </c>
    </row>
    <row r="362">
      <c r="A362" s="1" t="s">
        <v>457</v>
      </c>
      <c r="B362" s="1" t="s">
        <v>250</v>
      </c>
      <c r="C362" s="1">
        <v>11.0</v>
      </c>
      <c r="D362" s="1" t="s">
        <v>124</v>
      </c>
      <c r="E362" s="1" t="s">
        <v>125</v>
      </c>
      <c r="F362" s="1" t="s">
        <v>126</v>
      </c>
      <c r="G362" s="1">
        <v>1.0</v>
      </c>
      <c r="H362" s="2">
        <v>0.15625</v>
      </c>
    </row>
    <row r="363">
      <c r="A363" s="1" t="s">
        <v>457</v>
      </c>
      <c r="B363" s="1" t="s">
        <v>250</v>
      </c>
      <c r="C363" s="1">
        <v>12.0</v>
      </c>
      <c r="D363" s="1" t="s">
        <v>104</v>
      </c>
      <c r="E363" s="1" t="s">
        <v>84</v>
      </c>
      <c r="F363" s="1" t="s">
        <v>104</v>
      </c>
      <c r="G363" s="1">
        <v>1.0</v>
      </c>
      <c r="H363" s="2">
        <v>0.12152777777777778</v>
      </c>
    </row>
    <row r="364">
      <c r="A364" s="1" t="s">
        <v>457</v>
      </c>
      <c r="B364" s="1" t="s">
        <v>250</v>
      </c>
      <c r="C364" s="1">
        <v>13.0</v>
      </c>
      <c r="D364" s="1" t="s">
        <v>94</v>
      </c>
      <c r="E364" s="1" t="s">
        <v>84</v>
      </c>
      <c r="F364" s="1" t="s">
        <v>95</v>
      </c>
      <c r="G364" s="1">
        <v>1.0</v>
      </c>
      <c r="H364" s="2">
        <v>0.21666666666666667</v>
      </c>
    </row>
    <row r="365">
      <c r="A365" s="1" t="s">
        <v>457</v>
      </c>
      <c r="B365" s="1" t="s">
        <v>250</v>
      </c>
      <c r="C365" s="1">
        <v>14.0</v>
      </c>
      <c r="D365" s="1" t="s">
        <v>101</v>
      </c>
      <c r="E365" s="1" t="s">
        <v>102</v>
      </c>
      <c r="F365" s="1" t="s">
        <v>103</v>
      </c>
      <c r="G365" s="1">
        <v>1.0</v>
      </c>
      <c r="H365" s="2">
        <v>0.16458333333333333</v>
      </c>
    </row>
    <row r="366">
      <c r="A366" s="1" t="s">
        <v>457</v>
      </c>
      <c r="B366" s="1" t="s">
        <v>250</v>
      </c>
      <c r="C366" s="1">
        <v>15.0</v>
      </c>
      <c r="D366" s="1" t="s">
        <v>83</v>
      </c>
      <c r="E366" s="1" t="s">
        <v>84</v>
      </c>
      <c r="F366" s="1" t="s">
        <v>85</v>
      </c>
      <c r="G366" s="1">
        <v>1.0</v>
      </c>
      <c r="H366" s="2">
        <v>0.16875</v>
      </c>
    </row>
    <row r="367">
      <c r="A367" s="1" t="s">
        <v>457</v>
      </c>
      <c r="B367" s="1" t="s">
        <v>250</v>
      </c>
      <c r="C367" s="1">
        <v>16.0</v>
      </c>
      <c r="D367" s="1" t="s">
        <v>38</v>
      </c>
      <c r="E367" s="1" t="s">
        <v>39</v>
      </c>
      <c r="F367" s="1" t="s">
        <v>40</v>
      </c>
      <c r="G367" s="1">
        <v>1.0</v>
      </c>
      <c r="H367" s="2">
        <v>0.1125</v>
      </c>
    </row>
    <row r="368">
      <c r="A368" s="1" t="s">
        <v>457</v>
      </c>
      <c r="B368" s="1" t="s">
        <v>250</v>
      </c>
      <c r="C368" s="1">
        <v>17.0</v>
      </c>
      <c r="D368" s="1" t="s">
        <v>27</v>
      </c>
      <c r="E368" s="1" t="s">
        <v>28</v>
      </c>
      <c r="F368" s="1" t="s">
        <v>29</v>
      </c>
      <c r="G368" s="1">
        <v>0.0</v>
      </c>
      <c r="H368" s="2">
        <v>0.12708333333333333</v>
      </c>
    </row>
    <row r="369">
      <c r="A369" s="1" t="s">
        <v>457</v>
      </c>
      <c r="B369" s="1" t="s">
        <v>250</v>
      </c>
      <c r="C369" s="1">
        <v>18.0</v>
      </c>
      <c r="D369" s="1" t="s">
        <v>46</v>
      </c>
      <c r="E369" s="1" t="s">
        <v>28</v>
      </c>
      <c r="F369" s="1" t="s">
        <v>29</v>
      </c>
      <c r="G369" s="1">
        <v>0.0</v>
      </c>
      <c r="H369" s="2">
        <v>0.15347222222222223</v>
      </c>
    </row>
    <row r="370">
      <c r="A370" s="1" t="s">
        <v>457</v>
      </c>
      <c r="B370" s="1" t="s">
        <v>250</v>
      </c>
      <c r="C370" s="1">
        <v>19.0</v>
      </c>
      <c r="D370" s="1" t="s">
        <v>105</v>
      </c>
      <c r="E370" s="1" t="s">
        <v>106</v>
      </c>
      <c r="F370" s="1" t="s">
        <v>105</v>
      </c>
      <c r="G370" s="1">
        <v>0.0</v>
      </c>
      <c r="H370" s="2">
        <v>0.11527777777777778</v>
      </c>
    </row>
    <row r="371">
      <c r="A371" s="1" t="s">
        <v>457</v>
      </c>
      <c r="B371" s="1" t="s">
        <v>250</v>
      </c>
      <c r="C371" s="1">
        <v>20.0</v>
      </c>
      <c r="D371" s="1" t="s">
        <v>53</v>
      </c>
      <c r="E371" s="1" t="s">
        <v>12</v>
      </c>
      <c r="F371" s="1" t="s">
        <v>13</v>
      </c>
      <c r="G371" s="1">
        <v>1.0</v>
      </c>
      <c r="H371" s="2">
        <v>0.16458333333333333</v>
      </c>
    </row>
    <row r="372">
      <c r="A372" s="1" t="s">
        <v>457</v>
      </c>
      <c r="B372" s="1" t="s">
        <v>250</v>
      </c>
      <c r="C372" s="1">
        <v>21.0</v>
      </c>
      <c r="D372" s="1" t="s">
        <v>88</v>
      </c>
      <c r="E372" s="1" t="s">
        <v>89</v>
      </c>
      <c r="F372" s="1" t="s">
        <v>90</v>
      </c>
      <c r="G372" s="1">
        <v>1.0</v>
      </c>
      <c r="H372" s="2">
        <v>0.09652777777777778</v>
      </c>
    </row>
    <row r="373">
      <c r="A373" s="1" t="s">
        <v>457</v>
      </c>
      <c r="B373" s="1" t="s">
        <v>250</v>
      </c>
      <c r="C373" s="1">
        <v>22.0</v>
      </c>
      <c r="D373" s="1" t="s">
        <v>30</v>
      </c>
      <c r="E373" s="1" t="s">
        <v>31</v>
      </c>
      <c r="F373" s="1" t="s">
        <v>32</v>
      </c>
      <c r="G373" s="1">
        <v>0.0</v>
      </c>
      <c r="H373" s="2">
        <v>0.15833333333333333</v>
      </c>
    </row>
    <row r="374">
      <c r="A374" s="1" t="s">
        <v>457</v>
      </c>
      <c r="B374" s="1" t="s">
        <v>250</v>
      </c>
      <c r="C374" s="1">
        <v>23.0</v>
      </c>
      <c r="D374" s="1" t="s">
        <v>60</v>
      </c>
      <c r="E374" s="1" t="s">
        <v>61</v>
      </c>
      <c r="F374" s="1" t="s">
        <v>62</v>
      </c>
      <c r="G374" s="1">
        <v>0.0</v>
      </c>
      <c r="H374" s="2">
        <v>0.11041666666666666</v>
      </c>
    </row>
    <row r="375">
      <c r="A375" s="1" t="s">
        <v>457</v>
      </c>
      <c r="B375" s="1" t="s">
        <v>250</v>
      </c>
      <c r="C375" s="1">
        <v>24.0</v>
      </c>
      <c r="D375" s="1" t="s">
        <v>462</v>
      </c>
      <c r="E375" s="1" t="s">
        <v>463</v>
      </c>
      <c r="F375" s="1" t="s">
        <v>464</v>
      </c>
      <c r="G375" s="1">
        <v>1.0</v>
      </c>
      <c r="H375" s="2">
        <v>0.14583333333333334</v>
      </c>
    </row>
    <row r="376">
      <c r="A376" s="1" t="s">
        <v>457</v>
      </c>
      <c r="B376" s="1" t="s">
        <v>250</v>
      </c>
      <c r="C376" s="1">
        <v>25.0</v>
      </c>
      <c r="D376" s="1" t="s">
        <v>115</v>
      </c>
      <c r="E376" s="1" t="s">
        <v>116</v>
      </c>
      <c r="F376" s="1" t="s">
        <v>117</v>
      </c>
      <c r="G376" s="1">
        <v>1.0</v>
      </c>
      <c r="H376" s="2">
        <v>0.11597222222222223</v>
      </c>
    </row>
    <row r="377">
      <c r="A377" s="1" t="s">
        <v>457</v>
      </c>
      <c r="B377" s="1" t="s">
        <v>250</v>
      </c>
      <c r="C377" s="1">
        <v>26.0</v>
      </c>
      <c r="D377" s="1" t="s">
        <v>33</v>
      </c>
      <c r="E377" s="1" t="s">
        <v>34</v>
      </c>
      <c r="F377" s="1" t="s">
        <v>35</v>
      </c>
      <c r="G377" s="1">
        <v>0.0</v>
      </c>
      <c r="H377" s="2">
        <v>0.1451388888888889</v>
      </c>
    </row>
    <row r="378">
      <c r="A378" s="1" t="s">
        <v>457</v>
      </c>
      <c r="B378" s="1" t="s">
        <v>250</v>
      </c>
      <c r="C378" s="1">
        <v>27.0</v>
      </c>
      <c r="D378" s="1" t="s">
        <v>80</v>
      </c>
      <c r="E378" s="1" t="s">
        <v>81</v>
      </c>
      <c r="F378" s="1" t="s">
        <v>82</v>
      </c>
      <c r="G378" s="1">
        <v>0.0</v>
      </c>
      <c r="H378" s="2">
        <v>0.12083333333333333</v>
      </c>
    </row>
    <row r="379">
      <c r="A379" s="1" t="s">
        <v>457</v>
      </c>
      <c r="B379" s="1" t="s">
        <v>250</v>
      </c>
      <c r="C379" s="1">
        <v>28.0</v>
      </c>
      <c r="D379" s="1" t="s">
        <v>44</v>
      </c>
      <c r="E379" s="1" t="s">
        <v>45</v>
      </c>
      <c r="F379" s="1" t="s">
        <v>44</v>
      </c>
      <c r="G379" s="1">
        <v>0.0</v>
      </c>
      <c r="H379" s="2">
        <v>0.12222222222222222</v>
      </c>
    </row>
    <row r="380">
      <c r="A380" s="1" t="s">
        <v>457</v>
      </c>
      <c r="B380" s="1" t="s">
        <v>250</v>
      </c>
      <c r="C380" s="1">
        <v>29.0</v>
      </c>
      <c r="D380" s="1" t="s">
        <v>91</v>
      </c>
      <c r="E380" s="1" t="s">
        <v>58</v>
      </c>
      <c r="F380" s="1" t="s">
        <v>91</v>
      </c>
      <c r="G380" s="1">
        <v>0.0</v>
      </c>
      <c r="H380" s="2">
        <v>0.09305555555555556</v>
      </c>
    </row>
    <row r="381">
      <c r="A381" s="1" t="s">
        <v>457</v>
      </c>
      <c r="B381" s="1" t="s">
        <v>250</v>
      </c>
      <c r="C381" s="1">
        <v>30.0</v>
      </c>
      <c r="D381" s="1" t="s">
        <v>304</v>
      </c>
      <c r="E381" s="1" t="s">
        <v>28</v>
      </c>
      <c r="F381" s="1" t="s">
        <v>29</v>
      </c>
      <c r="G381" s="1">
        <v>0.0</v>
      </c>
      <c r="H381" s="2">
        <v>0.13402777777777777</v>
      </c>
    </row>
    <row r="382">
      <c r="A382" s="1" t="s">
        <v>457</v>
      </c>
      <c r="B382" s="1" t="s">
        <v>250</v>
      </c>
      <c r="C382" s="1">
        <v>31.0</v>
      </c>
      <c r="D382" s="1" t="s">
        <v>465</v>
      </c>
      <c r="E382" s="1" t="s">
        <v>466</v>
      </c>
      <c r="F382" s="1" t="s">
        <v>467</v>
      </c>
      <c r="G382" s="1">
        <v>1.0</v>
      </c>
      <c r="H382" s="2">
        <v>0.10902777777777778</v>
      </c>
    </row>
    <row r="383">
      <c r="A383" s="1" t="s">
        <v>457</v>
      </c>
      <c r="B383" s="1" t="s">
        <v>250</v>
      </c>
      <c r="C383" s="1">
        <v>32.0</v>
      </c>
      <c r="D383" s="1" t="s">
        <v>63</v>
      </c>
      <c r="E383" s="1" t="s">
        <v>64</v>
      </c>
      <c r="F383" s="1" t="s">
        <v>63</v>
      </c>
      <c r="G383" s="1">
        <v>1.0</v>
      </c>
      <c r="H383" s="2">
        <v>0.16805555555555557</v>
      </c>
    </row>
    <row r="384">
      <c r="A384" s="1" t="s">
        <v>457</v>
      </c>
      <c r="B384" s="1" t="s">
        <v>250</v>
      </c>
      <c r="C384" s="1">
        <v>33.0</v>
      </c>
      <c r="D384" s="1" t="s">
        <v>316</v>
      </c>
      <c r="E384" s="1" t="s">
        <v>317</v>
      </c>
      <c r="F384" s="1" t="s">
        <v>318</v>
      </c>
      <c r="G384" s="1">
        <v>1.0</v>
      </c>
      <c r="H384" s="2">
        <v>0.1076388888888889</v>
      </c>
    </row>
    <row r="385">
      <c r="A385" s="1" t="s">
        <v>457</v>
      </c>
      <c r="B385" s="1" t="s">
        <v>250</v>
      </c>
      <c r="C385" s="1">
        <v>34.0</v>
      </c>
      <c r="D385" s="1" t="s">
        <v>23</v>
      </c>
      <c r="E385" s="1" t="s">
        <v>24</v>
      </c>
      <c r="F385" s="1" t="s">
        <v>23</v>
      </c>
      <c r="G385" s="1">
        <v>0.0</v>
      </c>
      <c r="H385" s="2">
        <v>0.12013888888888889</v>
      </c>
    </row>
    <row r="386">
      <c r="A386" s="1" t="s">
        <v>457</v>
      </c>
      <c r="B386" s="1" t="s">
        <v>250</v>
      </c>
      <c r="C386" s="1">
        <v>35.0</v>
      </c>
      <c r="D386" s="1" t="s">
        <v>57</v>
      </c>
      <c r="E386" s="1" t="s">
        <v>58</v>
      </c>
      <c r="F386" s="1" t="s">
        <v>59</v>
      </c>
      <c r="G386" s="1">
        <v>1.0</v>
      </c>
      <c r="H386" s="2">
        <v>0.16458333333333333</v>
      </c>
    </row>
    <row r="387">
      <c r="A387" s="1" t="s">
        <v>457</v>
      </c>
      <c r="B387" s="1" t="s">
        <v>250</v>
      </c>
      <c r="C387" s="1">
        <v>36.0</v>
      </c>
      <c r="D387" s="1" t="s">
        <v>118</v>
      </c>
      <c r="E387" s="1" t="s">
        <v>119</v>
      </c>
      <c r="F387" s="1" t="s">
        <v>120</v>
      </c>
      <c r="G387" s="1">
        <v>0.0</v>
      </c>
      <c r="H387" s="2">
        <v>0.13472222222222222</v>
      </c>
    </row>
    <row r="388">
      <c r="A388" s="1" t="s">
        <v>457</v>
      </c>
      <c r="B388" s="1" t="s">
        <v>250</v>
      </c>
      <c r="C388" s="1">
        <v>37.0</v>
      </c>
      <c r="D388" s="1" t="s">
        <v>92</v>
      </c>
      <c r="E388" s="1" t="s">
        <v>93</v>
      </c>
      <c r="F388" s="1" t="s">
        <v>92</v>
      </c>
      <c r="G388" s="1">
        <v>1.0</v>
      </c>
      <c r="H388" s="2">
        <v>0.11319444444444444</v>
      </c>
    </row>
    <row r="389">
      <c r="A389" s="1" t="s">
        <v>457</v>
      </c>
      <c r="B389" s="1" t="s">
        <v>250</v>
      </c>
      <c r="C389" s="1">
        <v>38.0</v>
      </c>
      <c r="D389" s="1" t="s">
        <v>78</v>
      </c>
      <c r="E389" s="1" t="s">
        <v>79</v>
      </c>
      <c r="F389" s="1" t="s">
        <v>78</v>
      </c>
      <c r="G389" s="1">
        <v>0.0</v>
      </c>
      <c r="H389" s="2">
        <v>0.10208333333333333</v>
      </c>
    </row>
    <row r="390">
      <c r="A390" s="1" t="s">
        <v>457</v>
      </c>
      <c r="B390" s="1" t="s">
        <v>250</v>
      </c>
      <c r="C390" s="1">
        <v>39.0</v>
      </c>
      <c r="D390" s="1" t="s">
        <v>47</v>
      </c>
      <c r="E390" s="1" t="s">
        <v>48</v>
      </c>
      <c r="F390" s="1" t="s">
        <v>49</v>
      </c>
      <c r="G390" s="1">
        <v>1.0</v>
      </c>
      <c r="H390" s="2">
        <v>0.15486111111111112</v>
      </c>
    </row>
    <row r="391">
      <c r="A391" s="1" t="s">
        <v>457</v>
      </c>
      <c r="B391" s="1" t="s">
        <v>250</v>
      </c>
      <c r="C391" s="1">
        <v>40.0</v>
      </c>
      <c r="D391" s="1" t="s">
        <v>468</v>
      </c>
      <c r="E391" s="1" t="s">
        <v>125</v>
      </c>
      <c r="F391" s="1" t="s">
        <v>126</v>
      </c>
      <c r="G391" s="1">
        <v>1.0</v>
      </c>
      <c r="H391" s="2">
        <v>0.12638888888888888</v>
      </c>
    </row>
    <row r="392">
      <c r="A392" s="1" t="s">
        <v>457</v>
      </c>
      <c r="B392" s="1" t="s">
        <v>250</v>
      </c>
      <c r="C392" s="1">
        <v>41.0</v>
      </c>
      <c r="D392" s="1" t="s">
        <v>76</v>
      </c>
      <c r="E392" s="1" t="s">
        <v>77</v>
      </c>
      <c r="F392" s="1" t="s">
        <v>76</v>
      </c>
      <c r="G392" s="1">
        <v>1.0</v>
      </c>
      <c r="H392" s="2">
        <v>0.14305555555555555</v>
      </c>
    </row>
    <row r="393">
      <c r="A393" s="1" t="s">
        <v>457</v>
      </c>
      <c r="B393" s="1" t="s">
        <v>250</v>
      </c>
      <c r="C393" s="1">
        <v>42.0</v>
      </c>
      <c r="D393" s="1" t="s">
        <v>469</v>
      </c>
      <c r="E393" s="1" t="s">
        <v>470</v>
      </c>
      <c r="F393" s="1" t="s">
        <v>126</v>
      </c>
      <c r="G393" s="1">
        <v>0.0</v>
      </c>
      <c r="H393" s="2">
        <v>0.13333333333333333</v>
      </c>
    </row>
    <row r="394">
      <c r="A394" s="1" t="s">
        <v>457</v>
      </c>
      <c r="B394" s="1" t="s">
        <v>250</v>
      </c>
      <c r="C394" s="1">
        <v>43.0</v>
      </c>
      <c r="D394" s="1" t="s">
        <v>471</v>
      </c>
      <c r="E394" s="1" t="s">
        <v>472</v>
      </c>
      <c r="F394" s="1" t="s">
        <v>473</v>
      </c>
      <c r="G394" s="1">
        <v>1.0</v>
      </c>
      <c r="H394" s="2">
        <v>0.12986111111111112</v>
      </c>
    </row>
    <row r="395">
      <c r="A395" s="1" t="s">
        <v>457</v>
      </c>
      <c r="B395" s="1" t="s">
        <v>250</v>
      </c>
      <c r="C395" s="1">
        <v>44.0</v>
      </c>
      <c r="D395" s="1" t="s">
        <v>474</v>
      </c>
      <c r="E395" s="1" t="s">
        <v>475</v>
      </c>
      <c r="F395" s="1" t="s">
        <v>476</v>
      </c>
      <c r="G395" s="1">
        <v>0.0</v>
      </c>
      <c r="H395" s="2">
        <v>0.15763888888888888</v>
      </c>
    </row>
    <row r="396">
      <c r="A396" s="1" t="s">
        <v>457</v>
      </c>
      <c r="B396" s="1" t="s">
        <v>250</v>
      </c>
      <c r="C396" s="1">
        <v>45.0</v>
      </c>
      <c r="D396" s="1" t="s">
        <v>312</v>
      </c>
      <c r="E396" s="1" t="s">
        <v>119</v>
      </c>
      <c r="F396" s="1" t="s">
        <v>312</v>
      </c>
      <c r="G396" s="1">
        <v>0.0</v>
      </c>
      <c r="H396" s="2">
        <v>0.1701388888888889</v>
      </c>
    </row>
    <row r="397">
      <c r="A397" s="1" t="s">
        <v>457</v>
      </c>
      <c r="B397" s="1" t="s">
        <v>250</v>
      </c>
      <c r="C397" s="1">
        <v>46.0</v>
      </c>
      <c r="D397" s="1" t="s">
        <v>121</v>
      </c>
      <c r="E397" s="1" t="s">
        <v>122</v>
      </c>
      <c r="F397" s="1" t="s">
        <v>123</v>
      </c>
      <c r="G397" s="1">
        <v>0.0</v>
      </c>
      <c r="H397" s="2">
        <v>0.13194444444444445</v>
      </c>
    </row>
    <row r="398">
      <c r="A398" s="1" t="s">
        <v>457</v>
      </c>
      <c r="B398" s="1" t="s">
        <v>250</v>
      </c>
      <c r="C398" s="1">
        <v>47.0</v>
      </c>
      <c r="D398" s="1" t="s">
        <v>107</v>
      </c>
      <c r="E398" s="1" t="s">
        <v>81</v>
      </c>
      <c r="F398" s="1" t="s">
        <v>82</v>
      </c>
      <c r="G398" s="1">
        <v>0.0</v>
      </c>
      <c r="H398" s="2">
        <v>0.14375</v>
      </c>
    </row>
    <row r="399">
      <c r="A399" s="1" t="s">
        <v>457</v>
      </c>
      <c r="B399" s="1" t="s">
        <v>250</v>
      </c>
      <c r="C399" s="1">
        <v>48.0</v>
      </c>
      <c r="D399" s="1" t="s">
        <v>477</v>
      </c>
      <c r="E399" s="1" t="s">
        <v>478</v>
      </c>
      <c r="F399" s="1" t="s">
        <v>477</v>
      </c>
      <c r="G399" s="1">
        <v>0.0</v>
      </c>
      <c r="H399" s="2">
        <v>0.12291666666666666</v>
      </c>
    </row>
    <row r="400">
      <c r="A400" s="1" t="s">
        <v>457</v>
      </c>
      <c r="B400" s="1" t="s">
        <v>250</v>
      </c>
      <c r="C400" s="1">
        <v>49.0</v>
      </c>
      <c r="D400" s="1" t="s">
        <v>479</v>
      </c>
      <c r="E400" s="1" t="s">
        <v>480</v>
      </c>
      <c r="F400" s="1" t="s">
        <v>126</v>
      </c>
      <c r="G400" s="1">
        <v>0.0</v>
      </c>
      <c r="H400" s="2">
        <v>0.1361111111111111</v>
      </c>
    </row>
    <row r="401">
      <c r="A401" s="1" t="s">
        <v>457</v>
      </c>
      <c r="B401" s="1" t="s">
        <v>250</v>
      </c>
      <c r="C401" s="1">
        <v>50.0</v>
      </c>
      <c r="D401" s="1" t="s">
        <v>481</v>
      </c>
      <c r="E401" s="1" t="s">
        <v>482</v>
      </c>
      <c r="F401" s="1" t="s">
        <v>481</v>
      </c>
      <c r="G401" s="1">
        <v>0.0</v>
      </c>
      <c r="H401" s="2">
        <v>0.1451388888888889</v>
      </c>
    </row>
    <row r="402">
      <c r="A402" s="1" t="s">
        <v>483</v>
      </c>
      <c r="B402" s="1" t="s">
        <v>484</v>
      </c>
      <c r="C402" s="1">
        <v>1.0</v>
      </c>
      <c r="D402" s="1" t="s">
        <v>14</v>
      </c>
      <c r="E402" s="1" t="s">
        <v>15</v>
      </c>
      <c r="F402" s="1" t="s">
        <v>16</v>
      </c>
      <c r="G402" s="1">
        <v>1.0</v>
      </c>
      <c r="H402" s="2">
        <v>0.12569444444444444</v>
      </c>
    </row>
    <row r="403">
      <c r="A403" s="1" t="s">
        <v>483</v>
      </c>
      <c r="B403" s="1" t="s">
        <v>484</v>
      </c>
      <c r="C403" s="1">
        <v>2.0</v>
      </c>
      <c r="D403" s="1" t="s">
        <v>9</v>
      </c>
      <c r="E403" s="1" t="s">
        <v>10</v>
      </c>
      <c r="F403" s="1" t="s">
        <v>9</v>
      </c>
      <c r="G403" s="1">
        <v>0.0</v>
      </c>
      <c r="H403" s="2">
        <v>0.12638888888888888</v>
      </c>
    </row>
    <row r="404">
      <c r="A404" s="1" t="s">
        <v>483</v>
      </c>
      <c r="B404" s="1" t="s">
        <v>484</v>
      </c>
      <c r="C404" s="1">
        <v>3.0</v>
      </c>
      <c r="D404" s="1" t="s">
        <v>17</v>
      </c>
      <c r="E404" s="1" t="s">
        <v>18</v>
      </c>
      <c r="F404" s="1" t="s">
        <v>19</v>
      </c>
      <c r="G404" s="1">
        <v>1.0</v>
      </c>
      <c r="H404" s="2">
        <v>0.12222222222222222</v>
      </c>
    </row>
    <row r="405">
      <c r="A405" s="1" t="s">
        <v>483</v>
      </c>
      <c r="B405" s="1" t="s">
        <v>484</v>
      </c>
      <c r="C405" s="1">
        <v>4.0</v>
      </c>
      <c r="D405" s="1" t="s">
        <v>11</v>
      </c>
      <c r="E405" s="1" t="s">
        <v>12</v>
      </c>
      <c r="F405" s="1" t="s">
        <v>13</v>
      </c>
      <c r="G405" s="1">
        <v>0.0</v>
      </c>
      <c r="H405" s="2">
        <v>0.1388888888888889</v>
      </c>
    </row>
    <row r="406">
      <c r="A406" s="1" t="s">
        <v>483</v>
      </c>
      <c r="B406" s="1" t="s">
        <v>484</v>
      </c>
      <c r="C406" s="1">
        <v>5.0</v>
      </c>
      <c r="D406" s="1" t="s">
        <v>25</v>
      </c>
      <c r="E406" s="1" t="s">
        <v>26</v>
      </c>
      <c r="F406" s="1" t="s">
        <v>25</v>
      </c>
      <c r="G406" s="1">
        <v>1.0</v>
      </c>
      <c r="H406" s="2">
        <v>0.11458333333333333</v>
      </c>
    </row>
    <row r="407">
      <c r="A407" s="1" t="s">
        <v>483</v>
      </c>
      <c r="B407" s="1" t="s">
        <v>484</v>
      </c>
      <c r="C407" s="1">
        <v>6.0</v>
      </c>
      <c r="D407" s="1" t="s">
        <v>20</v>
      </c>
      <c r="E407" s="1" t="s">
        <v>21</v>
      </c>
      <c r="F407" s="1" t="s">
        <v>22</v>
      </c>
      <c r="G407" s="1">
        <v>1.0</v>
      </c>
      <c r="H407" s="2">
        <v>0.17152777777777778</v>
      </c>
    </row>
    <row r="408">
      <c r="A408" s="1" t="s">
        <v>483</v>
      </c>
      <c r="B408" s="1" t="s">
        <v>484</v>
      </c>
      <c r="C408" s="1">
        <v>7.0</v>
      </c>
      <c r="D408" s="1" t="s">
        <v>38</v>
      </c>
      <c r="E408" s="1" t="s">
        <v>39</v>
      </c>
      <c r="F408" s="1" t="s">
        <v>40</v>
      </c>
      <c r="G408" s="1">
        <v>1.0</v>
      </c>
      <c r="H408" s="2">
        <v>0.1125</v>
      </c>
    </row>
    <row r="409">
      <c r="A409" s="1" t="s">
        <v>483</v>
      </c>
      <c r="B409" s="1" t="s">
        <v>484</v>
      </c>
      <c r="C409" s="1">
        <v>8.0</v>
      </c>
      <c r="D409" s="1" t="s">
        <v>30</v>
      </c>
      <c r="E409" s="1" t="s">
        <v>31</v>
      </c>
      <c r="F409" s="1" t="s">
        <v>32</v>
      </c>
      <c r="G409" s="1">
        <v>0.0</v>
      </c>
      <c r="H409" s="2">
        <v>0.15833333333333333</v>
      </c>
    </row>
    <row r="410">
      <c r="A410" s="1" t="s">
        <v>483</v>
      </c>
      <c r="B410" s="1" t="s">
        <v>484</v>
      </c>
      <c r="C410" s="1">
        <v>9.0</v>
      </c>
      <c r="D410" s="1" t="s">
        <v>23</v>
      </c>
      <c r="E410" s="1" t="s">
        <v>24</v>
      </c>
      <c r="F410" s="1" t="s">
        <v>23</v>
      </c>
      <c r="G410" s="1">
        <v>0.0</v>
      </c>
      <c r="H410" s="2">
        <v>0.12013888888888889</v>
      </c>
    </row>
    <row r="411">
      <c r="A411" s="1" t="s">
        <v>483</v>
      </c>
      <c r="B411" s="1" t="s">
        <v>484</v>
      </c>
      <c r="C411" s="1">
        <v>10.0</v>
      </c>
      <c r="D411" s="1" t="s">
        <v>41</v>
      </c>
      <c r="E411" s="1" t="s">
        <v>42</v>
      </c>
      <c r="F411" s="1" t="s">
        <v>43</v>
      </c>
      <c r="G411" s="1">
        <v>1.0</v>
      </c>
      <c r="H411" s="2">
        <v>0.1361111111111111</v>
      </c>
    </row>
    <row r="412">
      <c r="A412" s="1" t="s">
        <v>483</v>
      </c>
      <c r="B412" s="1" t="s">
        <v>484</v>
      </c>
      <c r="C412" s="1">
        <v>11.0</v>
      </c>
      <c r="D412" s="1" t="s">
        <v>33</v>
      </c>
      <c r="E412" s="1" t="s">
        <v>34</v>
      </c>
      <c r="F412" s="1" t="s">
        <v>35</v>
      </c>
      <c r="G412" s="1">
        <v>0.0</v>
      </c>
      <c r="H412" s="2">
        <v>0.1451388888888889</v>
      </c>
    </row>
    <row r="413">
      <c r="A413" s="1" t="s">
        <v>483</v>
      </c>
      <c r="B413" s="1" t="s">
        <v>484</v>
      </c>
      <c r="C413" s="1">
        <v>12.0</v>
      </c>
      <c r="D413" s="1" t="s">
        <v>36</v>
      </c>
      <c r="E413" s="1" t="s">
        <v>37</v>
      </c>
      <c r="F413" s="1" t="s">
        <v>36</v>
      </c>
      <c r="G413" s="1">
        <v>1.0</v>
      </c>
      <c r="H413" s="2">
        <v>0.09166666666666666</v>
      </c>
    </row>
    <row r="414">
      <c r="A414" s="1" t="s">
        <v>483</v>
      </c>
      <c r="B414" s="1" t="s">
        <v>484</v>
      </c>
      <c r="C414" s="1">
        <v>13.0</v>
      </c>
      <c r="D414" s="1" t="s">
        <v>27</v>
      </c>
      <c r="E414" s="1" t="s">
        <v>28</v>
      </c>
      <c r="F414" s="1" t="s">
        <v>29</v>
      </c>
      <c r="G414" s="1">
        <v>0.0</v>
      </c>
      <c r="H414" s="2">
        <v>0.12708333333333333</v>
      </c>
    </row>
    <row r="415">
      <c r="A415" s="1" t="s">
        <v>483</v>
      </c>
      <c r="B415" s="1" t="s">
        <v>484</v>
      </c>
      <c r="C415" s="1">
        <v>14.0</v>
      </c>
      <c r="D415" s="1" t="s">
        <v>50</v>
      </c>
      <c r="E415" s="1" t="s">
        <v>51</v>
      </c>
      <c r="F415" s="1" t="s">
        <v>52</v>
      </c>
      <c r="G415" s="1">
        <v>0.0</v>
      </c>
      <c r="H415" s="2">
        <v>0.14722222222222223</v>
      </c>
    </row>
    <row r="416">
      <c r="A416" s="1" t="s">
        <v>483</v>
      </c>
      <c r="B416" s="1" t="s">
        <v>484</v>
      </c>
      <c r="C416" s="1">
        <v>15.0</v>
      </c>
      <c r="D416" s="1" t="s">
        <v>78</v>
      </c>
      <c r="E416" s="1" t="s">
        <v>79</v>
      </c>
      <c r="F416" s="1" t="s">
        <v>78</v>
      </c>
      <c r="G416" s="1">
        <v>0.0</v>
      </c>
      <c r="H416" s="2">
        <v>0.10208333333333333</v>
      </c>
    </row>
    <row r="417">
      <c r="A417" s="1" t="s">
        <v>483</v>
      </c>
      <c r="B417" s="1" t="s">
        <v>484</v>
      </c>
      <c r="C417" s="1">
        <v>16.0</v>
      </c>
      <c r="D417" s="1" t="s">
        <v>54</v>
      </c>
      <c r="E417" s="1" t="s">
        <v>55</v>
      </c>
      <c r="F417" s="1" t="s">
        <v>56</v>
      </c>
      <c r="G417" s="1">
        <v>0.0</v>
      </c>
      <c r="H417" s="2">
        <v>0.10972222222222222</v>
      </c>
    </row>
    <row r="418">
      <c r="A418" s="1" t="s">
        <v>483</v>
      </c>
      <c r="B418" s="1" t="s">
        <v>484</v>
      </c>
      <c r="C418" s="1">
        <v>17.0</v>
      </c>
      <c r="D418" s="1" t="s">
        <v>44</v>
      </c>
      <c r="E418" s="1" t="s">
        <v>45</v>
      </c>
      <c r="F418" s="1" t="s">
        <v>44</v>
      </c>
      <c r="G418" s="1">
        <v>0.0</v>
      </c>
      <c r="H418" s="2">
        <v>0.12222222222222222</v>
      </c>
    </row>
    <row r="419">
      <c r="A419" s="1" t="s">
        <v>483</v>
      </c>
      <c r="B419" s="1" t="s">
        <v>484</v>
      </c>
      <c r="C419" s="1">
        <v>18.0</v>
      </c>
      <c r="D419" s="1" t="s">
        <v>88</v>
      </c>
      <c r="E419" s="1" t="s">
        <v>89</v>
      </c>
      <c r="F419" s="1" t="s">
        <v>90</v>
      </c>
      <c r="G419" s="1">
        <v>1.0</v>
      </c>
      <c r="H419" s="2">
        <v>0.09652777777777778</v>
      </c>
    </row>
    <row r="420">
      <c r="A420" s="1" t="s">
        <v>483</v>
      </c>
      <c r="B420" s="1" t="s">
        <v>484</v>
      </c>
      <c r="C420" s="1">
        <v>19.0</v>
      </c>
      <c r="D420" s="1" t="s">
        <v>99</v>
      </c>
      <c r="E420" s="1" t="s">
        <v>100</v>
      </c>
      <c r="F420" s="1" t="s">
        <v>99</v>
      </c>
      <c r="G420" s="1">
        <v>0.0</v>
      </c>
      <c r="H420" s="2">
        <v>0.11944444444444445</v>
      </c>
    </row>
    <row r="421">
      <c r="A421" s="1" t="s">
        <v>483</v>
      </c>
      <c r="B421" s="1" t="s">
        <v>484</v>
      </c>
      <c r="C421" s="1">
        <v>20.0</v>
      </c>
      <c r="D421" s="1" t="s">
        <v>63</v>
      </c>
      <c r="E421" s="1" t="s">
        <v>64</v>
      </c>
      <c r="F421" s="1" t="s">
        <v>63</v>
      </c>
      <c r="G421" s="1">
        <v>1.0</v>
      </c>
      <c r="H421" s="2">
        <v>0.16805555555555557</v>
      </c>
    </row>
    <row r="422">
      <c r="A422" s="1" t="s">
        <v>483</v>
      </c>
      <c r="B422" s="1" t="s">
        <v>484</v>
      </c>
      <c r="C422" s="1">
        <v>21.0</v>
      </c>
      <c r="D422" s="1" t="s">
        <v>76</v>
      </c>
      <c r="E422" s="1" t="s">
        <v>77</v>
      </c>
      <c r="F422" s="1" t="s">
        <v>76</v>
      </c>
      <c r="G422" s="1">
        <v>1.0</v>
      </c>
      <c r="H422" s="2">
        <v>0.14305555555555555</v>
      </c>
    </row>
    <row r="423">
      <c r="A423" s="1" t="s">
        <v>483</v>
      </c>
      <c r="B423" s="1" t="s">
        <v>484</v>
      </c>
      <c r="C423" s="1">
        <v>22.0</v>
      </c>
      <c r="D423" s="1" t="s">
        <v>73</v>
      </c>
      <c r="E423" s="1" t="s">
        <v>74</v>
      </c>
      <c r="F423" s="1" t="s">
        <v>75</v>
      </c>
      <c r="G423" s="1">
        <v>0.0</v>
      </c>
      <c r="H423" s="2">
        <v>0.14930555555555555</v>
      </c>
    </row>
    <row r="424">
      <c r="A424" s="1" t="s">
        <v>483</v>
      </c>
      <c r="B424" s="1" t="s">
        <v>484</v>
      </c>
      <c r="C424" s="1">
        <v>23.0</v>
      </c>
      <c r="D424" s="1" t="s">
        <v>115</v>
      </c>
      <c r="E424" s="1" t="s">
        <v>116</v>
      </c>
      <c r="F424" s="1" t="s">
        <v>117</v>
      </c>
      <c r="G424" s="1">
        <v>1.0</v>
      </c>
      <c r="H424" s="2">
        <v>0.11597222222222223</v>
      </c>
    </row>
    <row r="425">
      <c r="A425" s="1" t="s">
        <v>483</v>
      </c>
      <c r="B425" s="1" t="s">
        <v>484</v>
      </c>
      <c r="C425" s="1">
        <v>24.0</v>
      </c>
      <c r="D425" s="1" t="s">
        <v>46</v>
      </c>
      <c r="E425" s="1" t="s">
        <v>28</v>
      </c>
      <c r="F425" s="1" t="s">
        <v>29</v>
      </c>
      <c r="G425" s="1">
        <v>0.0</v>
      </c>
      <c r="H425" s="2">
        <v>0.15347222222222223</v>
      </c>
    </row>
    <row r="426">
      <c r="A426" s="1" t="s">
        <v>483</v>
      </c>
      <c r="B426" s="1" t="s">
        <v>484</v>
      </c>
      <c r="C426" s="1">
        <v>25.0</v>
      </c>
      <c r="D426" s="1" t="s">
        <v>53</v>
      </c>
      <c r="E426" s="1" t="s">
        <v>12</v>
      </c>
      <c r="F426" s="1" t="s">
        <v>13</v>
      </c>
      <c r="G426" s="1">
        <v>1.0</v>
      </c>
      <c r="H426" s="2">
        <v>0.16458333333333333</v>
      </c>
    </row>
    <row r="427">
      <c r="A427" s="1" t="s">
        <v>483</v>
      </c>
      <c r="B427" s="1" t="s">
        <v>484</v>
      </c>
      <c r="C427" s="1">
        <v>26.0</v>
      </c>
      <c r="D427" s="1" t="s">
        <v>101</v>
      </c>
      <c r="E427" s="1" t="s">
        <v>102</v>
      </c>
      <c r="F427" s="1" t="s">
        <v>103</v>
      </c>
      <c r="G427" s="1">
        <v>1.0</v>
      </c>
      <c r="H427" s="2">
        <v>0.16458333333333333</v>
      </c>
    </row>
    <row r="428">
      <c r="A428" s="1" t="s">
        <v>483</v>
      </c>
      <c r="B428" s="1" t="s">
        <v>484</v>
      </c>
      <c r="C428" s="1">
        <v>27.0</v>
      </c>
      <c r="D428" s="1" t="s">
        <v>47</v>
      </c>
      <c r="E428" s="1" t="s">
        <v>48</v>
      </c>
      <c r="F428" s="1" t="s">
        <v>49</v>
      </c>
      <c r="G428" s="1">
        <v>1.0</v>
      </c>
      <c r="H428" s="2">
        <v>0.15486111111111112</v>
      </c>
    </row>
    <row r="429">
      <c r="A429" s="1" t="s">
        <v>483</v>
      </c>
      <c r="B429" s="1" t="s">
        <v>484</v>
      </c>
      <c r="C429" s="1">
        <v>28.0</v>
      </c>
      <c r="D429" s="1" t="s">
        <v>80</v>
      </c>
      <c r="E429" s="1" t="s">
        <v>81</v>
      </c>
      <c r="F429" s="1" t="s">
        <v>82</v>
      </c>
      <c r="G429" s="1">
        <v>0.0</v>
      </c>
      <c r="H429" s="2">
        <v>0.12083333333333333</v>
      </c>
    </row>
    <row r="430">
      <c r="A430" s="1" t="s">
        <v>483</v>
      </c>
      <c r="B430" s="1" t="s">
        <v>484</v>
      </c>
      <c r="C430" s="1">
        <v>29.0</v>
      </c>
      <c r="D430" s="1" t="s">
        <v>92</v>
      </c>
      <c r="E430" s="1" t="s">
        <v>93</v>
      </c>
      <c r="F430" s="1" t="s">
        <v>92</v>
      </c>
      <c r="G430" s="1">
        <v>1.0</v>
      </c>
      <c r="H430" s="2">
        <v>0.11319444444444444</v>
      </c>
    </row>
    <row r="431">
      <c r="A431" s="1" t="s">
        <v>483</v>
      </c>
      <c r="B431" s="1" t="s">
        <v>484</v>
      </c>
      <c r="C431" s="1">
        <v>30.0</v>
      </c>
      <c r="D431" s="1" t="s">
        <v>68</v>
      </c>
      <c r="E431" s="1" t="s">
        <v>69</v>
      </c>
      <c r="F431" s="1" t="s">
        <v>70</v>
      </c>
      <c r="G431" s="1">
        <v>0.0</v>
      </c>
      <c r="H431" s="2">
        <v>0.12638888888888888</v>
      </c>
    </row>
    <row r="432">
      <c r="A432" s="1" t="s">
        <v>483</v>
      </c>
      <c r="B432" s="1" t="s">
        <v>484</v>
      </c>
      <c r="C432" s="1">
        <v>31.0</v>
      </c>
      <c r="D432" s="1" t="s">
        <v>233</v>
      </c>
      <c r="E432" s="1" t="s">
        <v>234</v>
      </c>
      <c r="F432" s="1" t="s">
        <v>233</v>
      </c>
      <c r="G432" s="1">
        <v>1.0</v>
      </c>
      <c r="H432" s="2">
        <v>0.16875</v>
      </c>
    </row>
    <row r="433">
      <c r="A433" s="1" t="s">
        <v>483</v>
      </c>
      <c r="B433" s="1" t="s">
        <v>484</v>
      </c>
      <c r="C433" s="1">
        <v>32.0</v>
      </c>
      <c r="D433" s="1" t="s">
        <v>60</v>
      </c>
      <c r="E433" s="1" t="s">
        <v>61</v>
      </c>
      <c r="F433" s="1" t="s">
        <v>62</v>
      </c>
      <c r="G433" s="1">
        <v>0.0</v>
      </c>
      <c r="H433" s="2">
        <v>0.11041666666666666</v>
      </c>
    </row>
    <row r="434">
      <c r="A434" s="1" t="s">
        <v>483</v>
      </c>
      <c r="B434" s="1" t="s">
        <v>484</v>
      </c>
      <c r="C434" s="1">
        <v>33.0</v>
      </c>
      <c r="D434" s="1" t="s">
        <v>485</v>
      </c>
      <c r="E434" s="1" t="s">
        <v>486</v>
      </c>
      <c r="F434" s="1" t="s">
        <v>485</v>
      </c>
      <c r="G434" s="1">
        <v>1.0</v>
      </c>
      <c r="H434" s="2">
        <v>0.12013888888888889</v>
      </c>
    </row>
    <row r="435">
      <c r="A435" s="1" t="s">
        <v>483</v>
      </c>
      <c r="B435" s="1" t="s">
        <v>484</v>
      </c>
      <c r="C435" s="1">
        <v>34.0</v>
      </c>
      <c r="D435" s="1" t="s">
        <v>487</v>
      </c>
      <c r="E435" s="1" t="s">
        <v>488</v>
      </c>
      <c r="F435" s="1" t="s">
        <v>489</v>
      </c>
      <c r="G435" s="1">
        <v>1.0</v>
      </c>
      <c r="H435" s="2">
        <v>0.13680555555555557</v>
      </c>
    </row>
    <row r="436">
      <c r="A436" s="1" t="s">
        <v>483</v>
      </c>
      <c r="B436" s="1" t="s">
        <v>484</v>
      </c>
      <c r="C436" s="1">
        <v>35.0</v>
      </c>
      <c r="D436" s="1" t="s">
        <v>490</v>
      </c>
      <c r="E436" s="1" t="s">
        <v>491</v>
      </c>
      <c r="F436" s="1" t="s">
        <v>22</v>
      </c>
      <c r="G436" s="1">
        <v>1.0</v>
      </c>
      <c r="H436" s="2">
        <v>0.1527777777777778</v>
      </c>
    </row>
    <row r="437">
      <c r="A437" s="1" t="s">
        <v>483</v>
      </c>
      <c r="B437" s="1" t="s">
        <v>484</v>
      </c>
      <c r="C437" s="1">
        <v>36.0</v>
      </c>
      <c r="D437" s="1" t="s">
        <v>224</v>
      </c>
      <c r="E437" s="1" t="s">
        <v>225</v>
      </c>
      <c r="F437" s="1" t="s">
        <v>226</v>
      </c>
      <c r="G437" s="1">
        <v>0.0</v>
      </c>
      <c r="H437" s="2">
        <v>0.14444444444444443</v>
      </c>
    </row>
    <row r="438">
      <c r="A438" s="1" t="s">
        <v>483</v>
      </c>
      <c r="B438" s="1" t="s">
        <v>484</v>
      </c>
      <c r="C438" s="1">
        <v>37.0</v>
      </c>
      <c r="D438" s="1" t="s">
        <v>492</v>
      </c>
      <c r="E438" s="1" t="s">
        <v>493</v>
      </c>
      <c r="F438" s="1" t="s">
        <v>489</v>
      </c>
      <c r="G438" s="1">
        <v>1.0</v>
      </c>
      <c r="H438" s="2">
        <v>0.13680555555555557</v>
      </c>
    </row>
    <row r="439">
      <c r="A439" s="1" t="s">
        <v>483</v>
      </c>
      <c r="B439" s="1" t="s">
        <v>484</v>
      </c>
      <c r="C439" s="1">
        <v>38.0</v>
      </c>
      <c r="D439" s="1" t="s">
        <v>244</v>
      </c>
      <c r="E439" s="1" t="s">
        <v>245</v>
      </c>
      <c r="F439" s="1" t="s">
        <v>244</v>
      </c>
      <c r="G439" s="1">
        <v>0.0</v>
      </c>
      <c r="H439" s="2">
        <v>0.13819444444444445</v>
      </c>
    </row>
    <row r="440">
      <c r="A440" s="1" t="s">
        <v>483</v>
      </c>
      <c r="B440" s="1" t="s">
        <v>484</v>
      </c>
      <c r="C440" s="1">
        <v>39.0</v>
      </c>
      <c r="D440" s="1" t="s">
        <v>105</v>
      </c>
      <c r="E440" s="1" t="s">
        <v>106</v>
      </c>
      <c r="F440" s="1" t="s">
        <v>105</v>
      </c>
      <c r="G440" s="1">
        <v>0.0</v>
      </c>
      <c r="H440" s="2">
        <v>0.11527777777777778</v>
      </c>
    </row>
    <row r="441">
      <c r="A441" s="1" t="s">
        <v>483</v>
      </c>
      <c r="B441" s="1" t="s">
        <v>484</v>
      </c>
      <c r="C441" s="1">
        <v>40.0</v>
      </c>
      <c r="D441" s="1" t="s">
        <v>111</v>
      </c>
      <c r="E441" s="1" t="s">
        <v>69</v>
      </c>
      <c r="F441" s="1" t="s">
        <v>112</v>
      </c>
      <c r="G441" s="1">
        <v>0.0</v>
      </c>
      <c r="H441" s="2">
        <v>0.14930555555555555</v>
      </c>
    </row>
    <row r="442">
      <c r="A442" s="1" t="s">
        <v>483</v>
      </c>
      <c r="B442" s="1" t="s">
        <v>484</v>
      </c>
      <c r="C442" s="1">
        <v>41.0</v>
      </c>
      <c r="D442" s="1" t="s">
        <v>57</v>
      </c>
      <c r="E442" s="1" t="s">
        <v>58</v>
      </c>
      <c r="F442" s="1" t="s">
        <v>59</v>
      </c>
      <c r="G442" s="1">
        <v>1.0</v>
      </c>
      <c r="H442" s="2">
        <v>0.16458333333333333</v>
      </c>
    </row>
    <row r="443">
      <c r="A443" s="1" t="s">
        <v>483</v>
      </c>
      <c r="B443" s="1" t="s">
        <v>484</v>
      </c>
      <c r="C443" s="1">
        <v>42.0</v>
      </c>
      <c r="D443" s="1" t="s">
        <v>107</v>
      </c>
      <c r="E443" s="1" t="s">
        <v>81</v>
      </c>
      <c r="F443" s="1" t="s">
        <v>82</v>
      </c>
      <c r="G443" s="1">
        <v>0.0</v>
      </c>
      <c r="H443" s="2">
        <v>0.14375</v>
      </c>
    </row>
    <row r="444">
      <c r="A444" s="1" t="s">
        <v>483</v>
      </c>
      <c r="B444" s="1" t="s">
        <v>484</v>
      </c>
      <c r="C444" s="1">
        <v>43.0</v>
      </c>
      <c r="D444" s="1" t="s">
        <v>494</v>
      </c>
      <c r="E444" s="1" t="s">
        <v>495</v>
      </c>
      <c r="F444" s="1" t="s">
        <v>75</v>
      </c>
      <c r="G444" s="1">
        <v>0.0</v>
      </c>
      <c r="H444" s="2">
        <v>0.10902777777777778</v>
      </c>
    </row>
    <row r="445">
      <c r="A445" s="1" t="s">
        <v>483</v>
      </c>
      <c r="B445" s="1" t="s">
        <v>484</v>
      </c>
      <c r="C445" s="1">
        <v>44.0</v>
      </c>
      <c r="D445" s="1" t="s">
        <v>83</v>
      </c>
      <c r="E445" s="1" t="s">
        <v>84</v>
      </c>
      <c r="F445" s="1" t="s">
        <v>85</v>
      </c>
      <c r="G445" s="1">
        <v>1.0</v>
      </c>
      <c r="H445" s="2">
        <v>0.16875</v>
      </c>
    </row>
    <row r="446">
      <c r="A446" s="1" t="s">
        <v>483</v>
      </c>
      <c r="B446" s="1" t="s">
        <v>484</v>
      </c>
      <c r="C446" s="1">
        <v>45.0</v>
      </c>
      <c r="D446" s="1" t="s">
        <v>91</v>
      </c>
      <c r="E446" s="1" t="s">
        <v>58</v>
      </c>
      <c r="F446" s="1" t="s">
        <v>91</v>
      </c>
      <c r="G446" s="1">
        <v>0.0</v>
      </c>
      <c r="H446" s="2">
        <v>0.09305555555555556</v>
      </c>
    </row>
    <row r="447">
      <c r="A447" s="1" t="s">
        <v>483</v>
      </c>
      <c r="B447" s="1" t="s">
        <v>484</v>
      </c>
      <c r="C447" s="1">
        <v>46.0</v>
      </c>
      <c r="D447" s="1" t="s">
        <v>104</v>
      </c>
      <c r="E447" s="1" t="s">
        <v>84</v>
      </c>
      <c r="F447" s="1" t="s">
        <v>104</v>
      </c>
      <c r="G447" s="1">
        <v>1.0</v>
      </c>
      <c r="H447" s="2">
        <v>0.12152777777777778</v>
      </c>
    </row>
    <row r="448">
      <c r="A448" s="1" t="s">
        <v>483</v>
      </c>
      <c r="B448" s="1" t="s">
        <v>484</v>
      </c>
      <c r="C448" s="1">
        <v>47.0</v>
      </c>
      <c r="D448" s="1" t="s">
        <v>96</v>
      </c>
      <c r="E448" s="1" t="s">
        <v>97</v>
      </c>
      <c r="F448" s="1" t="s">
        <v>98</v>
      </c>
      <c r="G448" s="1">
        <v>1.0</v>
      </c>
      <c r="H448" s="2">
        <v>0.12430555555555556</v>
      </c>
    </row>
    <row r="449">
      <c r="A449" s="1" t="s">
        <v>483</v>
      </c>
      <c r="B449" s="1" t="s">
        <v>484</v>
      </c>
      <c r="C449" s="1">
        <v>48.0</v>
      </c>
      <c r="D449" s="1" t="s">
        <v>113</v>
      </c>
      <c r="E449" s="1" t="s">
        <v>114</v>
      </c>
      <c r="F449" s="1" t="s">
        <v>113</v>
      </c>
      <c r="G449" s="1">
        <v>0.0</v>
      </c>
      <c r="H449" s="2">
        <v>0.13125</v>
      </c>
    </row>
    <row r="450">
      <c r="A450" s="1" t="s">
        <v>483</v>
      </c>
      <c r="B450" s="1" t="s">
        <v>484</v>
      </c>
      <c r="C450" s="1">
        <v>49.0</v>
      </c>
      <c r="D450" s="1" t="s">
        <v>489</v>
      </c>
      <c r="E450" s="1" t="s">
        <v>496</v>
      </c>
      <c r="F450" s="1" t="s">
        <v>489</v>
      </c>
      <c r="G450" s="1">
        <v>1.0</v>
      </c>
      <c r="H450" s="2">
        <v>0.10972222222222222</v>
      </c>
    </row>
    <row r="451">
      <c r="A451" s="1" t="s">
        <v>483</v>
      </c>
      <c r="B451" s="1" t="s">
        <v>484</v>
      </c>
      <c r="C451" s="1">
        <v>50.0</v>
      </c>
      <c r="D451" s="1" t="s">
        <v>94</v>
      </c>
      <c r="E451" s="1" t="s">
        <v>84</v>
      </c>
      <c r="F451" s="1" t="s">
        <v>95</v>
      </c>
      <c r="G451" s="1">
        <v>1.0</v>
      </c>
      <c r="H451" s="2">
        <v>0.21666666666666667</v>
      </c>
    </row>
    <row r="452">
      <c r="A452" s="1" t="s">
        <v>497</v>
      </c>
      <c r="B452" s="1" t="s">
        <v>133</v>
      </c>
      <c r="C452" s="1">
        <v>1.0</v>
      </c>
      <c r="D452" s="1" t="s">
        <v>498</v>
      </c>
      <c r="E452" s="1" t="s">
        <v>499</v>
      </c>
      <c r="F452" s="1" t="s">
        <v>500</v>
      </c>
      <c r="G452" s="1">
        <v>1.0</v>
      </c>
      <c r="H452" s="2">
        <v>0.15763888888888888</v>
      </c>
    </row>
    <row r="453">
      <c r="A453" s="1" t="s">
        <v>497</v>
      </c>
      <c r="B453" s="1" t="s">
        <v>133</v>
      </c>
      <c r="C453" s="1">
        <v>2.0</v>
      </c>
      <c r="D453" s="1" t="s">
        <v>65</v>
      </c>
      <c r="E453" s="1" t="s">
        <v>66</v>
      </c>
      <c r="F453" s="1" t="s">
        <v>67</v>
      </c>
      <c r="G453" s="1">
        <v>1.0</v>
      </c>
      <c r="H453" s="2">
        <v>0.2048611111111111</v>
      </c>
    </row>
    <row r="454">
      <c r="A454" s="1" t="s">
        <v>497</v>
      </c>
      <c r="B454" s="1" t="s">
        <v>133</v>
      </c>
      <c r="C454" s="1">
        <v>3.0</v>
      </c>
      <c r="D454" s="1" t="s">
        <v>71</v>
      </c>
      <c r="E454" s="1" t="s">
        <v>72</v>
      </c>
      <c r="F454" s="1" t="s">
        <v>67</v>
      </c>
      <c r="G454" s="1">
        <v>0.0</v>
      </c>
      <c r="H454" s="2">
        <v>0.11944444444444445</v>
      </c>
    </row>
    <row r="455">
      <c r="A455" s="1" t="s">
        <v>497</v>
      </c>
      <c r="B455" s="1" t="s">
        <v>133</v>
      </c>
      <c r="C455" s="1">
        <v>4.0</v>
      </c>
      <c r="D455" s="1" t="s">
        <v>141</v>
      </c>
      <c r="E455" s="1" t="s">
        <v>142</v>
      </c>
      <c r="F455" s="1" t="s">
        <v>141</v>
      </c>
      <c r="G455" s="1">
        <v>0.0</v>
      </c>
      <c r="H455" s="2">
        <v>0.13680555555555557</v>
      </c>
    </row>
    <row r="456">
      <c r="A456" s="1" t="s">
        <v>497</v>
      </c>
      <c r="B456" s="1" t="s">
        <v>133</v>
      </c>
      <c r="C456" s="1">
        <v>5.0</v>
      </c>
      <c r="D456" s="1" t="s">
        <v>136</v>
      </c>
      <c r="E456" s="1" t="s">
        <v>137</v>
      </c>
      <c r="F456" s="1" t="s">
        <v>138</v>
      </c>
      <c r="G456" s="1">
        <v>0.0</v>
      </c>
      <c r="H456" s="2">
        <v>0.16111111111111112</v>
      </c>
    </row>
    <row r="457">
      <c r="A457" s="1" t="s">
        <v>497</v>
      </c>
      <c r="B457" s="1" t="s">
        <v>133</v>
      </c>
      <c r="C457" s="1">
        <v>6.0</v>
      </c>
      <c r="D457" s="1" t="s">
        <v>154</v>
      </c>
      <c r="E457" s="1" t="s">
        <v>155</v>
      </c>
      <c r="F457" s="1" t="s">
        <v>156</v>
      </c>
      <c r="G457" s="1">
        <v>1.0</v>
      </c>
      <c r="H457" s="2">
        <v>0.23958333333333334</v>
      </c>
    </row>
    <row r="458">
      <c r="A458" s="1" t="s">
        <v>497</v>
      </c>
      <c r="B458" s="1" t="s">
        <v>133</v>
      </c>
      <c r="C458" s="1">
        <v>7.0</v>
      </c>
      <c r="D458" s="1" t="s">
        <v>501</v>
      </c>
      <c r="E458" s="1" t="s">
        <v>502</v>
      </c>
      <c r="F458" s="1" t="s">
        <v>207</v>
      </c>
      <c r="G458" s="1">
        <v>1.0</v>
      </c>
      <c r="H458" s="2">
        <v>0.12708333333333333</v>
      </c>
    </row>
    <row r="459">
      <c r="A459" s="1" t="s">
        <v>497</v>
      </c>
      <c r="B459" s="1" t="s">
        <v>133</v>
      </c>
      <c r="C459" s="1">
        <v>8.0</v>
      </c>
      <c r="D459" s="1" t="s">
        <v>206</v>
      </c>
      <c r="E459" s="1" t="s">
        <v>72</v>
      </c>
      <c r="F459" s="1" t="s">
        <v>207</v>
      </c>
      <c r="G459" s="1">
        <v>1.0</v>
      </c>
      <c r="H459" s="2">
        <v>0.12361111111111112</v>
      </c>
    </row>
    <row r="460">
      <c r="A460" s="1" t="s">
        <v>497</v>
      </c>
      <c r="B460" s="1" t="s">
        <v>133</v>
      </c>
      <c r="C460" s="1">
        <v>9.0</v>
      </c>
      <c r="D460" s="1" t="s">
        <v>172</v>
      </c>
      <c r="E460" s="1" t="s">
        <v>72</v>
      </c>
      <c r="F460" s="1" t="s">
        <v>67</v>
      </c>
      <c r="G460" s="1">
        <v>1.0</v>
      </c>
      <c r="H460" s="2">
        <v>0.11319444444444444</v>
      </c>
    </row>
    <row r="461">
      <c r="A461" s="1" t="s">
        <v>497</v>
      </c>
      <c r="B461" s="1" t="s">
        <v>133</v>
      </c>
      <c r="C461" s="1">
        <v>10.0</v>
      </c>
      <c r="D461" s="1" t="s">
        <v>503</v>
      </c>
      <c r="E461" s="1" t="s">
        <v>504</v>
      </c>
      <c r="F461" s="1" t="s">
        <v>207</v>
      </c>
      <c r="G461" s="1">
        <v>1.0</v>
      </c>
      <c r="H461" s="2">
        <v>0.14027777777777778</v>
      </c>
    </row>
    <row r="462">
      <c r="A462" s="1" t="s">
        <v>497</v>
      </c>
      <c r="B462" s="1" t="s">
        <v>133</v>
      </c>
      <c r="C462" s="1">
        <v>11.0</v>
      </c>
      <c r="D462" s="1" t="s">
        <v>108</v>
      </c>
      <c r="E462" s="1" t="s">
        <v>109</v>
      </c>
      <c r="F462" s="1" t="s">
        <v>110</v>
      </c>
      <c r="G462" s="1">
        <v>0.0</v>
      </c>
      <c r="H462" s="2">
        <v>0.10416666666666667</v>
      </c>
    </row>
    <row r="463">
      <c r="A463" s="1" t="s">
        <v>497</v>
      </c>
      <c r="B463" s="1" t="s">
        <v>133</v>
      </c>
      <c r="C463" s="1">
        <v>12.0</v>
      </c>
      <c r="D463" s="1" t="s">
        <v>177</v>
      </c>
      <c r="E463" s="1" t="s">
        <v>178</v>
      </c>
      <c r="F463" s="1" t="s">
        <v>67</v>
      </c>
      <c r="G463" s="1">
        <v>1.0</v>
      </c>
      <c r="H463" s="2">
        <v>0.14583333333333334</v>
      </c>
    </row>
    <row r="464">
      <c r="A464" s="1" t="s">
        <v>497</v>
      </c>
      <c r="B464" s="1" t="s">
        <v>133</v>
      </c>
      <c r="C464" s="1">
        <v>13.0</v>
      </c>
      <c r="D464" s="1" t="s">
        <v>129</v>
      </c>
      <c r="E464" s="1" t="s">
        <v>130</v>
      </c>
      <c r="F464" s="1" t="s">
        <v>131</v>
      </c>
      <c r="G464" s="1">
        <v>0.0</v>
      </c>
      <c r="H464" s="2">
        <v>0.1451388888888889</v>
      </c>
    </row>
    <row r="465">
      <c r="A465" s="1" t="s">
        <v>497</v>
      </c>
      <c r="B465" s="1" t="s">
        <v>133</v>
      </c>
      <c r="C465" s="1">
        <v>14.0</v>
      </c>
      <c r="D465" s="1" t="s">
        <v>179</v>
      </c>
      <c r="E465" s="1" t="s">
        <v>180</v>
      </c>
      <c r="F465" s="1" t="s">
        <v>181</v>
      </c>
      <c r="G465" s="1">
        <v>1.0</v>
      </c>
      <c r="H465" s="2">
        <v>0.20069444444444445</v>
      </c>
    </row>
    <row r="466">
      <c r="A466" s="1" t="s">
        <v>497</v>
      </c>
      <c r="B466" s="1" t="s">
        <v>133</v>
      </c>
      <c r="C466" s="1">
        <v>15.0</v>
      </c>
      <c r="D466" s="1" t="s">
        <v>352</v>
      </c>
      <c r="E466" s="1" t="s">
        <v>353</v>
      </c>
      <c r="F466" s="1" t="s">
        <v>207</v>
      </c>
      <c r="G466" s="1">
        <v>1.0</v>
      </c>
      <c r="H466" s="2">
        <v>0.1451388888888889</v>
      </c>
    </row>
    <row r="467">
      <c r="A467" s="1" t="s">
        <v>497</v>
      </c>
      <c r="B467" s="1" t="s">
        <v>133</v>
      </c>
      <c r="C467" s="1">
        <v>16.0</v>
      </c>
      <c r="D467" s="1" t="s">
        <v>151</v>
      </c>
      <c r="E467" s="1" t="s">
        <v>152</v>
      </c>
      <c r="F467" s="1" t="s">
        <v>153</v>
      </c>
      <c r="G467" s="1">
        <v>1.0</v>
      </c>
      <c r="H467" s="2">
        <v>0.1486111111111111</v>
      </c>
    </row>
    <row r="468">
      <c r="A468" s="1" t="s">
        <v>497</v>
      </c>
      <c r="B468" s="1" t="s">
        <v>133</v>
      </c>
      <c r="C468" s="1">
        <v>17.0</v>
      </c>
      <c r="D468" s="1" t="s">
        <v>157</v>
      </c>
      <c r="E468" s="1" t="s">
        <v>158</v>
      </c>
      <c r="F468" s="1" t="s">
        <v>159</v>
      </c>
      <c r="G468" s="1">
        <v>0.0</v>
      </c>
      <c r="H468" s="2">
        <v>0.12777777777777777</v>
      </c>
    </row>
    <row r="469">
      <c r="A469" s="1" t="s">
        <v>497</v>
      </c>
      <c r="B469" s="1" t="s">
        <v>133</v>
      </c>
      <c r="C469" s="1">
        <v>18.0</v>
      </c>
      <c r="D469" s="1" t="s">
        <v>143</v>
      </c>
      <c r="E469" s="1" t="s">
        <v>144</v>
      </c>
      <c r="F469" s="1" t="s">
        <v>143</v>
      </c>
      <c r="G469" s="1">
        <v>0.0</v>
      </c>
      <c r="H469" s="2">
        <v>0.14027777777777778</v>
      </c>
    </row>
    <row r="470">
      <c r="A470" s="1" t="s">
        <v>497</v>
      </c>
      <c r="B470" s="1" t="s">
        <v>133</v>
      </c>
      <c r="C470" s="1">
        <v>19.0</v>
      </c>
      <c r="D470" s="1" t="s">
        <v>505</v>
      </c>
      <c r="E470" s="1" t="s">
        <v>506</v>
      </c>
      <c r="F470" s="1" t="s">
        <v>67</v>
      </c>
      <c r="G470" s="1">
        <v>1.0</v>
      </c>
      <c r="H470" s="2">
        <v>0.14305555555555555</v>
      </c>
    </row>
    <row r="471">
      <c r="A471" s="1" t="s">
        <v>497</v>
      </c>
      <c r="B471" s="1" t="s">
        <v>133</v>
      </c>
      <c r="C471" s="1">
        <v>20.0</v>
      </c>
      <c r="D471" s="1" t="s">
        <v>161</v>
      </c>
      <c r="E471" s="1" t="s">
        <v>162</v>
      </c>
      <c r="F471" s="1" t="s">
        <v>161</v>
      </c>
      <c r="G471" s="1">
        <v>0.0</v>
      </c>
      <c r="H471" s="2">
        <v>0.15694444444444444</v>
      </c>
    </row>
    <row r="472">
      <c r="A472" s="1" t="s">
        <v>497</v>
      </c>
      <c r="B472" s="1" t="s">
        <v>133</v>
      </c>
      <c r="C472" s="1">
        <v>21.0</v>
      </c>
      <c r="D472" s="1" t="s">
        <v>147</v>
      </c>
      <c r="E472" s="1" t="s">
        <v>148</v>
      </c>
      <c r="F472" s="1" t="s">
        <v>149</v>
      </c>
      <c r="G472" s="1">
        <v>0.0</v>
      </c>
      <c r="H472" s="2">
        <v>0.17291666666666666</v>
      </c>
    </row>
    <row r="473">
      <c r="A473" s="1" t="s">
        <v>497</v>
      </c>
      <c r="B473" s="1" t="s">
        <v>133</v>
      </c>
      <c r="C473" s="1">
        <v>22.0</v>
      </c>
      <c r="D473" s="1" t="s">
        <v>326</v>
      </c>
      <c r="E473" s="1" t="s">
        <v>327</v>
      </c>
      <c r="F473" s="1" t="s">
        <v>328</v>
      </c>
      <c r="G473" s="1">
        <v>0.0</v>
      </c>
      <c r="H473" s="2">
        <v>0.1798611111111111</v>
      </c>
    </row>
    <row r="474">
      <c r="A474" s="1" t="s">
        <v>497</v>
      </c>
      <c r="B474" s="1" t="s">
        <v>133</v>
      </c>
      <c r="C474" s="1">
        <v>23.0</v>
      </c>
      <c r="D474" s="1" t="s">
        <v>11</v>
      </c>
      <c r="E474" s="1" t="s">
        <v>12</v>
      </c>
      <c r="F474" s="1" t="s">
        <v>13</v>
      </c>
      <c r="G474" s="1">
        <v>0.0</v>
      </c>
      <c r="H474" s="2">
        <v>0.1388888888888889</v>
      </c>
    </row>
    <row r="475">
      <c r="A475" s="1" t="s">
        <v>497</v>
      </c>
      <c r="B475" s="1" t="s">
        <v>133</v>
      </c>
      <c r="C475" s="1">
        <v>24.0</v>
      </c>
      <c r="D475" s="1" t="s">
        <v>507</v>
      </c>
      <c r="E475" s="1" t="s">
        <v>508</v>
      </c>
      <c r="F475" s="1" t="s">
        <v>207</v>
      </c>
      <c r="G475" s="1">
        <v>1.0</v>
      </c>
      <c r="H475" s="2">
        <v>0.13472222222222222</v>
      </c>
    </row>
    <row r="476">
      <c r="A476" s="1" t="s">
        <v>497</v>
      </c>
      <c r="B476" s="1" t="s">
        <v>133</v>
      </c>
      <c r="C476" s="1">
        <v>25.0</v>
      </c>
      <c r="D476" s="1" t="s">
        <v>86</v>
      </c>
      <c r="E476" s="1" t="s">
        <v>87</v>
      </c>
      <c r="F476" s="1" t="s">
        <v>86</v>
      </c>
      <c r="G476" s="1">
        <v>0.0</v>
      </c>
      <c r="H476" s="2">
        <v>0.1388888888888889</v>
      </c>
    </row>
    <row r="477">
      <c r="A477" s="1" t="s">
        <v>497</v>
      </c>
      <c r="B477" s="1" t="s">
        <v>133</v>
      </c>
      <c r="C477" s="1">
        <v>26.0</v>
      </c>
      <c r="D477" s="1" t="s">
        <v>509</v>
      </c>
      <c r="E477" s="1" t="s">
        <v>72</v>
      </c>
      <c r="F477" s="1" t="s">
        <v>67</v>
      </c>
      <c r="G477" s="1">
        <v>0.0</v>
      </c>
      <c r="H477" s="2">
        <v>0.12152777777777778</v>
      </c>
    </row>
    <row r="478">
      <c r="A478" s="1" t="s">
        <v>497</v>
      </c>
      <c r="B478" s="1" t="s">
        <v>133</v>
      </c>
      <c r="C478" s="1">
        <v>27.0</v>
      </c>
      <c r="D478" s="1" t="s">
        <v>163</v>
      </c>
      <c r="E478" s="1" t="s">
        <v>164</v>
      </c>
      <c r="F478" s="1" t="s">
        <v>163</v>
      </c>
      <c r="G478" s="1">
        <v>1.0</v>
      </c>
      <c r="H478" s="2">
        <v>0.14722222222222223</v>
      </c>
    </row>
    <row r="479">
      <c r="A479" s="1" t="s">
        <v>497</v>
      </c>
      <c r="B479" s="1" t="s">
        <v>133</v>
      </c>
      <c r="C479" s="1">
        <v>28.0</v>
      </c>
      <c r="D479" s="1" t="s">
        <v>203</v>
      </c>
      <c r="E479" s="1" t="s">
        <v>204</v>
      </c>
      <c r="F479" s="1" t="s">
        <v>205</v>
      </c>
      <c r="G479" s="1">
        <v>0.0</v>
      </c>
      <c r="H479" s="2">
        <v>0.22916666666666666</v>
      </c>
    </row>
    <row r="480">
      <c r="A480" s="1" t="s">
        <v>497</v>
      </c>
      <c r="B480" s="1" t="s">
        <v>133</v>
      </c>
      <c r="C480" s="1">
        <v>29.0</v>
      </c>
      <c r="D480" s="1" t="s">
        <v>330</v>
      </c>
      <c r="E480" s="1" t="s">
        <v>72</v>
      </c>
      <c r="F480" s="1" t="s">
        <v>67</v>
      </c>
      <c r="G480" s="1">
        <v>0.0</v>
      </c>
      <c r="H480" s="2">
        <v>0.11805555555555555</v>
      </c>
    </row>
    <row r="481">
      <c r="A481" s="1" t="s">
        <v>497</v>
      </c>
      <c r="B481" s="1" t="s">
        <v>133</v>
      </c>
      <c r="C481" s="1">
        <v>30.0</v>
      </c>
      <c r="D481" s="1" t="s">
        <v>510</v>
      </c>
      <c r="E481" s="1" t="s">
        <v>511</v>
      </c>
      <c r="F481" s="1" t="s">
        <v>159</v>
      </c>
      <c r="G481" s="1">
        <v>0.0</v>
      </c>
      <c r="H481" s="2">
        <v>0.14027777777777778</v>
      </c>
    </row>
    <row r="482">
      <c r="A482" s="1" t="s">
        <v>497</v>
      </c>
      <c r="B482" s="1" t="s">
        <v>133</v>
      </c>
      <c r="C482" s="1">
        <v>31.0</v>
      </c>
      <c r="D482" s="1" t="s">
        <v>9</v>
      </c>
      <c r="E482" s="1" t="s">
        <v>10</v>
      </c>
      <c r="F482" s="1" t="s">
        <v>9</v>
      </c>
      <c r="G482" s="1">
        <v>0.0</v>
      </c>
      <c r="H482" s="2">
        <v>0.12638888888888888</v>
      </c>
    </row>
    <row r="483">
      <c r="A483" s="1" t="s">
        <v>497</v>
      </c>
      <c r="B483" s="1" t="s">
        <v>133</v>
      </c>
      <c r="C483" s="1">
        <v>32.0</v>
      </c>
      <c r="D483" s="1" t="s">
        <v>349</v>
      </c>
      <c r="E483" s="1" t="s">
        <v>72</v>
      </c>
      <c r="F483" s="1" t="s">
        <v>67</v>
      </c>
      <c r="G483" s="1">
        <v>1.0</v>
      </c>
      <c r="H483" s="2">
        <v>0.13333333333333333</v>
      </c>
    </row>
    <row r="484">
      <c r="A484" s="1" t="s">
        <v>497</v>
      </c>
      <c r="B484" s="1" t="s">
        <v>133</v>
      </c>
      <c r="C484" s="1">
        <v>33.0</v>
      </c>
      <c r="D484" s="1" t="s">
        <v>169</v>
      </c>
      <c r="E484" s="1" t="s">
        <v>170</v>
      </c>
      <c r="F484" s="1" t="s">
        <v>171</v>
      </c>
      <c r="G484" s="1">
        <v>0.0</v>
      </c>
      <c r="H484" s="2">
        <v>0.1451388888888889</v>
      </c>
    </row>
    <row r="485">
      <c r="A485" s="1" t="s">
        <v>497</v>
      </c>
      <c r="B485" s="1" t="s">
        <v>133</v>
      </c>
      <c r="C485" s="1">
        <v>34.0</v>
      </c>
      <c r="D485" s="1" t="s">
        <v>33</v>
      </c>
      <c r="E485" s="1" t="s">
        <v>34</v>
      </c>
      <c r="F485" s="1" t="s">
        <v>35</v>
      </c>
      <c r="G485" s="1">
        <v>0.0</v>
      </c>
      <c r="H485" s="2">
        <v>0.1451388888888889</v>
      </c>
    </row>
    <row r="486">
      <c r="A486" s="1" t="s">
        <v>497</v>
      </c>
      <c r="B486" s="1" t="s">
        <v>133</v>
      </c>
      <c r="C486" s="1">
        <v>35.0</v>
      </c>
      <c r="D486" s="1" t="s">
        <v>160</v>
      </c>
      <c r="E486" s="1" t="s">
        <v>109</v>
      </c>
      <c r="F486" s="1" t="s">
        <v>110</v>
      </c>
      <c r="G486" s="1">
        <v>0.0</v>
      </c>
      <c r="H486" s="2">
        <v>0.1388888888888889</v>
      </c>
    </row>
    <row r="487">
      <c r="A487" s="1" t="s">
        <v>497</v>
      </c>
      <c r="B487" s="1" t="s">
        <v>133</v>
      </c>
      <c r="C487" s="1">
        <v>36.0</v>
      </c>
      <c r="D487" s="1" t="s">
        <v>512</v>
      </c>
      <c r="E487" s="1" t="s">
        <v>513</v>
      </c>
      <c r="F487" s="1" t="s">
        <v>512</v>
      </c>
      <c r="G487" s="1">
        <v>0.0</v>
      </c>
      <c r="H487" s="2">
        <v>0.14583333333333334</v>
      </c>
    </row>
    <row r="488">
      <c r="A488" s="1" t="s">
        <v>497</v>
      </c>
      <c r="B488" s="1" t="s">
        <v>133</v>
      </c>
      <c r="C488" s="1">
        <v>37.0</v>
      </c>
      <c r="D488" s="1" t="s">
        <v>514</v>
      </c>
      <c r="E488" s="1" t="s">
        <v>152</v>
      </c>
      <c r="F488" s="1" t="s">
        <v>153</v>
      </c>
      <c r="G488" s="1">
        <v>1.0</v>
      </c>
      <c r="H488" s="2">
        <v>0.12916666666666668</v>
      </c>
    </row>
    <row r="489">
      <c r="A489" s="1" t="s">
        <v>497</v>
      </c>
      <c r="B489" s="1" t="s">
        <v>133</v>
      </c>
      <c r="C489" s="1">
        <v>38.0</v>
      </c>
      <c r="D489" s="1" t="s">
        <v>212</v>
      </c>
      <c r="E489" s="1" t="s">
        <v>213</v>
      </c>
      <c r="F489" s="1" t="s">
        <v>214</v>
      </c>
      <c r="G489" s="1">
        <v>1.0</v>
      </c>
      <c r="H489" s="2">
        <v>0.2111111111111111</v>
      </c>
    </row>
    <row r="490">
      <c r="A490" s="1" t="s">
        <v>497</v>
      </c>
      <c r="B490" s="1" t="s">
        <v>133</v>
      </c>
      <c r="C490" s="1">
        <v>39.0</v>
      </c>
      <c r="D490" s="1" t="s">
        <v>338</v>
      </c>
      <c r="E490" s="1" t="s">
        <v>339</v>
      </c>
      <c r="F490" s="1" t="s">
        <v>340</v>
      </c>
      <c r="G490" s="1">
        <v>0.0</v>
      </c>
      <c r="H490" s="2">
        <v>0.13125</v>
      </c>
    </row>
    <row r="491">
      <c r="A491" s="1" t="s">
        <v>497</v>
      </c>
      <c r="B491" s="1" t="s">
        <v>133</v>
      </c>
      <c r="C491" s="1">
        <v>40.0</v>
      </c>
      <c r="D491" s="1" t="s">
        <v>515</v>
      </c>
      <c r="E491" s="1" t="s">
        <v>72</v>
      </c>
      <c r="F491" s="1" t="s">
        <v>207</v>
      </c>
      <c r="G491" s="1">
        <v>0.0</v>
      </c>
      <c r="H491" s="2">
        <v>0.1076388888888889</v>
      </c>
    </row>
    <row r="492">
      <c r="A492" s="1" t="s">
        <v>497</v>
      </c>
      <c r="B492" s="1" t="s">
        <v>133</v>
      </c>
      <c r="C492" s="1">
        <v>41.0</v>
      </c>
      <c r="D492" s="1" t="s">
        <v>516</v>
      </c>
      <c r="E492" s="1" t="s">
        <v>517</v>
      </c>
      <c r="F492" s="1" t="s">
        <v>516</v>
      </c>
      <c r="G492" s="1">
        <v>0.0</v>
      </c>
      <c r="H492" s="2">
        <v>0.11041666666666666</v>
      </c>
    </row>
    <row r="493">
      <c r="A493" s="1" t="s">
        <v>497</v>
      </c>
      <c r="B493" s="1" t="s">
        <v>133</v>
      </c>
      <c r="C493" s="1">
        <v>42.0</v>
      </c>
      <c r="D493" s="1" t="s">
        <v>518</v>
      </c>
      <c r="E493" s="1" t="s">
        <v>519</v>
      </c>
      <c r="F493" s="1" t="s">
        <v>518</v>
      </c>
      <c r="G493" s="1">
        <v>1.0</v>
      </c>
      <c r="H493" s="2">
        <v>0.12638888888888888</v>
      </c>
    </row>
    <row r="494">
      <c r="A494" s="1" t="s">
        <v>497</v>
      </c>
      <c r="B494" s="1" t="s">
        <v>133</v>
      </c>
      <c r="C494" s="1">
        <v>43.0</v>
      </c>
      <c r="D494" s="1" t="s">
        <v>165</v>
      </c>
      <c r="E494" s="1" t="s">
        <v>166</v>
      </c>
      <c r="F494" s="1" t="s">
        <v>165</v>
      </c>
      <c r="G494" s="1">
        <v>0.0</v>
      </c>
      <c r="H494" s="2">
        <v>0.13819444444444445</v>
      </c>
    </row>
    <row r="495">
      <c r="A495" s="1" t="s">
        <v>497</v>
      </c>
      <c r="B495" s="1" t="s">
        <v>133</v>
      </c>
      <c r="C495" s="1">
        <v>44.0</v>
      </c>
      <c r="D495" s="1" t="s">
        <v>173</v>
      </c>
      <c r="E495" s="1" t="s">
        <v>109</v>
      </c>
      <c r="F495" s="1" t="s">
        <v>110</v>
      </c>
      <c r="G495" s="1">
        <v>0.0</v>
      </c>
      <c r="H495" s="2">
        <v>0.10902777777777778</v>
      </c>
    </row>
    <row r="496">
      <c r="A496" s="1" t="s">
        <v>497</v>
      </c>
      <c r="B496" s="1" t="s">
        <v>133</v>
      </c>
      <c r="C496" s="1">
        <v>45.0</v>
      </c>
      <c r="D496" s="1" t="s">
        <v>27</v>
      </c>
      <c r="E496" s="1" t="s">
        <v>28</v>
      </c>
      <c r="F496" s="1" t="s">
        <v>29</v>
      </c>
      <c r="G496" s="1">
        <v>0.0</v>
      </c>
      <c r="H496" s="2">
        <v>0.12708333333333333</v>
      </c>
    </row>
    <row r="497">
      <c r="A497" s="1" t="s">
        <v>497</v>
      </c>
      <c r="B497" s="1" t="s">
        <v>133</v>
      </c>
      <c r="C497" s="1">
        <v>46.0</v>
      </c>
      <c r="D497" s="1" t="s">
        <v>520</v>
      </c>
      <c r="E497" s="1" t="s">
        <v>521</v>
      </c>
      <c r="F497" s="1" t="s">
        <v>522</v>
      </c>
      <c r="G497" s="1">
        <v>0.0</v>
      </c>
      <c r="H497" s="2">
        <v>0.18541666666666667</v>
      </c>
    </row>
    <row r="498">
      <c r="A498" s="1" t="s">
        <v>497</v>
      </c>
      <c r="B498" s="1" t="s">
        <v>133</v>
      </c>
      <c r="C498" s="1">
        <v>47.0</v>
      </c>
      <c r="D498" s="1" t="s">
        <v>344</v>
      </c>
      <c r="E498" s="1" t="s">
        <v>345</v>
      </c>
      <c r="F498" s="1" t="s">
        <v>346</v>
      </c>
      <c r="G498" s="1">
        <v>0.0</v>
      </c>
      <c r="H498" s="2">
        <v>0.21458333333333332</v>
      </c>
    </row>
    <row r="499">
      <c r="A499" s="1" t="s">
        <v>497</v>
      </c>
      <c r="B499" s="1" t="s">
        <v>133</v>
      </c>
      <c r="C499" s="1">
        <v>48.0</v>
      </c>
      <c r="D499" s="1" t="s">
        <v>523</v>
      </c>
      <c r="E499" s="1" t="s">
        <v>524</v>
      </c>
      <c r="F499" s="1" t="s">
        <v>523</v>
      </c>
      <c r="G499" s="1">
        <v>0.0</v>
      </c>
      <c r="H499" s="2">
        <v>0.1875</v>
      </c>
    </row>
    <row r="500">
      <c r="A500" s="1" t="s">
        <v>497</v>
      </c>
      <c r="B500" s="1" t="s">
        <v>133</v>
      </c>
      <c r="C500" s="1">
        <v>49.0</v>
      </c>
      <c r="D500" s="1" t="s">
        <v>23</v>
      </c>
      <c r="E500" s="1" t="s">
        <v>24</v>
      </c>
      <c r="F500" s="1" t="s">
        <v>23</v>
      </c>
      <c r="G500" s="1">
        <v>0.0</v>
      </c>
      <c r="H500" s="2">
        <v>0.12013888888888889</v>
      </c>
    </row>
    <row r="501">
      <c r="A501" s="1" t="s">
        <v>497</v>
      </c>
      <c r="B501" s="1" t="s">
        <v>133</v>
      </c>
      <c r="C501" s="1">
        <v>50.0</v>
      </c>
      <c r="D501" s="1" t="s">
        <v>525</v>
      </c>
      <c r="E501" s="1" t="s">
        <v>526</v>
      </c>
      <c r="F501" s="1" t="s">
        <v>525</v>
      </c>
      <c r="G501" s="1">
        <v>0.0</v>
      </c>
      <c r="H501" s="2">
        <v>0.15069444444444444</v>
      </c>
    </row>
    <row r="502">
      <c r="A502" s="1" t="s">
        <v>527</v>
      </c>
      <c r="B502" s="1" t="s">
        <v>133</v>
      </c>
      <c r="C502" s="1">
        <v>1.0</v>
      </c>
      <c r="D502" s="1" t="s">
        <v>108</v>
      </c>
      <c r="E502" s="1" t="s">
        <v>109</v>
      </c>
      <c r="F502" s="1" t="s">
        <v>110</v>
      </c>
      <c r="G502" s="1">
        <v>0.0</v>
      </c>
      <c r="H502" s="2">
        <v>0.10416666666666667</v>
      </c>
    </row>
    <row r="503">
      <c r="A503" s="1" t="s">
        <v>527</v>
      </c>
      <c r="B503" s="1" t="s">
        <v>133</v>
      </c>
      <c r="C503" s="1">
        <v>2.0</v>
      </c>
      <c r="D503" s="1" t="s">
        <v>136</v>
      </c>
      <c r="E503" s="1" t="s">
        <v>137</v>
      </c>
      <c r="F503" s="1" t="s">
        <v>138</v>
      </c>
      <c r="G503" s="1">
        <v>0.0</v>
      </c>
      <c r="H503" s="2">
        <v>0.16111111111111112</v>
      </c>
    </row>
    <row r="504">
      <c r="A504" s="1" t="s">
        <v>527</v>
      </c>
      <c r="B504" s="1" t="s">
        <v>133</v>
      </c>
      <c r="C504" s="1">
        <v>3.0</v>
      </c>
      <c r="D504" s="1" t="s">
        <v>65</v>
      </c>
      <c r="E504" s="1" t="s">
        <v>66</v>
      </c>
      <c r="F504" s="1" t="s">
        <v>67</v>
      </c>
      <c r="G504" s="1">
        <v>1.0</v>
      </c>
      <c r="H504" s="2">
        <v>0.2048611111111111</v>
      </c>
    </row>
    <row r="505">
      <c r="A505" s="1" t="s">
        <v>527</v>
      </c>
      <c r="B505" s="1" t="s">
        <v>133</v>
      </c>
      <c r="C505" s="1">
        <v>4.0</v>
      </c>
      <c r="D505" s="1" t="s">
        <v>173</v>
      </c>
      <c r="E505" s="1" t="s">
        <v>109</v>
      </c>
      <c r="F505" s="1" t="s">
        <v>110</v>
      </c>
      <c r="G505" s="1">
        <v>0.0</v>
      </c>
      <c r="H505" s="2">
        <v>0.10902777777777778</v>
      </c>
    </row>
    <row r="506">
      <c r="A506" s="1" t="s">
        <v>527</v>
      </c>
      <c r="B506" s="1" t="s">
        <v>133</v>
      </c>
      <c r="C506" s="1">
        <v>5.0</v>
      </c>
      <c r="D506" s="1" t="s">
        <v>71</v>
      </c>
      <c r="E506" s="1" t="s">
        <v>72</v>
      </c>
      <c r="F506" s="1" t="s">
        <v>67</v>
      </c>
      <c r="G506" s="1">
        <v>0.0</v>
      </c>
      <c r="H506" s="2">
        <v>0.11944444444444445</v>
      </c>
    </row>
    <row r="507">
      <c r="A507" s="1" t="s">
        <v>527</v>
      </c>
      <c r="B507" s="1" t="s">
        <v>133</v>
      </c>
      <c r="C507" s="1">
        <v>6.0</v>
      </c>
      <c r="D507" s="1" t="s">
        <v>129</v>
      </c>
      <c r="E507" s="1" t="s">
        <v>130</v>
      </c>
      <c r="F507" s="1" t="s">
        <v>131</v>
      </c>
      <c r="G507" s="1">
        <v>0.0</v>
      </c>
      <c r="H507" s="2">
        <v>0.1451388888888889</v>
      </c>
    </row>
    <row r="508">
      <c r="A508" s="1" t="s">
        <v>527</v>
      </c>
      <c r="B508" s="1" t="s">
        <v>133</v>
      </c>
      <c r="C508" s="1">
        <v>7.0</v>
      </c>
      <c r="D508" s="1" t="s">
        <v>143</v>
      </c>
      <c r="E508" s="1" t="s">
        <v>144</v>
      </c>
      <c r="F508" s="1" t="s">
        <v>143</v>
      </c>
      <c r="G508" s="1">
        <v>0.0</v>
      </c>
      <c r="H508" s="2">
        <v>0.14027777777777778</v>
      </c>
    </row>
    <row r="509">
      <c r="A509" s="1" t="s">
        <v>527</v>
      </c>
      <c r="B509" s="1" t="s">
        <v>133</v>
      </c>
      <c r="C509" s="1">
        <v>8.0</v>
      </c>
      <c r="D509" s="1" t="s">
        <v>160</v>
      </c>
      <c r="E509" s="1" t="s">
        <v>109</v>
      </c>
      <c r="F509" s="1" t="s">
        <v>110</v>
      </c>
      <c r="G509" s="1">
        <v>0.0</v>
      </c>
      <c r="H509" s="2">
        <v>0.1388888888888889</v>
      </c>
    </row>
    <row r="510">
      <c r="A510" s="1" t="s">
        <v>527</v>
      </c>
      <c r="B510" s="1" t="s">
        <v>133</v>
      </c>
      <c r="C510" s="1">
        <v>9.0</v>
      </c>
      <c r="D510" s="1" t="s">
        <v>141</v>
      </c>
      <c r="E510" s="1" t="s">
        <v>142</v>
      </c>
      <c r="F510" s="1" t="s">
        <v>141</v>
      </c>
      <c r="G510" s="1">
        <v>0.0</v>
      </c>
      <c r="H510" s="2">
        <v>0.13680555555555557</v>
      </c>
    </row>
    <row r="511">
      <c r="A511" s="1" t="s">
        <v>527</v>
      </c>
      <c r="B511" s="1" t="s">
        <v>133</v>
      </c>
      <c r="C511" s="1">
        <v>10.0</v>
      </c>
      <c r="D511" s="1" t="s">
        <v>329</v>
      </c>
      <c r="E511" s="1" t="s">
        <v>109</v>
      </c>
      <c r="F511" s="1" t="s">
        <v>110</v>
      </c>
      <c r="G511" s="1">
        <v>0.0</v>
      </c>
      <c r="H511" s="2">
        <v>0.1423611111111111</v>
      </c>
    </row>
    <row r="512">
      <c r="A512" s="1" t="s">
        <v>527</v>
      </c>
      <c r="B512" s="1" t="s">
        <v>133</v>
      </c>
      <c r="C512" s="1">
        <v>11.0</v>
      </c>
      <c r="D512" s="1" t="s">
        <v>322</v>
      </c>
      <c r="E512" s="1" t="s">
        <v>323</v>
      </c>
      <c r="F512" s="1" t="s">
        <v>322</v>
      </c>
      <c r="G512" s="1">
        <v>0.0</v>
      </c>
      <c r="H512" s="2">
        <v>0.10902777777777778</v>
      </c>
    </row>
    <row r="513">
      <c r="A513" s="1" t="s">
        <v>527</v>
      </c>
      <c r="B513" s="1" t="s">
        <v>133</v>
      </c>
      <c r="C513" s="1">
        <v>12.0</v>
      </c>
      <c r="D513" s="1" t="s">
        <v>86</v>
      </c>
      <c r="E513" s="1" t="s">
        <v>87</v>
      </c>
      <c r="F513" s="1" t="s">
        <v>86</v>
      </c>
      <c r="G513" s="1">
        <v>0.0</v>
      </c>
      <c r="H513" s="2">
        <v>0.1388888888888889</v>
      </c>
    </row>
    <row r="514">
      <c r="A514" s="1" t="s">
        <v>527</v>
      </c>
      <c r="B514" s="1" t="s">
        <v>133</v>
      </c>
      <c r="C514" s="1">
        <v>13.0</v>
      </c>
      <c r="D514" s="1" t="s">
        <v>147</v>
      </c>
      <c r="E514" s="1" t="s">
        <v>148</v>
      </c>
      <c r="F514" s="1" t="s">
        <v>149</v>
      </c>
      <c r="G514" s="1">
        <v>0.0</v>
      </c>
      <c r="H514" s="2">
        <v>0.17291666666666666</v>
      </c>
    </row>
    <row r="515">
      <c r="A515" s="1" t="s">
        <v>527</v>
      </c>
      <c r="B515" s="1" t="s">
        <v>133</v>
      </c>
      <c r="C515" s="1">
        <v>14.0</v>
      </c>
      <c r="D515" s="1" t="s">
        <v>161</v>
      </c>
      <c r="E515" s="1" t="s">
        <v>162</v>
      </c>
      <c r="F515" s="1" t="s">
        <v>161</v>
      </c>
      <c r="G515" s="1">
        <v>0.0</v>
      </c>
      <c r="H515" s="2">
        <v>0.15694444444444444</v>
      </c>
    </row>
    <row r="516">
      <c r="A516" s="1" t="s">
        <v>527</v>
      </c>
      <c r="B516" s="1" t="s">
        <v>133</v>
      </c>
      <c r="C516" s="1">
        <v>15.0</v>
      </c>
      <c r="D516" s="1" t="s">
        <v>157</v>
      </c>
      <c r="E516" s="1" t="s">
        <v>158</v>
      </c>
      <c r="F516" s="1" t="s">
        <v>159</v>
      </c>
      <c r="G516" s="1">
        <v>0.0</v>
      </c>
      <c r="H516" s="2">
        <v>0.12777777777777777</v>
      </c>
    </row>
    <row r="517">
      <c r="A517" s="1" t="s">
        <v>527</v>
      </c>
      <c r="B517" s="1" t="s">
        <v>133</v>
      </c>
      <c r="C517" s="1">
        <v>16.0</v>
      </c>
      <c r="D517" s="1" t="s">
        <v>11</v>
      </c>
      <c r="E517" s="1" t="s">
        <v>12</v>
      </c>
      <c r="F517" s="1" t="s">
        <v>13</v>
      </c>
      <c r="G517" s="1">
        <v>0.0</v>
      </c>
      <c r="H517" s="2">
        <v>0.1388888888888889</v>
      </c>
    </row>
    <row r="518">
      <c r="A518" s="1" t="s">
        <v>527</v>
      </c>
      <c r="B518" s="1" t="s">
        <v>133</v>
      </c>
      <c r="C518" s="1">
        <v>17.0</v>
      </c>
      <c r="D518" s="1" t="s">
        <v>177</v>
      </c>
      <c r="E518" s="1" t="s">
        <v>178</v>
      </c>
      <c r="F518" s="1" t="s">
        <v>67</v>
      </c>
      <c r="G518" s="1">
        <v>1.0</v>
      </c>
      <c r="H518" s="2">
        <v>0.14583333333333334</v>
      </c>
    </row>
    <row r="519">
      <c r="A519" s="1" t="s">
        <v>527</v>
      </c>
      <c r="B519" s="1" t="s">
        <v>133</v>
      </c>
      <c r="C519" s="1">
        <v>18.0</v>
      </c>
      <c r="D519" s="1" t="s">
        <v>9</v>
      </c>
      <c r="E519" s="1" t="s">
        <v>10</v>
      </c>
      <c r="F519" s="1" t="s">
        <v>9</v>
      </c>
      <c r="G519" s="1">
        <v>0.0</v>
      </c>
      <c r="H519" s="2">
        <v>0.12638888888888888</v>
      </c>
    </row>
    <row r="520">
      <c r="A520" s="1" t="s">
        <v>527</v>
      </c>
      <c r="B520" s="1" t="s">
        <v>133</v>
      </c>
      <c r="C520" s="1">
        <v>19.0</v>
      </c>
      <c r="D520" s="1" t="s">
        <v>528</v>
      </c>
      <c r="E520" s="1" t="s">
        <v>529</v>
      </c>
      <c r="F520" s="1" t="s">
        <v>528</v>
      </c>
      <c r="G520" s="1">
        <v>0.0</v>
      </c>
      <c r="H520" s="2">
        <v>0.14027777777777778</v>
      </c>
    </row>
    <row r="521">
      <c r="A521" s="1" t="s">
        <v>527</v>
      </c>
      <c r="B521" s="1" t="s">
        <v>133</v>
      </c>
      <c r="C521" s="1">
        <v>20.0</v>
      </c>
      <c r="D521" s="1" t="s">
        <v>151</v>
      </c>
      <c r="E521" s="1" t="s">
        <v>152</v>
      </c>
      <c r="F521" s="1" t="s">
        <v>153</v>
      </c>
      <c r="G521" s="1">
        <v>1.0</v>
      </c>
      <c r="H521" s="2">
        <v>0.1486111111111111</v>
      </c>
    </row>
    <row r="522">
      <c r="A522" s="1" t="s">
        <v>527</v>
      </c>
      <c r="B522" s="1" t="s">
        <v>133</v>
      </c>
      <c r="C522" s="1">
        <v>21.0</v>
      </c>
      <c r="D522" s="1" t="s">
        <v>530</v>
      </c>
      <c r="E522" s="1" t="s">
        <v>109</v>
      </c>
      <c r="F522" s="1" t="s">
        <v>110</v>
      </c>
      <c r="G522" s="1">
        <v>0.0</v>
      </c>
      <c r="H522" s="2">
        <v>0.10069444444444445</v>
      </c>
    </row>
    <row r="523">
      <c r="A523" s="1" t="s">
        <v>527</v>
      </c>
      <c r="B523" s="1" t="s">
        <v>133</v>
      </c>
      <c r="C523" s="1">
        <v>22.0</v>
      </c>
      <c r="D523" s="1" t="s">
        <v>330</v>
      </c>
      <c r="E523" s="1" t="s">
        <v>72</v>
      </c>
      <c r="F523" s="1" t="s">
        <v>67</v>
      </c>
      <c r="G523" s="1">
        <v>0.0</v>
      </c>
      <c r="H523" s="2">
        <v>0.11805555555555555</v>
      </c>
    </row>
    <row r="524">
      <c r="A524" s="1" t="s">
        <v>527</v>
      </c>
      <c r="B524" s="1" t="s">
        <v>133</v>
      </c>
      <c r="C524" s="1">
        <v>23.0</v>
      </c>
      <c r="D524" s="1" t="s">
        <v>165</v>
      </c>
      <c r="E524" s="1" t="s">
        <v>166</v>
      </c>
      <c r="F524" s="1" t="s">
        <v>165</v>
      </c>
      <c r="G524" s="1">
        <v>0.0</v>
      </c>
      <c r="H524" s="2">
        <v>0.13819444444444445</v>
      </c>
    </row>
    <row r="525">
      <c r="A525" s="1" t="s">
        <v>527</v>
      </c>
      <c r="B525" s="1" t="s">
        <v>133</v>
      </c>
      <c r="C525" s="1">
        <v>24.0</v>
      </c>
      <c r="D525" s="1" t="s">
        <v>33</v>
      </c>
      <c r="E525" s="1" t="s">
        <v>34</v>
      </c>
      <c r="F525" s="1" t="s">
        <v>35</v>
      </c>
      <c r="G525" s="1">
        <v>0.0</v>
      </c>
      <c r="H525" s="2">
        <v>0.1451388888888889</v>
      </c>
    </row>
    <row r="526">
      <c r="A526" s="1" t="s">
        <v>527</v>
      </c>
      <c r="B526" s="1" t="s">
        <v>133</v>
      </c>
      <c r="C526" s="1">
        <v>25.0</v>
      </c>
      <c r="D526" s="1" t="s">
        <v>531</v>
      </c>
      <c r="E526" s="1" t="s">
        <v>109</v>
      </c>
      <c r="F526" s="1" t="s">
        <v>110</v>
      </c>
      <c r="G526" s="1">
        <v>0.0</v>
      </c>
      <c r="H526" s="2">
        <v>0.12638888888888888</v>
      </c>
    </row>
    <row r="527">
      <c r="A527" s="1" t="s">
        <v>527</v>
      </c>
      <c r="B527" s="1" t="s">
        <v>133</v>
      </c>
      <c r="C527" s="1">
        <v>26.0</v>
      </c>
      <c r="D527" s="1" t="s">
        <v>206</v>
      </c>
      <c r="E527" s="1" t="s">
        <v>72</v>
      </c>
      <c r="F527" s="1" t="s">
        <v>207</v>
      </c>
      <c r="G527" s="1">
        <v>1.0</v>
      </c>
      <c r="H527" s="2">
        <v>0.12361111111111112</v>
      </c>
    </row>
    <row r="528">
      <c r="A528" s="1" t="s">
        <v>527</v>
      </c>
      <c r="B528" s="1" t="s">
        <v>133</v>
      </c>
      <c r="C528" s="1">
        <v>27.0</v>
      </c>
      <c r="D528" s="1" t="s">
        <v>172</v>
      </c>
      <c r="E528" s="1" t="s">
        <v>72</v>
      </c>
      <c r="F528" s="1" t="s">
        <v>67</v>
      </c>
      <c r="G528" s="1">
        <v>1.0</v>
      </c>
      <c r="H528" s="2">
        <v>0.11319444444444444</v>
      </c>
    </row>
    <row r="529">
      <c r="A529" s="1" t="s">
        <v>527</v>
      </c>
      <c r="B529" s="1" t="s">
        <v>133</v>
      </c>
      <c r="C529" s="1">
        <v>28.0</v>
      </c>
      <c r="D529" s="1" t="s">
        <v>169</v>
      </c>
      <c r="E529" s="1" t="s">
        <v>170</v>
      </c>
      <c r="F529" s="1" t="s">
        <v>171</v>
      </c>
      <c r="G529" s="1">
        <v>0.0</v>
      </c>
      <c r="H529" s="2">
        <v>0.1451388888888889</v>
      </c>
    </row>
    <row r="530">
      <c r="A530" s="1" t="s">
        <v>527</v>
      </c>
      <c r="B530" s="1" t="s">
        <v>133</v>
      </c>
      <c r="C530" s="1">
        <v>29.0</v>
      </c>
      <c r="D530" s="1" t="s">
        <v>498</v>
      </c>
      <c r="E530" s="1" t="s">
        <v>499</v>
      </c>
      <c r="F530" s="1" t="s">
        <v>500</v>
      </c>
      <c r="G530" s="1">
        <v>1.0</v>
      </c>
      <c r="H530" s="2">
        <v>0.15763888888888888</v>
      </c>
    </row>
    <row r="531">
      <c r="A531" s="1" t="s">
        <v>527</v>
      </c>
      <c r="B531" s="1" t="s">
        <v>133</v>
      </c>
      <c r="C531" s="1">
        <v>30.0</v>
      </c>
      <c r="D531" s="1" t="s">
        <v>336</v>
      </c>
      <c r="E531" s="1" t="s">
        <v>337</v>
      </c>
      <c r="F531" s="1" t="s">
        <v>336</v>
      </c>
      <c r="G531" s="1">
        <v>0.0</v>
      </c>
      <c r="H531" s="2">
        <v>0.1326388888888889</v>
      </c>
    </row>
    <row r="532">
      <c r="A532" s="1" t="s">
        <v>527</v>
      </c>
      <c r="B532" s="1" t="s">
        <v>133</v>
      </c>
      <c r="C532" s="1">
        <v>31.0</v>
      </c>
      <c r="D532" s="1" t="s">
        <v>331</v>
      </c>
      <c r="E532" s="1" t="s">
        <v>332</v>
      </c>
      <c r="F532" s="1" t="s">
        <v>333</v>
      </c>
      <c r="G532" s="1">
        <v>0.0</v>
      </c>
      <c r="H532" s="2">
        <v>0.16805555555555557</v>
      </c>
    </row>
    <row r="533">
      <c r="A533" s="1" t="s">
        <v>527</v>
      </c>
      <c r="B533" s="1" t="s">
        <v>133</v>
      </c>
      <c r="C533" s="1">
        <v>32.0</v>
      </c>
      <c r="D533" s="1" t="s">
        <v>344</v>
      </c>
      <c r="E533" s="1" t="s">
        <v>345</v>
      </c>
      <c r="F533" s="1" t="s">
        <v>346</v>
      </c>
      <c r="G533" s="1">
        <v>0.0</v>
      </c>
      <c r="H533" s="2">
        <v>0.21458333333333332</v>
      </c>
    </row>
    <row r="534">
      <c r="A534" s="1" t="s">
        <v>527</v>
      </c>
      <c r="B534" s="1" t="s">
        <v>133</v>
      </c>
      <c r="C534" s="1">
        <v>33.0</v>
      </c>
      <c r="D534" s="1" t="s">
        <v>27</v>
      </c>
      <c r="E534" s="1" t="s">
        <v>28</v>
      </c>
      <c r="F534" s="1" t="s">
        <v>29</v>
      </c>
      <c r="G534" s="1">
        <v>0.0</v>
      </c>
      <c r="H534" s="2">
        <v>0.12708333333333333</v>
      </c>
    </row>
    <row r="535">
      <c r="A535" s="1" t="s">
        <v>527</v>
      </c>
      <c r="B535" s="1" t="s">
        <v>133</v>
      </c>
      <c r="C535" s="1">
        <v>34.0</v>
      </c>
      <c r="D535" s="1" t="s">
        <v>507</v>
      </c>
      <c r="E535" s="1" t="s">
        <v>508</v>
      </c>
      <c r="F535" s="1" t="s">
        <v>207</v>
      </c>
      <c r="G535" s="1">
        <v>1.0</v>
      </c>
      <c r="H535" s="2">
        <v>0.13472222222222222</v>
      </c>
    </row>
    <row r="536">
      <c r="A536" s="1" t="s">
        <v>527</v>
      </c>
      <c r="B536" s="1" t="s">
        <v>133</v>
      </c>
      <c r="C536" s="1">
        <v>35.0</v>
      </c>
      <c r="D536" s="1" t="s">
        <v>532</v>
      </c>
      <c r="E536" s="1" t="s">
        <v>533</v>
      </c>
      <c r="F536" s="1" t="s">
        <v>138</v>
      </c>
      <c r="G536" s="1">
        <v>0.0</v>
      </c>
      <c r="H536" s="2">
        <v>0.15486111111111112</v>
      </c>
    </row>
    <row r="537">
      <c r="A537" s="1" t="s">
        <v>527</v>
      </c>
      <c r="B537" s="1" t="s">
        <v>133</v>
      </c>
      <c r="C537" s="1">
        <v>36.0</v>
      </c>
      <c r="D537" s="1" t="s">
        <v>350</v>
      </c>
      <c r="E537" s="1" t="s">
        <v>351</v>
      </c>
      <c r="F537" s="1" t="s">
        <v>350</v>
      </c>
      <c r="G537" s="1">
        <v>0.0</v>
      </c>
      <c r="H537" s="2">
        <v>0.13402777777777777</v>
      </c>
    </row>
    <row r="538">
      <c r="A538" s="1" t="s">
        <v>527</v>
      </c>
      <c r="B538" s="1" t="s">
        <v>133</v>
      </c>
      <c r="C538" s="1">
        <v>37.0</v>
      </c>
      <c r="D538" s="1" t="s">
        <v>534</v>
      </c>
      <c r="E538" s="1" t="s">
        <v>109</v>
      </c>
      <c r="F538" s="1" t="s">
        <v>110</v>
      </c>
      <c r="G538" s="1">
        <v>0.0</v>
      </c>
      <c r="H538" s="2">
        <v>0.12222222222222222</v>
      </c>
    </row>
    <row r="539">
      <c r="A539" s="1" t="s">
        <v>527</v>
      </c>
      <c r="B539" s="1" t="s">
        <v>133</v>
      </c>
      <c r="C539" s="1">
        <v>38.0</v>
      </c>
      <c r="D539" s="1" t="s">
        <v>501</v>
      </c>
      <c r="E539" s="1" t="s">
        <v>502</v>
      </c>
      <c r="F539" s="1" t="s">
        <v>207</v>
      </c>
      <c r="G539" s="1">
        <v>1.0</v>
      </c>
      <c r="H539" s="2">
        <v>0.12708333333333333</v>
      </c>
    </row>
    <row r="540">
      <c r="A540" s="1" t="s">
        <v>527</v>
      </c>
      <c r="B540" s="1" t="s">
        <v>133</v>
      </c>
      <c r="C540" s="1">
        <v>39.0</v>
      </c>
      <c r="D540" s="1" t="s">
        <v>131</v>
      </c>
      <c r="E540" s="1" t="s">
        <v>150</v>
      </c>
      <c r="F540" s="1" t="s">
        <v>131</v>
      </c>
      <c r="G540" s="1">
        <v>0.0</v>
      </c>
      <c r="H540" s="2">
        <v>0.12638888888888888</v>
      </c>
    </row>
    <row r="541">
      <c r="A541" s="1" t="s">
        <v>527</v>
      </c>
      <c r="B541" s="1" t="s">
        <v>133</v>
      </c>
      <c r="C541" s="1">
        <v>40.0</v>
      </c>
      <c r="D541" s="1" t="s">
        <v>349</v>
      </c>
      <c r="E541" s="1" t="s">
        <v>72</v>
      </c>
      <c r="F541" s="1" t="s">
        <v>67</v>
      </c>
      <c r="G541" s="1">
        <v>1.0</v>
      </c>
      <c r="H541" s="2">
        <v>0.13333333333333333</v>
      </c>
    </row>
    <row r="542">
      <c r="A542" s="1" t="s">
        <v>527</v>
      </c>
      <c r="B542" s="1" t="s">
        <v>133</v>
      </c>
      <c r="C542" s="1">
        <v>41.0</v>
      </c>
      <c r="D542" s="1" t="s">
        <v>212</v>
      </c>
      <c r="E542" s="1" t="s">
        <v>213</v>
      </c>
      <c r="F542" s="1" t="s">
        <v>214</v>
      </c>
      <c r="G542" s="1">
        <v>1.0</v>
      </c>
      <c r="H542" s="2">
        <v>0.2111111111111111</v>
      </c>
    </row>
    <row r="543">
      <c r="A543" s="1" t="s">
        <v>527</v>
      </c>
      <c r="B543" s="1" t="s">
        <v>133</v>
      </c>
      <c r="C543" s="1">
        <v>42.0</v>
      </c>
      <c r="D543" s="1" t="s">
        <v>535</v>
      </c>
      <c r="E543" s="1" t="s">
        <v>536</v>
      </c>
      <c r="F543" s="1" t="s">
        <v>537</v>
      </c>
      <c r="G543" s="1">
        <v>0.0</v>
      </c>
      <c r="H543" s="2">
        <v>0.17222222222222222</v>
      </c>
    </row>
    <row r="544">
      <c r="A544" s="1" t="s">
        <v>527</v>
      </c>
      <c r="B544" s="1" t="s">
        <v>133</v>
      </c>
      <c r="C544" s="1">
        <v>43.0</v>
      </c>
      <c r="D544" s="1" t="s">
        <v>192</v>
      </c>
      <c r="E544" s="1" t="s">
        <v>193</v>
      </c>
      <c r="F544" s="1" t="s">
        <v>131</v>
      </c>
      <c r="G544" s="1">
        <v>0.0</v>
      </c>
      <c r="H544" s="2">
        <v>0.12430555555555556</v>
      </c>
    </row>
    <row r="545">
      <c r="A545" s="1" t="s">
        <v>527</v>
      </c>
      <c r="B545" s="1" t="s">
        <v>133</v>
      </c>
      <c r="C545" s="1">
        <v>44.0</v>
      </c>
      <c r="D545" s="1" t="s">
        <v>538</v>
      </c>
      <c r="E545" s="1" t="s">
        <v>539</v>
      </c>
      <c r="F545" s="1" t="s">
        <v>540</v>
      </c>
      <c r="G545" s="1">
        <v>1.0</v>
      </c>
      <c r="H545" s="2">
        <v>0.15</v>
      </c>
    </row>
    <row r="546">
      <c r="A546" s="1" t="s">
        <v>527</v>
      </c>
      <c r="B546" s="1" t="s">
        <v>133</v>
      </c>
      <c r="C546" s="1">
        <v>45.0</v>
      </c>
      <c r="D546" s="1" t="s">
        <v>541</v>
      </c>
      <c r="E546" s="1" t="s">
        <v>542</v>
      </c>
      <c r="F546" s="1" t="s">
        <v>541</v>
      </c>
      <c r="G546" s="1">
        <v>1.0</v>
      </c>
      <c r="H546" s="2">
        <v>0.15347222222222223</v>
      </c>
    </row>
    <row r="547">
      <c r="A547" s="1" t="s">
        <v>527</v>
      </c>
      <c r="B547" s="1" t="s">
        <v>133</v>
      </c>
      <c r="C547" s="1">
        <v>46.0</v>
      </c>
      <c r="D547" s="1" t="s">
        <v>352</v>
      </c>
      <c r="E547" s="1" t="s">
        <v>353</v>
      </c>
      <c r="F547" s="1" t="s">
        <v>207</v>
      </c>
      <c r="G547" s="1">
        <v>1.0</v>
      </c>
      <c r="H547" s="2">
        <v>0.1451388888888889</v>
      </c>
    </row>
    <row r="548">
      <c r="A548" s="1" t="s">
        <v>527</v>
      </c>
      <c r="B548" s="1" t="s">
        <v>133</v>
      </c>
      <c r="C548" s="1">
        <v>47.0</v>
      </c>
      <c r="D548" s="1" t="s">
        <v>543</v>
      </c>
      <c r="E548" s="1" t="s">
        <v>544</v>
      </c>
      <c r="F548" s="1" t="s">
        <v>543</v>
      </c>
      <c r="G548" s="1">
        <v>1.0</v>
      </c>
      <c r="H548" s="2">
        <v>0.1736111111111111</v>
      </c>
    </row>
    <row r="549">
      <c r="A549" s="1" t="s">
        <v>527</v>
      </c>
      <c r="B549" s="1" t="s">
        <v>133</v>
      </c>
      <c r="C549" s="1">
        <v>48.0</v>
      </c>
      <c r="D549" s="1" t="s">
        <v>23</v>
      </c>
      <c r="E549" s="1" t="s">
        <v>24</v>
      </c>
      <c r="F549" s="1" t="s">
        <v>23</v>
      </c>
      <c r="G549" s="1">
        <v>0.0</v>
      </c>
      <c r="H549" s="2">
        <v>0.12013888888888889</v>
      </c>
    </row>
    <row r="550">
      <c r="A550" s="1" t="s">
        <v>527</v>
      </c>
      <c r="B550" s="1" t="s">
        <v>133</v>
      </c>
      <c r="C550" s="1">
        <v>49.0</v>
      </c>
      <c r="D550" s="1" t="s">
        <v>510</v>
      </c>
      <c r="E550" s="1" t="s">
        <v>511</v>
      </c>
      <c r="F550" s="1" t="s">
        <v>159</v>
      </c>
      <c r="G550" s="1">
        <v>0.0</v>
      </c>
      <c r="H550" s="2">
        <v>0.14027777777777778</v>
      </c>
    </row>
    <row r="551">
      <c r="A551" s="1" t="s">
        <v>527</v>
      </c>
      <c r="B551" s="1" t="s">
        <v>133</v>
      </c>
      <c r="C551" s="1">
        <v>50.0</v>
      </c>
      <c r="D551" s="1" t="s">
        <v>503</v>
      </c>
      <c r="E551" s="1" t="s">
        <v>504</v>
      </c>
      <c r="F551" s="1" t="s">
        <v>207</v>
      </c>
      <c r="G551" s="1">
        <v>1.0</v>
      </c>
      <c r="H551" s="2">
        <v>0.14027777777777778</v>
      </c>
    </row>
    <row r="552">
      <c r="A552" s="1" t="s">
        <v>545</v>
      </c>
      <c r="B552" s="1" t="s">
        <v>484</v>
      </c>
      <c r="C552" s="1">
        <v>1.0</v>
      </c>
      <c r="D552" s="1" t="s">
        <v>108</v>
      </c>
      <c r="E552" s="1" t="s">
        <v>109</v>
      </c>
      <c r="F552" s="1" t="s">
        <v>110</v>
      </c>
      <c r="G552" s="1">
        <v>0.0</v>
      </c>
      <c r="H552" s="2">
        <v>0.10416666666666667</v>
      </c>
    </row>
    <row r="553">
      <c r="A553" s="1" t="s">
        <v>545</v>
      </c>
      <c r="B553" s="1" t="s">
        <v>484</v>
      </c>
      <c r="C553" s="1">
        <v>2.0</v>
      </c>
      <c r="D553" s="1" t="s">
        <v>65</v>
      </c>
      <c r="E553" s="1" t="s">
        <v>66</v>
      </c>
      <c r="F553" s="1" t="s">
        <v>67</v>
      </c>
      <c r="G553" s="1">
        <v>1.0</v>
      </c>
      <c r="H553" s="2">
        <v>0.2048611111111111</v>
      </c>
    </row>
    <row r="554">
      <c r="A554" s="1" t="s">
        <v>545</v>
      </c>
      <c r="B554" s="1" t="s">
        <v>484</v>
      </c>
      <c r="C554" s="1">
        <v>3.0</v>
      </c>
      <c r="D554" s="1" t="s">
        <v>71</v>
      </c>
      <c r="E554" s="1" t="s">
        <v>72</v>
      </c>
      <c r="F554" s="1" t="s">
        <v>67</v>
      </c>
      <c r="G554" s="1">
        <v>0.0</v>
      </c>
      <c r="H554" s="2">
        <v>0.11944444444444445</v>
      </c>
    </row>
    <row r="555">
      <c r="A555" s="1" t="s">
        <v>545</v>
      </c>
      <c r="B555" s="1" t="s">
        <v>484</v>
      </c>
      <c r="C555" s="1">
        <v>4.0</v>
      </c>
      <c r="D555" s="1" t="s">
        <v>129</v>
      </c>
      <c r="E555" s="1" t="s">
        <v>130</v>
      </c>
      <c r="F555" s="1" t="s">
        <v>131</v>
      </c>
      <c r="G555" s="1">
        <v>0.0</v>
      </c>
      <c r="H555" s="2">
        <v>0.1451388888888889</v>
      </c>
    </row>
    <row r="556">
      <c r="A556" s="1" t="s">
        <v>545</v>
      </c>
      <c r="B556" s="1" t="s">
        <v>484</v>
      </c>
      <c r="C556" s="1">
        <v>5.0</v>
      </c>
      <c r="D556" s="1" t="s">
        <v>143</v>
      </c>
      <c r="E556" s="1" t="s">
        <v>144</v>
      </c>
      <c r="F556" s="1" t="s">
        <v>143</v>
      </c>
      <c r="G556" s="1">
        <v>0.0</v>
      </c>
      <c r="H556" s="2">
        <v>0.14027777777777778</v>
      </c>
    </row>
    <row r="557">
      <c r="A557" s="1" t="s">
        <v>545</v>
      </c>
      <c r="B557" s="1" t="s">
        <v>484</v>
      </c>
      <c r="C557" s="1">
        <v>6.0</v>
      </c>
      <c r="D557" s="1" t="s">
        <v>9</v>
      </c>
      <c r="E557" s="1" t="s">
        <v>10</v>
      </c>
      <c r="F557" s="1" t="s">
        <v>9</v>
      </c>
      <c r="G557" s="1">
        <v>0.0</v>
      </c>
      <c r="H557" s="2">
        <v>0.12638888888888888</v>
      </c>
    </row>
    <row r="558">
      <c r="A558" s="1" t="s">
        <v>545</v>
      </c>
      <c r="B558" s="1" t="s">
        <v>484</v>
      </c>
      <c r="C558" s="1">
        <v>7.0</v>
      </c>
      <c r="D558" s="1" t="s">
        <v>341</v>
      </c>
      <c r="E558" s="1" t="s">
        <v>342</v>
      </c>
      <c r="F558" s="1" t="s">
        <v>343</v>
      </c>
      <c r="G558" s="1">
        <v>0.0</v>
      </c>
      <c r="H558" s="2">
        <v>0.11875</v>
      </c>
    </row>
    <row r="559">
      <c r="A559" s="1" t="s">
        <v>545</v>
      </c>
      <c r="B559" s="1" t="s">
        <v>484</v>
      </c>
      <c r="C559" s="1">
        <v>8.0</v>
      </c>
      <c r="D559" s="1" t="s">
        <v>11</v>
      </c>
      <c r="E559" s="1" t="s">
        <v>12</v>
      </c>
      <c r="F559" s="1" t="s">
        <v>13</v>
      </c>
      <c r="G559" s="1">
        <v>0.0</v>
      </c>
      <c r="H559" s="2">
        <v>0.1388888888888889</v>
      </c>
    </row>
    <row r="560">
      <c r="A560" s="1" t="s">
        <v>545</v>
      </c>
      <c r="B560" s="1" t="s">
        <v>484</v>
      </c>
      <c r="C560" s="1">
        <v>9.0</v>
      </c>
      <c r="D560" s="1" t="s">
        <v>86</v>
      </c>
      <c r="E560" s="1" t="s">
        <v>87</v>
      </c>
      <c r="F560" s="1" t="s">
        <v>86</v>
      </c>
      <c r="G560" s="1">
        <v>0.0</v>
      </c>
      <c r="H560" s="2">
        <v>0.1388888888888889</v>
      </c>
    </row>
    <row r="561">
      <c r="A561" s="1" t="s">
        <v>545</v>
      </c>
      <c r="B561" s="1" t="s">
        <v>484</v>
      </c>
      <c r="C561" s="1">
        <v>10.0</v>
      </c>
      <c r="D561" s="1" t="s">
        <v>173</v>
      </c>
      <c r="E561" s="1" t="s">
        <v>109</v>
      </c>
      <c r="F561" s="1" t="s">
        <v>110</v>
      </c>
      <c r="G561" s="1">
        <v>0.0</v>
      </c>
      <c r="H561" s="2">
        <v>0.10902777777777778</v>
      </c>
    </row>
    <row r="562">
      <c r="A562" s="1" t="s">
        <v>545</v>
      </c>
      <c r="B562" s="1" t="s">
        <v>484</v>
      </c>
      <c r="C562" s="1">
        <v>11.0</v>
      </c>
      <c r="D562" s="1" t="s">
        <v>165</v>
      </c>
      <c r="E562" s="1" t="s">
        <v>166</v>
      </c>
      <c r="F562" s="1" t="s">
        <v>165</v>
      </c>
      <c r="G562" s="1">
        <v>0.0</v>
      </c>
      <c r="H562" s="2">
        <v>0.13819444444444445</v>
      </c>
    </row>
    <row r="563">
      <c r="A563" s="1" t="s">
        <v>545</v>
      </c>
      <c r="B563" s="1" t="s">
        <v>484</v>
      </c>
      <c r="C563" s="1">
        <v>12.0</v>
      </c>
      <c r="D563" s="1" t="s">
        <v>147</v>
      </c>
      <c r="E563" s="1" t="s">
        <v>148</v>
      </c>
      <c r="F563" s="1" t="s">
        <v>149</v>
      </c>
      <c r="G563" s="1">
        <v>0.0</v>
      </c>
      <c r="H563" s="2">
        <v>0.17291666666666666</v>
      </c>
    </row>
    <row r="564">
      <c r="A564" s="1" t="s">
        <v>545</v>
      </c>
      <c r="B564" s="1" t="s">
        <v>484</v>
      </c>
      <c r="C564" s="1">
        <v>13.0</v>
      </c>
      <c r="D564" s="1" t="s">
        <v>151</v>
      </c>
      <c r="E564" s="1" t="s">
        <v>152</v>
      </c>
      <c r="F564" s="1" t="s">
        <v>153</v>
      </c>
      <c r="G564" s="1">
        <v>1.0</v>
      </c>
      <c r="H564" s="2">
        <v>0.1486111111111111</v>
      </c>
    </row>
    <row r="565">
      <c r="A565" s="1" t="s">
        <v>545</v>
      </c>
      <c r="B565" s="1" t="s">
        <v>484</v>
      </c>
      <c r="C565" s="1">
        <v>14.0</v>
      </c>
      <c r="D565" s="1" t="s">
        <v>161</v>
      </c>
      <c r="E565" s="1" t="s">
        <v>162</v>
      </c>
      <c r="F565" s="1" t="s">
        <v>161</v>
      </c>
      <c r="G565" s="1">
        <v>0.0</v>
      </c>
      <c r="H565" s="2">
        <v>0.15694444444444444</v>
      </c>
    </row>
    <row r="566">
      <c r="A566" s="1" t="s">
        <v>545</v>
      </c>
      <c r="B566" s="1" t="s">
        <v>484</v>
      </c>
      <c r="C566" s="1">
        <v>15.0</v>
      </c>
      <c r="D566" s="1" t="s">
        <v>141</v>
      </c>
      <c r="E566" s="1" t="s">
        <v>142</v>
      </c>
      <c r="F566" s="1" t="s">
        <v>141</v>
      </c>
      <c r="G566" s="1">
        <v>0.0</v>
      </c>
      <c r="H566" s="2">
        <v>0.13680555555555557</v>
      </c>
    </row>
    <row r="567">
      <c r="A567" s="1" t="s">
        <v>545</v>
      </c>
      <c r="B567" s="1" t="s">
        <v>484</v>
      </c>
      <c r="C567" s="1">
        <v>16.0</v>
      </c>
      <c r="D567" s="1" t="s">
        <v>177</v>
      </c>
      <c r="E567" s="1" t="s">
        <v>178</v>
      </c>
      <c r="F567" s="1" t="s">
        <v>67</v>
      </c>
      <c r="G567" s="1">
        <v>1.0</v>
      </c>
      <c r="H567" s="2">
        <v>0.14583333333333334</v>
      </c>
    </row>
    <row r="568">
      <c r="A568" s="1" t="s">
        <v>545</v>
      </c>
      <c r="B568" s="1" t="s">
        <v>484</v>
      </c>
      <c r="C568" s="1">
        <v>17.0</v>
      </c>
      <c r="D568" s="1" t="s">
        <v>160</v>
      </c>
      <c r="E568" s="1" t="s">
        <v>109</v>
      </c>
      <c r="F568" s="1" t="s">
        <v>110</v>
      </c>
      <c r="G568" s="1">
        <v>0.0</v>
      </c>
      <c r="H568" s="2">
        <v>0.1388888888888889</v>
      </c>
    </row>
    <row r="569">
      <c r="A569" s="1" t="s">
        <v>545</v>
      </c>
      <c r="B569" s="1" t="s">
        <v>484</v>
      </c>
      <c r="C569" s="1">
        <v>18.0</v>
      </c>
      <c r="D569" s="1" t="s">
        <v>136</v>
      </c>
      <c r="E569" s="1" t="s">
        <v>137</v>
      </c>
      <c r="F569" s="1" t="s">
        <v>138</v>
      </c>
      <c r="G569" s="1">
        <v>0.0</v>
      </c>
      <c r="H569" s="2">
        <v>0.16111111111111112</v>
      </c>
    </row>
    <row r="570">
      <c r="A570" s="1" t="s">
        <v>545</v>
      </c>
      <c r="B570" s="1" t="s">
        <v>484</v>
      </c>
      <c r="C570" s="1">
        <v>19.0</v>
      </c>
      <c r="D570" s="1" t="s">
        <v>157</v>
      </c>
      <c r="E570" s="1" t="s">
        <v>158</v>
      </c>
      <c r="F570" s="1" t="s">
        <v>159</v>
      </c>
      <c r="G570" s="1">
        <v>0.0</v>
      </c>
      <c r="H570" s="2">
        <v>0.12777777777777777</v>
      </c>
    </row>
    <row r="571">
      <c r="A571" s="1" t="s">
        <v>545</v>
      </c>
      <c r="B571" s="1" t="s">
        <v>484</v>
      </c>
      <c r="C571" s="1">
        <v>20.0</v>
      </c>
      <c r="D571" s="1" t="s">
        <v>33</v>
      </c>
      <c r="E571" s="1" t="s">
        <v>34</v>
      </c>
      <c r="F571" s="1" t="s">
        <v>35</v>
      </c>
      <c r="G571" s="1">
        <v>0.0</v>
      </c>
      <c r="H571" s="2">
        <v>0.1451388888888889</v>
      </c>
    </row>
    <row r="572">
      <c r="A572" s="1" t="s">
        <v>545</v>
      </c>
      <c r="B572" s="1" t="s">
        <v>484</v>
      </c>
      <c r="C572" s="1">
        <v>21.0</v>
      </c>
      <c r="D572" s="1" t="s">
        <v>324</v>
      </c>
      <c r="E572" s="1" t="s">
        <v>325</v>
      </c>
      <c r="F572" s="1" t="s">
        <v>324</v>
      </c>
      <c r="G572" s="1">
        <v>1.0</v>
      </c>
      <c r="H572" s="2">
        <v>0.15763888888888888</v>
      </c>
    </row>
    <row r="573">
      <c r="A573" s="1" t="s">
        <v>545</v>
      </c>
      <c r="B573" s="1" t="s">
        <v>484</v>
      </c>
      <c r="C573" s="1">
        <v>22.0</v>
      </c>
      <c r="D573" s="1" t="s">
        <v>330</v>
      </c>
      <c r="E573" s="1" t="s">
        <v>72</v>
      </c>
      <c r="F573" s="1" t="s">
        <v>67</v>
      </c>
      <c r="G573" s="1">
        <v>0.0</v>
      </c>
      <c r="H573" s="2">
        <v>0.11805555555555555</v>
      </c>
    </row>
    <row r="574">
      <c r="A574" s="1" t="s">
        <v>545</v>
      </c>
      <c r="B574" s="1" t="s">
        <v>484</v>
      </c>
      <c r="C574" s="1">
        <v>23.0</v>
      </c>
      <c r="D574" s="1" t="s">
        <v>326</v>
      </c>
      <c r="E574" s="1" t="s">
        <v>327</v>
      </c>
      <c r="F574" s="1" t="s">
        <v>328</v>
      </c>
      <c r="G574" s="1">
        <v>0.0</v>
      </c>
      <c r="H574" s="2">
        <v>0.1798611111111111</v>
      </c>
    </row>
    <row r="575">
      <c r="A575" s="1" t="s">
        <v>545</v>
      </c>
      <c r="B575" s="1" t="s">
        <v>484</v>
      </c>
      <c r="C575" s="1">
        <v>24.0</v>
      </c>
      <c r="D575" s="1" t="s">
        <v>172</v>
      </c>
      <c r="E575" s="1" t="s">
        <v>72</v>
      </c>
      <c r="F575" s="1" t="s">
        <v>67</v>
      </c>
      <c r="G575" s="1">
        <v>1.0</v>
      </c>
      <c r="H575" s="2">
        <v>0.11319444444444444</v>
      </c>
    </row>
    <row r="576">
      <c r="A576" s="1" t="s">
        <v>545</v>
      </c>
      <c r="B576" s="1" t="s">
        <v>484</v>
      </c>
      <c r="C576" s="1">
        <v>25.0</v>
      </c>
      <c r="D576" s="1" t="s">
        <v>27</v>
      </c>
      <c r="E576" s="1" t="s">
        <v>28</v>
      </c>
      <c r="F576" s="1" t="s">
        <v>29</v>
      </c>
      <c r="G576" s="1">
        <v>0.0</v>
      </c>
      <c r="H576" s="2">
        <v>0.12708333333333333</v>
      </c>
    </row>
    <row r="577">
      <c r="A577" s="1" t="s">
        <v>545</v>
      </c>
      <c r="B577" s="1" t="s">
        <v>484</v>
      </c>
      <c r="C577" s="1">
        <v>26.0</v>
      </c>
      <c r="D577" s="1" t="s">
        <v>349</v>
      </c>
      <c r="E577" s="1" t="s">
        <v>72</v>
      </c>
      <c r="F577" s="1" t="s">
        <v>67</v>
      </c>
      <c r="G577" s="1">
        <v>1.0</v>
      </c>
      <c r="H577" s="2">
        <v>0.13333333333333333</v>
      </c>
    </row>
    <row r="578">
      <c r="A578" s="1" t="s">
        <v>545</v>
      </c>
      <c r="B578" s="1" t="s">
        <v>484</v>
      </c>
      <c r="C578" s="1">
        <v>27.0</v>
      </c>
      <c r="D578" s="1" t="s">
        <v>131</v>
      </c>
      <c r="E578" s="1" t="s">
        <v>150</v>
      </c>
      <c r="F578" s="1" t="s">
        <v>131</v>
      </c>
      <c r="G578" s="1">
        <v>0.0</v>
      </c>
      <c r="H578" s="2">
        <v>0.12638888888888888</v>
      </c>
    </row>
    <row r="579">
      <c r="A579" s="1" t="s">
        <v>545</v>
      </c>
      <c r="B579" s="1" t="s">
        <v>484</v>
      </c>
      <c r="C579" s="1">
        <v>28.0</v>
      </c>
      <c r="D579" s="1" t="s">
        <v>20</v>
      </c>
      <c r="E579" s="1" t="s">
        <v>21</v>
      </c>
      <c r="F579" s="1" t="s">
        <v>22</v>
      </c>
      <c r="G579" s="1">
        <v>1.0</v>
      </c>
      <c r="H579" s="2">
        <v>0.17152777777777778</v>
      </c>
    </row>
    <row r="580">
      <c r="A580" s="1" t="s">
        <v>545</v>
      </c>
      <c r="B580" s="1" t="s">
        <v>484</v>
      </c>
      <c r="C580" s="1">
        <v>29.0</v>
      </c>
      <c r="D580" s="1" t="s">
        <v>344</v>
      </c>
      <c r="E580" s="1" t="s">
        <v>345</v>
      </c>
      <c r="F580" s="1" t="s">
        <v>346</v>
      </c>
      <c r="G580" s="1">
        <v>0.0</v>
      </c>
      <c r="H580" s="2">
        <v>0.21458333333333332</v>
      </c>
    </row>
    <row r="581">
      <c r="A581" s="1" t="s">
        <v>545</v>
      </c>
      <c r="B581" s="1" t="s">
        <v>484</v>
      </c>
      <c r="C581" s="1">
        <v>30.0</v>
      </c>
      <c r="D581" s="1" t="s">
        <v>329</v>
      </c>
      <c r="E581" s="1" t="s">
        <v>109</v>
      </c>
      <c r="F581" s="1" t="s">
        <v>110</v>
      </c>
      <c r="G581" s="1">
        <v>0.0</v>
      </c>
      <c r="H581" s="2">
        <v>0.1423611111111111</v>
      </c>
    </row>
    <row r="582">
      <c r="A582" s="1" t="s">
        <v>545</v>
      </c>
      <c r="B582" s="1" t="s">
        <v>484</v>
      </c>
      <c r="C582" s="1">
        <v>31.0</v>
      </c>
      <c r="D582" s="1" t="s">
        <v>206</v>
      </c>
      <c r="E582" s="1" t="s">
        <v>72</v>
      </c>
      <c r="F582" s="1" t="s">
        <v>207</v>
      </c>
      <c r="G582" s="1">
        <v>1.0</v>
      </c>
      <c r="H582" s="2">
        <v>0.12361111111111112</v>
      </c>
    </row>
    <row r="583">
      <c r="A583" s="1" t="s">
        <v>545</v>
      </c>
      <c r="B583" s="1" t="s">
        <v>484</v>
      </c>
      <c r="C583" s="1">
        <v>32.0</v>
      </c>
      <c r="D583" s="1" t="s">
        <v>334</v>
      </c>
      <c r="E583" s="1" t="s">
        <v>335</v>
      </c>
      <c r="F583" s="1" t="s">
        <v>334</v>
      </c>
      <c r="G583" s="1">
        <v>0.0</v>
      </c>
      <c r="H583" s="2">
        <v>0.15069444444444444</v>
      </c>
    </row>
    <row r="584">
      <c r="A584" s="1" t="s">
        <v>545</v>
      </c>
      <c r="B584" s="1" t="s">
        <v>484</v>
      </c>
      <c r="C584" s="1">
        <v>33.0</v>
      </c>
      <c r="D584" s="1" t="s">
        <v>331</v>
      </c>
      <c r="E584" s="1" t="s">
        <v>332</v>
      </c>
      <c r="F584" s="1" t="s">
        <v>333</v>
      </c>
      <c r="G584" s="1">
        <v>0.0</v>
      </c>
      <c r="H584" s="2">
        <v>0.16805555555555557</v>
      </c>
    </row>
    <row r="585">
      <c r="A585" s="1" t="s">
        <v>545</v>
      </c>
      <c r="B585" s="1" t="s">
        <v>484</v>
      </c>
      <c r="C585" s="1">
        <v>34.0</v>
      </c>
      <c r="D585" s="1" t="s">
        <v>322</v>
      </c>
      <c r="E585" s="1" t="s">
        <v>323</v>
      </c>
      <c r="F585" s="1" t="s">
        <v>322</v>
      </c>
      <c r="G585" s="1">
        <v>0.0</v>
      </c>
      <c r="H585" s="2">
        <v>0.10902777777777778</v>
      </c>
    </row>
    <row r="586">
      <c r="A586" s="1" t="s">
        <v>545</v>
      </c>
      <c r="B586" s="1" t="s">
        <v>484</v>
      </c>
      <c r="C586" s="1">
        <v>35.0</v>
      </c>
      <c r="D586" s="1" t="s">
        <v>531</v>
      </c>
      <c r="E586" s="1" t="s">
        <v>109</v>
      </c>
      <c r="F586" s="1" t="s">
        <v>110</v>
      </c>
      <c r="G586" s="1">
        <v>0.0</v>
      </c>
      <c r="H586" s="2">
        <v>0.12638888888888888</v>
      </c>
    </row>
    <row r="587">
      <c r="A587" s="1" t="s">
        <v>545</v>
      </c>
      <c r="B587" s="1" t="s">
        <v>484</v>
      </c>
      <c r="C587" s="1">
        <v>36.0</v>
      </c>
      <c r="D587" s="1" t="s">
        <v>530</v>
      </c>
      <c r="E587" s="1" t="s">
        <v>109</v>
      </c>
      <c r="F587" s="1" t="s">
        <v>110</v>
      </c>
      <c r="G587" s="1">
        <v>0.0</v>
      </c>
      <c r="H587" s="2">
        <v>0.10069444444444445</v>
      </c>
    </row>
    <row r="588">
      <c r="A588" s="1" t="s">
        <v>545</v>
      </c>
      <c r="B588" s="1" t="s">
        <v>484</v>
      </c>
      <c r="C588" s="1">
        <v>37.0</v>
      </c>
      <c r="D588" s="1" t="s">
        <v>546</v>
      </c>
      <c r="E588" s="1" t="s">
        <v>547</v>
      </c>
      <c r="F588" s="1" t="s">
        <v>159</v>
      </c>
      <c r="G588" s="1">
        <v>0.0</v>
      </c>
      <c r="H588" s="2">
        <v>0.14166666666666666</v>
      </c>
    </row>
    <row r="589">
      <c r="A589" s="1" t="s">
        <v>545</v>
      </c>
      <c r="B589" s="1" t="s">
        <v>484</v>
      </c>
      <c r="C589" s="1">
        <v>38.0</v>
      </c>
      <c r="D589" s="1" t="s">
        <v>23</v>
      </c>
      <c r="E589" s="1" t="s">
        <v>24</v>
      </c>
      <c r="F589" s="1" t="s">
        <v>23</v>
      </c>
      <c r="G589" s="1">
        <v>0.0</v>
      </c>
      <c r="H589" s="2">
        <v>0.12013888888888889</v>
      </c>
    </row>
    <row r="590">
      <c r="A590" s="1" t="s">
        <v>545</v>
      </c>
      <c r="B590" s="1" t="s">
        <v>484</v>
      </c>
      <c r="C590" s="1">
        <v>39.0</v>
      </c>
      <c r="D590" s="1" t="s">
        <v>25</v>
      </c>
      <c r="E590" s="1" t="s">
        <v>26</v>
      </c>
      <c r="F590" s="1" t="s">
        <v>25</v>
      </c>
      <c r="G590" s="1">
        <v>1.0</v>
      </c>
      <c r="H590" s="2">
        <v>0.11458333333333333</v>
      </c>
    </row>
    <row r="591">
      <c r="A591" s="1" t="s">
        <v>545</v>
      </c>
      <c r="B591" s="1" t="s">
        <v>484</v>
      </c>
      <c r="C591" s="1">
        <v>40.0</v>
      </c>
      <c r="D591" s="1" t="s">
        <v>505</v>
      </c>
      <c r="E591" s="1" t="s">
        <v>506</v>
      </c>
      <c r="F591" s="1" t="s">
        <v>67</v>
      </c>
      <c r="G591" s="1">
        <v>1.0</v>
      </c>
      <c r="H591" s="2">
        <v>0.14305555555555555</v>
      </c>
    </row>
    <row r="592">
      <c r="A592" s="1" t="s">
        <v>545</v>
      </c>
      <c r="B592" s="1" t="s">
        <v>484</v>
      </c>
      <c r="C592" s="1">
        <v>41.0</v>
      </c>
      <c r="D592" s="1" t="s">
        <v>179</v>
      </c>
      <c r="E592" s="1" t="s">
        <v>180</v>
      </c>
      <c r="F592" s="1" t="s">
        <v>181</v>
      </c>
      <c r="G592" s="1">
        <v>1.0</v>
      </c>
      <c r="H592" s="2">
        <v>0.20069444444444445</v>
      </c>
    </row>
    <row r="593">
      <c r="A593" s="1" t="s">
        <v>545</v>
      </c>
      <c r="B593" s="1" t="s">
        <v>484</v>
      </c>
      <c r="C593" s="1">
        <v>42.0</v>
      </c>
      <c r="D593" s="1" t="s">
        <v>548</v>
      </c>
      <c r="E593" s="1" t="s">
        <v>549</v>
      </c>
      <c r="F593" s="1" t="s">
        <v>214</v>
      </c>
      <c r="G593" s="1">
        <v>1.0</v>
      </c>
      <c r="H593" s="2">
        <v>0.13958333333333334</v>
      </c>
    </row>
    <row r="594">
      <c r="A594" s="1" t="s">
        <v>545</v>
      </c>
      <c r="B594" s="1" t="s">
        <v>484</v>
      </c>
      <c r="C594" s="1">
        <v>43.0</v>
      </c>
      <c r="D594" s="1" t="s">
        <v>94</v>
      </c>
      <c r="E594" s="1" t="s">
        <v>84</v>
      </c>
      <c r="F594" s="1" t="s">
        <v>95</v>
      </c>
      <c r="G594" s="1">
        <v>1.0</v>
      </c>
      <c r="H594" s="2">
        <v>0.21666666666666667</v>
      </c>
    </row>
    <row r="595">
      <c r="A595" s="1" t="s">
        <v>545</v>
      </c>
      <c r="B595" s="1" t="s">
        <v>484</v>
      </c>
      <c r="C595" s="1">
        <v>44.0</v>
      </c>
      <c r="D595" s="1" t="s">
        <v>360</v>
      </c>
      <c r="E595" s="1" t="s">
        <v>361</v>
      </c>
      <c r="F595" s="1" t="s">
        <v>360</v>
      </c>
      <c r="G595" s="1">
        <v>0.0</v>
      </c>
      <c r="H595" s="2">
        <v>0.20902777777777778</v>
      </c>
    </row>
    <row r="596">
      <c r="A596" s="1" t="s">
        <v>545</v>
      </c>
      <c r="B596" s="1" t="s">
        <v>484</v>
      </c>
      <c r="C596" s="1">
        <v>45.0</v>
      </c>
      <c r="D596" s="1" t="s">
        <v>192</v>
      </c>
      <c r="E596" s="1" t="s">
        <v>193</v>
      </c>
      <c r="F596" s="1" t="s">
        <v>131</v>
      </c>
      <c r="G596" s="1">
        <v>0.0</v>
      </c>
      <c r="H596" s="2">
        <v>0.12430555555555556</v>
      </c>
    </row>
    <row r="597">
      <c r="A597" s="1" t="s">
        <v>545</v>
      </c>
      <c r="B597" s="1" t="s">
        <v>484</v>
      </c>
      <c r="C597" s="1">
        <v>46.0</v>
      </c>
      <c r="D597" s="1" t="s">
        <v>498</v>
      </c>
      <c r="E597" s="1" t="s">
        <v>499</v>
      </c>
      <c r="F597" s="1" t="s">
        <v>500</v>
      </c>
      <c r="G597" s="1">
        <v>1.0</v>
      </c>
      <c r="H597" s="2">
        <v>0.15763888888888888</v>
      </c>
    </row>
    <row r="598">
      <c r="A598" s="1" t="s">
        <v>545</v>
      </c>
      <c r="B598" s="1" t="s">
        <v>484</v>
      </c>
      <c r="C598" s="1">
        <v>47.0</v>
      </c>
      <c r="D598" s="1" t="s">
        <v>83</v>
      </c>
      <c r="E598" s="1" t="s">
        <v>84</v>
      </c>
      <c r="F598" s="1" t="s">
        <v>85</v>
      </c>
      <c r="G598" s="1">
        <v>1.0</v>
      </c>
      <c r="H598" s="2">
        <v>0.16875</v>
      </c>
    </row>
    <row r="599">
      <c r="A599" s="1" t="s">
        <v>545</v>
      </c>
      <c r="B599" s="1" t="s">
        <v>484</v>
      </c>
      <c r="C599" s="1">
        <v>48.0</v>
      </c>
      <c r="D599" s="1" t="s">
        <v>509</v>
      </c>
      <c r="E599" s="1" t="s">
        <v>72</v>
      </c>
      <c r="F599" s="1" t="s">
        <v>67</v>
      </c>
      <c r="G599" s="1">
        <v>0.0</v>
      </c>
      <c r="H599" s="2">
        <v>0.12152777777777778</v>
      </c>
    </row>
    <row r="600">
      <c r="A600" s="1" t="s">
        <v>545</v>
      </c>
      <c r="B600" s="1" t="s">
        <v>484</v>
      </c>
      <c r="C600" s="1">
        <v>49.0</v>
      </c>
      <c r="D600" s="1" t="s">
        <v>41</v>
      </c>
      <c r="E600" s="1" t="s">
        <v>42</v>
      </c>
      <c r="F600" s="1" t="s">
        <v>43</v>
      </c>
      <c r="G600" s="1">
        <v>1.0</v>
      </c>
      <c r="H600" s="2">
        <v>0.1361111111111111</v>
      </c>
    </row>
    <row r="601">
      <c r="A601" s="1" t="s">
        <v>545</v>
      </c>
      <c r="B601" s="1" t="s">
        <v>484</v>
      </c>
      <c r="C601" s="1">
        <v>50.0</v>
      </c>
      <c r="D601" s="1" t="s">
        <v>352</v>
      </c>
      <c r="E601" s="1" t="s">
        <v>353</v>
      </c>
      <c r="F601" s="1" t="s">
        <v>207</v>
      </c>
      <c r="G601" s="1">
        <v>1.0</v>
      </c>
      <c r="H601" s="2">
        <v>0.1451388888888889</v>
      </c>
    </row>
    <row r="602">
      <c r="A602" s="1" t="s">
        <v>550</v>
      </c>
      <c r="B602" s="1" t="s">
        <v>250</v>
      </c>
      <c r="C602" s="1">
        <v>1.0</v>
      </c>
      <c r="D602" s="1" t="s">
        <v>11</v>
      </c>
      <c r="E602" s="1" t="s">
        <v>12</v>
      </c>
      <c r="F602" s="1" t="s">
        <v>13</v>
      </c>
      <c r="G602" s="1">
        <v>0.0</v>
      </c>
      <c r="H602" s="2">
        <v>0.1388888888888889</v>
      </c>
    </row>
    <row r="603">
      <c r="A603" s="1" t="s">
        <v>550</v>
      </c>
      <c r="B603" s="1" t="s">
        <v>250</v>
      </c>
      <c r="C603" s="1">
        <v>2.0</v>
      </c>
      <c r="D603" s="1" t="s">
        <v>17</v>
      </c>
      <c r="E603" s="1" t="s">
        <v>18</v>
      </c>
      <c r="F603" s="1" t="s">
        <v>19</v>
      </c>
      <c r="G603" s="1">
        <v>1.0</v>
      </c>
      <c r="H603" s="2">
        <v>0.12222222222222222</v>
      </c>
    </row>
    <row r="604">
      <c r="A604" s="1" t="s">
        <v>550</v>
      </c>
      <c r="B604" s="1" t="s">
        <v>250</v>
      </c>
      <c r="C604" s="1">
        <v>3.0</v>
      </c>
      <c r="D604" s="1" t="s">
        <v>36</v>
      </c>
      <c r="E604" s="1" t="s">
        <v>37</v>
      </c>
      <c r="F604" s="1" t="s">
        <v>36</v>
      </c>
      <c r="G604" s="1">
        <v>1.0</v>
      </c>
      <c r="H604" s="2">
        <v>0.09166666666666666</v>
      </c>
    </row>
    <row r="605">
      <c r="A605" s="1" t="s">
        <v>550</v>
      </c>
      <c r="B605" s="1" t="s">
        <v>250</v>
      </c>
      <c r="C605" s="1">
        <v>4.0</v>
      </c>
      <c r="D605" s="1" t="s">
        <v>33</v>
      </c>
      <c r="E605" s="1" t="s">
        <v>34</v>
      </c>
      <c r="F605" s="1" t="s">
        <v>35</v>
      </c>
      <c r="G605" s="1">
        <v>0.0</v>
      </c>
      <c r="H605" s="2">
        <v>0.1451388888888889</v>
      </c>
    </row>
    <row r="606">
      <c r="A606" s="1" t="s">
        <v>550</v>
      </c>
      <c r="B606" s="1" t="s">
        <v>250</v>
      </c>
      <c r="C606" s="1">
        <v>5.0</v>
      </c>
      <c r="D606" s="1" t="s">
        <v>9</v>
      </c>
      <c r="E606" s="1" t="s">
        <v>10</v>
      </c>
      <c r="F606" s="1" t="s">
        <v>9</v>
      </c>
      <c r="G606" s="1">
        <v>0.0</v>
      </c>
      <c r="H606" s="2">
        <v>0.12638888888888888</v>
      </c>
    </row>
    <row r="607">
      <c r="A607" s="1" t="s">
        <v>550</v>
      </c>
      <c r="B607" s="1" t="s">
        <v>250</v>
      </c>
      <c r="C607" s="1">
        <v>6.0</v>
      </c>
      <c r="D607" s="1" t="s">
        <v>23</v>
      </c>
      <c r="E607" s="1" t="s">
        <v>24</v>
      </c>
      <c r="F607" s="1" t="s">
        <v>23</v>
      </c>
      <c r="G607" s="1">
        <v>0.0</v>
      </c>
      <c r="H607" s="2">
        <v>0.12013888888888889</v>
      </c>
    </row>
    <row r="608">
      <c r="A608" s="1" t="s">
        <v>550</v>
      </c>
      <c r="B608" s="1" t="s">
        <v>250</v>
      </c>
      <c r="C608" s="1">
        <v>7.0</v>
      </c>
      <c r="D608" s="1" t="s">
        <v>14</v>
      </c>
      <c r="E608" s="1" t="s">
        <v>15</v>
      </c>
      <c r="F608" s="1" t="s">
        <v>16</v>
      </c>
      <c r="G608" s="1">
        <v>1.0</v>
      </c>
      <c r="H608" s="2">
        <v>0.12569444444444444</v>
      </c>
    </row>
    <row r="609">
      <c r="A609" s="1" t="s">
        <v>550</v>
      </c>
      <c r="B609" s="1" t="s">
        <v>250</v>
      </c>
      <c r="C609" s="1">
        <v>8.0</v>
      </c>
      <c r="D609" s="1" t="s">
        <v>25</v>
      </c>
      <c r="E609" s="1" t="s">
        <v>26</v>
      </c>
      <c r="F609" s="1" t="s">
        <v>25</v>
      </c>
      <c r="G609" s="1">
        <v>1.0</v>
      </c>
      <c r="H609" s="2">
        <v>0.11458333333333333</v>
      </c>
    </row>
    <row r="610">
      <c r="A610" s="1" t="s">
        <v>550</v>
      </c>
      <c r="B610" s="1" t="s">
        <v>250</v>
      </c>
      <c r="C610" s="1">
        <v>9.0</v>
      </c>
      <c r="D610" s="1" t="s">
        <v>551</v>
      </c>
      <c r="E610" s="1" t="s">
        <v>552</v>
      </c>
      <c r="F610" s="1" t="s">
        <v>553</v>
      </c>
      <c r="G610" s="1">
        <v>1.0</v>
      </c>
      <c r="H610" s="2">
        <v>0.14444444444444443</v>
      </c>
    </row>
    <row r="611">
      <c r="A611" s="1" t="s">
        <v>550</v>
      </c>
      <c r="B611" s="1" t="s">
        <v>250</v>
      </c>
      <c r="C611" s="1">
        <v>10.0</v>
      </c>
      <c r="D611" s="1" t="s">
        <v>554</v>
      </c>
      <c r="E611" s="1" t="s">
        <v>555</v>
      </c>
      <c r="F611" s="1" t="s">
        <v>556</v>
      </c>
      <c r="G611" s="1">
        <v>1.0</v>
      </c>
      <c r="H611" s="2">
        <v>0.18611111111111112</v>
      </c>
    </row>
    <row r="612">
      <c r="A612" s="1" t="s">
        <v>550</v>
      </c>
      <c r="B612" s="1" t="s">
        <v>250</v>
      </c>
      <c r="C612" s="1">
        <v>11.0</v>
      </c>
      <c r="D612" s="1" t="s">
        <v>557</v>
      </c>
      <c r="E612" s="1" t="s">
        <v>555</v>
      </c>
      <c r="F612" s="1" t="s">
        <v>556</v>
      </c>
      <c r="G612" s="1">
        <v>1.0</v>
      </c>
      <c r="H612" s="2">
        <v>0.16180555555555556</v>
      </c>
    </row>
    <row r="613">
      <c r="A613" s="1" t="s">
        <v>550</v>
      </c>
      <c r="B613" s="1" t="s">
        <v>250</v>
      </c>
      <c r="C613" s="1">
        <v>12.0</v>
      </c>
      <c r="D613" s="1" t="s">
        <v>558</v>
      </c>
      <c r="E613" s="1" t="s">
        <v>559</v>
      </c>
      <c r="F613" s="1" t="s">
        <v>558</v>
      </c>
      <c r="G613" s="1">
        <v>1.0</v>
      </c>
      <c r="H613" s="2">
        <v>0.11736111111111111</v>
      </c>
    </row>
    <row r="614">
      <c r="A614" s="1" t="s">
        <v>550</v>
      </c>
      <c r="B614" s="1" t="s">
        <v>250</v>
      </c>
      <c r="C614" s="1">
        <v>13.0</v>
      </c>
      <c r="D614" s="1" t="s">
        <v>68</v>
      </c>
      <c r="E614" s="1" t="s">
        <v>69</v>
      </c>
      <c r="F614" s="1" t="s">
        <v>70</v>
      </c>
      <c r="G614" s="1">
        <v>0.0</v>
      </c>
      <c r="H614" s="2">
        <v>0.12638888888888888</v>
      </c>
    </row>
    <row r="615">
      <c r="A615" s="1" t="s">
        <v>550</v>
      </c>
      <c r="B615" s="1" t="s">
        <v>250</v>
      </c>
      <c r="C615" s="1">
        <v>14.0</v>
      </c>
      <c r="D615" s="1" t="s">
        <v>27</v>
      </c>
      <c r="E615" s="1" t="s">
        <v>28</v>
      </c>
      <c r="F615" s="1" t="s">
        <v>29</v>
      </c>
      <c r="G615" s="1">
        <v>0.0</v>
      </c>
      <c r="H615" s="2">
        <v>0.12708333333333333</v>
      </c>
    </row>
    <row r="616">
      <c r="A616" s="1" t="s">
        <v>550</v>
      </c>
      <c r="B616" s="1" t="s">
        <v>250</v>
      </c>
      <c r="C616" s="1">
        <v>15.0</v>
      </c>
      <c r="D616" s="1" t="s">
        <v>560</v>
      </c>
      <c r="E616" s="1" t="s">
        <v>561</v>
      </c>
      <c r="F616" s="1" t="s">
        <v>562</v>
      </c>
      <c r="G616" s="1">
        <v>0.0</v>
      </c>
      <c r="H616" s="2">
        <v>0.08333333333333333</v>
      </c>
    </row>
    <row r="617">
      <c r="A617" s="1" t="s">
        <v>550</v>
      </c>
      <c r="B617" s="1" t="s">
        <v>250</v>
      </c>
      <c r="C617" s="1">
        <v>16.0</v>
      </c>
      <c r="D617" s="1" t="s">
        <v>231</v>
      </c>
      <c r="E617" s="1" t="s">
        <v>232</v>
      </c>
      <c r="F617" s="1" t="s">
        <v>231</v>
      </c>
      <c r="G617" s="1">
        <v>0.0</v>
      </c>
      <c r="H617" s="2">
        <v>0.10902777777777778</v>
      </c>
    </row>
    <row r="618">
      <c r="A618" s="1" t="s">
        <v>550</v>
      </c>
      <c r="B618" s="1" t="s">
        <v>250</v>
      </c>
      <c r="C618" s="1">
        <v>17.0</v>
      </c>
      <c r="D618" s="1" t="s">
        <v>20</v>
      </c>
      <c r="E618" s="1" t="s">
        <v>21</v>
      </c>
      <c r="F618" s="1" t="s">
        <v>22</v>
      </c>
      <c r="G618" s="1">
        <v>1.0</v>
      </c>
      <c r="H618" s="2">
        <v>0.17152777777777778</v>
      </c>
    </row>
    <row r="619">
      <c r="A619" s="1" t="s">
        <v>550</v>
      </c>
      <c r="B619" s="1" t="s">
        <v>250</v>
      </c>
      <c r="C619" s="1">
        <v>18.0</v>
      </c>
      <c r="D619" s="1" t="s">
        <v>41</v>
      </c>
      <c r="E619" s="1" t="s">
        <v>42</v>
      </c>
      <c r="F619" s="1" t="s">
        <v>43</v>
      </c>
      <c r="G619" s="1">
        <v>1.0</v>
      </c>
      <c r="H619" s="2">
        <v>0.1361111111111111</v>
      </c>
    </row>
    <row r="620">
      <c r="A620" s="1" t="s">
        <v>550</v>
      </c>
      <c r="B620" s="1" t="s">
        <v>250</v>
      </c>
      <c r="C620" s="1">
        <v>19.0</v>
      </c>
      <c r="D620" s="1" t="s">
        <v>563</v>
      </c>
      <c r="E620" s="1" t="s">
        <v>564</v>
      </c>
      <c r="F620" s="1" t="s">
        <v>563</v>
      </c>
      <c r="G620" s="1">
        <v>1.0</v>
      </c>
      <c r="H620" s="2">
        <v>0.1388888888888889</v>
      </c>
    </row>
    <row r="621">
      <c r="A621" s="1" t="s">
        <v>550</v>
      </c>
      <c r="B621" s="1" t="s">
        <v>250</v>
      </c>
      <c r="C621" s="1">
        <v>20.0</v>
      </c>
      <c r="D621" s="1" t="s">
        <v>91</v>
      </c>
      <c r="E621" s="1" t="s">
        <v>58</v>
      </c>
      <c r="F621" s="1" t="s">
        <v>91</v>
      </c>
      <c r="G621" s="1">
        <v>0.0</v>
      </c>
      <c r="H621" s="2">
        <v>0.09305555555555556</v>
      </c>
    </row>
    <row r="622">
      <c r="A622" s="1" t="s">
        <v>550</v>
      </c>
      <c r="B622" s="1" t="s">
        <v>250</v>
      </c>
      <c r="C622" s="1">
        <v>21.0</v>
      </c>
      <c r="D622" s="1" t="s">
        <v>565</v>
      </c>
      <c r="E622" s="1" t="s">
        <v>555</v>
      </c>
      <c r="F622" s="1" t="s">
        <v>556</v>
      </c>
      <c r="G622" s="1">
        <v>1.0</v>
      </c>
      <c r="H622" s="2">
        <v>0.13819444444444445</v>
      </c>
    </row>
    <row r="623">
      <c r="A623" s="1" t="s">
        <v>550</v>
      </c>
      <c r="B623" s="1" t="s">
        <v>250</v>
      </c>
      <c r="C623" s="1">
        <v>22.0</v>
      </c>
      <c r="D623" s="1" t="s">
        <v>105</v>
      </c>
      <c r="E623" s="1" t="s">
        <v>106</v>
      </c>
      <c r="F623" s="1" t="s">
        <v>105</v>
      </c>
      <c r="G623" s="1">
        <v>0.0</v>
      </c>
      <c r="H623" s="2">
        <v>0.11527777777777778</v>
      </c>
    </row>
    <row r="624">
      <c r="A624" s="1" t="s">
        <v>550</v>
      </c>
      <c r="B624" s="1" t="s">
        <v>250</v>
      </c>
      <c r="C624" s="1">
        <v>23.0</v>
      </c>
      <c r="D624" s="1" t="s">
        <v>38</v>
      </c>
      <c r="E624" s="1" t="s">
        <v>39</v>
      </c>
      <c r="F624" s="1" t="s">
        <v>40</v>
      </c>
      <c r="G624" s="1">
        <v>1.0</v>
      </c>
      <c r="H624" s="2">
        <v>0.1125</v>
      </c>
    </row>
    <row r="625">
      <c r="A625" s="1" t="s">
        <v>550</v>
      </c>
      <c r="B625" s="1" t="s">
        <v>250</v>
      </c>
      <c r="C625" s="1">
        <v>24.0</v>
      </c>
      <c r="D625" s="1" t="s">
        <v>566</v>
      </c>
      <c r="E625" s="1" t="s">
        <v>567</v>
      </c>
      <c r="F625" s="1" t="s">
        <v>562</v>
      </c>
      <c r="G625" s="1">
        <v>1.0</v>
      </c>
      <c r="H625" s="2">
        <v>0.1</v>
      </c>
    </row>
    <row r="626">
      <c r="A626" s="1" t="s">
        <v>550</v>
      </c>
      <c r="B626" s="1" t="s">
        <v>250</v>
      </c>
      <c r="C626" s="1">
        <v>25.0</v>
      </c>
      <c r="D626" s="1" t="s">
        <v>60</v>
      </c>
      <c r="E626" s="1" t="s">
        <v>61</v>
      </c>
      <c r="F626" s="1" t="s">
        <v>62</v>
      </c>
      <c r="G626" s="1">
        <v>0.0</v>
      </c>
      <c r="H626" s="2">
        <v>0.11041666666666666</v>
      </c>
    </row>
    <row r="627">
      <c r="A627" s="1" t="s">
        <v>550</v>
      </c>
      <c r="B627" s="1" t="s">
        <v>250</v>
      </c>
      <c r="C627" s="1">
        <v>26.0</v>
      </c>
      <c r="D627" s="1" t="s">
        <v>47</v>
      </c>
      <c r="E627" s="1" t="s">
        <v>48</v>
      </c>
      <c r="F627" s="1" t="s">
        <v>49</v>
      </c>
      <c r="G627" s="1">
        <v>1.0</v>
      </c>
      <c r="H627" s="2">
        <v>0.15486111111111112</v>
      </c>
    </row>
    <row r="628">
      <c r="A628" s="1" t="s">
        <v>550</v>
      </c>
      <c r="B628" s="1" t="s">
        <v>250</v>
      </c>
      <c r="C628" s="1">
        <v>27.0</v>
      </c>
      <c r="D628" s="1" t="s">
        <v>121</v>
      </c>
      <c r="E628" s="1" t="s">
        <v>122</v>
      </c>
      <c r="F628" s="1" t="s">
        <v>123</v>
      </c>
      <c r="G628" s="1">
        <v>0.0</v>
      </c>
      <c r="H628" s="2">
        <v>0.13194444444444445</v>
      </c>
    </row>
    <row r="629">
      <c r="A629" s="1" t="s">
        <v>550</v>
      </c>
      <c r="B629" s="1" t="s">
        <v>250</v>
      </c>
      <c r="C629" s="1">
        <v>28.0</v>
      </c>
      <c r="D629" s="1" t="s">
        <v>568</v>
      </c>
      <c r="E629" s="1" t="s">
        <v>569</v>
      </c>
      <c r="F629" s="1" t="s">
        <v>568</v>
      </c>
      <c r="G629" s="1">
        <v>1.0</v>
      </c>
      <c r="H629" s="2">
        <v>0.10138888888888889</v>
      </c>
    </row>
    <row r="630">
      <c r="A630" s="1" t="s">
        <v>550</v>
      </c>
      <c r="B630" s="1" t="s">
        <v>250</v>
      </c>
      <c r="C630" s="1">
        <v>29.0</v>
      </c>
      <c r="D630" s="1" t="s">
        <v>570</v>
      </c>
      <c r="E630" s="1" t="s">
        <v>571</v>
      </c>
      <c r="F630" s="1" t="s">
        <v>572</v>
      </c>
      <c r="G630" s="1">
        <v>0.0</v>
      </c>
      <c r="H630" s="2">
        <v>0.17777777777777778</v>
      </c>
    </row>
    <row r="631">
      <c r="A631" s="1" t="s">
        <v>550</v>
      </c>
      <c r="B631" s="1" t="s">
        <v>250</v>
      </c>
      <c r="C631" s="1">
        <v>30.0</v>
      </c>
      <c r="D631" s="1" t="s">
        <v>44</v>
      </c>
      <c r="E631" s="1" t="s">
        <v>45</v>
      </c>
      <c r="F631" s="1" t="s">
        <v>44</v>
      </c>
      <c r="G631" s="1">
        <v>0.0</v>
      </c>
      <c r="H631" s="2">
        <v>0.12222222222222222</v>
      </c>
    </row>
    <row r="632">
      <c r="A632" s="1" t="s">
        <v>550</v>
      </c>
      <c r="B632" s="1" t="s">
        <v>250</v>
      </c>
      <c r="C632" s="1">
        <v>31.0</v>
      </c>
      <c r="D632" s="1" t="s">
        <v>30</v>
      </c>
      <c r="E632" s="1" t="s">
        <v>31</v>
      </c>
      <c r="F632" s="1" t="s">
        <v>32</v>
      </c>
      <c r="G632" s="1">
        <v>0.0</v>
      </c>
      <c r="H632" s="2">
        <v>0.15833333333333333</v>
      </c>
    </row>
    <row r="633">
      <c r="A633" s="1" t="s">
        <v>550</v>
      </c>
      <c r="B633" s="1" t="s">
        <v>250</v>
      </c>
      <c r="C633" s="1">
        <v>32.0</v>
      </c>
      <c r="D633" s="1" t="s">
        <v>462</v>
      </c>
      <c r="E633" s="1" t="s">
        <v>463</v>
      </c>
      <c r="F633" s="1" t="s">
        <v>464</v>
      </c>
      <c r="G633" s="1">
        <v>1.0</v>
      </c>
      <c r="H633" s="2">
        <v>0.14583333333333334</v>
      </c>
    </row>
    <row r="634">
      <c r="A634" s="1" t="s">
        <v>550</v>
      </c>
      <c r="B634" s="1" t="s">
        <v>250</v>
      </c>
      <c r="C634" s="1">
        <v>33.0</v>
      </c>
      <c r="D634" s="1" t="s">
        <v>573</v>
      </c>
      <c r="E634" s="1" t="s">
        <v>561</v>
      </c>
      <c r="F634" s="1" t="s">
        <v>562</v>
      </c>
      <c r="G634" s="1">
        <v>0.0</v>
      </c>
      <c r="H634" s="2">
        <v>0.0875</v>
      </c>
    </row>
    <row r="635">
      <c r="A635" s="1" t="s">
        <v>550</v>
      </c>
      <c r="B635" s="1" t="s">
        <v>250</v>
      </c>
      <c r="C635" s="1">
        <v>34.0</v>
      </c>
      <c r="D635" s="1" t="s">
        <v>111</v>
      </c>
      <c r="E635" s="1" t="s">
        <v>69</v>
      </c>
      <c r="F635" s="1" t="s">
        <v>112</v>
      </c>
      <c r="G635" s="1">
        <v>0.0</v>
      </c>
      <c r="H635" s="2">
        <v>0.14930555555555555</v>
      </c>
    </row>
    <row r="636">
      <c r="A636" s="1" t="s">
        <v>550</v>
      </c>
      <c r="B636" s="1" t="s">
        <v>250</v>
      </c>
      <c r="C636" s="1">
        <v>35.0</v>
      </c>
      <c r="D636" s="1" t="s">
        <v>54</v>
      </c>
      <c r="E636" s="1" t="s">
        <v>55</v>
      </c>
      <c r="F636" s="1" t="s">
        <v>56</v>
      </c>
      <c r="G636" s="1">
        <v>0.0</v>
      </c>
      <c r="H636" s="2">
        <v>0.10972222222222222</v>
      </c>
    </row>
    <row r="637">
      <c r="A637" s="1" t="s">
        <v>550</v>
      </c>
      <c r="B637" s="1" t="s">
        <v>250</v>
      </c>
      <c r="C637" s="1">
        <v>36.0</v>
      </c>
      <c r="D637" s="1" t="s">
        <v>274</v>
      </c>
      <c r="E637" s="1" t="s">
        <v>266</v>
      </c>
      <c r="F637" s="1" t="s">
        <v>274</v>
      </c>
      <c r="G637" s="1">
        <v>0.0</v>
      </c>
      <c r="H637" s="2">
        <v>0.1125</v>
      </c>
    </row>
    <row r="638">
      <c r="A638" s="1" t="s">
        <v>550</v>
      </c>
      <c r="B638" s="1" t="s">
        <v>250</v>
      </c>
      <c r="C638" s="1">
        <v>37.0</v>
      </c>
      <c r="D638" s="1" t="s">
        <v>574</v>
      </c>
      <c r="E638" s="1" t="s">
        <v>555</v>
      </c>
      <c r="F638" s="1" t="s">
        <v>556</v>
      </c>
      <c r="G638" s="1">
        <v>1.0</v>
      </c>
      <c r="H638" s="2">
        <v>0.12708333333333333</v>
      </c>
    </row>
    <row r="639">
      <c r="A639" s="1" t="s">
        <v>550</v>
      </c>
      <c r="B639" s="1" t="s">
        <v>250</v>
      </c>
      <c r="C639" s="1">
        <v>38.0</v>
      </c>
      <c r="D639" s="1" t="s">
        <v>73</v>
      </c>
      <c r="E639" s="1" t="s">
        <v>74</v>
      </c>
      <c r="F639" s="1" t="s">
        <v>75</v>
      </c>
      <c r="G639" s="1">
        <v>0.0</v>
      </c>
      <c r="H639" s="2">
        <v>0.14930555555555555</v>
      </c>
    </row>
    <row r="640">
      <c r="A640" s="1" t="s">
        <v>550</v>
      </c>
      <c r="B640" s="1" t="s">
        <v>250</v>
      </c>
      <c r="C640" s="1">
        <v>39.0</v>
      </c>
      <c r="D640" s="1" t="s">
        <v>83</v>
      </c>
      <c r="E640" s="1" t="s">
        <v>84</v>
      </c>
      <c r="F640" s="1" t="s">
        <v>85</v>
      </c>
      <c r="G640" s="1">
        <v>1.0</v>
      </c>
      <c r="H640" s="2">
        <v>0.16875</v>
      </c>
    </row>
    <row r="641">
      <c r="A641" s="1" t="s">
        <v>550</v>
      </c>
      <c r="B641" s="1" t="s">
        <v>250</v>
      </c>
      <c r="C641" s="1">
        <v>40.0</v>
      </c>
      <c r="D641" s="1" t="s">
        <v>92</v>
      </c>
      <c r="E641" s="1" t="s">
        <v>93</v>
      </c>
      <c r="F641" s="1" t="s">
        <v>92</v>
      </c>
      <c r="G641" s="1">
        <v>1.0</v>
      </c>
      <c r="H641" s="2">
        <v>0.11319444444444444</v>
      </c>
    </row>
    <row r="642">
      <c r="A642" s="1" t="s">
        <v>550</v>
      </c>
      <c r="B642" s="1" t="s">
        <v>250</v>
      </c>
      <c r="C642" s="1">
        <v>41.0</v>
      </c>
      <c r="D642" s="1" t="s">
        <v>575</v>
      </c>
      <c r="E642" s="1" t="s">
        <v>576</v>
      </c>
      <c r="F642" s="1" t="s">
        <v>577</v>
      </c>
      <c r="G642" s="1">
        <v>1.0</v>
      </c>
      <c r="H642" s="2">
        <v>0.11180555555555556</v>
      </c>
    </row>
    <row r="643">
      <c r="A643" s="1" t="s">
        <v>550</v>
      </c>
      <c r="B643" s="1" t="s">
        <v>250</v>
      </c>
      <c r="C643" s="1">
        <v>42.0</v>
      </c>
      <c r="D643" s="1" t="s">
        <v>46</v>
      </c>
      <c r="E643" s="1" t="s">
        <v>28</v>
      </c>
      <c r="F643" s="1" t="s">
        <v>29</v>
      </c>
      <c r="G643" s="1">
        <v>0.0</v>
      </c>
      <c r="H643" s="2">
        <v>0.15347222222222223</v>
      </c>
    </row>
    <row r="644">
      <c r="A644" s="1" t="s">
        <v>550</v>
      </c>
      <c r="B644" s="1" t="s">
        <v>250</v>
      </c>
      <c r="C644" s="1">
        <v>43.0</v>
      </c>
      <c r="D644" s="1" t="s">
        <v>104</v>
      </c>
      <c r="E644" s="1" t="s">
        <v>84</v>
      </c>
      <c r="F644" s="1" t="s">
        <v>104</v>
      </c>
      <c r="G644" s="1">
        <v>1.0</v>
      </c>
      <c r="H644" s="2">
        <v>0.12152777777777778</v>
      </c>
    </row>
    <row r="645">
      <c r="A645" s="1" t="s">
        <v>550</v>
      </c>
      <c r="B645" s="1" t="s">
        <v>250</v>
      </c>
      <c r="C645" s="1">
        <v>44.0</v>
      </c>
      <c r="D645" s="1" t="s">
        <v>578</v>
      </c>
      <c r="E645" s="1" t="s">
        <v>564</v>
      </c>
      <c r="F645" s="1" t="s">
        <v>578</v>
      </c>
      <c r="G645" s="1">
        <v>1.0</v>
      </c>
      <c r="H645" s="2">
        <v>0.08958333333333333</v>
      </c>
    </row>
    <row r="646">
      <c r="A646" s="1" t="s">
        <v>550</v>
      </c>
      <c r="B646" s="1" t="s">
        <v>250</v>
      </c>
      <c r="C646" s="1">
        <v>45.0</v>
      </c>
      <c r="D646" s="1" t="s">
        <v>118</v>
      </c>
      <c r="E646" s="1" t="s">
        <v>119</v>
      </c>
      <c r="F646" s="1" t="s">
        <v>120</v>
      </c>
      <c r="G646" s="1">
        <v>0.0</v>
      </c>
      <c r="H646" s="2">
        <v>0.13472222222222222</v>
      </c>
    </row>
    <row r="647">
      <c r="A647" s="1" t="s">
        <v>550</v>
      </c>
      <c r="B647" s="1" t="s">
        <v>250</v>
      </c>
      <c r="C647" s="1">
        <v>46.0</v>
      </c>
      <c r="D647" s="1" t="s">
        <v>579</v>
      </c>
      <c r="E647" s="1" t="s">
        <v>555</v>
      </c>
      <c r="F647" s="1" t="s">
        <v>556</v>
      </c>
      <c r="G647" s="1">
        <v>1.0</v>
      </c>
      <c r="H647" s="2">
        <v>0.20208333333333334</v>
      </c>
    </row>
    <row r="648">
      <c r="A648" s="1" t="s">
        <v>550</v>
      </c>
      <c r="B648" s="1" t="s">
        <v>250</v>
      </c>
      <c r="C648" s="1">
        <v>47.0</v>
      </c>
      <c r="D648" s="1" t="s">
        <v>94</v>
      </c>
      <c r="E648" s="1" t="s">
        <v>84</v>
      </c>
      <c r="F648" s="1" t="s">
        <v>95</v>
      </c>
      <c r="G648" s="1">
        <v>1.0</v>
      </c>
      <c r="H648" s="2">
        <v>0.21666666666666667</v>
      </c>
    </row>
    <row r="649">
      <c r="A649" s="1" t="s">
        <v>550</v>
      </c>
      <c r="B649" s="1" t="s">
        <v>250</v>
      </c>
      <c r="C649" s="1">
        <v>48.0</v>
      </c>
      <c r="D649" s="1" t="s">
        <v>99</v>
      </c>
      <c r="E649" s="1" t="s">
        <v>100</v>
      </c>
      <c r="F649" s="1" t="s">
        <v>99</v>
      </c>
      <c r="G649" s="1">
        <v>0.0</v>
      </c>
      <c r="H649" s="2">
        <v>0.11944444444444445</v>
      </c>
    </row>
    <row r="650">
      <c r="A650" s="1" t="s">
        <v>550</v>
      </c>
      <c r="B650" s="1" t="s">
        <v>250</v>
      </c>
      <c r="C650" s="1">
        <v>49.0</v>
      </c>
      <c r="D650" s="1" t="s">
        <v>580</v>
      </c>
      <c r="E650" s="1" t="s">
        <v>581</v>
      </c>
      <c r="F650" s="1" t="s">
        <v>580</v>
      </c>
      <c r="G650" s="1">
        <v>0.0</v>
      </c>
      <c r="H650" s="2">
        <v>0.12986111111111112</v>
      </c>
    </row>
    <row r="651">
      <c r="A651" s="1" t="s">
        <v>550</v>
      </c>
      <c r="B651" s="1" t="s">
        <v>250</v>
      </c>
      <c r="C651" s="1">
        <v>50.0</v>
      </c>
      <c r="D651" s="1" t="s">
        <v>80</v>
      </c>
      <c r="E651" s="1" t="s">
        <v>81</v>
      </c>
      <c r="F651" s="1" t="s">
        <v>82</v>
      </c>
      <c r="G651" s="1">
        <v>0.0</v>
      </c>
      <c r="H651" s="2">
        <v>0.12083333333333333</v>
      </c>
    </row>
    <row r="652">
      <c r="A652" s="1" t="s">
        <v>582</v>
      </c>
      <c r="B652" s="1" t="s">
        <v>250</v>
      </c>
      <c r="C652" s="1">
        <v>1.0</v>
      </c>
      <c r="D652" s="1" t="s">
        <v>14</v>
      </c>
      <c r="E652" s="1" t="s">
        <v>15</v>
      </c>
      <c r="F652" s="1" t="s">
        <v>16</v>
      </c>
      <c r="G652" s="1">
        <v>1.0</v>
      </c>
      <c r="H652" s="2">
        <v>0.12569444444444444</v>
      </c>
    </row>
    <row r="653">
      <c r="A653" s="1" t="s">
        <v>582</v>
      </c>
      <c r="B653" s="1" t="s">
        <v>250</v>
      </c>
      <c r="C653" s="1">
        <v>2.0</v>
      </c>
      <c r="D653" s="1" t="s">
        <v>583</v>
      </c>
      <c r="E653" s="1" t="s">
        <v>584</v>
      </c>
      <c r="F653" s="1" t="s">
        <v>583</v>
      </c>
      <c r="G653" s="1">
        <v>0.0</v>
      </c>
      <c r="H653" s="2">
        <v>0.12708333333333333</v>
      </c>
    </row>
    <row r="654">
      <c r="A654" s="1" t="s">
        <v>582</v>
      </c>
      <c r="B654" s="1" t="s">
        <v>250</v>
      </c>
      <c r="C654" s="1">
        <v>3.0</v>
      </c>
      <c r="D654" s="1" t="s">
        <v>585</v>
      </c>
      <c r="E654" s="1" t="s">
        <v>586</v>
      </c>
      <c r="F654" s="1" t="s">
        <v>585</v>
      </c>
      <c r="G654" s="1">
        <v>1.0</v>
      </c>
      <c r="H654" s="2">
        <v>0.11944444444444445</v>
      </c>
    </row>
    <row r="655">
      <c r="A655" s="1" t="s">
        <v>582</v>
      </c>
      <c r="B655" s="1" t="s">
        <v>250</v>
      </c>
      <c r="C655" s="1">
        <v>4.0</v>
      </c>
      <c r="D655" s="1" t="s">
        <v>11</v>
      </c>
      <c r="E655" s="1" t="s">
        <v>12</v>
      </c>
      <c r="F655" s="1" t="s">
        <v>13</v>
      </c>
      <c r="G655" s="1">
        <v>0.0</v>
      </c>
      <c r="H655" s="2">
        <v>0.1388888888888889</v>
      </c>
    </row>
    <row r="656">
      <c r="A656" s="1" t="s">
        <v>582</v>
      </c>
      <c r="B656" s="1" t="s">
        <v>250</v>
      </c>
      <c r="C656" s="1">
        <v>5.0</v>
      </c>
      <c r="D656" s="1" t="s">
        <v>587</v>
      </c>
      <c r="E656" s="1" t="s">
        <v>588</v>
      </c>
      <c r="F656" s="1" t="s">
        <v>587</v>
      </c>
      <c r="G656" s="1">
        <v>1.0</v>
      </c>
      <c r="H656" s="2">
        <v>0.10833333333333334</v>
      </c>
    </row>
    <row r="657">
      <c r="A657" s="1" t="s">
        <v>582</v>
      </c>
      <c r="B657" s="1" t="s">
        <v>250</v>
      </c>
      <c r="C657" s="1">
        <v>6.0</v>
      </c>
      <c r="D657" s="1" t="s">
        <v>589</v>
      </c>
      <c r="E657" s="1" t="s">
        <v>590</v>
      </c>
      <c r="F657" s="1" t="s">
        <v>591</v>
      </c>
      <c r="G657" s="1">
        <v>0.0</v>
      </c>
      <c r="H657" s="2">
        <v>0.1125</v>
      </c>
    </row>
    <row r="658">
      <c r="A658" s="1" t="s">
        <v>582</v>
      </c>
      <c r="B658" s="1" t="s">
        <v>250</v>
      </c>
      <c r="C658" s="1">
        <v>7.0</v>
      </c>
      <c r="D658" s="1" t="s">
        <v>36</v>
      </c>
      <c r="E658" s="1" t="s">
        <v>37</v>
      </c>
      <c r="F658" s="1" t="s">
        <v>36</v>
      </c>
      <c r="G658" s="1">
        <v>1.0</v>
      </c>
      <c r="H658" s="2">
        <v>0.09166666666666666</v>
      </c>
    </row>
    <row r="659">
      <c r="A659" s="1" t="s">
        <v>582</v>
      </c>
      <c r="B659" s="1" t="s">
        <v>250</v>
      </c>
      <c r="C659" s="1">
        <v>8.0</v>
      </c>
      <c r="D659" s="1" t="s">
        <v>592</v>
      </c>
      <c r="E659" s="1" t="s">
        <v>593</v>
      </c>
      <c r="F659" s="1" t="s">
        <v>594</v>
      </c>
      <c r="G659" s="1">
        <v>0.0</v>
      </c>
      <c r="H659" s="2">
        <v>0.1284722222222222</v>
      </c>
    </row>
    <row r="660">
      <c r="A660" s="1" t="s">
        <v>582</v>
      </c>
      <c r="B660" s="1" t="s">
        <v>250</v>
      </c>
      <c r="C660" s="1">
        <v>9.0</v>
      </c>
      <c r="D660" s="1" t="s">
        <v>17</v>
      </c>
      <c r="E660" s="1" t="s">
        <v>18</v>
      </c>
      <c r="F660" s="1" t="s">
        <v>19</v>
      </c>
      <c r="G660" s="1">
        <v>1.0</v>
      </c>
      <c r="H660" s="2">
        <v>0.12222222222222222</v>
      </c>
    </row>
    <row r="661">
      <c r="A661" s="1" t="s">
        <v>582</v>
      </c>
      <c r="B661" s="1" t="s">
        <v>250</v>
      </c>
      <c r="C661" s="1">
        <v>10.0</v>
      </c>
      <c r="D661" s="1" t="s">
        <v>595</v>
      </c>
      <c r="E661" s="1" t="s">
        <v>596</v>
      </c>
      <c r="F661" s="1" t="s">
        <v>595</v>
      </c>
      <c r="G661" s="1">
        <v>0.0</v>
      </c>
      <c r="H661" s="2">
        <v>0.18819444444444444</v>
      </c>
    </row>
    <row r="662">
      <c r="A662" s="1" t="s">
        <v>582</v>
      </c>
      <c r="B662" s="1" t="s">
        <v>250</v>
      </c>
      <c r="C662" s="1">
        <v>11.0</v>
      </c>
      <c r="D662" s="1" t="s">
        <v>597</v>
      </c>
      <c r="E662" s="1" t="s">
        <v>598</v>
      </c>
      <c r="F662" s="1" t="s">
        <v>597</v>
      </c>
      <c r="G662" s="1">
        <v>1.0</v>
      </c>
      <c r="H662" s="2">
        <v>0.11180555555555556</v>
      </c>
    </row>
    <row r="663">
      <c r="A663" s="1" t="s">
        <v>582</v>
      </c>
      <c r="B663" s="1" t="s">
        <v>250</v>
      </c>
      <c r="C663" s="1">
        <v>12.0</v>
      </c>
      <c r="D663" s="1" t="s">
        <v>20</v>
      </c>
      <c r="E663" s="1" t="s">
        <v>21</v>
      </c>
      <c r="F663" s="1" t="s">
        <v>22</v>
      </c>
      <c r="G663" s="1">
        <v>1.0</v>
      </c>
      <c r="H663" s="2">
        <v>0.17152777777777778</v>
      </c>
    </row>
    <row r="664">
      <c r="A664" s="1" t="s">
        <v>582</v>
      </c>
      <c r="B664" s="1" t="s">
        <v>250</v>
      </c>
      <c r="C664" s="1">
        <v>13.0</v>
      </c>
      <c r="D664" s="1" t="s">
        <v>599</v>
      </c>
      <c r="E664" s="1" t="s">
        <v>600</v>
      </c>
      <c r="F664" s="1" t="s">
        <v>599</v>
      </c>
      <c r="G664" s="1">
        <v>0.0</v>
      </c>
      <c r="H664" s="2">
        <v>0.09236111111111112</v>
      </c>
    </row>
    <row r="665">
      <c r="A665" s="1" t="s">
        <v>582</v>
      </c>
      <c r="B665" s="1" t="s">
        <v>250</v>
      </c>
      <c r="C665" s="1">
        <v>14.0</v>
      </c>
      <c r="D665" s="1" t="s">
        <v>227</v>
      </c>
      <c r="E665" s="1" t="s">
        <v>228</v>
      </c>
      <c r="F665" s="1" t="s">
        <v>227</v>
      </c>
      <c r="G665" s="1">
        <v>1.0</v>
      </c>
      <c r="H665" s="2">
        <v>0.11597222222222223</v>
      </c>
    </row>
    <row r="666">
      <c r="A666" s="1" t="s">
        <v>582</v>
      </c>
      <c r="B666" s="1" t="s">
        <v>250</v>
      </c>
      <c r="C666" s="1">
        <v>15.0</v>
      </c>
      <c r="D666" s="1" t="s">
        <v>601</v>
      </c>
      <c r="E666" s="1" t="s">
        <v>602</v>
      </c>
      <c r="F666" s="1" t="s">
        <v>603</v>
      </c>
      <c r="G666" s="1">
        <v>1.0</v>
      </c>
      <c r="H666" s="2">
        <v>0.1284722222222222</v>
      </c>
    </row>
    <row r="667">
      <c r="A667" s="1" t="s">
        <v>582</v>
      </c>
      <c r="B667" s="1" t="s">
        <v>250</v>
      </c>
      <c r="C667" s="1">
        <v>16.0</v>
      </c>
      <c r="D667" s="1" t="s">
        <v>53</v>
      </c>
      <c r="E667" s="1" t="s">
        <v>12</v>
      </c>
      <c r="F667" s="1" t="s">
        <v>13</v>
      </c>
      <c r="G667" s="1">
        <v>1.0</v>
      </c>
      <c r="H667" s="2">
        <v>0.16458333333333333</v>
      </c>
    </row>
    <row r="668">
      <c r="A668" s="1" t="s">
        <v>582</v>
      </c>
      <c r="B668" s="1" t="s">
        <v>250</v>
      </c>
      <c r="C668" s="1">
        <v>17.0</v>
      </c>
      <c r="D668" s="1" t="s">
        <v>604</v>
      </c>
      <c r="E668" s="1" t="s">
        <v>605</v>
      </c>
      <c r="F668" s="1" t="s">
        <v>604</v>
      </c>
      <c r="G668" s="1">
        <v>1.0</v>
      </c>
      <c r="H668" s="2">
        <v>0.1375</v>
      </c>
    </row>
    <row r="669">
      <c r="A669" s="1" t="s">
        <v>582</v>
      </c>
      <c r="B669" s="1" t="s">
        <v>250</v>
      </c>
      <c r="C669" s="1">
        <v>18.0</v>
      </c>
      <c r="D669" s="1" t="s">
        <v>25</v>
      </c>
      <c r="E669" s="1" t="s">
        <v>26</v>
      </c>
      <c r="F669" s="1" t="s">
        <v>25</v>
      </c>
      <c r="G669" s="1">
        <v>1.0</v>
      </c>
      <c r="H669" s="2">
        <v>0.11458333333333333</v>
      </c>
    </row>
    <row r="670">
      <c r="A670" s="1" t="s">
        <v>582</v>
      </c>
      <c r="B670" s="1" t="s">
        <v>250</v>
      </c>
      <c r="C670" s="1">
        <v>19.0</v>
      </c>
      <c r="D670" s="1" t="s">
        <v>9</v>
      </c>
      <c r="E670" s="1" t="s">
        <v>10</v>
      </c>
      <c r="F670" s="1" t="s">
        <v>9</v>
      </c>
      <c r="G670" s="1">
        <v>0.0</v>
      </c>
      <c r="H670" s="2">
        <v>0.12638888888888888</v>
      </c>
    </row>
    <row r="671">
      <c r="A671" s="1" t="s">
        <v>582</v>
      </c>
      <c r="B671" s="1" t="s">
        <v>250</v>
      </c>
      <c r="C671" s="1">
        <v>20.0</v>
      </c>
      <c r="D671" s="1" t="s">
        <v>606</v>
      </c>
      <c r="E671" s="1" t="s">
        <v>607</v>
      </c>
      <c r="F671" s="1" t="s">
        <v>606</v>
      </c>
      <c r="G671" s="1">
        <v>1.0</v>
      </c>
      <c r="H671" s="2">
        <v>0.14652777777777778</v>
      </c>
    </row>
    <row r="672">
      <c r="A672" s="1" t="s">
        <v>582</v>
      </c>
      <c r="B672" s="1" t="s">
        <v>250</v>
      </c>
      <c r="C672" s="1">
        <v>21.0</v>
      </c>
      <c r="D672" s="1" t="s">
        <v>608</v>
      </c>
      <c r="E672" s="1" t="s">
        <v>609</v>
      </c>
      <c r="F672" s="1" t="s">
        <v>608</v>
      </c>
      <c r="G672" s="1">
        <v>1.0</v>
      </c>
      <c r="H672" s="2">
        <v>0.11527777777777778</v>
      </c>
    </row>
    <row r="673">
      <c r="A673" s="1" t="s">
        <v>582</v>
      </c>
      <c r="B673" s="1" t="s">
        <v>250</v>
      </c>
      <c r="C673" s="1">
        <v>22.0</v>
      </c>
      <c r="D673" s="1" t="s">
        <v>30</v>
      </c>
      <c r="E673" s="1" t="s">
        <v>31</v>
      </c>
      <c r="F673" s="1" t="s">
        <v>32</v>
      </c>
      <c r="G673" s="1">
        <v>0.0</v>
      </c>
      <c r="H673" s="2">
        <v>0.15833333333333333</v>
      </c>
    </row>
    <row r="674">
      <c r="A674" s="1" t="s">
        <v>582</v>
      </c>
      <c r="B674" s="1" t="s">
        <v>250</v>
      </c>
      <c r="C674" s="1">
        <v>23.0</v>
      </c>
      <c r="D674" s="1" t="s">
        <v>610</v>
      </c>
      <c r="E674" s="1" t="s">
        <v>611</v>
      </c>
      <c r="F674" s="1" t="s">
        <v>612</v>
      </c>
      <c r="G674" s="1">
        <v>1.0</v>
      </c>
      <c r="H674" s="2">
        <v>0.11944444444444445</v>
      </c>
    </row>
    <row r="675">
      <c r="A675" s="1" t="s">
        <v>582</v>
      </c>
      <c r="B675" s="1" t="s">
        <v>250</v>
      </c>
      <c r="C675" s="1">
        <v>24.0</v>
      </c>
      <c r="D675" s="1" t="s">
        <v>613</v>
      </c>
      <c r="E675" s="1" t="s">
        <v>614</v>
      </c>
      <c r="F675" s="1" t="s">
        <v>591</v>
      </c>
      <c r="G675" s="1">
        <v>0.0</v>
      </c>
      <c r="H675" s="2">
        <v>0.1125</v>
      </c>
    </row>
    <row r="676">
      <c r="A676" s="1" t="s">
        <v>582</v>
      </c>
      <c r="B676" s="1" t="s">
        <v>250</v>
      </c>
      <c r="C676" s="1">
        <v>25.0</v>
      </c>
      <c r="D676" s="1" t="s">
        <v>615</v>
      </c>
      <c r="E676" s="1" t="s">
        <v>616</v>
      </c>
      <c r="F676" s="1" t="s">
        <v>617</v>
      </c>
      <c r="G676" s="1">
        <v>0.0</v>
      </c>
      <c r="H676" s="2">
        <v>0.13680555555555557</v>
      </c>
    </row>
    <row r="677">
      <c r="A677" s="1" t="s">
        <v>582</v>
      </c>
      <c r="B677" s="1" t="s">
        <v>250</v>
      </c>
      <c r="C677" s="1">
        <v>26.0</v>
      </c>
      <c r="D677" s="1" t="s">
        <v>38</v>
      </c>
      <c r="E677" s="1" t="s">
        <v>39</v>
      </c>
      <c r="F677" s="1" t="s">
        <v>40</v>
      </c>
      <c r="G677" s="1">
        <v>1.0</v>
      </c>
      <c r="H677" s="2">
        <v>0.1125</v>
      </c>
    </row>
    <row r="678">
      <c r="A678" s="1" t="s">
        <v>582</v>
      </c>
      <c r="B678" s="1" t="s">
        <v>250</v>
      </c>
      <c r="C678" s="1">
        <v>27.0</v>
      </c>
      <c r="D678" s="1" t="s">
        <v>618</v>
      </c>
      <c r="E678" s="1" t="s">
        <v>598</v>
      </c>
      <c r="F678" s="1" t="s">
        <v>618</v>
      </c>
      <c r="G678" s="1">
        <v>1.0</v>
      </c>
      <c r="H678" s="2">
        <v>0.1076388888888889</v>
      </c>
    </row>
    <row r="679">
      <c r="A679" s="1" t="s">
        <v>582</v>
      </c>
      <c r="B679" s="1" t="s">
        <v>250</v>
      </c>
      <c r="C679" s="1">
        <v>28.0</v>
      </c>
      <c r="D679" s="1" t="s">
        <v>619</v>
      </c>
      <c r="E679" s="1" t="s">
        <v>598</v>
      </c>
      <c r="F679" s="1" t="s">
        <v>619</v>
      </c>
      <c r="G679" s="1">
        <v>1.0</v>
      </c>
      <c r="H679" s="2">
        <v>0.12222222222222222</v>
      </c>
    </row>
    <row r="680">
      <c r="A680" s="1" t="s">
        <v>582</v>
      </c>
      <c r="B680" s="1" t="s">
        <v>250</v>
      </c>
      <c r="C680" s="1">
        <v>29.0</v>
      </c>
      <c r="D680" s="1" t="s">
        <v>620</v>
      </c>
      <c r="E680" s="1" t="s">
        <v>621</v>
      </c>
      <c r="F680" s="1" t="s">
        <v>620</v>
      </c>
      <c r="G680" s="1">
        <v>0.0</v>
      </c>
      <c r="H680" s="2">
        <v>0.12430555555555556</v>
      </c>
    </row>
    <row r="681">
      <c r="A681" s="1" t="s">
        <v>582</v>
      </c>
      <c r="B681" s="1" t="s">
        <v>250</v>
      </c>
      <c r="C681" s="1">
        <v>30.0</v>
      </c>
      <c r="D681" s="1" t="s">
        <v>50</v>
      </c>
      <c r="E681" s="1" t="s">
        <v>51</v>
      </c>
      <c r="F681" s="1" t="s">
        <v>52</v>
      </c>
      <c r="G681" s="1">
        <v>0.0</v>
      </c>
      <c r="H681" s="2">
        <v>0.14722222222222223</v>
      </c>
    </row>
    <row r="682">
      <c r="A682" s="1" t="s">
        <v>582</v>
      </c>
      <c r="B682" s="1" t="s">
        <v>250</v>
      </c>
      <c r="C682" s="1">
        <v>31.0</v>
      </c>
      <c r="D682" s="1" t="s">
        <v>622</v>
      </c>
      <c r="E682" s="1" t="s">
        <v>623</v>
      </c>
      <c r="F682" s="1" t="s">
        <v>622</v>
      </c>
      <c r="G682" s="1">
        <v>1.0</v>
      </c>
      <c r="H682" s="2">
        <v>0.11597222222222223</v>
      </c>
    </row>
    <row r="683">
      <c r="A683" s="1" t="s">
        <v>582</v>
      </c>
      <c r="B683" s="1" t="s">
        <v>250</v>
      </c>
      <c r="C683" s="1">
        <v>32.0</v>
      </c>
      <c r="D683" s="1" t="s">
        <v>23</v>
      </c>
      <c r="E683" s="1" t="s">
        <v>24</v>
      </c>
      <c r="F683" s="1" t="s">
        <v>23</v>
      </c>
      <c r="G683" s="1">
        <v>0.0</v>
      </c>
      <c r="H683" s="2">
        <v>0.12013888888888889</v>
      </c>
    </row>
    <row r="684">
      <c r="A684" s="1" t="s">
        <v>582</v>
      </c>
      <c r="B684" s="1" t="s">
        <v>250</v>
      </c>
      <c r="C684" s="1">
        <v>33.0</v>
      </c>
      <c r="D684" s="1" t="s">
        <v>44</v>
      </c>
      <c r="E684" s="1" t="s">
        <v>45</v>
      </c>
      <c r="F684" s="1" t="s">
        <v>44</v>
      </c>
      <c r="G684" s="1">
        <v>0.0</v>
      </c>
      <c r="H684" s="2">
        <v>0.12222222222222222</v>
      </c>
    </row>
    <row r="685">
      <c r="A685" s="1" t="s">
        <v>582</v>
      </c>
      <c r="B685" s="1" t="s">
        <v>250</v>
      </c>
      <c r="C685" s="1">
        <v>34.0</v>
      </c>
      <c r="D685" s="1" t="s">
        <v>624</v>
      </c>
      <c r="E685" s="1" t="s">
        <v>625</v>
      </c>
      <c r="F685" s="1" t="s">
        <v>624</v>
      </c>
      <c r="G685" s="1">
        <v>0.0</v>
      </c>
      <c r="H685" s="2">
        <v>0.13680555555555557</v>
      </c>
    </row>
    <row r="686">
      <c r="A686" s="1" t="s">
        <v>582</v>
      </c>
      <c r="B686" s="1" t="s">
        <v>250</v>
      </c>
      <c r="C686" s="1">
        <v>35.0</v>
      </c>
      <c r="D686" s="1" t="s">
        <v>33</v>
      </c>
      <c r="E686" s="1" t="s">
        <v>34</v>
      </c>
      <c r="F686" s="1" t="s">
        <v>35</v>
      </c>
      <c r="G686" s="1">
        <v>0.0</v>
      </c>
      <c r="H686" s="2">
        <v>0.1451388888888889</v>
      </c>
    </row>
    <row r="687">
      <c r="A687" s="1" t="s">
        <v>582</v>
      </c>
      <c r="B687" s="1" t="s">
        <v>250</v>
      </c>
      <c r="C687" s="1">
        <v>36.0</v>
      </c>
      <c r="D687" s="1" t="s">
        <v>27</v>
      </c>
      <c r="E687" s="1" t="s">
        <v>28</v>
      </c>
      <c r="F687" s="1" t="s">
        <v>29</v>
      </c>
      <c r="G687" s="1">
        <v>0.0</v>
      </c>
      <c r="H687" s="2">
        <v>0.12708333333333333</v>
      </c>
    </row>
    <row r="688">
      <c r="A688" s="1" t="s">
        <v>582</v>
      </c>
      <c r="B688" s="1" t="s">
        <v>250</v>
      </c>
      <c r="C688" s="1">
        <v>37.0</v>
      </c>
      <c r="D688" s="1" t="s">
        <v>626</v>
      </c>
      <c r="E688" s="1" t="s">
        <v>627</v>
      </c>
      <c r="F688" s="1" t="s">
        <v>626</v>
      </c>
      <c r="G688" s="1">
        <v>1.0</v>
      </c>
      <c r="H688" s="2">
        <v>0.09652777777777778</v>
      </c>
    </row>
    <row r="689">
      <c r="A689" s="1" t="s">
        <v>582</v>
      </c>
      <c r="B689" s="1" t="s">
        <v>250</v>
      </c>
      <c r="C689" s="1">
        <v>38.0</v>
      </c>
      <c r="D689" s="1" t="s">
        <v>47</v>
      </c>
      <c r="E689" s="1" t="s">
        <v>48</v>
      </c>
      <c r="F689" s="1" t="s">
        <v>49</v>
      </c>
      <c r="G689" s="1">
        <v>1.0</v>
      </c>
      <c r="H689" s="2">
        <v>0.15486111111111112</v>
      </c>
    </row>
    <row r="690">
      <c r="A690" s="1" t="s">
        <v>582</v>
      </c>
      <c r="B690" s="1" t="s">
        <v>250</v>
      </c>
      <c r="C690" s="1">
        <v>39.0</v>
      </c>
      <c r="D690" s="1" t="s">
        <v>628</v>
      </c>
      <c r="E690" s="1" t="s">
        <v>629</v>
      </c>
      <c r="F690" s="1" t="s">
        <v>628</v>
      </c>
      <c r="G690" s="1">
        <v>1.0</v>
      </c>
      <c r="H690" s="2">
        <v>0.11041666666666666</v>
      </c>
    </row>
    <row r="691">
      <c r="A691" s="1" t="s">
        <v>582</v>
      </c>
      <c r="B691" s="1" t="s">
        <v>250</v>
      </c>
      <c r="C691" s="1">
        <v>40.0</v>
      </c>
      <c r="D691" s="1" t="s">
        <v>68</v>
      </c>
      <c r="E691" s="1" t="s">
        <v>69</v>
      </c>
      <c r="F691" s="1" t="s">
        <v>70</v>
      </c>
      <c r="G691" s="1">
        <v>0.0</v>
      </c>
      <c r="H691" s="2">
        <v>0.12638888888888888</v>
      </c>
    </row>
    <row r="692">
      <c r="A692" s="1" t="s">
        <v>582</v>
      </c>
      <c r="B692" s="1" t="s">
        <v>250</v>
      </c>
      <c r="C692" s="1">
        <v>41.0</v>
      </c>
      <c r="D692" s="1" t="s">
        <v>111</v>
      </c>
      <c r="E692" s="1" t="s">
        <v>69</v>
      </c>
      <c r="F692" s="1" t="s">
        <v>112</v>
      </c>
      <c r="G692" s="1">
        <v>0.0</v>
      </c>
      <c r="H692" s="2">
        <v>0.14930555555555555</v>
      </c>
    </row>
    <row r="693">
      <c r="A693" s="1" t="s">
        <v>582</v>
      </c>
      <c r="B693" s="1" t="s">
        <v>250</v>
      </c>
      <c r="C693" s="1">
        <v>42.0</v>
      </c>
      <c r="D693" s="1" t="s">
        <v>78</v>
      </c>
      <c r="E693" s="1" t="s">
        <v>79</v>
      </c>
      <c r="F693" s="1" t="s">
        <v>78</v>
      </c>
      <c r="G693" s="1">
        <v>0.0</v>
      </c>
      <c r="H693" s="2">
        <v>0.10208333333333333</v>
      </c>
    </row>
    <row r="694">
      <c r="A694" s="1" t="s">
        <v>582</v>
      </c>
      <c r="B694" s="1" t="s">
        <v>250</v>
      </c>
      <c r="C694" s="1">
        <v>43.0</v>
      </c>
      <c r="D694" s="1" t="s">
        <v>105</v>
      </c>
      <c r="E694" s="1" t="s">
        <v>106</v>
      </c>
      <c r="F694" s="1" t="s">
        <v>105</v>
      </c>
      <c r="G694" s="1">
        <v>0.0</v>
      </c>
      <c r="H694" s="2">
        <v>0.11527777777777778</v>
      </c>
    </row>
    <row r="695">
      <c r="A695" s="1" t="s">
        <v>582</v>
      </c>
      <c r="B695" s="1" t="s">
        <v>250</v>
      </c>
      <c r="C695" s="1">
        <v>44.0</v>
      </c>
      <c r="D695" s="1" t="s">
        <v>265</v>
      </c>
      <c r="E695" s="1" t="s">
        <v>266</v>
      </c>
      <c r="F695" s="1" t="s">
        <v>265</v>
      </c>
      <c r="G695" s="1">
        <v>0.0</v>
      </c>
      <c r="H695" s="2">
        <v>0.125</v>
      </c>
    </row>
    <row r="696">
      <c r="A696" s="1" t="s">
        <v>582</v>
      </c>
      <c r="B696" s="1" t="s">
        <v>250</v>
      </c>
      <c r="C696" s="1">
        <v>45.0</v>
      </c>
      <c r="D696" s="1" t="s">
        <v>630</v>
      </c>
      <c r="E696" s="1" t="s">
        <v>631</v>
      </c>
      <c r="F696" s="1" t="s">
        <v>630</v>
      </c>
      <c r="G696" s="1">
        <v>0.0</v>
      </c>
      <c r="H696" s="2">
        <v>0.13402777777777777</v>
      </c>
    </row>
    <row r="697">
      <c r="A697" s="1" t="s">
        <v>582</v>
      </c>
      <c r="B697" s="1" t="s">
        <v>250</v>
      </c>
      <c r="C697" s="1">
        <v>46.0</v>
      </c>
      <c r="D697" s="1" t="s">
        <v>57</v>
      </c>
      <c r="E697" s="1" t="s">
        <v>58</v>
      </c>
      <c r="F697" s="1" t="s">
        <v>59</v>
      </c>
      <c r="G697" s="1">
        <v>1.0</v>
      </c>
      <c r="H697" s="2">
        <v>0.16458333333333333</v>
      </c>
    </row>
    <row r="698">
      <c r="A698" s="1" t="s">
        <v>582</v>
      </c>
      <c r="B698" s="1" t="s">
        <v>250</v>
      </c>
      <c r="C698" s="1">
        <v>47.0</v>
      </c>
      <c r="D698" s="1" t="s">
        <v>632</v>
      </c>
      <c r="E698" s="1" t="s">
        <v>633</v>
      </c>
      <c r="F698" s="1" t="s">
        <v>634</v>
      </c>
      <c r="G698" s="1">
        <v>0.0</v>
      </c>
      <c r="H698" s="2">
        <v>0.10277777777777777</v>
      </c>
    </row>
    <row r="699">
      <c r="A699" s="1" t="s">
        <v>582</v>
      </c>
      <c r="B699" s="1" t="s">
        <v>250</v>
      </c>
      <c r="C699" s="1">
        <v>48.0</v>
      </c>
      <c r="D699" s="1" t="s">
        <v>46</v>
      </c>
      <c r="E699" s="1" t="s">
        <v>28</v>
      </c>
      <c r="F699" s="1" t="s">
        <v>29</v>
      </c>
      <c r="G699" s="1">
        <v>0.0</v>
      </c>
      <c r="H699" s="2">
        <v>0.15347222222222223</v>
      </c>
    </row>
    <row r="700">
      <c r="A700" s="1" t="s">
        <v>582</v>
      </c>
      <c r="B700" s="1" t="s">
        <v>250</v>
      </c>
      <c r="C700" s="1">
        <v>49.0</v>
      </c>
      <c r="D700" s="1" t="s">
        <v>635</v>
      </c>
      <c r="E700" s="1" t="s">
        <v>636</v>
      </c>
      <c r="F700" s="1" t="s">
        <v>637</v>
      </c>
      <c r="G700" s="1">
        <v>0.0</v>
      </c>
      <c r="H700" s="2">
        <v>0.13541666666666666</v>
      </c>
    </row>
    <row r="701">
      <c r="A701" s="1" t="s">
        <v>582</v>
      </c>
      <c r="B701" s="1" t="s">
        <v>250</v>
      </c>
      <c r="C701" s="1">
        <v>50.0</v>
      </c>
      <c r="D701" s="1" t="s">
        <v>638</v>
      </c>
      <c r="E701" s="1" t="s">
        <v>639</v>
      </c>
      <c r="F701" s="1" t="s">
        <v>594</v>
      </c>
      <c r="G701" s="1">
        <v>0.0</v>
      </c>
      <c r="H701" s="2">
        <v>0.13055555555555556</v>
      </c>
    </row>
    <row r="702">
      <c r="A702" s="1" t="s">
        <v>640</v>
      </c>
      <c r="B702" s="1" t="s">
        <v>484</v>
      </c>
      <c r="C702" s="1">
        <v>1.0</v>
      </c>
      <c r="D702" s="1" t="s">
        <v>65</v>
      </c>
      <c r="E702" s="1" t="s">
        <v>66</v>
      </c>
      <c r="F702" s="1" t="s">
        <v>67</v>
      </c>
      <c r="G702" s="1">
        <v>1.0</v>
      </c>
      <c r="H702" s="2">
        <v>0.2048611111111111</v>
      </c>
    </row>
    <row r="703">
      <c r="A703" s="1" t="s">
        <v>640</v>
      </c>
      <c r="B703" s="1" t="s">
        <v>484</v>
      </c>
      <c r="C703" s="1">
        <v>2.0</v>
      </c>
      <c r="D703" s="1" t="s">
        <v>71</v>
      </c>
      <c r="E703" s="1" t="s">
        <v>72</v>
      </c>
      <c r="F703" s="1" t="s">
        <v>67</v>
      </c>
      <c r="G703" s="1">
        <v>0.0</v>
      </c>
      <c r="H703" s="2">
        <v>0.11944444444444445</v>
      </c>
    </row>
    <row r="704">
      <c r="A704" s="1" t="s">
        <v>640</v>
      </c>
      <c r="B704" s="1" t="s">
        <v>484</v>
      </c>
      <c r="C704" s="1">
        <v>3.0</v>
      </c>
      <c r="D704" s="1" t="s">
        <v>498</v>
      </c>
      <c r="E704" s="1" t="s">
        <v>499</v>
      </c>
      <c r="F704" s="1" t="s">
        <v>500</v>
      </c>
      <c r="G704" s="1">
        <v>1.0</v>
      </c>
      <c r="H704" s="2">
        <v>0.15763888888888888</v>
      </c>
    </row>
    <row r="705">
      <c r="A705" s="1" t="s">
        <v>640</v>
      </c>
      <c r="B705" s="1" t="s">
        <v>484</v>
      </c>
      <c r="C705" s="1">
        <v>4.0</v>
      </c>
      <c r="D705" s="1" t="s">
        <v>206</v>
      </c>
      <c r="E705" s="1" t="s">
        <v>72</v>
      </c>
      <c r="F705" s="1" t="s">
        <v>207</v>
      </c>
      <c r="G705" s="1">
        <v>1.0</v>
      </c>
      <c r="H705" s="2">
        <v>0.12361111111111112</v>
      </c>
    </row>
    <row r="706">
      <c r="A706" s="1" t="s">
        <v>640</v>
      </c>
      <c r="B706" s="1" t="s">
        <v>484</v>
      </c>
      <c r="C706" s="1">
        <v>5.0</v>
      </c>
      <c r="D706" s="1" t="s">
        <v>143</v>
      </c>
      <c r="E706" s="1" t="s">
        <v>144</v>
      </c>
      <c r="F706" s="1" t="s">
        <v>143</v>
      </c>
      <c r="G706" s="1">
        <v>0.0</v>
      </c>
      <c r="H706" s="2">
        <v>0.14027777777777778</v>
      </c>
    </row>
    <row r="707">
      <c r="A707" s="1" t="s">
        <v>640</v>
      </c>
      <c r="B707" s="1" t="s">
        <v>484</v>
      </c>
      <c r="C707" s="1">
        <v>6.0</v>
      </c>
      <c r="D707" s="1" t="s">
        <v>177</v>
      </c>
      <c r="E707" s="1" t="s">
        <v>178</v>
      </c>
      <c r="F707" s="1" t="s">
        <v>67</v>
      </c>
      <c r="G707" s="1">
        <v>1.0</v>
      </c>
      <c r="H707" s="2">
        <v>0.14583333333333334</v>
      </c>
    </row>
    <row r="708">
      <c r="A708" s="1" t="s">
        <v>640</v>
      </c>
      <c r="B708" s="1" t="s">
        <v>484</v>
      </c>
      <c r="C708" s="1">
        <v>7.0</v>
      </c>
      <c r="D708" s="1" t="s">
        <v>141</v>
      </c>
      <c r="E708" s="1" t="s">
        <v>142</v>
      </c>
      <c r="F708" s="1" t="s">
        <v>141</v>
      </c>
      <c r="G708" s="1">
        <v>0.0</v>
      </c>
      <c r="H708" s="2">
        <v>0.13680555555555557</v>
      </c>
    </row>
    <row r="709">
      <c r="A709" s="1" t="s">
        <v>640</v>
      </c>
      <c r="B709" s="1" t="s">
        <v>484</v>
      </c>
      <c r="C709" s="1">
        <v>8.0</v>
      </c>
      <c r="D709" s="1" t="s">
        <v>157</v>
      </c>
      <c r="E709" s="1" t="s">
        <v>158</v>
      </c>
      <c r="F709" s="1" t="s">
        <v>159</v>
      </c>
      <c r="G709" s="1">
        <v>0.0</v>
      </c>
      <c r="H709" s="2">
        <v>0.12777777777777777</v>
      </c>
    </row>
    <row r="710">
      <c r="A710" s="1" t="s">
        <v>640</v>
      </c>
      <c r="B710" s="1" t="s">
        <v>484</v>
      </c>
      <c r="C710" s="1">
        <v>9.0</v>
      </c>
      <c r="D710" s="1" t="s">
        <v>172</v>
      </c>
      <c r="E710" s="1" t="s">
        <v>72</v>
      </c>
      <c r="F710" s="1" t="s">
        <v>67</v>
      </c>
      <c r="G710" s="1">
        <v>1.0</v>
      </c>
      <c r="H710" s="2">
        <v>0.11319444444444444</v>
      </c>
    </row>
    <row r="711">
      <c r="A711" s="1" t="s">
        <v>640</v>
      </c>
      <c r="B711" s="1" t="s">
        <v>484</v>
      </c>
      <c r="C711" s="1">
        <v>10.0</v>
      </c>
      <c r="D711" s="1" t="s">
        <v>151</v>
      </c>
      <c r="E711" s="1" t="s">
        <v>152</v>
      </c>
      <c r="F711" s="1" t="s">
        <v>153</v>
      </c>
      <c r="G711" s="1">
        <v>1.0</v>
      </c>
      <c r="H711" s="2">
        <v>0.1486111111111111</v>
      </c>
    </row>
    <row r="712">
      <c r="A712" s="1" t="s">
        <v>640</v>
      </c>
      <c r="B712" s="1" t="s">
        <v>484</v>
      </c>
      <c r="C712" s="1">
        <v>11.0</v>
      </c>
      <c r="D712" s="1" t="s">
        <v>147</v>
      </c>
      <c r="E712" s="1" t="s">
        <v>148</v>
      </c>
      <c r="F712" s="1" t="s">
        <v>149</v>
      </c>
      <c r="G712" s="1">
        <v>0.0</v>
      </c>
      <c r="H712" s="2">
        <v>0.17291666666666666</v>
      </c>
    </row>
    <row r="713">
      <c r="A713" s="1" t="s">
        <v>640</v>
      </c>
      <c r="B713" s="1" t="s">
        <v>484</v>
      </c>
      <c r="C713" s="1">
        <v>12.0</v>
      </c>
      <c r="D713" s="1" t="s">
        <v>108</v>
      </c>
      <c r="E713" s="1" t="s">
        <v>109</v>
      </c>
      <c r="F713" s="1" t="s">
        <v>110</v>
      </c>
      <c r="G713" s="1">
        <v>0.0</v>
      </c>
      <c r="H713" s="2">
        <v>0.10416666666666667</v>
      </c>
    </row>
    <row r="714">
      <c r="A714" s="1" t="s">
        <v>640</v>
      </c>
      <c r="B714" s="1" t="s">
        <v>484</v>
      </c>
      <c r="C714" s="1">
        <v>13.0</v>
      </c>
      <c r="D714" s="1" t="s">
        <v>505</v>
      </c>
      <c r="E714" s="1" t="s">
        <v>506</v>
      </c>
      <c r="F714" s="1" t="s">
        <v>67</v>
      </c>
      <c r="G714" s="1">
        <v>1.0</v>
      </c>
      <c r="H714" s="2">
        <v>0.14305555555555555</v>
      </c>
    </row>
    <row r="715">
      <c r="A715" s="1" t="s">
        <v>640</v>
      </c>
      <c r="B715" s="1" t="s">
        <v>484</v>
      </c>
      <c r="C715" s="1">
        <v>14.0</v>
      </c>
      <c r="D715" s="1" t="s">
        <v>129</v>
      </c>
      <c r="E715" s="1" t="s">
        <v>130</v>
      </c>
      <c r="F715" s="1" t="s">
        <v>131</v>
      </c>
      <c r="G715" s="1">
        <v>0.0</v>
      </c>
      <c r="H715" s="2">
        <v>0.1451388888888889</v>
      </c>
    </row>
    <row r="716">
      <c r="A716" s="1" t="s">
        <v>640</v>
      </c>
      <c r="B716" s="1" t="s">
        <v>484</v>
      </c>
      <c r="C716" s="1">
        <v>15.0</v>
      </c>
      <c r="D716" s="1" t="s">
        <v>352</v>
      </c>
      <c r="E716" s="1" t="s">
        <v>353</v>
      </c>
      <c r="F716" s="1" t="s">
        <v>207</v>
      </c>
      <c r="G716" s="1">
        <v>1.0</v>
      </c>
      <c r="H716" s="2">
        <v>0.1451388888888889</v>
      </c>
    </row>
    <row r="717">
      <c r="A717" s="1" t="s">
        <v>640</v>
      </c>
      <c r="B717" s="1" t="s">
        <v>484</v>
      </c>
      <c r="C717" s="1">
        <v>16.0</v>
      </c>
      <c r="D717" s="1" t="s">
        <v>641</v>
      </c>
      <c r="E717" s="1" t="s">
        <v>642</v>
      </c>
      <c r="F717" s="1" t="s">
        <v>641</v>
      </c>
      <c r="G717" s="1">
        <v>1.0</v>
      </c>
      <c r="H717" s="2">
        <v>0.13958333333333334</v>
      </c>
    </row>
    <row r="718">
      <c r="A718" s="1" t="s">
        <v>640</v>
      </c>
      <c r="B718" s="1" t="s">
        <v>484</v>
      </c>
      <c r="C718" s="1">
        <v>17.0</v>
      </c>
      <c r="D718" s="1" t="s">
        <v>349</v>
      </c>
      <c r="E718" s="1" t="s">
        <v>72</v>
      </c>
      <c r="F718" s="1" t="s">
        <v>67</v>
      </c>
      <c r="G718" s="1">
        <v>1.0</v>
      </c>
      <c r="H718" s="2">
        <v>0.13333333333333333</v>
      </c>
    </row>
    <row r="719">
      <c r="A719" s="1" t="s">
        <v>640</v>
      </c>
      <c r="B719" s="1" t="s">
        <v>484</v>
      </c>
      <c r="C719" s="1">
        <v>18.0</v>
      </c>
      <c r="D719" s="1" t="s">
        <v>330</v>
      </c>
      <c r="E719" s="1" t="s">
        <v>72</v>
      </c>
      <c r="F719" s="1" t="s">
        <v>67</v>
      </c>
      <c r="G719" s="1">
        <v>0.0</v>
      </c>
      <c r="H719" s="2">
        <v>0.11805555555555555</v>
      </c>
    </row>
    <row r="720">
      <c r="A720" s="1" t="s">
        <v>640</v>
      </c>
      <c r="B720" s="1" t="s">
        <v>484</v>
      </c>
      <c r="C720" s="1">
        <v>19.0</v>
      </c>
      <c r="D720" s="1" t="s">
        <v>501</v>
      </c>
      <c r="E720" s="1" t="s">
        <v>502</v>
      </c>
      <c r="F720" s="1" t="s">
        <v>207</v>
      </c>
      <c r="G720" s="1">
        <v>1.0</v>
      </c>
      <c r="H720" s="2">
        <v>0.12708333333333333</v>
      </c>
    </row>
    <row r="721">
      <c r="A721" s="1" t="s">
        <v>640</v>
      </c>
      <c r="B721" s="1" t="s">
        <v>484</v>
      </c>
      <c r="C721" s="1">
        <v>20.0</v>
      </c>
      <c r="D721" s="1" t="s">
        <v>515</v>
      </c>
      <c r="E721" s="1" t="s">
        <v>72</v>
      </c>
      <c r="F721" s="1" t="s">
        <v>207</v>
      </c>
      <c r="G721" s="1">
        <v>0.0</v>
      </c>
      <c r="H721" s="2">
        <v>0.1076388888888889</v>
      </c>
    </row>
    <row r="722">
      <c r="A722" s="1" t="s">
        <v>640</v>
      </c>
      <c r="B722" s="1" t="s">
        <v>484</v>
      </c>
      <c r="C722" s="1">
        <v>21.0</v>
      </c>
      <c r="D722" s="1" t="s">
        <v>643</v>
      </c>
      <c r="E722" s="1" t="s">
        <v>644</v>
      </c>
      <c r="F722" s="1" t="s">
        <v>645</v>
      </c>
      <c r="G722" s="1">
        <v>0.0</v>
      </c>
      <c r="H722" s="2">
        <v>0.12222222222222222</v>
      </c>
    </row>
    <row r="723">
      <c r="A723" s="1" t="s">
        <v>640</v>
      </c>
      <c r="B723" s="1" t="s">
        <v>484</v>
      </c>
      <c r="C723" s="1">
        <v>22.0</v>
      </c>
      <c r="D723" s="1" t="s">
        <v>507</v>
      </c>
      <c r="E723" s="1" t="s">
        <v>508</v>
      </c>
      <c r="F723" s="1" t="s">
        <v>207</v>
      </c>
      <c r="G723" s="1">
        <v>1.0</v>
      </c>
      <c r="H723" s="2">
        <v>0.13472222222222222</v>
      </c>
    </row>
    <row r="724">
      <c r="A724" s="1" t="s">
        <v>640</v>
      </c>
      <c r="B724" s="1" t="s">
        <v>484</v>
      </c>
      <c r="C724" s="1">
        <v>23.0</v>
      </c>
      <c r="D724" s="1" t="s">
        <v>165</v>
      </c>
      <c r="E724" s="1" t="s">
        <v>166</v>
      </c>
      <c r="F724" s="1" t="s">
        <v>165</v>
      </c>
      <c r="G724" s="1">
        <v>0.0</v>
      </c>
      <c r="H724" s="2">
        <v>0.13819444444444445</v>
      </c>
    </row>
    <row r="725">
      <c r="A725" s="1" t="s">
        <v>640</v>
      </c>
      <c r="B725" s="1" t="s">
        <v>484</v>
      </c>
      <c r="C725" s="1">
        <v>24.0</v>
      </c>
      <c r="D725" s="1" t="s">
        <v>646</v>
      </c>
      <c r="E725" s="1" t="s">
        <v>647</v>
      </c>
      <c r="F725" s="1" t="s">
        <v>645</v>
      </c>
      <c r="G725" s="1">
        <v>0.0</v>
      </c>
      <c r="H725" s="2">
        <v>0.11388888888888889</v>
      </c>
    </row>
    <row r="726">
      <c r="A726" s="1" t="s">
        <v>640</v>
      </c>
      <c r="B726" s="1" t="s">
        <v>484</v>
      </c>
      <c r="C726" s="1">
        <v>25.0</v>
      </c>
      <c r="D726" s="1" t="s">
        <v>161</v>
      </c>
      <c r="E726" s="1" t="s">
        <v>162</v>
      </c>
      <c r="F726" s="1" t="s">
        <v>161</v>
      </c>
      <c r="G726" s="1">
        <v>0.0</v>
      </c>
      <c r="H726" s="2">
        <v>0.15694444444444444</v>
      </c>
    </row>
    <row r="727">
      <c r="A727" s="1" t="s">
        <v>640</v>
      </c>
      <c r="B727" s="1" t="s">
        <v>484</v>
      </c>
      <c r="C727" s="1">
        <v>26.0</v>
      </c>
      <c r="D727" s="1" t="s">
        <v>503</v>
      </c>
      <c r="E727" s="1" t="s">
        <v>504</v>
      </c>
      <c r="F727" s="1" t="s">
        <v>207</v>
      </c>
      <c r="G727" s="1">
        <v>1.0</v>
      </c>
      <c r="H727" s="2">
        <v>0.14027777777777778</v>
      </c>
    </row>
    <row r="728">
      <c r="A728" s="1" t="s">
        <v>640</v>
      </c>
      <c r="B728" s="1" t="s">
        <v>484</v>
      </c>
      <c r="C728" s="1">
        <v>27.0</v>
      </c>
      <c r="D728" s="1" t="s">
        <v>338</v>
      </c>
      <c r="E728" s="1" t="s">
        <v>339</v>
      </c>
      <c r="F728" s="1" t="s">
        <v>340</v>
      </c>
      <c r="G728" s="1">
        <v>0.0</v>
      </c>
      <c r="H728" s="2">
        <v>0.13125</v>
      </c>
    </row>
    <row r="729">
      <c r="A729" s="1" t="s">
        <v>640</v>
      </c>
      <c r="B729" s="1" t="s">
        <v>484</v>
      </c>
      <c r="C729" s="1">
        <v>28.0</v>
      </c>
      <c r="D729" s="1" t="s">
        <v>86</v>
      </c>
      <c r="E729" s="1" t="s">
        <v>87</v>
      </c>
      <c r="F729" s="1" t="s">
        <v>86</v>
      </c>
      <c r="G729" s="1">
        <v>0.0</v>
      </c>
      <c r="H729" s="2">
        <v>0.1388888888888889</v>
      </c>
    </row>
    <row r="730">
      <c r="A730" s="1" t="s">
        <v>640</v>
      </c>
      <c r="B730" s="1" t="s">
        <v>484</v>
      </c>
      <c r="C730" s="1">
        <v>29.0</v>
      </c>
      <c r="D730" s="1" t="s">
        <v>648</v>
      </c>
      <c r="E730" s="1" t="s">
        <v>72</v>
      </c>
      <c r="F730" s="1" t="s">
        <v>207</v>
      </c>
      <c r="G730" s="1">
        <v>1.0</v>
      </c>
      <c r="H730" s="2">
        <v>0.10416666666666667</v>
      </c>
    </row>
    <row r="731">
      <c r="A731" s="1" t="s">
        <v>640</v>
      </c>
      <c r="B731" s="1" t="s">
        <v>484</v>
      </c>
      <c r="C731" s="1">
        <v>30.0</v>
      </c>
      <c r="D731" s="1" t="s">
        <v>649</v>
      </c>
      <c r="E731" s="1" t="s">
        <v>650</v>
      </c>
      <c r="F731" s="1" t="s">
        <v>645</v>
      </c>
      <c r="G731" s="1">
        <v>0.0</v>
      </c>
      <c r="H731" s="2">
        <v>0.11319444444444444</v>
      </c>
    </row>
    <row r="732">
      <c r="A732" s="1" t="s">
        <v>640</v>
      </c>
      <c r="B732" s="1" t="s">
        <v>484</v>
      </c>
      <c r="C732" s="1">
        <v>31.0</v>
      </c>
      <c r="D732" s="1" t="s">
        <v>535</v>
      </c>
      <c r="E732" s="1" t="s">
        <v>536</v>
      </c>
      <c r="F732" s="1" t="s">
        <v>537</v>
      </c>
      <c r="G732" s="1">
        <v>0.0</v>
      </c>
      <c r="H732" s="2">
        <v>0.17222222222222222</v>
      </c>
    </row>
    <row r="733">
      <c r="A733" s="1" t="s">
        <v>640</v>
      </c>
      <c r="B733" s="1" t="s">
        <v>484</v>
      </c>
      <c r="C733" s="1">
        <v>32.0</v>
      </c>
      <c r="D733" s="1" t="s">
        <v>651</v>
      </c>
      <c r="E733" s="1" t="s">
        <v>652</v>
      </c>
      <c r="F733" s="1" t="s">
        <v>651</v>
      </c>
      <c r="G733" s="1">
        <v>1.0</v>
      </c>
      <c r="H733" s="2">
        <v>0.21180555555555555</v>
      </c>
    </row>
    <row r="734">
      <c r="A734" s="1" t="s">
        <v>640</v>
      </c>
      <c r="B734" s="1" t="s">
        <v>484</v>
      </c>
      <c r="C734" s="1">
        <v>33.0</v>
      </c>
      <c r="D734" s="1" t="s">
        <v>344</v>
      </c>
      <c r="E734" s="1" t="s">
        <v>345</v>
      </c>
      <c r="F734" s="1" t="s">
        <v>346</v>
      </c>
      <c r="G734" s="1">
        <v>0.0</v>
      </c>
      <c r="H734" s="2">
        <v>0.21458333333333332</v>
      </c>
    </row>
    <row r="735">
      <c r="A735" s="1" t="s">
        <v>640</v>
      </c>
      <c r="B735" s="1" t="s">
        <v>484</v>
      </c>
      <c r="C735" s="1">
        <v>34.0</v>
      </c>
      <c r="D735" s="1" t="s">
        <v>136</v>
      </c>
      <c r="E735" s="1" t="s">
        <v>137</v>
      </c>
      <c r="F735" s="1" t="s">
        <v>138</v>
      </c>
      <c r="G735" s="1">
        <v>0.0</v>
      </c>
      <c r="H735" s="2">
        <v>0.16111111111111112</v>
      </c>
    </row>
    <row r="736">
      <c r="A736" s="1" t="s">
        <v>640</v>
      </c>
      <c r="B736" s="1" t="s">
        <v>484</v>
      </c>
      <c r="C736" s="1">
        <v>35.0</v>
      </c>
      <c r="D736" s="1" t="s">
        <v>331</v>
      </c>
      <c r="E736" s="1" t="s">
        <v>332</v>
      </c>
      <c r="F736" s="1" t="s">
        <v>333</v>
      </c>
      <c r="G736" s="1">
        <v>0.0</v>
      </c>
      <c r="H736" s="2">
        <v>0.16805555555555557</v>
      </c>
    </row>
    <row r="737">
      <c r="A737" s="1" t="s">
        <v>640</v>
      </c>
      <c r="B737" s="1" t="s">
        <v>484</v>
      </c>
      <c r="C737" s="1">
        <v>36.0</v>
      </c>
      <c r="D737" s="1" t="s">
        <v>523</v>
      </c>
      <c r="E737" s="1" t="s">
        <v>524</v>
      </c>
      <c r="F737" s="1" t="s">
        <v>523</v>
      </c>
      <c r="G737" s="1">
        <v>0.0</v>
      </c>
      <c r="H737" s="2">
        <v>0.1875</v>
      </c>
    </row>
    <row r="738">
      <c r="A738" s="1" t="s">
        <v>640</v>
      </c>
      <c r="B738" s="1" t="s">
        <v>484</v>
      </c>
      <c r="C738" s="1">
        <v>37.0</v>
      </c>
      <c r="D738" s="1" t="s">
        <v>212</v>
      </c>
      <c r="E738" s="1" t="s">
        <v>213</v>
      </c>
      <c r="F738" s="1" t="s">
        <v>214</v>
      </c>
      <c r="G738" s="1">
        <v>1.0</v>
      </c>
      <c r="H738" s="2">
        <v>0.2111111111111111</v>
      </c>
    </row>
    <row r="739">
      <c r="A739" s="1" t="s">
        <v>640</v>
      </c>
      <c r="B739" s="1" t="s">
        <v>484</v>
      </c>
      <c r="C739" s="1">
        <v>38.0</v>
      </c>
      <c r="D739" s="1" t="s">
        <v>510</v>
      </c>
      <c r="E739" s="1" t="s">
        <v>511</v>
      </c>
      <c r="F739" s="1" t="s">
        <v>159</v>
      </c>
      <c r="G739" s="1">
        <v>0.0</v>
      </c>
      <c r="H739" s="2">
        <v>0.14027777777777778</v>
      </c>
    </row>
    <row r="740">
      <c r="A740" s="1" t="s">
        <v>640</v>
      </c>
      <c r="B740" s="1" t="s">
        <v>484</v>
      </c>
      <c r="C740" s="1">
        <v>39.0</v>
      </c>
      <c r="D740" s="1" t="s">
        <v>509</v>
      </c>
      <c r="E740" s="1" t="s">
        <v>72</v>
      </c>
      <c r="F740" s="1" t="s">
        <v>67</v>
      </c>
      <c r="G740" s="1">
        <v>0.0</v>
      </c>
      <c r="H740" s="2">
        <v>0.12152777777777778</v>
      </c>
    </row>
    <row r="741">
      <c r="A741" s="1" t="s">
        <v>640</v>
      </c>
      <c r="B741" s="1" t="s">
        <v>484</v>
      </c>
      <c r="C741" s="1">
        <v>40.0</v>
      </c>
      <c r="D741" s="1" t="s">
        <v>514</v>
      </c>
      <c r="E741" s="1" t="s">
        <v>152</v>
      </c>
      <c r="F741" s="1" t="s">
        <v>153</v>
      </c>
      <c r="G741" s="1">
        <v>1.0</v>
      </c>
      <c r="H741" s="2">
        <v>0.12916666666666668</v>
      </c>
    </row>
    <row r="742">
      <c r="A742" s="1" t="s">
        <v>640</v>
      </c>
      <c r="B742" s="1" t="s">
        <v>484</v>
      </c>
      <c r="C742" s="1">
        <v>41.0</v>
      </c>
      <c r="D742" s="1" t="s">
        <v>653</v>
      </c>
      <c r="E742" s="1" t="s">
        <v>72</v>
      </c>
      <c r="F742" s="1" t="s">
        <v>67</v>
      </c>
      <c r="G742" s="1">
        <v>0.0</v>
      </c>
      <c r="H742" s="2">
        <v>0.16875</v>
      </c>
    </row>
    <row r="743">
      <c r="A743" s="1" t="s">
        <v>640</v>
      </c>
      <c r="B743" s="1" t="s">
        <v>484</v>
      </c>
      <c r="C743" s="1">
        <v>42.0</v>
      </c>
      <c r="D743" s="1" t="s">
        <v>654</v>
      </c>
      <c r="E743" s="1" t="s">
        <v>655</v>
      </c>
      <c r="F743" s="1" t="s">
        <v>645</v>
      </c>
      <c r="G743" s="1">
        <v>0.0</v>
      </c>
      <c r="H743" s="2">
        <v>0.12361111111111112</v>
      </c>
    </row>
    <row r="744">
      <c r="A744" s="1" t="s">
        <v>640</v>
      </c>
      <c r="B744" s="1" t="s">
        <v>484</v>
      </c>
      <c r="C744" s="1">
        <v>43.0</v>
      </c>
      <c r="D744" s="1" t="s">
        <v>546</v>
      </c>
      <c r="E744" s="1" t="s">
        <v>547</v>
      </c>
      <c r="F744" s="1" t="s">
        <v>159</v>
      </c>
      <c r="G744" s="1">
        <v>0.0</v>
      </c>
      <c r="H744" s="2">
        <v>0.14166666666666666</v>
      </c>
    </row>
    <row r="745">
      <c r="A745" s="1" t="s">
        <v>640</v>
      </c>
      <c r="B745" s="1" t="s">
        <v>484</v>
      </c>
      <c r="C745" s="1">
        <v>44.0</v>
      </c>
      <c r="D745" s="1" t="s">
        <v>656</v>
      </c>
      <c r="E745" s="1" t="s">
        <v>657</v>
      </c>
      <c r="F745" s="1" t="s">
        <v>656</v>
      </c>
      <c r="G745" s="1">
        <v>0.0</v>
      </c>
      <c r="H745" s="2">
        <v>0.14097222222222222</v>
      </c>
    </row>
    <row r="746">
      <c r="A746" s="1" t="s">
        <v>640</v>
      </c>
      <c r="B746" s="1" t="s">
        <v>484</v>
      </c>
      <c r="C746" s="1">
        <v>45.0</v>
      </c>
      <c r="D746" s="1" t="s">
        <v>9</v>
      </c>
      <c r="E746" s="1" t="s">
        <v>10</v>
      </c>
      <c r="F746" s="1" t="s">
        <v>9</v>
      </c>
      <c r="G746" s="1">
        <v>0.0</v>
      </c>
      <c r="H746" s="2">
        <v>0.12638888888888888</v>
      </c>
    </row>
    <row r="747">
      <c r="A747" s="1" t="s">
        <v>640</v>
      </c>
      <c r="B747" s="1" t="s">
        <v>484</v>
      </c>
      <c r="C747" s="1">
        <v>46.0</v>
      </c>
      <c r="D747" s="1" t="s">
        <v>512</v>
      </c>
      <c r="E747" s="1" t="s">
        <v>513</v>
      </c>
      <c r="F747" s="1" t="s">
        <v>512</v>
      </c>
      <c r="G747" s="1">
        <v>0.0</v>
      </c>
      <c r="H747" s="2">
        <v>0.14583333333333334</v>
      </c>
    </row>
    <row r="748">
      <c r="A748" s="1" t="s">
        <v>640</v>
      </c>
      <c r="B748" s="1" t="s">
        <v>484</v>
      </c>
      <c r="C748" s="1">
        <v>47.0</v>
      </c>
      <c r="D748" s="1" t="s">
        <v>11</v>
      </c>
      <c r="E748" s="1" t="s">
        <v>12</v>
      </c>
      <c r="F748" s="1" t="s">
        <v>13</v>
      </c>
      <c r="G748" s="1">
        <v>0.0</v>
      </c>
      <c r="H748" s="2">
        <v>0.1388888888888889</v>
      </c>
    </row>
    <row r="749">
      <c r="A749" s="1" t="s">
        <v>640</v>
      </c>
      <c r="B749" s="1" t="s">
        <v>484</v>
      </c>
      <c r="C749" s="1">
        <v>48.0</v>
      </c>
      <c r="D749" s="1" t="s">
        <v>20</v>
      </c>
      <c r="E749" s="1" t="s">
        <v>21</v>
      </c>
      <c r="F749" s="1" t="s">
        <v>22</v>
      </c>
      <c r="G749" s="1">
        <v>1.0</v>
      </c>
      <c r="H749" s="2">
        <v>0.17152777777777778</v>
      </c>
    </row>
    <row r="750">
      <c r="A750" s="1" t="s">
        <v>640</v>
      </c>
      <c r="B750" s="1" t="s">
        <v>484</v>
      </c>
      <c r="C750" s="1">
        <v>49.0</v>
      </c>
      <c r="D750" s="1" t="s">
        <v>658</v>
      </c>
      <c r="E750" s="1" t="s">
        <v>72</v>
      </c>
      <c r="F750" s="1" t="s">
        <v>207</v>
      </c>
      <c r="G750" s="1">
        <v>0.0</v>
      </c>
      <c r="H750" s="2">
        <v>0.09930555555555555</v>
      </c>
    </row>
    <row r="751">
      <c r="A751" s="1" t="s">
        <v>640</v>
      </c>
      <c r="B751" s="1" t="s">
        <v>484</v>
      </c>
      <c r="C751" s="1">
        <v>50.0</v>
      </c>
      <c r="D751" s="1" t="s">
        <v>659</v>
      </c>
      <c r="E751" s="1" t="s">
        <v>660</v>
      </c>
      <c r="F751" s="1" t="s">
        <v>645</v>
      </c>
      <c r="G751" s="1">
        <v>0.0</v>
      </c>
      <c r="H751" s="2">
        <v>0.1388888888888889</v>
      </c>
    </row>
    <row r="752">
      <c r="A752" s="1" t="s">
        <v>661</v>
      </c>
      <c r="B752" s="1" t="s">
        <v>133</v>
      </c>
      <c r="C752" s="1">
        <v>1.0</v>
      </c>
      <c r="D752" s="1" t="s">
        <v>71</v>
      </c>
      <c r="E752" s="1" t="s">
        <v>72</v>
      </c>
      <c r="F752" s="1" t="s">
        <v>67</v>
      </c>
      <c r="G752" s="1">
        <v>0.0</v>
      </c>
      <c r="H752" s="2">
        <v>0.11944444444444445</v>
      </c>
    </row>
    <row r="753">
      <c r="A753" s="1" t="s">
        <v>661</v>
      </c>
      <c r="B753" s="1" t="s">
        <v>133</v>
      </c>
      <c r="C753" s="1">
        <v>2.0</v>
      </c>
      <c r="D753" s="1" t="s">
        <v>65</v>
      </c>
      <c r="E753" s="1" t="s">
        <v>66</v>
      </c>
      <c r="F753" s="1" t="s">
        <v>67</v>
      </c>
      <c r="G753" s="1">
        <v>1.0</v>
      </c>
      <c r="H753" s="2">
        <v>0.2048611111111111</v>
      </c>
    </row>
    <row r="754">
      <c r="A754" s="1" t="s">
        <v>661</v>
      </c>
      <c r="B754" s="1" t="s">
        <v>133</v>
      </c>
      <c r="C754" s="1">
        <v>3.0</v>
      </c>
      <c r="D754" s="1" t="s">
        <v>108</v>
      </c>
      <c r="E754" s="1" t="s">
        <v>109</v>
      </c>
      <c r="F754" s="1" t="s">
        <v>110</v>
      </c>
      <c r="G754" s="1">
        <v>0.0</v>
      </c>
      <c r="H754" s="2">
        <v>0.10416666666666667</v>
      </c>
    </row>
    <row r="755">
      <c r="A755" s="1" t="s">
        <v>661</v>
      </c>
      <c r="B755" s="1" t="s">
        <v>133</v>
      </c>
      <c r="C755" s="1">
        <v>4.0</v>
      </c>
      <c r="D755" s="1" t="s">
        <v>129</v>
      </c>
      <c r="E755" s="1" t="s">
        <v>130</v>
      </c>
      <c r="F755" s="1" t="s">
        <v>131</v>
      </c>
      <c r="G755" s="1">
        <v>0.0</v>
      </c>
      <c r="H755" s="2">
        <v>0.1451388888888889</v>
      </c>
    </row>
    <row r="756">
      <c r="A756" s="1" t="s">
        <v>661</v>
      </c>
      <c r="B756" s="1" t="s">
        <v>133</v>
      </c>
      <c r="C756" s="1">
        <v>5.0</v>
      </c>
      <c r="D756" s="1" t="s">
        <v>136</v>
      </c>
      <c r="E756" s="1" t="s">
        <v>137</v>
      </c>
      <c r="F756" s="1" t="s">
        <v>138</v>
      </c>
      <c r="G756" s="1">
        <v>0.0</v>
      </c>
      <c r="H756" s="2">
        <v>0.16111111111111112</v>
      </c>
    </row>
    <row r="757">
      <c r="A757" s="1" t="s">
        <v>661</v>
      </c>
      <c r="B757" s="1" t="s">
        <v>133</v>
      </c>
      <c r="C757" s="1">
        <v>6.0</v>
      </c>
      <c r="D757" s="1" t="s">
        <v>11</v>
      </c>
      <c r="E757" s="1" t="s">
        <v>12</v>
      </c>
      <c r="F757" s="1" t="s">
        <v>13</v>
      </c>
      <c r="G757" s="1">
        <v>0.0</v>
      </c>
      <c r="H757" s="2">
        <v>0.1388888888888889</v>
      </c>
    </row>
    <row r="758">
      <c r="A758" s="1" t="s">
        <v>661</v>
      </c>
      <c r="B758" s="1" t="s">
        <v>133</v>
      </c>
      <c r="C758" s="1">
        <v>7.0</v>
      </c>
      <c r="D758" s="1" t="s">
        <v>141</v>
      </c>
      <c r="E758" s="1" t="s">
        <v>142</v>
      </c>
      <c r="F758" s="1" t="s">
        <v>141</v>
      </c>
      <c r="G758" s="1">
        <v>0.0</v>
      </c>
      <c r="H758" s="2">
        <v>0.13680555555555557</v>
      </c>
    </row>
    <row r="759">
      <c r="A759" s="1" t="s">
        <v>661</v>
      </c>
      <c r="B759" s="1" t="s">
        <v>133</v>
      </c>
      <c r="C759" s="1">
        <v>8.0</v>
      </c>
      <c r="D759" s="1" t="s">
        <v>157</v>
      </c>
      <c r="E759" s="1" t="s">
        <v>158</v>
      </c>
      <c r="F759" s="1" t="s">
        <v>159</v>
      </c>
      <c r="G759" s="1">
        <v>0.0</v>
      </c>
      <c r="H759" s="2">
        <v>0.12777777777777777</v>
      </c>
    </row>
    <row r="760">
      <c r="A760" s="1" t="s">
        <v>661</v>
      </c>
      <c r="B760" s="1" t="s">
        <v>133</v>
      </c>
      <c r="C760" s="1">
        <v>9.0</v>
      </c>
      <c r="D760" s="1" t="s">
        <v>143</v>
      </c>
      <c r="E760" s="1" t="s">
        <v>144</v>
      </c>
      <c r="F760" s="1" t="s">
        <v>143</v>
      </c>
      <c r="G760" s="1">
        <v>0.0</v>
      </c>
      <c r="H760" s="2">
        <v>0.14027777777777778</v>
      </c>
    </row>
    <row r="761">
      <c r="A761" s="1" t="s">
        <v>661</v>
      </c>
      <c r="B761" s="1" t="s">
        <v>133</v>
      </c>
      <c r="C761" s="1">
        <v>10.0</v>
      </c>
      <c r="D761" s="1" t="s">
        <v>160</v>
      </c>
      <c r="E761" s="1" t="s">
        <v>109</v>
      </c>
      <c r="F761" s="1" t="s">
        <v>110</v>
      </c>
      <c r="G761" s="1">
        <v>0.0</v>
      </c>
      <c r="H761" s="2">
        <v>0.1388888888888889</v>
      </c>
    </row>
    <row r="762">
      <c r="A762" s="1" t="s">
        <v>661</v>
      </c>
      <c r="B762" s="1" t="s">
        <v>133</v>
      </c>
      <c r="C762" s="1">
        <v>11.0</v>
      </c>
      <c r="D762" s="1" t="s">
        <v>173</v>
      </c>
      <c r="E762" s="1" t="s">
        <v>109</v>
      </c>
      <c r="F762" s="1" t="s">
        <v>110</v>
      </c>
      <c r="G762" s="1">
        <v>0.0</v>
      </c>
      <c r="H762" s="2">
        <v>0.10902777777777778</v>
      </c>
    </row>
    <row r="763">
      <c r="A763" s="1" t="s">
        <v>661</v>
      </c>
      <c r="B763" s="1" t="s">
        <v>133</v>
      </c>
      <c r="C763" s="1">
        <v>12.0</v>
      </c>
      <c r="D763" s="1" t="s">
        <v>322</v>
      </c>
      <c r="E763" s="1" t="s">
        <v>323</v>
      </c>
      <c r="F763" s="1" t="s">
        <v>322</v>
      </c>
      <c r="G763" s="1">
        <v>0.0</v>
      </c>
      <c r="H763" s="2">
        <v>0.10902777777777778</v>
      </c>
    </row>
    <row r="764">
      <c r="A764" s="1" t="s">
        <v>661</v>
      </c>
      <c r="B764" s="1" t="s">
        <v>133</v>
      </c>
      <c r="C764" s="1">
        <v>13.0</v>
      </c>
      <c r="D764" s="1" t="s">
        <v>86</v>
      </c>
      <c r="E764" s="1" t="s">
        <v>87</v>
      </c>
      <c r="F764" s="1" t="s">
        <v>86</v>
      </c>
      <c r="G764" s="1">
        <v>0.0</v>
      </c>
      <c r="H764" s="2">
        <v>0.1388888888888889</v>
      </c>
    </row>
    <row r="765">
      <c r="A765" s="1" t="s">
        <v>661</v>
      </c>
      <c r="B765" s="1" t="s">
        <v>133</v>
      </c>
      <c r="C765" s="1">
        <v>14.0</v>
      </c>
      <c r="D765" s="1" t="s">
        <v>147</v>
      </c>
      <c r="E765" s="1" t="s">
        <v>148</v>
      </c>
      <c r="F765" s="1" t="s">
        <v>149</v>
      </c>
      <c r="G765" s="1">
        <v>0.0</v>
      </c>
      <c r="H765" s="2">
        <v>0.17291666666666666</v>
      </c>
    </row>
    <row r="766">
      <c r="A766" s="1" t="s">
        <v>661</v>
      </c>
      <c r="B766" s="1" t="s">
        <v>133</v>
      </c>
      <c r="C766" s="1">
        <v>15.0</v>
      </c>
      <c r="D766" s="1" t="s">
        <v>177</v>
      </c>
      <c r="E766" s="1" t="s">
        <v>178</v>
      </c>
      <c r="F766" s="1" t="s">
        <v>67</v>
      </c>
      <c r="G766" s="1">
        <v>1.0</v>
      </c>
      <c r="H766" s="2">
        <v>0.14583333333333334</v>
      </c>
    </row>
    <row r="767">
      <c r="A767" s="1" t="s">
        <v>661</v>
      </c>
      <c r="B767" s="1" t="s">
        <v>133</v>
      </c>
      <c r="C767" s="1">
        <v>16.0</v>
      </c>
      <c r="D767" s="1" t="s">
        <v>326</v>
      </c>
      <c r="E767" s="1" t="s">
        <v>327</v>
      </c>
      <c r="F767" s="1" t="s">
        <v>328</v>
      </c>
      <c r="G767" s="1">
        <v>0.0</v>
      </c>
      <c r="H767" s="2">
        <v>0.1798611111111111</v>
      </c>
    </row>
    <row r="768">
      <c r="A768" s="1" t="s">
        <v>661</v>
      </c>
      <c r="B768" s="1" t="s">
        <v>133</v>
      </c>
      <c r="C768" s="1">
        <v>17.0</v>
      </c>
      <c r="D768" s="1" t="s">
        <v>172</v>
      </c>
      <c r="E768" s="1" t="s">
        <v>72</v>
      </c>
      <c r="F768" s="1" t="s">
        <v>67</v>
      </c>
      <c r="G768" s="1">
        <v>1.0</v>
      </c>
      <c r="H768" s="2">
        <v>0.11319444444444444</v>
      </c>
    </row>
    <row r="769">
      <c r="A769" s="1" t="s">
        <v>661</v>
      </c>
      <c r="B769" s="1" t="s">
        <v>133</v>
      </c>
      <c r="C769" s="1">
        <v>18.0</v>
      </c>
      <c r="D769" s="1" t="s">
        <v>330</v>
      </c>
      <c r="E769" s="1" t="s">
        <v>72</v>
      </c>
      <c r="F769" s="1" t="s">
        <v>67</v>
      </c>
      <c r="G769" s="1">
        <v>0.0</v>
      </c>
      <c r="H769" s="2">
        <v>0.11805555555555555</v>
      </c>
    </row>
    <row r="770">
      <c r="A770" s="1" t="s">
        <v>661</v>
      </c>
      <c r="B770" s="1" t="s">
        <v>133</v>
      </c>
      <c r="C770" s="1">
        <v>19.0</v>
      </c>
      <c r="D770" s="1" t="s">
        <v>151</v>
      </c>
      <c r="E770" s="1" t="s">
        <v>152</v>
      </c>
      <c r="F770" s="1" t="s">
        <v>153</v>
      </c>
      <c r="G770" s="1">
        <v>1.0</v>
      </c>
      <c r="H770" s="2">
        <v>0.1486111111111111</v>
      </c>
    </row>
    <row r="771">
      <c r="A771" s="1" t="s">
        <v>661</v>
      </c>
      <c r="B771" s="1" t="s">
        <v>133</v>
      </c>
      <c r="C771" s="1">
        <v>20.0</v>
      </c>
      <c r="D771" s="1" t="s">
        <v>206</v>
      </c>
      <c r="E771" s="1" t="s">
        <v>72</v>
      </c>
      <c r="F771" s="1" t="s">
        <v>207</v>
      </c>
      <c r="G771" s="1">
        <v>1.0</v>
      </c>
      <c r="H771" s="2">
        <v>0.12361111111111112</v>
      </c>
    </row>
    <row r="772">
      <c r="A772" s="1" t="s">
        <v>661</v>
      </c>
      <c r="B772" s="1" t="s">
        <v>133</v>
      </c>
      <c r="C772" s="1">
        <v>21.0</v>
      </c>
      <c r="D772" s="1" t="s">
        <v>161</v>
      </c>
      <c r="E772" s="1" t="s">
        <v>162</v>
      </c>
      <c r="F772" s="1" t="s">
        <v>161</v>
      </c>
      <c r="G772" s="1">
        <v>0.0</v>
      </c>
      <c r="H772" s="2">
        <v>0.15694444444444444</v>
      </c>
    </row>
    <row r="773">
      <c r="A773" s="1" t="s">
        <v>661</v>
      </c>
      <c r="B773" s="1" t="s">
        <v>133</v>
      </c>
      <c r="C773" s="1">
        <v>22.0</v>
      </c>
      <c r="D773" s="1" t="s">
        <v>329</v>
      </c>
      <c r="E773" s="1" t="s">
        <v>109</v>
      </c>
      <c r="F773" s="1" t="s">
        <v>110</v>
      </c>
      <c r="G773" s="1">
        <v>0.0</v>
      </c>
      <c r="H773" s="2">
        <v>0.1423611111111111</v>
      </c>
    </row>
    <row r="774">
      <c r="A774" s="1" t="s">
        <v>661</v>
      </c>
      <c r="B774" s="1" t="s">
        <v>133</v>
      </c>
      <c r="C774" s="1">
        <v>23.0</v>
      </c>
      <c r="D774" s="1" t="s">
        <v>33</v>
      </c>
      <c r="E774" s="1" t="s">
        <v>34</v>
      </c>
      <c r="F774" s="1" t="s">
        <v>35</v>
      </c>
      <c r="G774" s="1">
        <v>0.0</v>
      </c>
      <c r="H774" s="2">
        <v>0.1451388888888889</v>
      </c>
    </row>
    <row r="775">
      <c r="A775" s="1" t="s">
        <v>661</v>
      </c>
      <c r="B775" s="1" t="s">
        <v>133</v>
      </c>
      <c r="C775" s="1">
        <v>24.0</v>
      </c>
      <c r="D775" s="1" t="s">
        <v>27</v>
      </c>
      <c r="E775" s="1" t="s">
        <v>28</v>
      </c>
      <c r="F775" s="1" t="s">
        <v>29</v>
      </c>
      <c r="G775" s="1">
        <v>0.0</v>
      </c>
      <c r="H775" s="2">
        <v>0.12708333333333333</v>
      </c>
    </row>
    <row r="776">
      <c r="A776" s="1" t="s">
        <v>661</v>
      </c>
      <c r="B776" s="1" t="s">
        <v>133</v>
      </c>
      <c r="C776" s="1">
        <v>25.0</v>
      </c>
      <c r="D776" s="1" t="s">
        <v>165</v>
      </c>
      <c r="E776" s="1" t="s">
        <v>166</v>
      </c>
      <c r="F776" s="1" t="s">
        <v>165</v>
      </c>
      <c r="G776" s="1">
        <v>0.0</v>
      </c>
      <c r="H776" s="2">
        <v>0.13819444444444445</v>
      </c>
    </row>
    <row r="777">
      <c r="A777" s="1" t="s">
        <v>661</v>
      </c>
      <c r="B777" s="1" t="s">
        <v>133</v>
      </c>
      <c r="C777" s="1">
        <v>26.0</v>
      </c>
      <c r="D777" s="1" t="s">
        <v>344</v>
      </c>
      <c r="E777" s="1" t="s">
        <v>345</v>
      </c>
      <c r="F777" s="1" t="s">
        <v>346</v>
      </c>
      <c r="G777" s="1">
        <v>0.0</v>
      </c>
      <c r="H777" s="2">
        <v>0.21458333333333332</v>
      </c>
    </row>
    <row r="778">
      <c r="A778" s="1" t="s">
        <v>661</v>
      </c>
      <c r="B778" s="1" t="s">
        <v>133</v>
      </c>
      <c r="C778" s="1">
        <v>27.0</v>
      </c>
      <c r="D778" s="1" t="s">
        <v>507</v>
      </c>
      <c r="E778" s="1" t="s">
        <v>508</v>
      </c>
      <c r="F778" s="1" t="s">
        <v>207</v>
      </c>
      <c r="G778" s="1">
        <v>1.0</v>
      </c>
      <c r="H778" s="2">
        <v>0.13472222222222222</v>
      </c>
    </row>
    <row r="779">
      <c r="A779" s="1" t="s">
        <v>661</v>
      </c>
      <c r="B779" s="1" t="s">
        <v>133</v>
      </c>
      <c r="C779" s="1">
        <v>28.0</v>
      </c>
      <c r="D779" s="1" t="s">
        <v>338</v>
      </c>
      <c r="E779" s="1" t="s">
        <v>339</v>
      </c>
      <c r="F779" s="1" t="s">
        <v>340</v>
      </c>
      <c r="G779" s="1">
        <v>0.0</v>
      </c>
      <c r="H779" s="2">
        <v>0.13125</v>
      </c>
    </row>
    <row r="780">
      <c r="A780" s="1" t="s">
        <v>661</v>
      </c>
      <c r="B780" s="1" t="s">
        <v>133</v>
      </c>
      <c r="C780" s="1">
        <v>29.0</v>
      </c>
      <c r="D780" s="1" t="s">
        <v>169</v>
      </c>
      <c r="E780" s="1" t="s">
        <v>170</v>
      </c>
      <c r="F780" s="1" t="s">
        <v>171</v>
      </c>
      <c r="G780" s="1">
        <v>0.0</v>
      </c>
      <c r="H780" s="2">
        <v>0.1451388888888889</v>
      </c>
    </row>
    <row r="781">
      <c r="A781" s="1" t="s">
        <v>661</v>
      </c>
      <c r="B781" s="1" t="s">
        <v>133</v>
      </c>
      <c r="C781" s="1">
        <v>30.0</v>
      </c>
      <c r="D781" s="1" t="s">
        <v>334</v>
      </c>
      <c r="E781" s="1" t="s">
        <v>335</v>
      </c>
      <c r="F781" s="1" t="s">
        <v>334</v>
      </c>
      <c r="G781" s="1">
        <v>0.0</v>
      </c>
      <c r="H781" s="2">
        <v>0.15069444444444444</v>
      </c>
    </row>
    <row r="782">
      <c r="A782" s="1" t="s">
        <v>661</v>
      </c>
      <c r="B782" s="1" t="s">
        <v>133</v>
      </c>
      <c r="C782" s="1">
        <v>31.0</v>
      </c>
      <c r="D782" s="1" t="s">
        <v>131</v>
      </c>
      <c r="E782" s="1" t="s">
        <v>150</v>
      </c>
      <c r="F782" s="1" t="s">
        <v>131</v>
      </c>
      <c r="G782" s="1">
        <v>0.0</v>
      </c>
      <c r="H782" s="2">
        <v>0.12638888888888888</v>
      </c>
    </row>
    <row r="783">
      <c r="A783" s="1" t="s">
        <v>661</v>
      </c>
      <c r="B783" s="1" t="s">
        <v>133</v>
      </c>
      <c r="C783" s="1">
        <v>32.0</v>
      </c>
      <c r="D783" s="1" t="s">
        <v>498</v>
      </c>
      <c r="E783" s="1" t="s">
        <v>499</v>
      </c>
      <c r="F783" s="1" t="s">
        <v>500</v>
      </c>
      <c r="G783" s="1">
        <v>1.0</v>
      </c>
      <c r="H783" s="2">
        <v>0.15763888888888888</v>
      </c>
    </row>
    <row r="784">
      <c r="A784" s="1" t="s">
        <v>661</v>
      </c>
      <c r="B784" s="1" t="s">
        <v>133</v>
      </c>
      <c r="C784" s="1">
        <v>33.0</v>
      </c>
      <c r="D784" s="1" t="s">
        <v>331</v>
      </c>
      <c r="E784" s="1" t="s">
        <v>332</v>
      </c>
      <c r="F784" s="1" t="s">
        <v>333</v>
      </c>
      <c r="G784" s="1">
        <v>0.0</v>
      </c>
      <c r="H784" s="2">
        <v>0.16805555555555557</v>
      </c>
    </row>
    <row r="785">
      <c r="A785" s="1" t="s">
        <v>661</v>
      </c>
      <c r="B785" s="1" t="s">
        <v>133</v>
      </c>
      <c r="C785" s="1">
        <v>34.0</v>
      </c>
      <c r="D785" s="1" t="s">
        <v>528</v>
      </c>
      <c r="E785" s="1" t="s">
        <v>529</v>
      </c>
      <c r="F785" s="1" t="s">
        <v>528</v>
      </c>
      <c r="G785" s="1">
        <v>0.0</v>
      </c>
      <c r="H785" s="2">
        <v>0.14027777777777778</v>
      </c>
    </row>
    <row r="786">
      <c r="A786" s="1" t="s">
        <v>661</v>
      </c>
      <c r="B786" s="1" t="s">
        <v>133</v>
      </c>
      <c r="C786" s="1">
        <v>35.0</v>
      </c>
      <c r="D786" s="1" t="s">
        <v>352</v>
      </c>
      <c r="E786" s="1" t="s">
        <v>353</v>
      </c>
      <c r="F786" s="1" t="s">
        <v>207</v>
      </c>
      <c r="G786" s="1">
        <v>1.0</v>
      </c>
      <c r="H786" s="2">
        <v>0.1451388888888889</v>
      </c>
    </row>
    <row r="787">
      <c r="A787" s="1" t="s">
        <v>661</v>
      </c>
      <c r="B787" s="1" t="s">
        <v>133</v>
      </c>
      <c r="C787" s="1">
        <v>36.0</v>
      </c>
      <c r="D787" s="1" t="s">
        <v>505</v>
      </c>
      <c r="E787" s="1" t="s">
        <v>506</v>
      </c>
      <c r="F787" s="1" t="s">
        <v>67</v>
      </c>
      <c r="G787" s="1">
        <v>1.0</v>
      </c>
      <c r="H787" s="2">
        <v>0.14305555555555555</v>
      </c>
    </row>
    <row r="788">
      <c r="A788" s="1" t="s">
        <v>661</v>
      </c>
      <c r="B788" s="1" t="s">
        <v>133</v>
      </c>
      <c r="C788" s="1">
        <v>37.0</v>
      </c>
      <c r="D788" s="1" t="s">
        <v>349</v>
      </c>
      <c r="E788" s="1" t="s">
        <v>72</v>
      </c>
      <c r="F788" s="1" t="s">
        <v>67</v>
      </c>
      <c r="G788" s="1">
        <v>1.0</v>
      </c>
      <c r="H788" s="2">
        <v>0.13333333333333333</v>
      </c>
    </row>
    <row r="789">
      <c r="A789" s="1" t="s">
        <v>661</v>
      </c>
      <c r="B789" s="1" t="s">
        <v>133</v>
      </c>
      <c r="C789" s="1">
        <v>38.0</v>
      </c>
      <c r="D789" s="1" t="s">
        <v>17</v>
      </c>
      <c r="E789" s="1" t="s">
        <v>18</v>
      </c>
      <c r="F789" s="1" t="s">
        <v>19</v>
      </c>
      <c r="G789" s="1">
        <v>1.0</v>
      </c>
      <c r="H789" s="2">
        <v>0.12222222222222222</v>
      </c>
    </row>
    <row r="790">
      <c r="A790" s="1" t="s">
        <v>661</v>
      </c>
      <c r="B790" s="1" t="s">
        <v>133</v>
      </c>
      <c r="C790" s="1">
        <v>39.0</v>
      </c>
      <c r="D790" s="1" t="s">
        <v>354</v>
      </c>
      <c r="E790" s="1" t="s">
        <v>355</v>
      </c>
      <c r="F790" s="1" t="s">
        <v>356</v>
      </c>
      <c r="G790" s="1">
        <v>0.0</v>
      </c>
      <c r="H790" s="2">
        <v>0.12569444444444444</v>
      </c>
    </row>
    <row r="791">
      <c r="A791" s="1" t="s">
        <v>661</v>
      </c>
      <c r="B791" s="1" t="s">
        <v>133</v>
      </c>
      <c r="C791" s="1">
        <v>40.0</v>
      </c>
      <c r="D791" s="1" t="s">
        <v>509</v>
      </c>
      <c r="E791" s="1" t="s">
        <v>72</v>
      </c>
      <c r="F791" s="1" t="s">
        <v>67</v>
      </c>
      <c r="G791" s="1">
        <v>0.0</v>
      </c>
      <c r="H791" s="2">
        <v>0.12152777777777778</v>
      </c>
    </row>
    <row r="792">
      <c r="A792" s="1" t="s">
        <v>661</v>
      </c>
      <c r="B792" s="1" t="s">
        <v>133</v>
      </c>
      <c r="C792" s="1">
        <v>41.0</v>
      </c>
      <c r="D792" s="1" t="s">
        <v>190</v>
      </c>
      <c r="E792" s="1" t="s">
        <v>191</v>
      </c>
      <c r="F792" s="1" t="s">
        <v>190</v>
      </c>
      <c r="G792" s="1">
        <v>0.0</v>
      </c>
      <c r="H792" s="2">
        <v>0.14652777777777778</v>
      </c>
    </row>
    <row r="793">
      <c r="A793" s="1" t="s">
        <v>661</v>
      </c>
      <c r="B793" s="1" t="s">
        <v>133</v>
      </c>
      <c r="C793" s="1">
        <v>42.0</v>
      </c>
      <c r="D793" s="1" t="s">
        <v>192</v>
      </c>
      <c r="E793" s="1" t="s">
        <v>193</v>
      </c>
      <c r="F793" s="1" t="s">
        <v>131</v>
      </c>
      <c r="G793" s="1">
        <v>0.0</v>
      </c>
      <c r="H793" s="2">
        <v>0.12430555555555556</v>
      </c>
    </row>
    <row r="794">
      <c r="A794" s="1" t="s">
        <v>661</v>
      </c>
      <c r="B794" s="1" t="s">
        <v>133</v>
      </c>
      <c r="C794" s="1">
        <v>43.0</v>
      </c>
      <c r="D794" s="1" t="s">
        <v>530</v>
      </c>
      <c r="E794" s="1" t="s">
        <v>109</v>
      </c>
      <c r="F794" s="1" t="s">
        <v>110</v>
      </c>
      <c r="G794" s="1">
        <v>0.0</v>
      </c>
      <c r="H794" s="2">
        <v>0.10069444444444445</v>
      </c>
    </row>
    <row r="795">
      <c r="A795" s="1" t="s">
        <v>661</v>
      </c>
      <c r="B795" s="1" t="s">
        <v>133</v>
      </c>
      <c r="C795" s="1">
        <v>44.0</v>
      </c>
      <c r="D795" s="1" t="s">
        <v>543</v>
      </c>
      <c r="E795" s="1" t="s">
        <v>544</v>
      </c>
      <c r="F795" s="1" t="s">
        <v>543</v>
      </c>
      <c r="G795" s="1">
        <v>1.0</v>
      </c>
      <c r="H795" s="2">
        <v>0.1736111111111111</v>
      </c>
    </row>
    <row r="796">
      <c r="A796" s="1" t="s">
        <v>661</v>
      </c>
      <c r="B796" s="1" t="s">
        <v>133</v>
      </c>
      <c r="C796" s="1">
        <v>45.0</v>
      </c>
      <c r="D796" s="1" t="s">
        <v>23</v>
      </c>
      <c r="E796" s="1" t="s">
        <v>24</v>
      </c>
      <c r="F796" s="1" t="s">
        <v>23</v>
      </c>
      <c r="G796" s="1">
        <v>0.0</v>
      </c>
      <c r="H796" s="2">
        <v>0.12013888888888889</v>
      </c>
    </row>
    <row r="797">
      <c r="A797" s="1" t="s">
        <v>661</v>
      </c>
      <c r="B797" s="1" t="s">
        <v>133</v>
      </c>
      <c r="C797" s="1">
        <v>46.0</v>
      </c>
      <c r="D797" s="1" t="s">
        <v>531</v>
      </c>
      <c r="E797" s="1" t="s">
        <v>109</v>
      </c>
      <c r="F797" s="1" t="s">
        <v>110</v>
      </c>
      <c r="G797" s="1">
        <v>0.0</v>
      </c>
      <c r="H797" s="2">
        <v>0.12638888888888888</v>
      </c>
    </row>
    <row r="798">
      <c r="A798" s="1" t="s">
        <v>661</v>
      </c>
      <c r="B798" s="1" t="s">
        <v>133</v>
      </c>
      <c r="C798" s="1">
        <v>47.0</v>
      </c>
      <c r="D798" s="1" t="s">
        <v>360</v>
      </c>
      <c r="E798" s="1" t="s">
        <v>361</v>
      </c>
      <c r="F798" s="1" t="s">
        <v>360</v>
      </c>
      <c r="G798" s="1">
        <v>0.0</v>
      </c>
      <c r="H798" s="2">
        <v>0.20902777777777778</v>
      </c>
    </row>
    <row r="799">
      <c r="A799" s="1" t="s">
        <v>661</v>
      </c>
      <c r="B799" s="1" t="s">
        <v>133</v>
      </c>
      <c r="C799" s="1">
        <v>48.0</v>
      </c>
      <c r="D799" s="1" t="s">
        <v>336</v>
      </c>
      <c r="E799" s="1" t="s">
        <v>337</v>
      </c>
      <c r="F799" s="1" t="s">
        <v>336</v>
      </c>
      <c r="G799" s="1">
        <v>0.0</v>
      </c>
      <c r="H799" s="2">
        <v>0.1326388888888889</v>
      </c>
    </row>
    <row r="800">
      <c r="A800" s="1" t="s">
        <v>661</v>
      </c>
      <c r="B800" s="1" t="s">
        <v>133</v>
      </c>
      <c r="C800" s="1">
        <v>49.0</v>
      </c>
      <c r="D800" s="1" t="s">
        <v>9</v>
      </c>
      <c r="E800" s="1" t="s">
        <v>10</v>
      </c>
      <c r="F800" s="1" t="s">
        <v>9</v>
      </c>
      <c r="G800" s="1">
        <v>0.0</v>
      </c>
      <c r="H800" s="2">
        <v>0.12638888888888888</v>
      </c>
    </row>
    <row r="801">
      <c r="A801" s="1" t="s">
        <v>661</v>
      </c>
      <c r="B801" s="1" t="s">
        <v>133</v>
      </c>
      <c r="C801" s="1">
        <v>50.0</v>
      </c>
      <c r="D801" s="1" t="s">
        <v>350</v>
      </c>
      <c r="E801" s="1" t="s">
        <v>351</v>
      </c>
      <c r="F801" s="1" t="s">
        <v>350</v>
      </c>
      <c r="G801" s="1">
        <v>0.0</v>
      </c>
      <c r="H801" s="2">
        <v>0.13402777777777777</v>
      </c>
    </row>
    <row r="802">
      <c r="A802" s="1" t="s">
        <v>662</v>
      </c>
      <c r="B802" s="1" t="s">
        <v>484</v>
      </c>
      <c r="C802" s="1">
        <v>1.0</v>
      </c>
      <c r="D802" s="1" t="s">
        <v>65</v>
      </c>
      <c r="E802" s="1" t="s">
        <v>66</v>
      </c>
      <c r="F802" s="1" t="s">
        <v>67</v>
      </c>
      <c r="G802" s="1">
        <v>1.0</v>
      </c>
      <c r="H802" s="2">
        <v>0.2048611111111111</v>
      </c>
    </row>
    <row r="803">
      <c r="A803" s="1" t="s">
        <v>662</v>
      </c>
      <c r="B803" s="1" t="s">
        <v>484</v>
      </c>
      <c r="C803" s="1">
        <v>2.0</v>
      </c>
      <c r="D803" s="1" t="s">
        <v>108</v>
      </c>
      <c r="E803" s="1" t="s">
        <v>109</v>
      </c>
      <c r="F803" s="1" t="s">
        <v>110</v>
      </c>
      <c r="G803" s="1">
        <v>0.0</v>
      </c>
      <c r="H803" s="2">
        <v>0.10416666666666667</v>
      </c>
    </row>
    <row r="804">
      <c r="A804" s="1" t="s">
        <v>662</v>
      </c>
      <c r="B804" s="1" t="s">
        <v>484</v>
      </c>
      <c r="C804" s="1">
        <v>3.0</v>
      </c>
      <c r="D804" s="1" t="s">
        <v>71</v>
      </c>
      <c r="E804" s="1" t="s">
        <v>72</v>
      </c>
      <c r="F804" s="1" t="s">
        <v>67</v>
      </c>
      <c r="G804" s="1">
        <v>0.0</v>
      </c>
      <c r="H804" s="2">
        <v>0.11944444444444445</v>
      </c>
    </row>
    <row r="805">
      <c r="A805" s="1" t="s">
        <v>662</v>
      </c>
      <c r="B805" s="1" t="s">
        <v>484</v>
      </c>
      <c r="C805" s="1">
        <v>4.0</v>
      </c>
      <c r="D805" s="1" t="s">
        <v>129</v>
      </c>
      <c r="E805" s="1" t="s">
        <v>130</v>
      </c>
      <c r="F805" s="1" t="s">
        <v>131</v>
      </c>
      <c r="G805" s="1">
        <v>0.0</v>
      </c>
      <c r="H805" s="2">
        <v>0.1451388888888889</v>
      </c>
    </row>
    <row r="806">
      <c r="A806" s="1" t="s">
        <v>662</v>
      </c>
      <c r="B806" s="1" t="s">
        <v>484</v>
      </c>
      <c r="C806" s="1">
        <v>5.0</v>
      </c>
      <c r="D806" s="1" t="s">
        <v>143</v>
      </c>
      <c r="E806" s="1" t="s">
        <v>144</v>
      </c>
      <c r="F806" s="1" t="s">
        <v>143</v>
      </c>
      <c r="G806" s="1">
        <v>0.0</v>
      </c>
      <c r="H806" s="2">
        <v>0.14027777777777778</v>
      </c>
    </row>
    <row r="807">
      <c r="A807" s="1" t="s">
        <v>662</v>
      </c>
      <c r="B807" s="1" t="s">
        <v>484</v>
      </c>
      <c r="C807" s="1">
        <v>6.0</v>
      </c>
      <c r="D807" s="1" t="s">
        <v>11</v>
      </c>
      <c r="E807" s="1" t="s">
        <v>12</v>
      </c>
      <c r="F807" s="1" t="s">
        <v>13</v>
      </c>
      <c r="G807" s="1">
        <v>0.0</v>
      </c>
      <c r="H807" s="2">
        <v>0.1388888888888889</v>
      </c>
    </row>
    <row r="808">
      <c r="A808" s="1" t="s">
        <v>662</v>
      </c>
      <c r="B808" s="1" t="s">
        <v>484</v>
      </c>
      <c r="C808" s="1">
        <v>7.0</v>
      </c>
      <c r="D808" s="1" t="s">
        <v>147</v>
      </c>
      <c r="E808" s="1" t="s">
        <v>148</v>
      </c>
      <c r="F808" s="1" t="s">
        <v>149</v>
      </c>
      <c r="G808" s="1">
        <v>0.0</v>
      </c>
      <c r="H808" s="2">
        <v>0.17291666666666666</v>
      </c>
    </row>
    <row r="809">
      <c r="A809" s="1" t="s">
        <v>662</v>
      </c>
      <c r="B809" s="1" t="s">
        <v>484</v>
      </c>
      <c r="C809" s="1">
        <v>8.0</v>
      </c>
      <c r="D809" s="1" t="s">
        <v>206</v>
      </c>
      <c r="E809" s="1" t="s">
        <v>72</v>
      </c>
      <c r="F809" s="1" t="s">
        <v>207</v>
      </c>
      <c r="G809" s="1">
        <v>1.0</v>
      </c>
      <c r="H809" s="2">
        <v>0.12361111111111112</v>
      </c>
    </row>
    <row r="810">
      <c r="A810" s="1" t="s">
        <v>662</v>
      </c>
      <c r="B810" s="1" t="s">
        <v>484</v>
      </c>
      <c r="C810" s="1">
        <v>9.0</v>
      </c>
      <c r="D810" s="1" t="s">
        <v>172</v>
      </c>
      <c r="E810" s="1" t="s">
        <v>72</v>
      </c>
      <c r="F810" s="1" t="s">
        <v>67</v>
      </c>
      <c r="G810" s="1">
        <v>1.0</v>
      </c>
      <c r="H810" s="2">
        <v>0.11319444444444444</v>
      </c>
    </row>
    <row r="811">
      <c r="A811" s="1" t="s">
        <v>662</v>
      </c>
      <c r="B811" s="1" t="s">
        <v>484</v>
      </c>
      <c r="C811" s="1">
        <v>10.0</v>
      </c>
      <c r="D811" s="1" t="s">
        <v>330</v>
      </c>
      <c r="E811" s="1" t="s">
        <v>72</v>
      </c>
      <c r="F811" s="1" t="s">
        <v>67</v>
      </c>
      <c r="G811" s="1">
        <v>0.0</v>
      </c>
      <c r="H811" s="2">
        <v>0.11805555555555555</v>
      </c>
    </row>
    <row r="812">
      <c r="A812" s="1" t="s">
        <v>662</v>
      </c>
      <c r="B812" s="1" t="s">
        <v>484</v>
      </c>
      <c r="C812" s="1">
        <v>11.0</v>
      </c>
      <c r="D812" s="1" t="s">
        <v>141</v>
      </c>
      <c r="E812" s="1" t="s">
        <v>142</v>
      </c>
      <c r="F812" s="1" t="s">
        <v>141</v>
      </c>
      <c r="G812" s="1">
        <v>0.0</v>
      </c>
      <c r="H812" s="2">
        <v>0.13680555555555557</v>
      </c>
    </row>
    <row r="813">
      <c r="A813" s="1" t="s">
        <v>662</v>
      </c>
      <c r="B813" s="1" t="s">
        <v>484</v>
      </c>
      <c r="C813" s="1">
        <v>12.0</v>
      </c>
      <c r="D813" s="1" t="s">
        <v>177</v>
      </c>
      <c r="E813" s="1" t="s">
        <v>178</v>
      </c>
      <c r="F813" s="1" t="s">
        <v>67</v>
      </c>
      <c r="G813" s="1">
        <v>1.0</v>
      </c>
      <c r="H813" s="2">
        <v>0.14583333333333334</v>
      </c>
    </row>
    <row r="814">
      <c r="A814" s="1" t="s">
        <v>662</v>
      </c>
      <c r="B814" s="1" t="s">
        <v>484</v>
      </c>
      <c r="C814" s="1">
        <v>13.0</v>
      </c>
      <c r="D814" s="1" t="s">
        <v>165</v>
      </c>
      <c r="E814" s="1" t="s">
        <v>166</v>
      </c>
      <c r="F814" s="1" t="s">
        <v>165</v>
      </c>
      <c r="G814" s="1">
        <v>0.0</v>
      </c>
      <c r="H814" s="2">
        <v>0.13819444444444445</v>
      </c>
    </row>
    <row r="815">
      <c r="A815" s="1" t="s">
        <v>662</v>
      </c>
      <c r="B815" s="1" t="s">
        <v>484</v>
      </c>
      <c r="C815" s="1">
        <v>14.0</v>
      </c>
      <c r="D815" s="1" t="s">
        <v>505</v>
      </c>
      <c r="E815" s="1" t="s">
        <v>506</v>
      </c>
      <c r="F815" s="1" t="s">
        <v>67</v>
      </c>
      <c r="G815" s="1">
        <v>1.0</v>
      </c>
      <c r="H815" s="2">
        <v>0.14305555555555555</v>
      </c>
    </row>
    <row r="816">
      <c r="A816" s="1" t="s">
        <v>662</v>
      </c>
      <c r="B816" s="1" t="s">
        <v>484</v>
      </c>
      <c r="C816" s="1">
        <v>15.0</v>
      </c>
      <c r="D816" s="1" t="s">
        <v>9</v>
      </c>
      <c r="E816" s="1" t="s">
        <v>10</v>
      </c>
      <c r="F816" s="1" t="s">
        <v>9</v>
      </c>
      <c r="G816" s="1">
        <v>0.0</v>
      </c>
      <c r="H816" s="2">
        <v>0.12638888888888888</v>
      </c>
    </row>
    <row r="817">
      <c r="A817" s="1" t="s">
        <v>662</v>
      </c>
      <c r="B817" s="1" t="s">
        <v>484</v>
      </c>
      <c r="C817" s="1">
        <v>16.0</v>
      </c>
      <c r="D817" s="1" t="s">
        <v>161</v>
      </c>
      <c r="E817" s="1" t="s">
        <v>162</v>
      </c>
      <c r="F817" s="1" t="s">
        <v>161</v>
      </c>
      <c r="G817" s="1">
        <v>0.0</v>
      </c>
      <c r="H817" s="2">
        <v>0.15694444444444444</v>
      </c>
    </row>
    <row r="818">
      <c r="A818" s="1" t="s">
        <v>662</v>
      </c>
      <c r="B818" s="1" t="s">
        <v>484</v>
      </c>
      <c r="C818" s="1">
        <v>17.0</v>
      </c>
      <c r="D818" s="1" t="s">
        <v>352</v>
      </c>
      <c r="E818" s="1" t="s">
        <v>353</v>
      </c>
      <c r="F818" s="1" t="s">
        <v>207</v>
      </c>
      <c r="G818" s="1">
        <v>1.0</v>
      </c>
      <c r="H818" s="2">
        <v>0.1451388888888889</v>
      </c>
    </row>
    <row r="819">
      <c r="A819" s="1" t="s">
        <v>662</v>
      </c>
      <c r="B819" s="1" t="s">
        <v>484</v>
      </c>
      <c r="C819" s="1">
        <v>18.0</v>
      </c>
      <c r="D819" s="1" t="s">
        <v>349</v>
      </c>
      <c r="E819" s="1" t="s">
        <v>72</v>
      </c>
      <c r="F819" s="1" t="s">
        <v>67</v>
      </c>
      <c r="G819" s="1">
        <v>1.0</v>
      </c>
      <c r="H819" s="2">
        <v>0.13333333333333333</v>
      </c>
    </row>
    <row r="820">
      <c r="A820" s="1" t="s">
        <v>662</v>
      </c>
      <c r="B820" s="1" t="s">
        <v>484</v>
      </c>
      <c r="C820" s="1">
        <v>19.0</v>
      </c>
      <c r="D820" s="1" t="s">
        <v>498</v>
      </c>
      <c r="E820" s="1" t="s">
        <v>499</v>
      </c>
      <c r="F820" s="1" t="s">
        <v>500</v>
      </c>
      <c r="G820" s="1">
        <v>1.0</v>
      </c>
      <c r="H820" s="2">
        <v>0.15763888888888888</v>
      </c>
    </row>
    <row r="821">
      <c r="A821" s="1" t="s">
        <v>662</v>
      </c>
      <c r="B821" s="1" t="s">
        <v>484</v>
      </c>
      <c r="C821" s="1">
        <v>20.0</v>
      </c>
      <c r="D821" s="1" t="s">
        <v>151</v>
      </c>
      <c r="E821" s="1" t="s">
        <v>152</v>
      </c>
      <c r="F821" s="1" t="s">
        <v>153</v>
      </c>
      <c r="G821" s="1">
        <v>1.0</v>
      </c>
      <c r="H821" s="2">
        <v>0.1486111111111111</v>
      </c>
    </row>
    <row r="822">
      <c r="A822" s="1" t="s">
        <v>662</v>
      </c>
      <c r="B822" s="1" t="s">
        <v>484</v>
      </c>
      <c r="C822" s="1">
        <v>21.0</v>
      </c>
      <c r="D822" s="1" t="s">
        <v>344</v>
      </c>
      <c r="E822" s="1" t="s">
        <v>345</v>
      </c>
      <c r="F822" s="1" t="s">
        <v>346</v>
      </c>
      <c r="G822" s="1">
        <v>0.0</v>
      </c>
      <c r="H822" s="2">
        <v>0.21458333333333332</v>
      </c>
    </row>
    <row r="823">
      <c r="A823" s="1" t="s">
        <v>662</v>
      </c>
      <c r="B823" s="1" t="s">
        <v>484</v>
      </c>
      <c r="C823" s="1">
        <v>22.0</v>
      </c>
      <c r="D823" s="1" t="s">
        <v>331</v>
      </c>
      <c r="E823" s="1" t="s">
        <v>332</v>
      </c>
      <c r="F823" s="1" t="s">
        <v>333</v>
      </c>
      <c r="G823" s="1">
        <v>0.0</v>
      </c>
      <c r="H823" s="2">
        <v>0.16805555555555557</v>
      </c>
    </row>
    <row r="824">
      <c r="A824" s="1" t="s">
        <v>662</v>
      </c>
      <c r="B824" s="1" t="s">
        <v>484</v>
      </c>
      <c r="C824" s="1">
        <v>23.0</v>
      </c>
      <c r="D824" s="1" t="s">
        <v>86</v>
      </c>
      <c r="E824" s="1" t="s">
        <v>87</v>
      </c>
      <c r="F824" s="1" t="s">
        <v>86</v>
      </c>
      <c r="G824" s="1">
        <v>0.0</v>
      </c>
      <c r="H824" s="2">
        <v>0.1388888888888889</v>
      </c>
    </row>
    <row r="825">
      <c r="A825" s="1" t="s">
        <v>662</v>
      </c>
      <c r="B825" s="1" t="s">
        <v>484</v>
      </c>
      <c r="C825" s="1">
        <v>24.0</v>
      </c>
      <c r="D825" s="1" t="s">
        <v>160</v>
      </c>
      <c r="E825" s="1" t="s">
        <v>109</v>
      </c>
      <c r="F825" s="1" t="s">
        <v>110</v>
      </c>
      <c r="G825" s="1">
        <v>0.0</v>
      </c>
      <c r="H825" s="2">
        <v>0.1388888888888889</v>
      </c>
    </row>
    <row r="826">
      <c r="A826" s="1" t="s">
        <v>662</v>
      </c>
      <c r="B826" s="1" t="s">
        <v>484</v>
      </c>
      <c r="C826" s="1">
        <v>25.0</v>
      </c>
      <c r="D826" s="1" t="s">
        <v>27</v>
      </c>
      <c r="E826" s="1" t="s">
        <v>28</v>
      </c>
      <c r="F826" s="1" t="s">
        <v>29</v>
      </c>
      <c r="G826" s="1">
        <v>0.0</v>
      </c>
      <c r="H826" s="2">
        <v>0.12708333333333333</v>
      </c>
    </row>
    <row r="827">
      <c r="A827" s="1" t="s">
        <v>662</v>
      </c>
      <c r="B827" s="1" t="s">
        <v>484</v>
      </c>
      <c r="C827" s="1">
        <v>26.0</v>
      </c>
      <c r="D827" s="1" t="s">
        <v>136</v>
      </c>
      <c r="E827" s="1" t="s">
        <v>137</v>
      </c>
      <c r="F827" s="1" t="s">
        <v>138</v>
      </c>
      <c r="G827" s="1">
        <v>0.0</v>
      </c>
      <c r="H827" s="2">
        <v>0.16111111111111112</v>
      </c>
    </row>
    <row r="828">
      <c r="A828" s="1" t="s">
        <v>662</v>
      </c>
      <c r="B828" s="1" t="s">
        <v>484</v>
      </c>
      <c r="C828" s="1">
        <v>27.0</v>
      </c>
      <c r="D828" s="1" t="s">
        <v>23</v>
      </c>
      <c r="E828" s="1" t="s">
        <v>24</v>
      </c>
      <c r="F828" s="1" t="s">
        <v>23</v>
      </c>
      <c r="G828" s="1">
        <v>0.0</v>
      </c>
      <c r="H828" s="2">
        <v>0.12013888888888889</v>
      </c>
    </row>
    <row r="829">
      <c r="A829" s="1" t="s">
        <v>662</v>
      </c>
      <c r="B829" s="1" t="s">
        <v>484</v>
      </c>
      <c r="C829" s="1">
        <v>28.0</v>
      </c>
      <c r="D829" s="1" t="s">
        <v>324</v>
      </c>
      <c r="E829" s="1" t="s">
        <v>325</v>
      </c>
      <c r="F829" s="1" t="s">
        <v>324</v>
      </c>
      <c r="G829" s="1">
        <v>1.0</v>
      </c>
      <c r="H829" s="2">
        <v>0.15763888888888888</v>
      </c>
    </row>
    <row r="830">
      <c r="A830" s="1" t="s">
        <v>662</v>
      </c>
      <c r="B830" s="1" t="s">
        <v>484</v>
      </c>
      <c r="C830" s="1">
        <v>29.0</v>
      </c>
      <c r="D830" s="1" t="s">
        <v>157</v>
      </c>
      <c r="E830" s="1" t="s">
        <v>158</v>
      </c>
      <c r="F830" s="1" t="s">
        <v>159</v>
      </c>
      <c r="G830" s="1">
        <v>0.0</v>
      </c>
      <c r="H830" s="2">
        <v>0.12777777777777777</v>
      </c>
    </row>
    <row r="831">
      <c r="A831" s="1" t="s">
        <v>662</v>
      </c>
      <c r="B831" s="1" t="s">
        <v>484</v>
      </c>
      <c r="C831" s="1">
        <v>30.0</v>
      </c>
      <c r="D831" s="1" t="s">
        <v>173</v>
      </c>
      <c r="E831" s="1" t="s">
        <v>109</v>
      </c>
      <c r="F831" s="1" t="s">
        <v>110</v>
      </c>
      <c r="G831" s="1">
        <v>0.0</v>
      </c>
      <c r="H831" s="2">
        <v>0.10902777777777778</v>
      </c>
    </row>
    <row r="832">
      <c r="A832" s="1" t="s">
        <v>662</v>
      </c>
      <c r="B832" s="1" t="s">
        <v>484</v>
      </c>
      <c r="C832" s="1">
        <v>31.0</v>
      </c>
      <c r="D832" s="1" t="s">
        <v>33</v>
      </c>
      <c r="E832" s="1" t="s">
        <v>34</v>
      </c>
      <c r="F832" s="1" t="s">
        <v>35</v>
      </c>
      <c r="G832" s="1">
        <v>0.0</v>
      </c>
      <c r="H832" s="2">
        <v>0.1451388888888889</v>
      </c>
    </row>
    <row r="833">
      <c r="A833" s="1" t="s">
        <v>662</v>
      </c>
      <c r="B833" s="1" t="s">
        <v>484</v>
      </c>
      <c r="C833" s="1">
        <v>32.0</v>
      </c>
      <c r="D833" s="1" t="s">
        <v>326</v>
      </c>
      <c r="E833" s="1" t="s">
        <v>327</v>
      </c>
      <c r="F833" s="1" t="s">
        <v>328</v>
      </c>
      <c r="G833" s="1">
        <v>0.0</v>
      </c>
      <c r="H833" s="2">
        <v>0.1798611111111111</v>
      </c>
    </row>
    <row r="834">
      <c r="A834" s="1" t="s">
        <v>662</v>
      </c>
      <c r="B834" s="1" t="s">
        <v>484</v>
      </c>
      <c r="C834" s="1">
        <v>33.0</v>
      </c>
      <c r="D834" s="1" t="s">
        <v>507</v>
      </c>
      <c r="E834" s="1" t="s">
        <v>508</v>
      </c>
      <c r="F834" s="1" t="s">
        <v>207</v>
      </c>
      <c r="G834" s="1">
        <v>1.0</v>
      </c>
      <c r="H834" s="2">
        <v>0.13472222222222222</v>
      </c>
    </row>
    <row r="835">
      <c r="A835" s="1" t="s">
        <v>662</v>
      </c>
      <c r="B835" s="1" t="s">
        <v>484</v>
      </c>
      <c r="C835" s="1">
        <v>34.0</v>
      </c>
      <c r="D835" s="1" t="s">
        <v>543</v>
      </c>
      <c r="E835" s="1" t="s">
        <v>544</v>
      </c>
      <c r="F835" s="1" t="s">
        <v>543</v>
      </c>
      <c r="G835" s="1">
        <v>1.0</v>
      </c>
      <c r="H835" s="2">
        <v>0.1736111111111111</v>
      </c>
    </row>
    <row r="836">
      <c r="A836" s="1" t="s">
        <v>662</v>
      </c>
      <c r="B836" s="1" t="s">
        <v>484</v>
      </c>
      <c r="C836" s="1">
        <v>35.0</v>
      </c>
      <c r="D836" s="1" t="s">
        <v>179</v>
      </c>
      <c r="E836" s="1" t="s">
        <v>180</v>
      </c>
      <c r="F836" s="1" t="s">
        <v>181</v>
      </c>
      <c r="G836" s="1">
        <v>1.0</v>
      </c>
      <c r="H836" s="2">
        <v>0.20069444444444445</v>
      </c>
    </row>
    <row r="837">
      <c r="A837" s="1" t="s">
        <v>662</v>
      </c>
      <c r="B837" s="1" t="s">
        <v>484</v>
      </c>
      <c r="C837" s="1">
        <v>36.0</v>
      </c>
      <c r="D837" s="1" t="s">
        <v>503</v>
      </c>
      <c r="E837" s="1" t="s">
        <v>504</v>
      </c>
      <c r="F837" s="1" t="s">
        <v>207</v>
      </c>
      <c r="G837" s="1">
        <v>1.0</v>
      </c>
      <c r="H837" s="2">
        <v>0.14027777777777778</v>
      </c>
    </row>
    <row r="838">
      <c r="A838" s="1" t="s">
        <v>662</v>
      </c>
      <c r="B838" s="1" t="s">
        <v>484</v>
      </c>
      <c r="C838" s="1">
        <v>37.0</v>
      </c>
      <c r="D838" s="1" t="s">
        <v>509</v>
      </c>
      <c r="E838" s="1" t="s">
        <v>72</v>
      </c>
      <c r="F838" s="1" t="s">
        <v>67</v>
      </c>
      <c r="G838" s="1">
        <v>0.0</v>
      </c>
      <c r="H838" s="2">
        <v>0.12152777777777778</v>
      </c>
    </row>
    <row r="839">
      <c r="A839" s="1" t="s">
        <v>662</v>
      </c>
      <c r="B839" s="1" t="s">
        <v>484</v>
      </c>
      <c r="C839" s="1">
        <v>38.0</v>
      </c>
      <c r="D839" s="1" t="s">
        <v>501</v>
      </c>
      <c r="E839" s="1" t="s">
        <v>502</v>
      </c>
      <c r="F839" s="1" t="s">
        <v>207</v>
      </c>
      <c r="G839" s="1">
        <v>1.0</v>
      </c>
      <c r="H839" s="2">
        <v>0.12708333333333333</v>
      </c>
    </row>
    <row r="840">
      <c r="A840" s="1" t="s">
        <v>662</v>
      </c>
      <c r="B840" s="1" t="s">
        <v>484</v>
      </c>
      <c r="C840" s="1">
        <v>39.0</v>
      </c>
      <c r="D840" s="1" t="s">
        <v>322</v>
      </c>
      <c r="E840" s="1" t="s">
        <v>323</v>
      </c>
      <c r="F840" s="1" t="s">
        <v>322</v>
      </c>
      <c r="G840" s="1">
        <v>0.0</v>
      </c>
      <c r="H840" s="2">
        <v>0.10902777777777778</v>
      </c>
    </row>
    <row r="841">
      <c r="A841" s="1" t="s">
        <v>662</v>
      </c>
      <c r="B841" s="1" t="s">
        <v>484</v>
      </c>
      <c r="C841" s="1">
        <v>40.0</v>
      </c>
      <c r="D841" s="1" t="s">
        <v>523</v>
      </c>
      <c r="E841" s="1" t="s">
        <v>524</v>
      </c>
      <c r="F841" s="1" t="s">
        <v>523</v>
      </c>
      <c r="G841" s="1">
        <v>0.0</v>
      </c>
      <c r="H841" s="2">
        <v>0.1875</v>
      </c>
    </row>
    <row r="842">
      <c r="A842" s="1" t="s">
        <v>662</v>
      </c>
      <c r="B842" s="1" t="s">
        <v>484</v>
      </c>
      <c r="C842" s="1">
        <v>41.0</v>
      </c>
      <c r="D842" s="1" t="s">
        <v>338</v>
      </c>
      <c r="E842" s="1" t="s">
        <v>339</v>
      </c>
      <c r="F842" s="1" t="s">
        <v>340</v>
      </c>
      <c r="G842" s="1">
        <v>0.0</v>
      </c>
      <c r="H842" s="2">
        <v>0.13125</v>
      </c>
    </row>
    <row r="843">
      <c r="A843" s="1" t="s">
        <v>662</v>
      </c>
      <c r="B843" s="1" t="s">
        <v>484</v>
      </c>
      <c r="C843" s="1">
        <v>42.0</v>
      </c>
      <c r="D843" s="1" t="s">
        <v>212</v>
      </c>
      <c r="E843" s="1" t="s">
        <v>213</v>
      </c>
      <c r="F843" s="1" t="s">
        <v>214</v>
      </c>
      <c r="G843" s="1">
        <v>1.0</v>
      </c>
      <c r="H843" s="2">
        <v>0.2111111111111111</v>
      </c>
    </row>
    <row r="844">
      <c r="A844" s="1" t="s">
        <v>662</v>
      </c>
      <c r="B844" s="1" t="s">
        <v>484</v>
      </c>
      <c r="C844" s="1">
        <v>43.0</v>
      </c>
      <c r="D844" s="1" t="s">
        <v>334</v>
      </c>
      <c r="E844" s="1" t="s">
        <v>335</v>
      </c>
      <c r="F844" s="1" t="s">
        <v>334</v>
      </c>
      <c r="G844" s="1">
        <v>0.0</v>
      </c>
      <c r="H844" s="2">
        <v>0.15069444444444444</v>
      </c>
    </row>
    <row r="845">
      <c r="A845" s="1" t="s">
        <v>662</v>
      </c>
      <c r="B845" s="1" t="s">
        <v>484</v>
      </c>
      <c r="C845" s="1">
        <v>44.0</v>
      </c>
      <c r="D845" s="1" t="s">
        <v>131</v>
      </c>
      <c r="E845" s="1" t="s">
        <v>150</v>
      </c>
      <c r="F845" s="1" t="s">
        <v>131</v>
      </c>
      <c r="G845" s="1">
        <v>0.0</v>
      </c>
      <c r="H845" s="2">
        <v>0.12638888888888888</v>
      </c>
    </row>
    <row r="846">
      <c r="A846" s="1" t="s">
        <v>662</v>
      </c>
      <c r="B846" s="1" t="s">
        <v>484</v>
      </c>
      <c r="C846" s="1">
        <v>45.0</v>
      </c>
      <c r="D846" s="1" t="s">
        <v>663</v>
      </c>
      <c r="E846" s="1" t="s">
        <v>664</v>
      </c>
      <c r="F846" s="1" t="s">
        <v>663</v>
      </c>
      <c r="G846" s="1">
        <v>0.0</v>
      </c>
      <c r="H846" s="2">
        <v>0.14097222222222222</v>
      </c>
    </row>
    <row r="847">
      <c r="A847" s="1" t="s">
        <v>662</v>
      </c>
      <c r="B847" s="1" t="s">
        <v>484</v>
      </c>
      <c r="C847" s="1">
        <v>46.0</v>
      </c>
      <c r="D847" s="1" t="s">
        <v>329</v>
      </c>
      <c r="E847" s="1" t="s">
        <v>109</v>
      </c>
      <c r="F847" s="1" t="s">
        <v>110</v>
      </c>
      <c r="G847" s="1">
        <v>0.0</v>
      </c>
      <c r="H847" s="2">
        <v>0.1423611111111111</v>
      </c>
    </row>
    <row r="848">
      <c r="A848" s="1" t="s">
        <v>662</v>
      </c>
      <c r="B848" s="1" t="s">
        <v>484</v>
      </c>
      <c r="C848" s="1">
        <v>47.0</v>
      </c>
      <c r="D848" s="1" t="s">
        <v>192</v>
      </c>
      <c r="E848" s="1" t="s">
        <v>193</v>
      </c>
      <c r="F848" s="1" t="s">
        <v>131</v>
      </c>
      <c r="G848" s="1">
        <v>0.0</v>
      </c>
      <c r="H848" s="2">
        <v>0.12430555555555556</v>
      </c>
    </row>
    <row r="849">
      <c r="A849" s="1" t="s">
        <v>662</v>
      </c>
      <c r="B849" s="1" t="s">
        <v>484</v>
      </c>
      <c r="C849" s="1">
        <v>48.0</v>
      </c>
      <c r="D849" s="1" t="s">
        <v>360</v>
      </c>
      <c r="E849" s="1" t="s">
        <v>361</v>
      </c>
      <c r="F849" s="1" t="s">
        <v>360</v>
      </c>
      <c r="G849" s="1">
        <v>0.0</v>
      </c>
      <c r="H849" s="2">
        <v>0.20902777777777778</v>
      </c>
    </row>
    <row r="850">
      <c r="A850" s="1" t="s">
        <v>662</v>
      </c>
      <c r="B850" s="1" t="s">
        <v>484</v>
      </c>
      <c r="C850" s="1">
        <v>49.0</v>
      </c>
      <c r="D850" s="1" t="s">
        <v>336</v>
      </c>
      <c r="E850" s="1" t="s">
        <v>337</v>
      </c>
      <c r="F850" s="1" t="s">
        <v>336</v>
      </c>
      <c r="G850" s="1">
        <v>0.0</v>
      </c>
      <c r="H850" s="2">
        <v>0.1326388888888889</v>
      </c>
    </row>
    <row r="851">
      <c r="A851" s="1" t="s">
        <v>662</v>
      </c>
      <c r="B851" s="1" t="s">
        <v>484</v>
      </c>
      <c r="C851" s="1">
        <v>50.0</v>
      </c>
      <c r="D851" s="1" t="s">
        <v>538</v>
      </c>
      <c r="E851" s="1" t="s">
        <v>539</v>
      </c>
      <c r="F851" s="1" t="s">
        <v>540</v>
      </c>
      <c r="G851" s="1">
        <v>1.0</v>
      </c>
      <c r="H851" s="2">
        <v>0.15</v>
      </c>
    </row>
    <row r="852">
      <c r="A852" s="1" t="s">
        <v>665</v>
      </c>
      <c r="B852" s="1" t="s">
        <v>250</v>
      </c>
      <c r="C852" s="1">
        <v>1.0</v>
      </c>
      <c r="D852" s="1" t="s">
        <v>666</v>
      </c>
      <c r="E852" s="1" t="s">
        <v>667</v>
      </c>
      <c r="F852" s="1" t="s">
        <v>666</v>
      </c>
      <c r="G852" s="1">
        <v>0.0</v>
      </c>
      <c r="H852" s="2">
        <v>0.10833333333333334</v>
      </c>
    </row>
    <row r="853">
      <c r="A853" s="1" t="s">
        <v>665</v>
      </c>
      <c r="B853" s="1" t="s">
        <v>250</v>
      </c>
      <c r="C853" s="1">
        <v>2.0</v>
      </c>
      <c r="D853" s="1" t="s">
        <v>11</v>
      </c>
      <c r="E853" s="1" t="s">
        <v>12</v>
      </c>
      <c r="F853" s="1" t="s">
        <v>13</v>
      </c>
      <c r="G853" s="1">
        <v>0.0</v>
      </c>
      <c r="H853" s="2">
        <v>0.1388888888888889</v>
      </c>
    </row>
    <row r="854">
      <c r="A854" s="1" t="s">
        <v>665</v>
      </c>
      <c r="B854" s="1" t="s">
        <v>250</v>
      </c>
      <c r="C854" s="1">
        <v>3.0</v>
      </c>
      <c r="D854" s="1" t="s">
        <v>17</v>
      </c>
      <c r="E854" s="1" t="s">
        <v>18</v>
      </c>
      <c r="F854" s="1" t="s">
        <v>19</v>
      </c>
      <c r="G854" s="1">
        <v>1.0</v>
      </c>
      <c r="H854" s="2">
        <v>0.12222222222222222</v>
      </c>
    </row>
    <row r="855">
      <c r="A855" s="1" t="s">
        <v>665</v>
      </c>
      <c r="B855" s="1" t="s">
        <v>250</v>
      </c>
      <c r="C855" s="1">
        <v>4.0</v>
      </c>
      <c r="D855" s="1" t="s">
        <v>9</v>
      </c>
      <c r="E855" s="1" t="s">
        <v>10</v>
      </c>
      <c r="F855" s="1" t="s">
        <v>9</v>
      </c>
      <c r="G855" s="1">
        <v>0.0</v>
      </c>
      <c r="H855" s="2">
        <v>0.12638888888888888</v>
      </c>
    </row>
    <row r="856">
      <c r="A856" s="1" t="s">
        <v>665</v>
      </c>
      <c r="B856" s="1" t="s">
        <v>250</v>
      </c>
      <c r="C856" s="1">
        <v>5.0</v>
      </c>
      <c r="D856" s="1" t="s">
        <v>14</v>
      </c>
      <c r="E856" s="1" t="s">
        <v>15</v>
      </c>
      <c r="F856" s="1" t="s">
        <v>16</v>
      </c>
      <c r="G856" s="1">
        <v>1.0</v>
      </c>
      <c r="H856" s="2">
        <v>0.12569444444444444</v>
      </c>
    </row>
    <row r="857">
      <c r="A857" s="1" t="s">
        <v>665</v>
      </c>
      <c r="B857" s="1" t="s">
        <v>250</v>
      </c>
      <c r="C857" s="1">
        <v>6.0</v>
      </c>
      <c r="D857" s="1" t="s">
        <v>668</v>
      </c>
      <c r="E857" s="1" t="s">
        <v>669</v>
      </c>
      <c r="F857" s="1" t="s">
        <v>668</v>
      </c>
      <c r="G857" s="1">
        <v>0.0</v>
      </c>
      <c r="H857" s="2">
        <v>0.10625</v>
      </c>
    </row>
    <row r="858">
      <c r="A858" s="1" t="s">
        <v>665</v>
      </c>
      <c r="B858" s="1" t="s">
        <v>250</v>
      </c>
      <c r="C858" s="1">
        <v>7.0</v>
      </c>
      <c r="D858" s="1" t="s">
        <v>36</v>
      </c>
      <c r="E858" s="1" t="s">
        <v>37</v>
      </c>
      <c r="F858" s="1" t="s">
        <v>36</v>
      </c>
      <c r="G858" s="1">
        <v>1.0</v>
      </c>
      <c r="H858" s="2">
        <v>0.09166666666666666</v>
      </c>
    </row>
    <row r="859">
      <c r="A859" s="1" t="s">
        <v>665</v>
      </c>
      <c r="B859" s="1" t="s">
        <v>250</v>
      </c>
      <c r="C859" s="1">
        <v>8.0</v>
      </c>
      <c r="D859" s="1" t="s">
        <v>670</v>
      </c>
      <c r="E859" s="1" t="s">
        <v>671</v>
      </c>
      <c r="F859" s="1" t="s">
        <v>670</v>
      </c>
      <c r="G859" s="1">
        <v>0.0</v>
      </c>
      <c r="H859" s="2">
        <v>0.14583333333333334</v>
      </c>
    </row>
    <row r="860">
      <c r="A860" s="1" t="s">
        <v>665</v>
      </c>
      <c r="B860" s="1" t="s">
        <v>250</v>
      </c>
      <c r="C860" s="1">
        <v>9.0</v>
      </c>
      <c r="D860" s="1" t="s">
        <v>44</v>
      </c>
      <c r="E860" s="1" t="s">
        <v>45</v>
      </c>
      <c r="F860" s="1" t="s">
        <v>44</v>
      </c>
      <c r="G860" s="1">
        <v>0.0</v>
      </c>
      <c r="H860" s="2">
        <v>0.12222222222222222</v>
      </c>
    </row>
    <row r="861">
      <c r="A861" s="1" t="s">
        <v>665</v>
      </c>
      <c r="B861" s="1" t="s">
        <v>250</v>
      </c>
      <c r="C861" s="1">
        <v>10.0</v>
      </c>
      <c r="D861" s="1" t="s">
        <v>672</v>
      </c>
      <c r="E861" s="1" t="s">
        <v>673</v>
      </c>
      <c r="F861" s="1" t="s">
        <v>672</v>
      </c>
      <c r="G861" s="1">
        <v>0.0</v>
      </c>
      <c r="H861" s="2">
        <v>0.13472222222222222</v>
      </c>
    </row>
    <row r="862">
      <c r="A862" s="1" t="s">
        <v>665</v>
      </c>
      <c r="B862" s="1" t="s">
        <v>250</v>
      </c>
      <c r="C862" s="1">
        <v>11.0</v>
      </c>
      <c r="D862" s="1" t="s">
        <v>674</v>
      </c>
      <c r="E862" s="1" t="s">
        <v>675</v>
      </c>
      <c r="F862" s="1" t="s">
        <v>674</v>
      </c>
      <c r="G862" s="1">
        <v>0.0</v>
      </c>
      <c r="H862" s="2">
        <v>0.14791666666666667</v>
      </c>
    </row>
    <row r="863">
      <c r="A863" s="1" t="s">
        <v>665</v>
      </c>
      <c r="B863" s="1" t="s">
        <v>250</v>
      </c>
      <c r="C863" s="1">
        <v>12.0</v>
      </c>
      <c r="D863" s="1" t="s">
        <v>23</v>
      </c>
      <c r="E863" s="1" t="s">
        <v>24</v>
      </c>
      <c r="F863" s="1" t="s">
        <v>23</v>
      </c>
      <c r="G863" s="1">
        <v>0.0</v>
      </c>
      <c r="H863" s="2">
        <v>0.12013888888888889</v>
      </c>
    </row>
    <row r="864">
      <c r="A864" s="1" t="s">
        <v>665</v>
      </c>
      <c r="B864" s="1" t="s">
        <v>250</v>
      </c>
      <c r="C864" s="1">
        <v>13.0</v>
      </c>
      <c r="D864" s="1" t="s">
        <v>20</v>
      </c>
      <c r="E864" s="1" t="s">
        <v>21</v>
      </c>
      <c r="F864" s="1" t="s">
        <v>22</v>
      </c>
      <c r="G864" s="1">
        <v>1.0</v>
      </c>
      <c r="H864" s="2">
        <v>0.17152777777777778</v>
      </c>
    </row>
    <row r="865">
      <c r="A865" s="1" t="s">
        <v>665</v>
      </c>
      <c r="B865" s="1" t="s">
        <v>250</v>
      </c>
      <c r="C865" s="1">
        <v>14.0</v>
      </c>
      <c r="D865" s="1" t="s">
        <v>25</v>
      </c>
      <c r="E865" s="1" t="s">
        <v>26</v>
      </c>
      <c r="F865" s="1" t="s">
        <v>25</v>
      </c>
      <c r="G865" s="1">
        <v>1.0</v>
      </c>
      <c r="H865" s="2">
        <v>0.11458333333333333</v>
      </c>
    </row>
    <row r="866">
      <c r="A866" s="1" t="s">
        <v>665</v>
      </c>
      <c r="B866" s="1" t="s">
        <v>250</v>
      </c>
      <c r="C866" s="1">
        <v>15.0</v>
      </c>
      <c r="D866" s="1" t="s">
        <v>53</v>
      </c>
      <c r="E866" s="1" t="s">
        <v>12</v>
      </c>
      <c r="F866" s="1" t="s">
        <v>13</v>
      </c>
      <c r="G866" s="1">
        <v>1.0</v>
      </c>
      <c r="H866" s="2">
        <v>0.16458333333333333</v>
      </c>
    </row>
    <row r="867">
      <c r="A867" s="1" t="s">
        <v>665</v>
      </c>
      <c r="B867" s="1" t="s">
        <v>250</v>
      </c>
      <c r="C867" s="1">
        <v>16.0</v>
      </c>
      <c r="D867" s="1" t="s">
        <v>105</v>
      </c>
      <c r="E867" s="1" t="s">
        <v>106</v>
      </c>
      <c r="F867" s="1" t="s">
        <v>105</v>
      </c>
      <c r="G867" s="1">
        <v>0.0</v>
      </c>
      <c r="H867" s="2">
        <v>0.11527777777777778</v>
      </c>
    </row>
    <row r="868">
      <c r="A868" s="1" t="s">
        <v>665</v>
      </c>
      <c r="B868" s="1" t="s">
        <v>250</v>
      </c>
      <c r="C868" s="1">
        <v>17.0</v>
      </c>
      <c r="D868" s="1" t="s">
        <v>38</v>
      </c>
      <c r="E868" s="1" t="s">
        <v>39</v>
      </c>
      <c r="F868" s="1" t="s">
        <v>40</v>
      </c>
      <c r="G868" s="1">
        <v>1.0</v>
      </c>
      <c r="H868" s="2">
        <v>0.1125</v>
      </c>
    </row>
    <row r="869">
      <c r="A869" s="1" t="s">
        <v>665</v>
      </c>
      <c r="B869" s="1" t="s">
        <v>250</v>
      </c>
      <c r="C869" s="1">
        <v>18.0</v>
      </c>
      <c r="D869" s="1" t="s">
        <v>47</v>
      </c>
      <c r="E869" s="1" t="s">
        <v>48</v>
      </c>
      <c r="F869" s="1" t="s">
        <v>49</v>
      </c>
      <c r="G869" s="1">
        <v>1.0</v>
      </c>
      <c r="H869" s="2">
        <v>0.15486111111111112</v>
      </c>
    </row>
    <row r="870">
      <c r="A870" s="1" t="s">
        <v>665</v>
      </c>
      <c r="B870" s="1" t="s">
        <v>250</v>
      </c>
      <c r="C870" s="1">
        <v>19.0</v>
      </c>
      <c r="D870" s="1" t="s">
        <v>27</v>
      </c>
      <c r="E870" s="1" t="s">
        <v>28</v>
      </c>
      <c r="F870" s="1" t="s">
        <v>29</v>
      </c>
      <c r="G870" s="1">
        <v>0.0</v>
      </c>
      <c r="H870" s="2">
        <v>0.12708333333333333</v>
      </c>
    </row>
    <row r="871">
      <c r="A871" s="1" t="s">
        <v>665</v>
      </c>
      <c r="B871" s="1" t="s">
        <v>250</v>
      </c>
      <c r="C871" s="1">
        <v>20.0</v>
      </c>
      <c r="D871" s="1" t="s">
        <v>80</v>
      </c>
      <c r="E871" s="1" t="s">
        <v>81</v>
      </c>
      <c r="F871" s="1" t="s">
        <v>82</v>
      </c>
      <c r="G871" s="1">
        <v>0.0</v>
      </c>
      <c r="H871" s="2">
        <v>0.12083333333333333</v>
      </c>
    </row>
    <row r="872">
      <c r="A872" s="1" t="s">
        <v>665</v>
      </c>
      <c r="B872" s="1" t="s">
        <v>250</v>
      </c>
      <c r="C872" s="1">
        <v>21.0</v>
      </c>
      <c r="D872" s="1" t="s">
        <v>41</v>
      </c>
      <c r="E872" s="1" t="s">
        <v>42</v>
      </c>
      <c r="F872" s="1" t="s">
        <v>43</v>
      </c>
      <c r="G872" s="1">
        <v>1.0</v>
      </c>
      <c r="H872" s="2">
        <v>0.1361111111111111</v>
      </c>
    </row>
    <row r="873">
      <c r="A873" s="1" t="s">
        <v>665</v>
      </c>
      <c r="B873" s="1" t="s">
        <v>250</v>
      </c>
      <c r="C873" s="1">
        <v>22.0</v>
      </c>
      <c r="D873" s="1" t="s">
        <v>46</v>
      </c>
      <c r="E873" s="1" t="s">
        <v>28</v>
      </c>
      <c r="F873" s="1" t="s">
        <v>29</v>
      </c>
      <c r="G873" s="1">
        <v>0.0</v>
      </c>
      <c r="H873" s="2">
        <v>0.15347222222222223</v>
      </c>
    </row>
    <row r="874">
      <c r="A874" s="1" t="s">
        <v>665</v>
      </c>
      <c r="B874" s="1" t="s">
        <v>250</v>
      </c>
      <c r="C874" s="1">
        <v>23.0</v>
      </c>
      <c r="D874" s="1" t="s">
        <v>91</v>
      </c>
      <c r="E874" s="1" t="s">
        <v>58</v>
      </c>
      <c r="F874" s="1" t="s">
        <v>91</v>
      </c>
      <c r="G874" s="1">
        <v>0.0</v>
      </c>
      <c r="H874" s="2">
        <v>0.09305555555555556</v>
      </c>
    </row>
    <row r="875">
      <c r="A875" s="1" t="s">
        <v>665</v>
      </c>
      <c r="B875" s="1" t="s">
        <v>250</v>
      </c>
      <c r="C875" s="1">
        <v>24.0</v>
      </c>
      <c r="D875" s="1" t="s">
        <v>30</v>
      </c>
      <c r="E875" s="1" t="s">
        <v>31</v>
      </c>
      <c r="F875" s="1" t="s">
        <v>32</v>
      </c>
      <c r="G875" s="1">
        <v>0.0</v>
      </c>
      <c r="H875" s="2">
        <v>0.15833333333333333</v>
      </c>
    </row>
    <row r="876">
      <c r="A876" s="1" t="s">
        <v>665</v>
      </c>
      <c r="B876" s="1" t="s">
        <v>250</v>
      </c>
      <c r="C876" s="1">
        <v>25.0</v>
      </c>
      <c r="D876" s="1" t="s">
        <v>60</v>
      </c>
      <c r="E876" s="1" t="s">
        <v>61</v>
      </c>
      <c r="F876" s="1" t="s">
        <v>62</v>
      </c>
      <c r="G876" s="1">
        <v>0.0</v>
      </c>
      <c r="H876" s="2">
        <v>0.11041666666666666</v>
      </c>
    </row>
    <row r="877">
      <c r="A877" s="1" t="s">
        <v>665</v>
      </c>
      <c r="B877" s="1" t="s">
        <v>250</v>
      </c>
      <c r="C877" s="1">
        <v>26.0</v>
      </c>
      <c r="D877" s="1" t="s">
        <v>99</v>
      </c>
      <c r="E877" s="1" t="s">
        <v>100</v>
      </c>
      <c r="F877" s="1" t="s">
        <v>99</v>
      </c>
      <c r="G877" s="1">
        <v>0.0</v>
      </c>
      <c r="H877" s="2">
        <v>0.11944444444444445</v>
      </c>
    </row>
    <row r="878">
      <c r="A878" s="1" t="s">
        <v>665</v>
      </c>
      <c r="B878" s="1" t="s">
        <v>250</v>
      </c>
      <c r="C878" s="1">
        <v>27.0</v>
      </c>
      <c r="D878" s="1" t="s">
        <v>124</v>
      </c>
      <c r="E878" s="1" t="s">
        <v>125</v>
      </c>
      <c r="F878" s="1" t="s">
        <v>126</v>
      </c>
      <c r="G878" s="1">
        <v>1.0</v>
      </c>
      <c r="H878" s="2">
        <v>0.15625</v>
      </c>
    </row>
    <row r="879">
      <c r="A879" s="1" t="s">
        <v>665</v>
      </c>
      <c r="B879" s="1" t="s">
        <v>250</v>
      </c>
      <c r="C879" s="1">
        <v>28.0</v>
      </c>
      <c r="D879" s="1" t="s">
        <v>676</v>
      </c>
      <c r="E879" s="1" t="s">
        <v>677</v>
      </c>
      <c r="F879" s="1" t="s">
        <v>676</v>
      </c>
      <c r="G879" s="1">
        <v>0.0</v>
      </c>
      <c r="H879" s="2">
        <v>0.1597222222222222</v>
      </c>
    </row>
    <row r="880">
      <c r="A880" s="1" t="s">
        <v>665</v>
      </c>
      <c r="B880" s="1" t="s">
        <v>250</v>
      </c>
      <c r="C880" s="1">
        <v>29.0</v>
      </c>
      <c r="D880" s="1" t="s">
        <v>678</v>
      </c>
      <c r="E880" s="1" t="s">
        <v>679</v>
      </c>
      <c r="F880" s="1" t="s">
        <v>680</v>
      </c>
      <c r="G880" s="1">
        <v>0.0</v>
      </c>
      <c r="H880" s="2">
        <v>0.11180555555555556</v>
      </c>
    </row>
    <row r="881">
      <c r="A881" s="1" t="s">
        <v>665</v>
      </c>
      <c r="B881" s="1" t="s">
        <v>250</v>
      </c>
      <c r="C881" s="1">
        <v>30.0</v>
      </c>
      <c r="D881" s="1" t="s">
        <v>57</v>
      </c>
      <c r="E881" s="1" t="s">
        <v>58</v>
      </c>
      <c r="F881" s="1" t="s">
        <v>59</v>
      </c>
      <c r="G881" s="1">
        <v>1.0</v>
      </c>
      <c r="H881" s="2">
        <v>0.16458333333333333</v>
      </c>
    </row>
    <row r="882">
      <c r="A882" s="1" t="s">
        <v>665</v>
      </c>
      <c r="B882" s="1" t="s">
        <v>250</v>
      </c>
      <c r="C882" s="1">
        <v>31.0</v>
      </c>
      <c r="D882" s="1" t="s">
        <v>54</v>
      </c>
      <c r="E882" s="1" t="s">
        <v>55</v>
      </c>
      <c r="F882" s="1" t="s">
        <v>56</v>
      </c>
      <c r="G882" s="1">
        <v>0.0</v>
      </c>
      <c r="H882" s="2">
        <v>0.10972222222222222</v>
      </c>
    </row>
    <row r="883">
      <c r="A883" s="1" t="s">
        <v>665</v>
      </c>
      <c r="B883" s="1" t="s">
        <v>250</v>
      </c>
      <c r="C883" s="1">
        <v>32.0</v>
      </c>
      <c r="D883" s="1" t="s">
        <v>681</v>
      </c>
      <c r="E883" s="1" t="s">
        <v>682</v>
      </c>
      <c r="F883" s="1" t="s">
        <v>681</v>
      </c>
      <c r="G883" s="1">
        <v>0.0</v>
      </c>
      <c r="H883" s="2">
        <v>0.1388888888888889</v>
      </c>
    </row>
    <row r="884">
      <c r="A884" s="1" t="s">
        <v>665</v>
      </c>
      <c r="B884" s="1" t="s">
        <v>250</v>
      </c>
      <c r="C884" s="1">
        <v>33.0</v>
      </c>
      <c r="D884" s="1" t="s">
        <v>88</v>
      </c>
      <c r="E884" s="1" t="s">
        <v>89</v>
      </c>
      <c r="F884" s="1" t="s">
        <v>90</v>
      </c>
      <c r="G884" s="1">
        <v>1.0</v>
      </c>
      <c r="H884" s="2">
        <v>0.09652777777777778</v>
      </c>
    </row>
    <row r="885">
      <c r="A885" s="1" t="s">
        <v>665</v>
      </c>
      <c r="B885" s="1" t="s">
        <v>250</v>
      </c>
      <c r="C885" s="1">
        <v>34.0</v>
      </c>
      <c r="D885" s="1" t="s">
        <v>73</v>
      </c>
      <c r="E885" s="1" t="s">
        <v>74</v>
      </c>
      <c r="F885" s="1" t="s">
        <v>75</v>
      </c>
      <c r="G885" s="1">
        <v>0.0</v>
      </c>
      <c r="H885" s="2">
        <v>0.14930555555555555</v>
      </c>
    </row>
    <row r="886">
      <c r="A886" s="1" t="s">
        <v>665</v>
      </c>
      <c r="B886" s="1" t="s">
        <v>250</v>
      </c>
      <c r="C886" s="1">
        <v>35.0</v>
      </c>
      <c r="D886" s="1" t="s">
        <v>96</v>
      </c>
      <c r="E886" s="1" t="s">
        <v>97</v>
      </c>
      <c r="F886" s="1" t="s">
        <v>98</v>
      </c>
      <c r="G886" s="1">
        <v>1.0</v>
      </c>
      <c r="H886" s="2">
        <v>0.12430555555555556</v>
      </c>
    </row>
    <row r="887">
      <c r="A887" s="1" t="s">
        <v>665</v>
      </c>
      <c r="B887" s="1" t="s">
        <v>250</v>
      </c>
      <c r="C887" s="1">
        <v>36.0</v>
      </c>
      <c r="D887" s="1" t="s">
        <v>683</v>
      </c>
      <c r="E887" s="1" t="s">
        <v>667</v>
      </c>
      <c r="F887" s="1" t="s">
        <v>684</v>
      </c>
      <c r="G887" s="1">
        <v>0.0</v>
      </c>
      <c r="H887" s="2">
        <v>0.13333333333333333</v>
      </c>
    </row>
    <row r="888">
      <c r="A888" s="1" t="s">
        <v>665</v>
      </c>
      <c r="B888" s="1" t="s">
        <v>250</v>
      </c>
      <c r="C888" s="1">
        <v>37.0</v>
      </c>
      <c r="D888" s="1" t="s">
        <v>33</v>
      </c>
      <c r="E888" s="1" t="s">
        <v>34</v>
      </c>
      <c r="F888" s="1" t="s">
        <v>35</v>
      </c>
      <c r="G888" s="1">
        <v>0.0</v>
      </c>
      <c r="H888" s="2">
        <v>0.1451388888888889</v>
      </c>
    </row>
    <row r="889">
      <c r="A889" s="1" t="s">
        <v>665</v>
      </c>
      <c r="B889" s="1" t="s">
        <v>250</v>
      </c>
      <c r="C889" s="1">
        <v>38.0</v>
      </c>
      <c r="D889" s="1" t="s">
        <v>78</v>
      </c>
      <c r="E889" s="1" t="s">
        <v>79</v>
      </c>
      <c r="F889" s="1" t="s">
        <v>78</v>
      </c>
      <c r="G889" s="1">
        <v>0.0</v>
      </c>
      <c r="H889" s="2">
        <v>0.10208333333333333</v>
      </c>
    </row>
    <row r="890">
      <c r="A890" s="1" t="s">
        <v>665</v>
      </c>
      <c r="B890" s="1" t="s">
        <v>250</v>
      </c>
      <c r="C890" s="1">
        <v>39.0</v>
      </c>
      <c r="D890" s="1" t="s">
        <v>685</v>
      </c>
      <c r="E890" s="1" t="s">
        <v>686</v>
      </c>
      <c r="F890" s="1" t="s">
        <v>685</v>
      </c>
      <c r="G890" s="1">
        <v>0.0</v>
      </c>
      <c r="H890" s="2">
        <v>0.1951388888888889</v>
      </c>
    </row>
    <row r="891">
      <c r="A891" s="1" t="s">
        <v>665</v>
      </c>
      <c r="B891" s="1" t="s">
        <v>250</v>
      </c>
      <c r="C891" s="1">
        <v>40.0</v>
      </c>
      <c r="D891" s="1" t="s">
        <v>92</v>
      </c>
      <c r="E891" s="1" t="s">
        <v>93</v>
      </c>
      <c r="F891" s="1" t="s">
        <v>92</v>
      </c>
      <c r="G891" s="1">
        <v>1.0</v>
      </c>
      <c r="H891" s="2">
        <v>0.11319444444444444</v>
      </c>
    </row>
    <row r="892">
      <c r="A892" s="1" t="s">
        <v>665</v>
      </c>
      <c r="B892" s="1" t="s">
        <v>250</v>
      </c>
      <c r="C892" s="1">
        <v>41.0</v>
      </c>
      <c r="D892" s="1" t="s">
        <v>107</v>
      </c>
      <c r="E892" s="1" t="s">
        <v>81</v>
      </c>
      <c r="F892" s="1" t="s">
        <v>82</v>
      </c>
      <c r="G892" s="1">
        <v>0.0</v>
      </c>
      <c r="H892" s="2">
        <v>0.14375</v>
      </c>
    </row>
    <row r="893">
      <c r="A893" s="1" t="s">
        <v>665</v>
      </c>
      <c r="B893" s="1" t="s">
        <v>250</v>
      </c>
      <c r="C893" s="1">
        <v>42.0</v>
      </c>
      <c r="D893" s="1" t="s">
        <v>687</v>
      </c>
      <c r="E893" s="1" t="s">
        <v>688</v>
      </c>
      <c r="F893" s="1" t="s">
        <v>687</v>
      </c>
      <c r="G893" s="1">
        <v>0.0</v>
      </c>
      <c r="H893" s="2">
        <v>0.19166666666666668</v>
      </c>
    </row>
    <row r="894">
      <c r="A894" s="1" t="s">
        <v>665</v>
      </c>
      <c r="B894" s="1" t="s">
        <v>250</v>
      </c>
      <c r="C894" s="1">
        <v>43.0</v>
      </c>
      <c r="D894" s="1" t="s">
        <v>101</v>
      </c>
      <c r="E894" s="1" t="s">
        <v>102</v>
      </c>
      <c r="F894" s="1" t="s">
        <v>103</v>
      </c>
      <c r="G894" s="1">
        <v>1.0</v>
      </c>
      <c r="H894" s="2">
        <v>0.16458333333333333</v>
      </c>
    </row>
    <row r="895">
      <c r="A895" s="1" t="s">
        <v>665</v>
      </c>
      <c r="B895" s="1" t="s">
        <v>250</v>
      </c>
      <c r="C895" s="1">
        <v>44.0</v>
      </c>
      <c r="D895" s="1" t="s">
        <v>312</v>
      </c>
      <c r="E895" s="1" t="s">
        <v>119</v>
      </c>
      <c r="F895" s="1" t="s">
        <v>312</v>
      </c>
      <c r="G895" s="1">
        <v>0.0</v>
      </c>
      <c r="H895" s="2">
        <v>0.1701388888888889</v>
      </c>
    </row>
    <row r="896">
      <c r="A896" s="1" t="s">
        <v>665</v>
      </c>
      <c r="B896" s="1" t="s">
        <v>250</v>
      </c>
      <c r="C896" s="1">
        <v>45.0</v>
      </c>
      <c r="D896" s="1" t="s">
        <v>50</v>
      </c>
      <c r="E896" s="1" t="s">
        <v>51</v>
      </c>
      <c r="F896" s="1" t="s">
        <v>52</v>
      </c>
      <c r="G896" s="1">
        <v>0.0</v>
      </c>
      <c r="H896" s="2">
        <v>0.14722222222222223</v>
      </c>
    </row>
    <row r="897">
      <c r="A897" s="1" t="s">
        <v>665</v>
      </c>
      <c r="B897" s="1" t="s">
        <v>250</v>
      </c>
      <c r="C897" s="1">
        <v>46.0</v>
      </c>
      <c r="D897" s="1" t="s">
        <v>83</v>
      </c>
      <c r="E897" s="1" t="s">
        <v>84</v>
      </c>
      <c r="F897" s="1" t="s">
        <v>85</v>
      </c>
      <c r="G897" s="1">
        <v>1.0</v>
      </c>
      <c r="H897" s="2">
        <v>0.16875</v>
      </c>
    </row>
    <row r="898">
      <c r="A898" s="1" t="s">
        <v>665</v>
      </c>
      <c r="B898" s="1" t="s">
        <v>250</v>
      </c>
      <c r="C898" s="1">
        <v>47.0</v>
      </c>
      <c r="D898" s="1" t="s">
        <v>689</v>
      </c>
      <c r="E898" s="1" t="s">
        <v>690</v>
      </c>
      <c r="F898" s="1" t="s">
        <v>691</v>
      </c>
      <c r="G898" s="1">
        <v>0.0</v>
      </c>
      <c r="H898" s="2">
        <v>0.13055555555555556</v>
      </c>
    </row>
    <row r="899">
      <c r="A899" s="1" t="s">
        <v>665</v>
      </c>
      <c r="B899" s="1" t="s">
        <v>250</v>
      </c>
      <c r="C899" s="1">
        <v>48.0</v>
      </c>
      <c r="D899" s="1" t="s">
        <v>231</v>
      </c>
      <c r="E899" s="1" t="s">
        <v>232</v>
      </c>
      <c r="F899" s="1" t="s">
        <v>231</v>
      </c>
      <c r="G899" s="1">
        <v>0.0</v>
      </c>
      <c r="H899" s="2">
        <v>0.10902777777777778</v>
      </c>
    </row>
    <row r="900">
      <c r="A900" s="1" t="s">
        <v>665</v>
      </c>
      <c r="B900" s="1" t="s">
        <v>250</v>
      </c>
      <c r="C900" s="1">
        <v>49.0</v>
      </c>
      <c r="D900" s="1" t="s">
        <v>76</v>
      </c>
      <c r="E900" s="1" t="s">
        <v>77</v>
      </c>
      <c r="F900" s="1" t="s">
        <v>76</v>
      </c>
      <c r="G900" s="1">
        <v>1.0</v>
      </c>
      <c r="H900" s="2">
        <v>0.14305555555555555</v>
      </c>
    </row>
    <row r="901">
      <c r="A901" s="1" t="s">
        <v>665</v>
      </c>
      <c r="B901" s="1" t="s">
        <v>250</v>
      </c>
      <c r="C901" s="1">
        <v>50.0</v>
      </c>
      <c r="D901" s="1" t="s">
        <v>104</v>
      </c>
      <c r="E901" s="1" t="s">
        <v>84</v>
      </c>
      <c r="F901" s="1" t="s">
        <v>104</v>
      </c>
      <c r="G901" s="1">
        <v>1.0</v>
      </c>
      <c r="H901" s="2">
        <v>0.12152777777777778</v>
      </c>
    </row>
    <row r="902">
      <c r="A902" s="1" t="s">
        <v>692</v>
      </c>
      <c r="B902" s="1" t="s">
        <v>250</v>
      </c>
      <c r="C902" s="1">
        <v>1.0</v>
      </c>
      <c r="D902" s="1" t="s">
        <v>693</v>
      </c>
      <c r="E902" s="1" t="s">
        <v>694</v>
      </c>
      <c r="F902" s="1" t="s">
        <v>693</v>
      </c>
      <c r="G902" s="1">
        <v>0.0</v>
      </c>
      <c r="H902" s="2">
        <v>0.15416666666666667</v>
      </c>
    </row>
    <row r="903">
      <c r="A903" s="1" t="s">
        <v>692</v>
      </c>
      <c r="B903" s="1" t="s">
        <v>250</v>
      </c>
      <c r="C903" s="1">
        <v>2.0</v>
      </c>
      <c r="D903" s="1" t="s">
        <v>11</v>
      </c>
      <c r="E903" s="1" t="s">
        <v>12</v>
      </c>
      <c r="F903" s="1" t="s">
        <v>13</v>
      </c>
      <c r="G903" s="1">
        <v>0.0</v>
      </c>
      <c r="H903" s="2">
        <v>0.1388888888888889</v>
      </c>
    </row>
    <row r="904">
      <c r="A904" s="1" t="s">
        <v>692</v>
      </c>
      <c r="B904" s="1" t="s">
        <v>250</v>
      </c>
      <c r="C904" s="1">
        <v>3.0</v>
      </c>
      <c r="D904" s="1" t="s">
        <v>695</v>
      </c>
      <c r="E904" s="1" t="s">
        <v>696</v>
      </c>
      <c r="F904" s="1" t="s">
        <v>695</v>
      </c>
      <c r="G904" s="1">
        <v>0.0</v>
      </c>
      <c r="H904" s="2">
        <v>0.12708333333333333</v>
      </c>
    </row>
    <row r="905">
      <c r="A905" s="1" t="s">
        <v>692</v>
      </c>
      <c r="B905" s="1" t="s">
        <v>250</v>
      </c>
      <c r="C905" s="1">
        <v>4.0</v>
      </c>
      <c r="D905" s="1" t="s">
        <v>36</v>
      </c>
      <c r="E905" s="1" t="s">
        <v>37</v>
      </c>
      <c r="F905" s="1" t="s">
        <v>36</v>
      </c>
      <c r="G905" s="1">
        <v>1.0</v>
      </c>
      <c r="H905" s="2">
        <v>0.09166666666666666</v>
      </c>
    </row>
    <row r="906">
      <c r="A906" s="1" t="s">
        <v>692</v>
      </c>
      <c r="B906" s="1" t="s">
        <v>250</v>
      </c>
      <c r="C906" s="1">
        <v>5.0</v>
      </c>
      <c r="D906" s="1" t="s">
        <v>697</v>
      </c>
      <c r="E906" s="1" t="s">
        <v>698</v>
      </c>
      <c r="F906" s="1" t="s">
        <v>697</v>
      </c>
      <c r="G906" s="1">
        <v>0.0</v>
      </c>
      <c r="H906" s="2">
        <v>0.10555555555555556</v>
      </c>
    </row>
    <row r="907">
      <c r="A907" s="1" t="s">
        <v>692</v>
      </c>
      <c r="B907" s="1" t="s">
        <v>250</v>
      </c>
      <c r="C907" s="1">
        <v>6.0</v>
      </c>
      <c r="D907" s="1" t="s">
        <v>699</v>
      </c>
      <c r="E907" s="1" t="s">
        <v>700</v>
      </c>
      <c r="F907" s="1" t="s">
        <v>701</v>
      </c>
      <c r="G907" s="1">
        <v>1.0</v>
      </c>
      <c r="H907" s="2">
        <v>0.12638888888888888</v>
      </c>
    </row>
    <row r="908">
      <c r="A908" s="1" t="s">
        <v>692</v>
      </c>
      <c r="B908" s="1" t="s">
        <v>250</v>
      </c>
      <c r="C908" s="1">
        <v>7.0</v>
      </c>
      <c r="D908" s="1" t="s">
        <v>702</v>
      </c>
      <c r="E908" s="1" t="s">
        <v>703</v>
      </c>
      <c r="F908" s="1" t="s">
        <v>702</v>
      </c>
      <c r="G908" s="1">
        <v>0.0</v>
      </c>
      <c r="H908" s="2">
        <v>0.15208333333333332</v>
      </c>
    </row>
    <row r="909">
      <c r="A909" s="1" t="s">
        <v>692</v>
      </c>
      <c r="B909" s="1" t="s">
        <v>250</v>
      </c>
      <c r="C909" s="1">
        <v>8.0</v>
      </c>
      <c r="D909" s="1" t="s">
        <v>704</v>
      </c>
      <c r="E909" s="1" t="s">
        <v>705</v>
      </c>
      <c r="F909" s="1" t="s">
        <v>704</v>
      </c>
      <c r="G909" s="1">
        <v>0.0</v>
      </c>
      <c r="H909" s="2">
        <v>0.13541666666666666</v>
      </c>
    </row>
    <row r="910">
      <c r="A910" s="1" t="s">
        <v>692</v>
      </c>
      <c r="B910" s="1" t="s">
        <v>250</v>
      </c>
      <c r="C910" s="1">
        <v>9.0</v>
      </c>
      <c r="D910" s="1" t="s">
        <v>14</v>
      </c>
      <c r="E910" s="1" t="s">
        <v>15</v>
      </c>
      <c r="F910" s="1" t="s">
        <v>16</v>
      </c>
      <c r="G910" s="1">
        <v>1.0</v>
      </c>
      <c r="H910" s="2">
        <v>0.12569444444444444</v>
      </c>
    </row>
    <row r="911">
      <c r="A911" s="1" t="s">
        <v>692</v>
      </c>
      <c r="B911" s="1" t="s">
        <v>250</v>
      </c>
      <c r="C911" s="1">
        <v>10.0</v>
      </c>
      <c r="D911" s="1" t="s">
        <v>9</v>
      </c>
      <c r="E911" s="1" t="s">
        <v>10</v>
      </c>
      <c r="F911" s="1" t="s">
        <v>9</v>
      </c>
      <c r="G911" s="1">
        <v>0.0</v>
      </c>
      <c r="H911" s="2">
        <v>0.12638888888888888</v>
      </c>
    </row>
    <row r="912">
      <c r="A912" s="1" t="s">
        <v>692</v>
      </c>
      <c r="B912" s="1" t="s">
        <v>250</v>
      </c>
      <c r="C912" s="1">
        <v>11.0</v>
      </c>
      <c r="D912" s="3">
        <v>1.0</v>
      </c>
      <c r="E912" s="1" t="s">
        <v>706</v>
      </c>
      <c r="F912" s="3">
        <v>1.0</v>
      </c>
      <c r="G912" s="1">
        <v>0.0</v>
      </c>
      <c r="H912" s="2">
        <v>0.14097222222222222</v>
      </c>
    </row>
    <row r="913">
      <c r="A913" s="1" t="s">
        <v>692</v>
      </c>
      <c r="B913" s="1" t="s">
        <v>250</v>
      </c>
      <c r="C913" s="1">
        <v>12.0</v>
      </c>
      <c r="D913" s="1" t="s">
        <v>17</v>
      </c>
      <c r="E913" s="1" t="s">
        <v>18</v>
      </c>
      <c r="F913" s="1" t="s">
        <v>19</v>
      </c>
      <c r="G913" s="1">
        <v>1.0</v>
      </c>
      <c r="H913" s="2">
        <v>0.12222222222222222</v>
      </c>
    </row>
    <row r="914">
      <c r="A914" s="1" t="s">
        <v>692</v>
      </c>
      <c r="B914" s="1" t="s">
        <v>250</v>
      </c>
      <c r="C914" s="1">
        <v>13.0</v>
      </c>
      <c r="D914" s="1" t="s">
        <v>707</v>
      </c>
      <c r="E914" s="1" t="s">
        <v>708</v>
      </c>
      <c r="F914" s="1" t="s">
        <v>707</v>
      </c>
      <c r="G914" s="1">
        <v>0.0</v>
      </c>
      <c r="H914" s="2">
        <v>0.14652777777777778</v>
      </c>
    </row>
    <row r="915">
      <c r="A915" s="1" t="s">
        <v>692</v>
      </c>
      <c r="B915" s="1" t="s">
        <v>250</v>
      </c>
      <c r="C915" s="1">
        <v>14.0</v>
      </c>
      <c r="D915" s="1">
        <v>100.0</v>
      </c>
      <c r="E915" s="1" t="s">
        <v>709</v>
      </c>
      <c r="F915" s="1">
        <v>100.0</v>
      </c>
      <c r="G915" s="1">
        <v>0.0</v>
      </c>
      <c r="H915" s="2">
        <v>0.11597222222222223</v>
      </c>
    </row>
    <row r="916">
      <c r="A916" s="1" t="s">
        <v>692</v>
      </c>
      <c r="B916" s="1" t="s">
        <v>250</v>
      </c>
      <c r="C916" s="1">
        <v>15.0</v>
      </c>
      <c r="D916" s="1" t="s">
        <v>91</v>
      </c>
      <c r="E916" s="1" t="s">
        <v>58</v>
      </c>
      <c r="F916" s="1" t="s">
        <v>91</v>
      </c>
      <c r="G916" s="1">
        <v>0.0</v>
      </c>
      <c r="H916" s="2">
        <v>0.09305555555555556</v>
      </c>
    </row>
    <row r="917">
      <c r="A917" s="1" t="s">
        <v>692</v>
      </c>
      <c r="B917" s="1" t="s">
        <v>250</v>
      </c>
      <c r="C917" s="1">
        <v>16.0</v>
      </c>
      <c r="D917" s="1" t="s">
        <v>710</v>
      </c>
      <c r="E917" s="1" t="s">
        <v>711</v>
      </c>
      <c r="F917" s="1" t="s">
        <v>710</v>
      </c>
      <c r="G917" s="1">
        <v>0.0</v>
      </c>
      <c r="H917" s="2">
        <v>0.1388888888888889</v>
      </c>
    </row>
    <row r="918">
      <c r="A918" s="1" t="s">
        <v>692</v>
      </c>
      <c r="B918" s="1" t="s">
        <v>250</v>
      </c>
      <c r="C918" s="1">
        <v>17.0</v>
      </c>
      <c r="D918" s="1" t="s">
        <v>25</v>
      </c>
      <c r="E918" s="1" t="s">
        <v>26</v>
      </c>
      <c r="F918" s="1" t="s">
        <v>25</v>
      </c>
      <c r="G918" s="1">
        <v>1.0</v>
      </c>
      <c r="H918" s="2">
        <v>0.11458333333333333</v>
      </c>
    </row>
    <row r="919">
      <c r="A919" s="1" t="s">
        <v>692</v>
      </c>
      <c r="B919" s="1" t="s">
        <v>250</v>
      </c>
      <c r="C919" s="1">
        <v>18.0</v>
      </c>
      <c r="D919" s="1" t="s">
        <v>105</v>
      </c>
      <c r="E919" s="1" t="s">
        <v>106</v>
      </c>
      <c r="F919" s="1" t="s">
        <v>105</v>
      </c>
      <c r="G919" s="1">
        <v>0.0</v>
      </c>
      <c r="H919" s="2">
        <v>0.11527777777777778</v>
      </c>
    </row>
    <row r="920">
      <c r="A920" s="1" t="s">
        <v>692</v>
      </c>
      <c r="B920" s="1" t="s">
        <v>250</v>
      </c>
      <c r="C920" s="1">
        <v>19.0</v>
      </c>
      <c r="D920" s="1" t="s">
        <v>274</v>
      </c>
      <c r="E920" s="1" t="s">
        <v>266</v>
      </c>
      <c r="F920" s="1" t="s">
        <v>274</v>
      </c>
      <c r="G920" s="1">
        <v>0.0</v>
      </c>
      <c r="H920" s="2">
        <v>0.1125</v>
      </c>
    </row>
    <row r="921">
      <c r="A921" s="1" t="s">
        <v>692</v>
      </c>
      <c r="B921" s="1" t="s">
        <v>250</v>
      </c>
      <c r="C921" s="1">
        <v>20.0</v>
      </c>
      <c r="D921" s="1" t="s">
        <v>712</v>
      </c>
      <c r="E921" s="1" t="s">
        <v>708</v>
      </c>
      <c r="F921" s="1" t="s">
        <v>712</v>
      </c>
      <c r="G921" s="1">
        <v>0.0</v>
      </c>
      <c r="H921" s="2">
        <v>0.14652777777777778</v>
      </c>
    </row>
    <row r="922">
      <c r="A922" s="1" t="s">
        <v>692</v>
      </c>
      <c r="B922" s="1" t="s">
        <v>250</v>
      </c>
      <c r="C922" s="1">
        <v>21.0</v>
      </c>
      <c r="D922" s="1" t="s">
        <v>713</v>
      </c>
      <c r="E922" s="1" t="s">
        <v>714</v>
      </c>
      <c r="F922" s="1" t="s">
        <v>713</v>
      </c>
      <c r="G922" s="1">
        <v>0.0</v>
      </c>
      <c r="H922" s="2">
        <v>0.13680555555555557</v>
      </c>
    </row>
    <row r="923">
      <c r="A923" s="1" t="s">
        <v>692</v>
      </c>
      <c r="B923" s="1" t="s">
        <v>250</v>
      </c>
      <c r="C923" s="1">
        <v>22.0</v>
      </c>
      <c r="D923" s="1" t="s">
        <v>715</v>
      </c>
      <c r="E923" s="1" t="s">
        <v>716</v>
      </c>
      <c r="F923" s="1" t="s">
        <v>717</v>
      </c>
      <c r="G923" s="1">
        <v>0.0</v>
      </c>
      <c r="H923" s="2">
        <v>0.12986111111111112</v>
      </c>
    </row>
    <row r="924">
      <c r="A924" s="1" t="s">
        <v>692</v>
      </c>
      <c r="B924" s="1" t="s">
        <v>250</v>
      </c>
      <c r="C924" s="1">
        <v>23.0</v>
      </c>
      <c r="D924" s="1" t="s">
        <v>46</v>
      </c>
      <c r="E924" s="1" t="s">
        <v>28</v>
      </c>
      <c r="F924" s="1" t="s">
        <v>29</v>
      </c>
      <c r="G924" s="1">
        <v>0.0</v>
      </c>
      <c r="H924" s="2">
        <v>0.15347222222222223</v>
      </c>
    </row>
    <row r="925">
      <c r="A925" s="1" t="s">
        <v>692</v>
      </c>
      <c r="B925" s="1" t="s">
        <v>250</v>
      </c>
      <c r="C925" s="1">
        <v>24.0</v>
      </c>
      <c r="D925" s="1" t="s">
        <v>718</v>
      </c>
      <c r="E925" s="1" t="s">
        <v>719</v>
      </c>
      <c r="F925" s="1" t="s">
        <v>718</v>
      </c>
      <c r="G925" s="1">
        <v>0.0</v>
      </c>
      <c r="H925" s="2">
        <v>0.13333333333333333</v>
      </c>
    </row>
    <row r="926">
      <c r="A926" s="1" t="s">
        <v>692</v>
      </c>
      <c r="B926" s="1" t="s">
        <v>250</v>
      </c>
      <c r="C926" s="1">
        <v>25.0</v>
      </c>
      <c r="D926" s="1" t="s">
        <v>38</v>
      </c>
      <c r="E926" s="1" t="s">
        <v>39</v>
      </c>
      <c r="F926" s="1" t="s">
        <v>40</v>
      </c>
      <c r="G926" s="1">
        <v>1.0</v>
      </c>
      <c r="H926" s="2">
        <v>0.1125</v>
      </c>
    </row>
    <row r="927">
      <c r="A927" s="1" t="s">
        <v>692</v>
      </c>
      <c r="B927" s="1" t="s">
        <v>250</v>
      </c>
      <c r="C927" s="1">
        <v>26.0</v>
      </c>
      <c r="D927" s="1" t="s">
        <v>720</v>
      </c>
      <c r="E927" s="1" t="s">
        <v>721</v>
      </c>
      <c r="F927" s="1" t="s">
        <v>720</v>
      </c>
      <c r="G927" s="1">
        <v>0.0</v>
      </c>
      <c r="H927" s="2">
        <v>0.10902777777777778</v>
      </c>
    </row>
    <row r="928">
      <c r="A928" s="1" t="s">
        <v>692</v>
      </c>
      <c r="B928" s="1" t="s">
        <v>250</v>
      </c>
      <c r="C928" s="1">
        <v>27.0</v>
      </c>
      <c r="D928" s="1" t="s">
        <v>47</v>
      </c>
      <c r="E928" s="1" t="s">
        <v>48</v>
      </c>
      <c r="F928" s="1" t="s">
        <v>49</v>
      </c>
      <c r="G928" s="1">
        <v>1.0</v>
      </c>
      <c r="H928" s="2">
        <v>0.15486111111111112</v>
      </c>
    </row>
    <row r="929">
      <c r="A929" s="1" t="s">
        <v>692</v>
      </c>
      <c r="B929" s="1" t="s">
        <v>250</v>
      </c>
      <c r="C929" s="1">
        <v>28.0</v>
      </c>
      <c r="D929" s="1" t="s">
        <v>722</v>
      </c>
      <c r="E929" s="1" t="s">
        <v>723</v>
      </c>
      <c r="F929" s="1" t="s">
        <v>724</v>
      </c>
      <c r="G929" s="1">
        <v>0.0</v>
      </c>
      <c r="H929" s="2">
        <v>0.12638888888888888</v>
      </c>
    </row>
    <row r="930">
      <c r="A930" s="1" t="s">
        <v>692</v>
      </c>
      <c r="B930" s="1" t="s">
        <v>250</v>
      </c>
      <c r="C930" s="1">
        <v>29.0</v>
      </c>
      <c r="D930" s="1" t="s">
        <v>30</v>
      </c>
      <c r="E930" s="1" t="s">
        <v>31</v>
      </c>
      <c r="F930" s="1" t="s">
        <v>32</v>
      </c>
      <c r="G930" s="1">
        <v>0.0</v>
      </c>
      <c r="H930" s="2">
        <v>0.15833333333333333</v>
      </c>
    </row>
    <row r="931">
      <c r="A931" s="1" t="s">
        <v>692</v>
      </c>
      <c r="B931" s="1" t="s">
        <v>250</v>
      </c>
      <c r="C931" s="1">
        <v>30.0</v>
      </c>
      <c r="D931" s="1" t="s">
        <v>53</v>
      </c>
      <c r="E931" s="1" t="s">
        <v>12</v>
      </c>
      <c r="F931" s="1" t="s">
        <v>13</v>
      </c>
      <c r="G931" s="1">
        <v>1.0</v>
      </c>
      <c r="H931" s="2">
        <v>0.16458333333333333</v>
      </c>
    </row>
    <row r="932">
      <c r="A932" s="1" t="s">
        <v>692</v>
      </c>
      <c r="B932" s="1" t="s">
        <v>250</v>
      </c>
      <c r="C932" s="1">
        <v>31.0</v>
      </c>
      <c r="D932" s="1" t="s">
        <v>725</v>
      </c>
      <c r="E932" s="1" t="s">
        <v>726</v>
      </c>
      <c r="F932" s="1" t="s">
        <v>725</v>
      </c>
      <c r="G932" s="1">
        <v>0.0</v>
      </c>
      <c r="H932" s="2">
        <v>0.15902777777777777</v>
      </c>
    </row>
    <row r="933">
      <c r="A933" s="1" t="s">
        <v>692</v>
      </c>
      <c r="B933" s="1" t="s">
        <v>250</v>
      </c>
      <c r="C933" s="1">
        <v>32.0</v>
      </c>
      <c r="D933" s="1" t="s">
        <v>253</v>
      </c>
      <c r="E933" s="1" t="s">
        <v>254</v>
      </c>
      <c r="F933" s="1" t="s">
        <v>253</v>
      </c>
      <c r="G933" s="1">
        <v>0.0</v>
      </c>
      <c r="H933" s="2">
        <v>0.1111111111111111</v>
      </c>
    </row>
    <row r="934">
      <c r="A934" s="1" t="s">
        <v>692</v>
      </c>
      <c r="B934" s="1" t="s">
        <v>250</v>
      </c>
      <c r="C934" s="1">
        <v>33.0</v>
      </c>
      <c r="D934" s="1" t="s">
        <v>20</v>
      </c>
      <c r="E934" s="1" t="s">
        <v>21</v>
      </c>
      <c r="F934" s="1" t="s">
        <v>22</v>
      </c>
      <c r="G934" s="1">
        <v>1.0</v>
      </c>
      <c r="H934" s="2">
        <v>0.17152777777777778</v>
      </c>
    </row>
    <row r="935">
      <c r="A935" s="1" t="s">
        <v>692</v>
      </c>
      <c r="B935" s="1" t="s">
        <v>250</v>
      </c>
      <c r="C935" s="1">
        <v>34.0</v>
      </c>
      <c r="D935" s="1" t="s">
        <v>727</v>
      </c>
      <c r="E935" s="1" t="s">
        <v>728</v>
      </c>
      <c r="F935" s="1" t="s">
        <v>727</v>
      </c>
      <c r="G935" s="1">
        <v>0.0</v>
      </c>
      <c r="H935" s="2">
        <v>0.1111111111111111</v>
      </c>
    </row>
    <row r="936">
      <c r="A936" s="1" t="s">
        <v>692</v>
      </c>
      <c r="B936" s="1" t="s">
        <v>250</v>
      </c>
      <c r="C936" s="1">
        <v>35.0</v>
      </c>
      <c r="D936" s="1" t="s">
        <v>265</v>
      </c>
      <c r="E936" s="1" t="s">
        <v>266</v>
      </c>
      <c r="F936" s="1" t="s">
        <v>265</v>
      </c>
      <c r="G936" s="1">
        <v>0.0</v>
      </c>
      <c r="H936" s="2">
        <v>0.125</v>
      </c>
    </row>
    <row r="937">
      <c r="A937" s="1" t="s">
        <v>692</v>
      </c>
      <c r="B937" s="1" t="s">
        <v>250</v>
      </c>
      <c r="C937" s="1">
        <v>36.0</v>
      </c>
      <c r="D937" s="1" t="s">
        <v>729</v>
      </c>
      <c r="E937" s="1" t="s">
        <v>730</v>
      </c>
      <c r="F937" s="1" t="s">
        <v>729</v>
      </c>
      <c r="G937" s="1">
        <v>0.0</v>
      </c>
      <c r="H937" s="2">
        <v>0.13541666666666666</v>
      </c>
    </row>
    <row r="938">
      <c r="A938" s="1" t="s">
        <v>692</v>
      </c>
      <c r="B938" s="1" t="s">
        <v>250</v>
      </c>
      <c r="C938" s="1">
        <v>37.0</v>
      </c>
      <c r="D938" s="1" t="s">
        <v>244</v>
      </c>
      <c r="E938" s="1" t="s">
        <v>245</v>
      </c>
      <c r="F938" s="1" t="s">
        <v>244</v>
      </c>
      <c r="G938" s="1">
        <v>0.0</v>
      </c>
      <c r="H938" s="2">
        <v>0.13819444444444445</v>
      </c>
    </row>
    <row r="939">
      <c r="A939" s="1" t="s">
        <v>692</v>
      </c>
      <c r="B939" s="1" t="s">
        <v>250</v>
      </c>
      <c r="C939" s="1">
        <v>38.0</v>
      </c>
      <c r="D939" s="1" t="s">
        <v>33</v>
      </c>
      <c r="E939" s="1" t="s">
        <v>34</v>
      </c>
      <c r="F939" s="1" t="s">
        <v>35</v>
      </c>
      <c r="G939" s="1">
        <v>0.0</v>
      </c>
      <c r="H939" s="2">
        <v>0.1451388888888889</v>
      </c>
    </row>
    <row r="940">
      <c r="A940" s="1" t="s">
        <v>692</v>
      </c>
      <c r="B940" s="1" t="s">
        <v>250</v>
      </c>
      <c r="C940" s="1">
        <v>39.0</v>
      </c>
      <c r="D940" s="1" t="s">
        <v>96</v>
      </c>
      <c r="E940" s="1" t="s">
        <v>97</v>
      </c>
      <c r="F940" s="1" t="s">
        <v>98</v>
      </c>
      <c r="G940" s="1">
        <v>1.0</v>
      </c>
      <c r="H940" s="2">
        <v>0.12430555555555556</v>
      </c>
    </row>
    <row r="941">
      <c r="A941" s="1" t="s">
        <v>692</v>
      </c>
      <c r="B941" s="1" t="s">
        <v>250</v>
      </c>
      <c r="C941" s="1">
        <v>40.0</v>
      </c>
      <c r="D941" s="1" t="s">
        <v>23</v>
      </c>
      <c r="E941" s="1" t="s">
        <v>24</v>
      </c>
      <c r="F941" s="1" t="s">
        <v>23</v>
      </c>
      <c r="G941" s="1">
        <v>0.0</v>
      </c>
      <c r="H941" s="2">
        <v>0.12013888888888889</v>
      </c>
    </row>
    <row r="942">
      <c r="A942" s="1" t="s">
        <v>692</v>
      </c>
      <c r="B942" s="1" t="s">
        <v>250</v>
      </c>
      <c r="C942" s="1">
        <v>41.0</v>
      </c>
      <c r="D942" s="1" t="s">
        <v>731</v>
      </c>
      <c r="E942" s="1" t="s">
        <v>732</v>
      </c>
      <c r="F942" s="1" t="s">
        <v>733</v>
      </c>
      <c r="G942" s="1">
        <v>1.0</v>
      </c>
      <c r="H942" s="2">
        <v>0.12013888888888889</v>
      </c>
    </row>
    <row r="943">
      <c r="A943" s="1" t="s">
        <v>692</v>
      </c>
      <c r="B943" s="1" t="s">
        <v>250</v>
      </c>
      <c r="C943" s="1">
        <v>42.0</v>
      </c>
      <c r="D943" s="1" t="s">
        <v>44</v>
      </c>
      <c r="E943" s="1" t="s">
        <v>45</v>
      </c>
      <c r="F943" s="1" t="s">
        <v>44</v>
      </c>
      <c r="G943" s="1">
        <v>0.0</v>
      </c>
      <c r="H943" s="2">
        <v>0.12222222222222222</v>
      </c>
    </row>
    <row r="944">
      <c r="A944" s="1" t="s">
        <v>692</v>
      </c>
      <c r="B944" s="1" t="s">
        <v>250</v>
      </c>
      <c r="C944" s="1">
        <v>43.0</v>
      </c>
      <c r="D944" s="1" t="s">
        <v>734</v>
      </c>
      <c r="E944" s="1" t="s">
        <v>735</v>
      </c>
      <c r="F944" s="1" t="s">
        <v>734</v>
      </c>
      <c r="G944" s="1">
        <v>0.0</v>
      </c>
      <c r="H944" s="2">
        <v>0.11875</v>
      </c>
    </row>
    <row r="945">
      <c r="A945" s="1" t="s">
        <v>692</v>
      </c>
      <c r="B945" s="1" t="s">
        <v>250</v>
      </c>
      <c r="C945" s="1">
        <v>44.0</v>
      </c>
      <c r="D945" s="1" t="s">
        <v>736</v>
      </c>
      <c r="E945" s="1" t="s">
        <v>737</v>
      </c>
      <c r="F945" s="1" t="s">
        <v>736</v>
      </c>
      <c r="G945" s="1">
        <v>0.0</v>
      </c>
      <c r="H945" s="2">
        <v>0.1125</v>
      </c>
    </row>
    <row r="946">
      <c r="A946" s="1" t="s">
        <v>692</v>
      </c>
      <c r="B946" s="1" t="s">
        <v>250</v>
      </c>
      <c r="C946" s="1">
        <v>45.0</v>
      </c>
      <c r="D946" s="1" t="s">
        <v>738</v>
      </c>
      <c r="E946" s="1" t="s">
        <v>739</v>
      </c>
      <c r="F946" s="1" t="s">
        <v>738</v>
      </c>
      <c r="G946" s="1">
        <v>0.0</v>
      </c>
      <c r="H946" s="2">
        <v>0.12361111111111112</v>
      </c>
    </row>
    <row r="947">
      <c r="A947" s="1" t="s">
        <v>692</v>
      </c>
      <c r="B947" s="1" t="s">
        <v>250</v>
      </c>
      <c r="C947" s="1">
        <v>46.0</v>
      </c>
      <c r="D947" s="1" t="s">
        <v>740</v>
      </c>
      <c r="E947" s="1" t="s">
        <v>741</v>
      </c>
      <c r="F947" s="1" t="s">
        <v>740</v>
      </c>
      <c r="G947" s="1">
        <v>0.0</v>
      </c>
      <c r="H947" s="2">
        <v>0.12777777777777777</v>
      </c>
    </row>
    <row r="948">
      <c r="A948" s="1" t="s">
        <v>692</v>
      </c>
      <c r="B948" s="1" t="s">
        <v>250</v>
      </c>
      <c r="C948" s="1">
        <v>47.0</v>
      </c>
      <c r="D948" s="1" t="s">
        <v>99</v>
      </c>
      <c r="E948" s="1" t="s">
        <v>100</v>
      </c>
      <c r="F948" s="1" t="s">
        <v>99</v>
      </c>
      <c r="G948" s="1">
        <v>0.0</v>
      </c>
      <c r="H948" s="2">
        <v>0.11944444444444445</v>
      </c>
    </row>
    <row r="949">
      <c r="A949" s="1" t="s">
        <v>692</v>
      </c>
      <c r="B949" s="1" t="s">
        <v>250</v>
      </c>
      <c r="C949" s="1">
        <v>48.0</v>
      </c>
      <c r="D949" s="1" t="s">
        <v>304</v>
      </c>
      <c r="E949" s="1" t="s">
        <v>28</v>
      </c>
      <c r="F949" s="1" t="s">
        <v>29</v>
      </c>
      <c r="G949" s="1">
        <v>0.0</v>
      </c>
      <c r="H949" s="2">
        <v>0.13402777777777777</v>
      </c>
    </row>
    <row r="950">
      <c r="A950" s="1" t="s">
        <v>692</v>
      </c>
      <c r="B950" s="1" t="s">
        <v>250</v>
      </c>
      <c r="C950" s="1">
        <v>49.0</v>
      </c>
      <c r="D950" s="1" t="s">
        <v>88</v>
      </c>
      <c r="E950" s="1" t="s">
        <v>89</v>
      </c>
      <c r="F950" s="1" t="s">
        <v>90</v>
      </c>
      <c r="G950" s="1">
        <v>1.0</v>
      </c>
      <c r="H950" s="2">
        <v>0.09652777777777778</v>
      </c>
    </row>
    <row r="951">
      <c r="A951" s="1" t="s">
        <v>692</v>
      </c>
      <c r="B951" s="1" t="s">
        <v>250</v>
      </c>
      <c r="C951" s="1">
        <v>50.0</v>
      </c>
      <c r="D951" s="1" t="s">
        <v>742</v>
      </c>
      <c r="E951" s="1" t="s">
        <v>743</v>
      </c>
      <c r="F951" s="1" t="s">
        <v>742</v>
      </c>
      <c r="G951" s="1">
        <v>0.0</v>
      </c>
      <c r="H951" s="2">
        <v>0.13055555555555556</v>
      </c>
    </row>
    <row r="952">
      <c r="A952" s="1" t="s">
        <v>744</v>
      </c>
      <c r="B952" s="1" t="s">
        <v>250</v>
      </c>
      <c r="C952" s="1">
        <v>1.0</v>
      </c>
      <c r="D952" s="1" t="s">
        <v>745</v>
      </c>
      <c r="E952" s="1" t="s">
        <v>746</v>
      </c>
      <c r="F952" s="1" t="s">
        <v>747</v>
      </c>
      <c r="G952" s="1">
        <v>1.0</v>
      </c>
      <c r="H952" s="2">
        <v>0.1638888888888889</v>
      </c>
    </row>
    <row r="953">
      <c r="A953" s="1" t="s">
        <v>744</v>
      </c>
      <c r="B953" s="1" t="s">
        <v>250</v>
      </c>
      <c r="C953" s="1">
        <v>2.0</v>
      </c>
      <c r="D953" s="1" t="s">
        <v>748</v>
      </c>
      <c r="E953" s="1" t="s">
        <v>749</v>
      </c>
      <c r="F953" s="1" t="s">
        <v>748</v>
      </c>
      <c r="G953" s="1">
        <v>1.0</v>
      </c>
      <c r="H953" s="2">
        <v>0.14930555555555555</v>
      </c>
    </row>
    <row r="954">
      <c r="A954" s="1" t="s">
        <v>744</v>
      </c>
      <c r="B954" s="1" t="s">
        <v>250</v>
      </c>
      <c r="C954" s="1">
        <v>3.0</v>
      </c>
      <c r="D954" s="1" t="s">
        <v>11</v>
      </c>
      <c r="E954" s="1" t="s">
        <v>12</v>
      </c>
      <c r="F954" s="1" t="s">
        <v>13</v>
      </c>
      <c r="G954" s="1">
        <v>0.0</v>
      </c>
      <c r="H954" s="2">
        <v>0.1388888888888889</v>
      </c>
    </row>
    <row r="955">
      <c r="A955" s="1" t="s">
        <v>744</v>
      </c>
      <c r="B955" s="1" t="s">
        <v>250</v>
      </c>
      <c r="C955" s="1">
        <v>4.0</v>
      </c>
      <c r="D955" s="1" t="s">
        <v>17</v>
      </c>
      <c r="E955" s="1" t="s">
        <v>18</v>
      </c>
      <c r="F955" s="1" t="s">
        <v>19</v>
      </c>
      <c r="G955" s="1">
        <v>1.0</v>
      </c>
      <c r="H955" s="2">
        <v>0.12222222222222222</v>
      </c>
    </row>
    <row r="956">
      <c r="A956" s="1" t="s">
        <v>744</v>
      </c>
      <c r="B956" s="1" t="s">
        <v>250</v>
      </c>
      <c r="C956" s="1">
        <v>5.0</v>
      </c>
      <c r="D956" s="1" t="s">
        <v>750</v>
      </c>
      <c r="E956" s="1" t="s">
        <v>751</v>
      </c>
      <c r="F956" s="1" t="s">
        <v>752</v>
      </c>
      <c r="G956" s="1">
        <v>0.0</v>
      </c>
      <c r="H956" s="2">
        <v>0.1527777777777778</v>
      </c>
    </row>
    <row r="957">
      <c r="A957" s="1" t="s">
        <v>744</v>
      </c>
      <c r="B957" s="1" t="s">
        <v>250</v>
      </c>
      <c r="C957" s="1">
        <v>6.0</v>
      </c>
      <c r="D957" s="1" t="s">
        <v>753</v>
      </c>
      <c r="E957" s="1" t="s">
        <v>754</v>
      </c>
      <c r="F957" s="1" t="s">
        <v>755</v>
      </c>
      <c r="G957" s="1">
        <v>1.0</v>
      </c>
      <c r="H957" s="2">
        <v>0.10902777777777778</v>
      </c>
    </row>
    <row r="958">
      <c r="A958" s="1" t="s">
        <v>744</v>
      </c>
      <c r="B958" s="1" t="s">
        <v>250</v>
      </c>
      <c r="C958" s="1">
        <v>7.0</v>
      </c>
      <c r="D958" s="1" t="s">
        <v>86</v>
      </c>
      <c r="E958" s="1" t="s">
        <v>87</v>
      </c>
      <c r="F958" s="1" t="s">
        <v>86</v>
      </c>
      <c r="G958" s="1">
        <v>0.0</v>
      </c>
      <c r="H958" s="2">
        <v>0.1388888888888889</v>
      </c>
    </row>
    <row r="959">
      <c r="A959" s="1" t="s">
        <v>744</v>
      </c>
      <c r="B959" s="1" t="s">
        <v>250</v>
      </c>
      <c r="C959" s="1">
        <v>8.0</v>
      </c>
      <c r="D959" s="1" t="s">
        <v>44</v>
      </c>
      <c r="E959" s="1" t="s">
        <v>45</v>
      </c>
      <c r="F959" s="1" t="s">
        <v>44</v>
      </c>
      <c r="G959" s="1">
        <v>0.0</v>
      </c>
      <c r="H959" s="2">
        <v>0.12222222222222222</v>
      </c>
    </row>
    <row r="960">
      <c r="A960" s="1" t="s">
        <v>744</v>
      </c>
      <c r="B960" s="1" t="s">
        <v>250</v>
      </c>
      <c r="C960" s="1">
        <v>9.0</v>
      </c>
      <c r="D960" s="1">
        <v>6.3</v>
      </c>
      <c r="E960" s="1" t="s">
        <v>756</v>
      </c>
      <c r="F960" s="1" t="s">
        <v>757</v>
      </c>
      <c r="G960" s="1">
        <v>1.0</v>
      </c>
      <c r="H960" s="2">
        <v>0.14722222222222223</v>
      </c>
    </row>
    <row r="961">
      <c r="A961" s="1" t="s">
        <v>744</v>
      </c>
      <c r="B961" s="1" t="s">
        <v>250</v>
      </c>
      <c r="C961" s="1">
        <v>10.0</v>
      </c>
      <c r="D961" s="1" t="s">
        <v>758</v>
      </c>
      <c r="E961" s="1" t="s">
        <v>759</v>
      </c>
      <c r="F961" s="1" t="s">
        <v>758</v>
      </c>
      <c r="G961" s="1">
        <v>1.0</v>
      </c>
      <c r="H961" s="2">
        <v>0.16458333333333333</v>
      </c>
    </row>
    <row r="962">
      <c r="A962" s="1" t="s">
        <v>744</v>
      </c>
      <c r="B962" s="1" t="s">
        <v>250</v>
      </c>
      <c r="C962" s="1">
        <v>11.0</v>
      </c>
      <c r="D962" s="1" t="s">
        <v>760</v>
      </c>
      <c r="E962" s="1" t="s">
        <v>761</v>
      </c>
      <c r="F962" s="1" t="s">
        <v>760</v>
      </c>
      <c r="G962" s="1">
        <v>1.0</v>
      </c>
      <c r="H962" s="2">
        <v>0.1</v>
      </c>
    </row>
    <row r="963">
      <c r="A963" s="1" t="s">
        <v>744</v>
      </c>
      <c r="B963" s="1" t="s">
        <v>250</v>
      </c>
      <c r="C963" s="1">
        <v>12.0</v>
      </c>
      <c r="D963" s="1" t="s">
        <v>762</v>
      </c>
      <c r="E963" s="1" t="s">
        <v>763</v>
      </c>
      <c r="F963" s="1" t="s">
        <v>764</v>
      </c>
      <c r="G963" s="1">
        <v>1.0</v>
      </c>
      <c r="H963" s="2">
        <v>0.13402777777777777</v>
      </c>
    </row>
    <row r="964">
      <c r="A964" s="1" t="s">
        <v>744</v>
      </c>
      <c r="B964" s="1" t="s">
        <v>250</v>
      </c>
      <c r="C964" s="1">
        <v>13.0</v>
      </c>
      <c r="D964" s="1" t="s">
        <v>20</v>
      </c>
      <c r="E964" s="1" t="s">
        <v>21</v>
      </c>
      <c r="F964" s="1" t="s">
        <v>22</v>
      </c>
      <c r="G964" s="1">
        <v>1.0</v>
      </c>
      <c r="H964" s="2">
        <v>0.17152777777777778</v>
      </c>
    </row>
    <row r="965">
      <c r="A965" s="1" t="s">
        <v>744</v>
      </c>
      <c r="B965" s="1" t="s">
        <v>250</v>
      </c>
      <c r="C965" s="1">
        <v>14.0</v>
      </c>
      <c r="D965" s="1" t="s">
        <v>23</v>
      </c>
      <c r="E965" s="1" t="s">
        <v>24</v>
      </c>
      <c r="F965" s="1" t="s">
        <v>23</v>
      </c>
      <c r="G965" s="1">
        <v>0.0</v>
      </c>
      <c r="H965" s="2">
        <v>0.12013888888888889</v>
      </c>
    </row>
    <row r="966">
      <c r="A966" s="1" t="s">
        <v>744</v>
      </c>
      <c r="B966" s="1" t="s">
        <v>250</v>
      </c>
      <c r="C966" s="1">
        <v>15.0</v>
      </c>
      <c r="D966" s="1" t="s">
        <v>127</v>
      </c>
      <c r="E966" s="1" t="s">
        <v>128</v>
      </c>
      <c r="F966" s="1" t="s">
        <v>127</v>
      </c>
      <c r="G966" s="1">
        <v>1.0</v>
      </c>
      <c r="H966" s="2">
        <v>0.17291666666666666</v>
      </c>
    </row>
    <row r="967">
      <c r="A967" s="1" t="s">
        <v>744</v>
      </c>
      <c r="B967" s="1" t="s">
        <v>250</v>
      </c>
      <c r="C967" s="1">
        <v>16.0</v>
      </c>
      <c r="D967" s="1" t="s">
        <v>765</v>
      </c>
      <c r="E967" s="1" t="s">
        <v>766</v>
      </c>
      <c r="F967" s="1" t="s">
        <v>767</v>
      </c>
      <c r="G967" s="1">
        <v>1.0</v>
      </c>
      <c r="H967" s="2">
        <v>0.1361111111111111</v>
      </c>
    </row>
    <row r="968">
      <c r="A968" s="1" t="s">
        <v>744</v>
      </c>
      <c r="B968" s="1" t="s">
        <v>250</v>
      </c>
      <c r="C968" s="1">
        <v>17.0</v>
      </c>
      <c r="D968" s="1" t="s">
        <v>33</v>
      </c>
      <c r="E968" s="1" t="s">
        <v>34</v>
      </c>
      <c r="F968" s="1" t="s">
        <v>35</v>
      </c>
      <c r="G968" s="1">
        <v>0.0</v>
      </c>
      <c r="H968" s="2">
        <v>0.1451388888888889</v>
      </c>
    </row>
    <row r="969">
      <c r="A969" s="1" t="s">
        <v>744</v>
      </c>
      <c r="B969" s="1" t="s">
        <v>250</v>
      </c>
      <c r="C969" s="1">
        <v>18.0</v>
      </c>
      <c r="D969" s="1" t="s">
        <v>308</v>
      </c>
      <c r="E969" s="1" t="s">
        <v>309</v>
      </c>
      <c r="F969" s="1" t="s">
        <v>308</v>
      </c>
      <c r="G969" s="1">
        <v>1.0</v>
      </c>
      <c r="H969" s="2">
        <v>0.07361111111111111</v>
      </c>
    </row>
    <row r="970">
      <c r="A970" s="1" t="s">
        <v>744</v>
      </c>
      <c r="B970" s="1" t="s">
        <v>250</v>
      </c>
      <c r="C970" s="1">
        <v>19.0</v>
      </c>
      <c r="D970" s="1" t="s">
        <v>768</v>
      </c>
      <c r="E970" s="1" t="s">
        <v>769</v>
      </c>
      <c r="F970" s="1" t="s">
        <v>764</v>
      </c>
      <c r="G970" s="1">
        <v>1.0</v>
      </c>
      <c r="H970" s="2">
        <v>0.1125</v>
      </c>
    </row>
    <row r="971">
      <c r="A971" s="1" t="s">
        <v>744</v>
      </c>
      <c r="B971" s="1" t="s">
        <v>250</v>
      </c>
      <c r="C971" s="1">
        <v>20.0</v>
      </c>
      <c r="D971" s="1" t="s">
        <v>231</v>
      </c>
      <c r="E971" s="1" t="s">
        <v>232</v>
      </c>
      <c r="F971" s="1" t="s">
        <v>231</v>
      </c>
      <c r="G971" s="1">
        <v>0.0</v>
      </c>
      <c r="H971" s="2">
        <v>0.10902777777777778</v>
      </c>
    </row>
    <row r="972">
      <c r="A972" s="1" t="s">
        <v>744</v>
      </c>
      <c r="B972" s="1" t="s">
        <v>250</v>
      </c>
      <c r="C972" s="1">
        <v>21.0</v>
      </c>
      <c r="D972" s="1" t="s">
        <v>9</v>
      </c>
      <c r="E972" s="1" t="s">
        <v>10</v>
      </c>
      <c r="F972" s="1" t="s">
        <v>9</v>
      </c>
      <c r="G972" s="1">
        <v>0.0</v>
      </c>
      <c r="H972" s="2">
        <v>0.12638888888888888</v>
      </c>
    </row>
    <row r="973">
      <c r="A973" s="1" t="s">
        <v>744</v>
      </c>
      <c r="B973" s="1" t="s">
        <v>250</v>
      </c>
      <c r="C973" s="1">
        <v>22.0</v>
      </c>
      <c r="D973" s="1" t="s">
        <v>770</v>
      </c>
      <c r="E973" s="1" t="s">
        <v>754</v>
      </c>
      <c r="F973" s="1" t="s">
        <v>755</v>
      </c>
      <c r="G973" s="1">
        <v>1.0</v>
      </c>
      <c r="H973" s="2">
        <v>0.14652777777777778</v>
      </c>
    </row>
    <row r="974">
      <c r="A974" s="1" t="s">
        <v>744</v>
      </c>
      <c r="B974" s="1" t="s">
        <v>250</v>
      </c>
      <c r="C974" s="1">
        <v>23.0</v>
      </c>
      <c r="D974" s="1" t="s">
        <v>25</v>
      </c>
      <c r="E974" s="1" t="s">
        <v>26</v>
      </c>
      <c r="F974" s="1" t="s">
        <v>25</v>
      </c>
      <c r="G974" s="1">
        <v>1.0</v>
      </c>
      <c r="H974" s="2">
        <v>0.11458333333333333</v>
      </c>
    </row>
    <row r="975">
      <c r="A975" s="1" t="s">
        <v>744</v>
      </c>
      <c r="B975" s="1" t="s">
        <v>250</v>
      </c>
      <c r="C975" s="1">
        <v>24.0</v>
      </c>
      <c r="D975" s="1" t="s">
        <v>771</v>
      </c>
      <c r="E975" s="1" t="s">
        <v>772</v>
      </c>
      <c r="F975" s="1" t="s">
        <v>773</v>
      </c>
      <c r="G975" s="1">
        <v>1.0</v>
      </c>
      <c r="H975" s="2">
        <v>0.13055555555555556</v>
      </c>
    </row>
    <row r="976">
      <c r="A976" s="1" t="s">
        <v>744</v>
      </c>
      <c r="B976" s="1" t="s">
        <v>250</v>
      </c>
      <c r="C976" s="1">
        <v>25.0</v>
      </c>
      <c r="D976" s="1" t="s">
        <v>36</v>
      </c>
      <c r="E976" s="1" t="s">
        <v>37</v>
      </c>
      <c r="F976" s="1" t="s">
        <v>36</v>
      </c>
      <c r="G976" s="1">
        <v>1.0</v>
      </c>
      <c r="H976" s="2">
        <v>0.09166666666666666</v>
      </c>
    </row>
    <row r="977">
      <c r="A977" s="1" t="s">
        <v>744</v>
      </c>
      <c r="B977" s="1" t="s">
        <v>250</v>
      </c>
      <c r="C977" s="1">
        <v>26.0</v>
      </c>
      <c r="D977" s="1" t="s">
        <v>774</v>
      </c>
      <c r="E977" s="1" t="s">
        <v>775</v>
      </c>
      <c r="F977" s="1" t="s">
        <v>764</v>
      </c>
      <c r="G977" s="1">
        <v>1.0</v>
      </c>
      <c r="H977" s="2">
        <v>0.14652777777777778</v>
      </c>
    </row>
    <row r="978">
      <c r="A978" s="1" t="s">
        <v>744</v>
      </c>
      <c r="B978" s="1" t="s">
        <v>250</v>
      </c>
      <c r="C978" s="1">
        <v>27.0</v>
      </c>
      <c r="D978" s="1" t="s">
        <v>776</v>
      </c>
      <c r="E978" s="1" t="s">
        <v>777</v>
      </c>
      <c r="F978" s="1" t="s">
        <v>778</v>
      </c>
      <c r="G978" s="1">
        <v>0.0</v>
      </c>
      <c r="H978" s="2">
        <v>0.12152777777777778</v>
      </c>
    </row>
    <row r="979">
      <c r="A979" s="1" t="s">
        <v>744</v>
      </c>
      <c r="B979" s="1" t="s">
        <v>250</v>
      </c>
      <c r="C979" s="1">
        <v>28.0</v>
      </c>
      <c r="D979" s="1" t="s">
        <v>41</v>
      </c>
      <c r="E979" s="1" t="s">
        <v>42</v>
      </c>
      <c r="F979" s="1" t="s">
        <v>43</v>
      </c>
      <c r="G979" s="1">
        <v>1.0</v>
      </c>
      <c r="H979" s="2">
        <v>0.1361111111111111</v>
      </c>
    </row>
    <row r="980">
      <c r="A980" s="1" t="s">
        <v>744</v>
      </c>
      <c r="B980" s="1" t="s">
        <v>250</v>
      </c>
      <c r="C980" s="1">
        <v>29.0</v>
      </c>
      <c r="D980" s="1" t="s">
        <v>779</v>
      </c>
      <c r="E980" s="1" t="s">
        <v>754</v>
      </c>
      <c r="F980" s="1" t="s">
        <v>780</v>
      </c>
      <c r="G980" s="1">
        <v>0.0</v>
      </c>
      <c r="H980" s="2">
        <v>0.13402777777777777</v>
      </c>
    </row>
    <row r="981">
      <c r="A981" s="1" t="s">
        <v>744</v>
      </c>
      <c r="B981" s="1" t="s">
        <v>250</v>
      </c>
      <c r="C981" s="1">
        <v>30.0</v>
      </c>
      <c r="D981" s="1" t="s">
        <v>781</v>
      </c>
      <c r="E981" s="1" t="s">
        <v>782</v>
      </c>
      <c r="F981" s="1" t="s">
        <v>783</v>
      </c>
      <c r="G981" s="1">
        <v>1.0</v>
      </c>
      <c r="H981" s="2">
        <v>0.15416666666666667</v>
      </c>
    </row>
    <row r="982">
      <c r="A982" s="1" t="s">
        <v>744</v>
      </c>
      <c r="B982" s="1" t="s">
        <v>250</v>
      </c>
      <c r="C982" s="1">
        <v>31.0</v>
      </c>
      <c r="D982" s="1" t="s">
        <v>14</v>
      </c>
      <c r="E982" s="1" t="s">
        <v>15</v>
      </c>
      <c r="F982" s="1" t="s">
        <v>16</v>
      </c>
      <c r="G982" s="1">
        <v>1.0</v>
      </c>
      <c r="H982" s="2">
        <v>0.12569444444444444</v>
      </c>
    </row>
    <row r="983">
      <c r="A983" s="1" t="s">
        <v>744</v>
      </c>
      <c r="B983" s="1" t="s">
        <v>250</v>
      </c>
      <c r="C983" s="1">
        <v>32.0</v>
      </c>
      <c r="D983" s="1" t="s">
        <v>784</v>
      </c>
      <c r="E983" s="1" t="s">
        <v>785</v>
      </c>
      <c r="F983" s="1" t="s">
        <v>786</v>
      </c>
      <c r="G983" s="1">
        <v>1.0</v>
      </c>
      <c r="H983" s="2">
        <v>0.14583333333333334</v>
      </c>
    </row>
    <row r="984">
      <c r="A984" s="1" t="s">
        <v>744</v>
      </c>
      <c r="B984" s="1" t="s">
        <v>250</v>
      </c>
      <c r="C984" s="1">
        <v>33.0</v>
      </c>
      <c r="D984" s="1" t="s">
        <v>265</v>
      </c>
      <c r="E984" s="1" t="s">
        <v>266</v>
      </c>
      <c r="F984" s="1" t="s">
        <v>265</v>
      </c>
      <c r="G984" s="1">
        <v>0.0</v>
      </c>
      <c r="H984" s="2">
        <v>0.125</v>
      </c>
    </row>
    <row r="985">
      <c r="A985" s="1" t="s">
        <v>744</v>
      </c>
      <c r="B985" s="1" t="s">
        <v>250</v>
      </c>
      <c r="C985" s="1">
        <v>34.0</v>
      </c>
      <c r="D985" s="1" t="s">
        <v>787</v>
      </c>
      <c r="E985" s="1" t="s">
        <v>788</v>
      </c>
      <c r="F985" s="1" t="s">
        <v>789</v>
      </c>
      <c r="G985" s="1">
        <v>1.0</v>
      </c>
      <c r="H985" s="2">
        <v>0.12708333333333333</v>
      </c>
    </row>
    <row r="986">
      <c r="A986" s="1" t="s">
        <v>744</v>
      </c>
      <c r="B986" s="1" t="s">
        <v>250</v>
      </c>
      <c r="C986" s="1">
        <v>35.0</v>
      </c>
      <c r="D986" s="1" t="s">
        <v>60</v>
      </c>
      <c r="E986" s="1" t="s">
        <v>61</v>
      </c>
      <c r="F986" s="1" t="s">
        <v>62</v>
      </c>
      <c r="G986" s="1">
        <v>0.0</v>
      </c>
      <c r="H986" s="2">
        <v>0.11041666666666666</v>
      </c>
    </row>
    <row r="987">
      <c r="A987" s="1" t="s">
        <v>744</v>
      </c>
      <c r="B987" s="1" t="s">
        <v>250</v>
      </c>
      <c r="C987" s="1">
        <v>36.0</v>
      </c>
      <c r="D987" s="1" t="s">
        <v>53</v>
      </c>
      <c r="E987" s="1" t="s">
        <v>12</v>
      </c>
      <c r="F987" s="1" t="s">
        <v>13</v>
      </c>
      <c r="G987" s="1">
        <v>1.0</v>
      </c>
      <c r="H987" s="2">
        <v>0.16458333333333333</v>
      </c>
    </row>
    <row r="988">
      <c r="A988" s="1" t="s">
        <v>744</v>
      </c>
      <c r="B988" s="1" t="s">
        <v>250</v>
      </c>
      <c r="C988" s="1">
        <v>37.0</v>
      </c>
      <c r="D988" s="1" t="s">
        <v>105</v>
      </c>
      <c r="E988" s="1" t="s">
        <v>106</v>
      </c>
      <c r="F988" s="1" t="s">
        <v>105</v>
      </c>
      <c r="G988" s="1">
        <v>0.0</v>
      </c>
      <c r="H988" s="2">
        <v>0.11527777777777778</v>
      </c>
    </row>
    <row r="989">
      <c r="A989" s="1" t="s">
        <v>744</v>
      </c>
      <c r="B989" s="1" t="s">
        <v>250</v>
      </c>
      <c r="C989" s="1">
        <v>38.0</v>
      </c>
      <c r="D989" s="1" t="s">
        <v>47</v>
      </c>
      <c r="E989" s="1" t="s">
        <v>48</v>
      </c>
      <c r="F989" s="1" t="s">
        <v>49</v>
      </c>
      <c r="G989" s="1">
        <v>1.0</v>
      </c>
      <c r="H989" s="2">
        <v>0.15486111111111112</v>
      </c>
    </row>
    <row r="990">
      <c r="A990" s="1" t="s">
        <v>744</v>
      </c>
      <c r="B990" s="1" t="s">
        <v>250</v>
      </c>
      <c r="C990" s="1">
        <v>39.0</v>
      </c>
      <c r="D990" s="1" t="s">
        <v>790</v>
      </c>
      <c r="E990" s="1" t="s">
        <v>791</v>
      </c>
      <c r="F990" s="1" t="s">
        <v>790</v>
      </c>
      <c r="G990" s="1">
        <v>1.0</v>
      </c>
      <c r="H990" s="2">
        <v>0.12430555555555556</v>
      </c>
    </row>
    <row r="991">
      <c r="A991" s="1" t="s">
        <v>744</v>
      </c>
      <c r="B991" s="1" t="s">
        <v>250</v>
      </c>
      <c r="C991" s="1">
        <v>40.0</v>
      </c>
      <c r="D991" s="1" t="s">
        <v>306</v>
      </c>
      <c r="E991" s="1" t="s">
        <v>307</v>
      </c>
      <c r="F991" s="1" t="s">
        <v>306</v>
      </c>
      <c r="G991" s="1">
        <v>0.0</v>
      </c>
      <c r="H991" s="2">
        <v>0.12152777777777778</v>
      </c>
    </row>
    <row r="992">
      <c r="A992" s="1" t="s">
        <v>744</v>
      </c>
      <c r="B992" s="1" t="s">
        <v>250</v>
      </c>
      <c r="C992" s="1">
        <v>41.0</v>
      </c>
      <c r="D992" s="1" t="s">
        <v>792</v>
      </c>
      <c r="E992" s="1" t="s">
        <v>793</v>
      </c>
      <c r="F992" s="1" t="s">
        <v>794</v>
      </c>
      <c r="G992" s="1">
        <v>0.0</v>
      </c>
      <c r="H992" s="2">
        <v>0.1361111111111111</v>
      </c>
    </row>
    <row r="993">
      <c r="A993" s="1" t="s">
        <v>744</v>
      </c>
      <c r="B993" s="1" t="s">
        <v>250</v>
      </c>
      <c r="C993" s="1">
        <v>42.0</v>
      </c>
      <c r="D993" s="1" t="s">
        <v>795</v>
      </c>
      <c r="E993" s="1" t="s">
        <v>796</v>
      </c>
      <c r="F993" s="1" t="s">
        <v>797</v>
      </c>
      <c r="G993" s="1">
        <v>1.0</v>
      </c>
      <c r="H993" s="2">
        <v>0.12986111111111112</v>
      </c>
    </row>
    <row r="994">
      <c r="A994" s="1" t="s">
        <v>744</v>
      </c>
      <c r="B994" s="1" t="s">
        <v>250</v>
      </c>
      <c r="C994" s="1">
        <v>43.0</v>
      </c>
      <c r="D994" s="1" t="s">
        <v>798</v>
      </c>
      <c r="E994" s="1" t="s">
        <v>746</v>
      </c>
      <c r="F994" s="1" t="s">
        <v>798</v>
      </c>
      <c r="G994" s="1">
        <v>1.0</v>
      </c>
      <c r="H994" s="2">
        <v>0.06527777777777778</v>
      </c>
    </row>
    <row r="995">
      <c r="A995" s="1" t="s">
        <v>744</v>
      </c>
      <c r="B995" s="1" t="s">
        <v>250</v>
      </c>
      <c r="C995" s="1">
        <v>44.0</v>
      </c>
      <c r="D995" s="1" t="s">
        <v>799</v>
      </c>
      <c r="E995" s="1" t="s">
        <v>800</v>
      </c>
      <c r="F995" s="1" t="s">
        <v>799</v>
      </c>
      <c r="G995" s="1">
        <v>1.0</v>
      </c>
      <c r="H995" s="2">
        <v>0.1701388888888889</v>
      </c>
    </row>
    <row r="996">
      <c r="A996" s="1" t="s">
        <v>744</v>
      </c>
      <c r="B996" s="1" t="s">
        <v>250</v>
      </c>
      <c r="C996" s="1">
        <v>45.0</v>
      </c>
      <c r="D996" s="1" t="s">
        <v>304</v>
      </c>
      <c r="E996" s="1" t="s">
        <v>28</v>
      </c>
      <c r="F996" s="1" t="s">
        <v>29</v>
      </c>
      <c r="G996" s="1">
        <v>0.0</v>
      </c>
      <c r="H996" s="2">
        <v>0.13402777777777777</v>
      </c>
    </row>
    <row r="997">
      <c r="A997" s="1" t="s">
        <v>744</v>
      </c>
      <c r="B997" s="1" t="s">
        <v>250</v>
      </c>
      <c r="C997" s="1">
        <v>46.0</v>
      </c>
      <c r="D997" s="1" t="s">
        <v>801</v>
      </c>
      <c r="E997" s="1" t="s">
        <v>759</v>
      </c>
      <c r="F997" s="1" t="s">
        <v>801</v>
      </c>
      <c r="G997" s="1">
        <v>1.0</v>
      </c>
      <c r="H997" s="2">
        <v>0.21875</v>
      </c>
    </row>
    <row r="998">
      <c r="A998" s="1" t="s">
        <v>744</v>
      </c>
      <c r="B998" s="1" t="s">
        <v>250</v>
      </c>
      <c r="C998" s="1">
        <v>47.0</v>
      </c>
      <c r="D998" s="1" t="s">
        <v>802</v>
      </c>
      <c r="E998" s="1" t="s">
        <v>803</v>
      </c>
      <c r="F998" s="1" t="s">
        <v>802</v>
      </c>
      <c r="G998" s="1">
        <v>1.0</v>
      </c>
      <c r="H998" s="2">
        <v>0.11041666666666666</v>
      </c>
    </row>
    <row r="999">
      <c r="A999" s="1" t="s">
        <v>744</v>
      </c>
      <c r="B999" s="1" t="s">
        <v>250</v>
      </c>
      <c r="C999" s="1">
        <v>48.0</v>
      </c>
      <c r="D999" s="1" t="s">
        <v>54</v>
      </c>
      <c r="E999" s="1" t="s">
        <v>55</v>
      </c>
      <c r="F999" s="1" t="s">
        <v>56</v>
      </c>
      <c r="G999" s="1">
        <v>0.0</v>
      </c>
      <c r="H999" s="2">
        <v>0.10972222222222222</v>
      </c>
    </row>
    <row r="1000">
      <c r="A1000" s="1" t="s">
        <v>744</v>
      </c>
      <c r="B1000" s="1" t="s">
        <v>250</v>
      </c>
      <c r="C1000" s="1">
        <v>49.0</v>
      </c>
      <c r="D1000" s="1" t="s">
        <v>804</v>
      </c>
      <c r="E1000" s="1" t="s">
        <v>805</v>
      </c>
      <c r="F1000" s="1" t="s">
        <v>804</v>
      </c>
      <c r="G1000" s="1">
        <v>0.0</v>
      </c>
      <c r="H1000" s="2">
        <v>0.12152777777777778</v>
      </c>
    </row>
    <row r="1001">
      <c r="A1001" s="1" t="s">
        <v>744</v>
      </c>
      <c r="B1001" s="1" t="s">
        <v>250</v>
      </c>
      <c r="C1001" s="1">
        <v>50.0</v>
      </c>
      <c r="D1001" s="1" t="s">
        <v>806</v>
      </c>
      <c r="E1001" s="1" t="s">
        <v>807</v>
      </c>
      <c r="F1001" s="1" t="s">
        <v>808</v>
      </c>
      <c r="G1001" s="1">
        <v>1.0</v>
      </c>
      <c r="H1001" s="2">
        <v>0.09791666666666667</v>
      </c>
    </row>
    <row r="1002">
      <c r="A1002" s="1" t="s">
        <v>809</v>
      </c>
      <c r="B1002" s="1" t="s">
        <v>250</v>
      </c>
      <c r="C1002" s="1">
        <v>1.0</v>
      </c>
      <c r="D1002" s="1" t="s">
        <v>251</v>
      </c>
      <c r="E1002" s="1" t="s">
        <v>252</v>
      </c>
      <c r="F1002" s="1" t="s">
        <v>251</v>
      </c>
      <c r="G1002" s="1">
        <v>0.0</v>
      </c>
      <c r="H1002" s="2">
        <v>0.10347222222222222</v>
      </c>
    </row>
    <row r="1003">
      <c r="A1003" s="1" t="s">
        <v>809</v>
      </c>
      <c r="B1003" s="1" t="s">
        <v>250</v>
      </c>
      <c r="C1003" s="1">
        <v>2.0</v>
      </c>
      <c r="D1003" s="1" t="s">
        <v>253</v>
      </c>
      <c r="E1003" s="1" t="s">
        <v>254</v>
      </c>
      <c r="F1003" s="1" t="s">
        <v>253</v>
      </c>
      <c r="G1003" s="1">
        <v>0.0</v>
      </c>
      <c r="H1003" s="2">
        <v>0.1111111111111111</v>
      </c>
    </row>
    <row r="1004">
      <c r="A1004" s="1" t="s">
        <v>809</v>
      </c>
      <c r="B1004" s="1" t="s">
        <v>250</v>
      </c>
      <c r="C1004" s="1">
        <v>3.0</v>
      </c>
      <c r="D1004" s="1" t="s">
        <v>255</v>
      </c>
      <c r="E1004" s="1" t="s">
        <v>256</v>
      </c>
      <c r="F1004" s="1" t="s">
        <v>255</v>
      </c>
      <c r="G1004" s="1">
        <v>0.0</v>
      </c>
      <c r="H1004" s="2">
        <v>0.12013888888888889</v>
      </c>
    </row>
    <row r="1005">
      <c r="A1005" s="1" t="s">
        <v>809</v>
      </c>
      <c r="B1005" s="1" t="s">
        <v>250</v>
      </c>
      <c r="C1005" s="1">
        <v>4.0</v>
      </c>
      <c r="D1005" s="1" t="s">
        <v>263</v>
      </c>
      <c r="E1005" s="1" t="s">
        <v>264</v>
      </c>
      <c r="F1005" s="1" t="s">
        <v>263</v>
      </c>
      <c r="G1005" s="1">
        <v>0.0</v>
      </c>
      <c r="H1005" s="2">
        <v>0.12361111111111112</v>
      </c>
    </row>
    <row r="1006">
      <c r="A1006" s="1" t="s">
        <v>809</v>
      </c>
      <c r="B1006" s="1" t="s">
        <v>250</v>
      </c>
      <c r="C1006" s="1">
        <v>5.0</v>
      </c>
      <c r="D1006" s="1" t="s">
        <v>14</v>
      </c>
      <c r="E1006" s="1" t="s">
        <v>15</v>
      </c>
      <c r="F1006" s="1" t="s">
        <v>16</v>
      </c>
      <c r="G1006" s="1">
        <v>1.0</v>
      </c>
      <c r="H1006" s="2">
        <v>0.12569444444444444</v>
      </c>
    </row>
    <row r="1007">
      <c r="A1007" s="1" t="s">
        <v>809</v>
      </c>
      <c r="B1007" s="1" t="s">
        <v>250</v>
      </c>
      <c r="C1007" s="1">
        <v>6.0</v>
      </c>
      <c r="D1007" s="1" t="s">
        <v>267</v>
      </c>
      <c r="E1007" s="1" t="s">
        <v>268</v>
      </c>
      <c r="F1007" s="1" t="s">
        <v>269</v>
      </c>
      <c r="G1007" s="1">
        <v>0.0</v>
      </c>
      <c r="H1007" s="2">
        <v>0.10138888888888889</v>
      </c>
    </row>
    <row r="1008">
      <c r="A1008" s="1" t="s">
        <v>809</v>
      </c>
      <c r="B1008" s="1" t="s">
        <v>250</v>
      </c>
      <c r="C1008" s="1">
        <v>7.0</v>
      </c>
      <c r="D1008" s="1" t="s">
        <v>11</v>
      </c>
      <c r="E1008" s="1" t="s">
        <v>12</v>
      </c>
      <c r="F1008" s="1" t="s">
        <v>13</v>
      </c>
      <c r="G1008" s="1">
        <v>0.0</v>
      </c>
      <c r="H1008" s="2">
        <v>0.1388888888888889</v>
      </c>
    </row>
    <row r="1009">
      <c r="A1009" s="1" t="s">
        <v>809</v>
      </c>
      <c r="B1009" s="1" t="s">
        <v>250</v>
      </c>
      <c r="C1009" s="1">
        <v>8.0</v>
      </c>
      <c r="D1009" s="1" t="s">
        <v>36</v>
      </c>
      <c r="E1009" s="1" t="s">
        <v>37</v>
      </c>
      <c r="F1009" s="1" t="s">
        <v>36</v>
      </c>
      <c r="G1009" s="1">
        <v>1.0</v>
      </c>
      <c r="H1009" s="2">
        <v>0.09166666666666666</v>
      </c>
    </row>
    <row r="1010">
      <c r="A1010" s="1" t="s">
        <v>809</v>
      </c>
      <c r="B1010" s="1" t="s">
        <v>250</v>
      </c>
      <c r="C1010" s="1">
        <v>9.0</v>
      </c>
      <c r="D1010" s="1" t="s">
        <v>261</v>
      </c>
      <c r="E1010" s="1" t="s">
        <v>262</v>
      </c>
      <c r="F1010" s="1" t="s">
        <v>261</v>
      </c>
      <c r="G1010" s="1">
        <v>1.0</v>
      </c>
      <c r="H1010" s="2">
        <v>0.11041666666666666</v>
      </c>
    </row>
    <row r="1011">
      <c r="A1011" s="1" t="s">
        <v>809</v>
      </c>
      <c r="B1011" s="1" t="s">
        <v>250</v>
      </c>
      <c r="C1011" s="1">
        <v>10.0</v>
      </c>
      <c r="D1011" s="1" t="s">
        <v>257</v>
      </c>
      <c r="E1011" s="1" t="s">
        <v>258</v>
      </c>
      <c r="F1011" s="1" t="s">
        <v>257</v>
      </c>
      <c r="G1011" s="1">
        <v>0.0</v>
      </c>
      <c r="H1011" s="2">
        <v>0.12222222222222222</v>
      </c>
    </row>
    <row r="1012">
      <c r="A1012" s="1" t="s">
        <v>809</v>
      </c>
      <c r="B1012" s="1" t="s">
        <v>250</v>
      </c>
      <c r="C1012" s="1">
        <v>11.0</v>
      </c>
      <c r="D1012" s="1" t="s">
        <v>17</v>
      </c>
      <c r="E1012" s="1" t="s">
        <v>18</v>
      </c>
      <c r="F1012" s="1" t="s">
        <v>19</v>
      </c>
      <c r="G1012" s="1">
        <v>1.0</v>
      </c>
      <c r="H1012" s="2">
        <v>0.12222222222222222</v>
      </c>
    </row>
    <row r="1013">
      <c r="A1013" s="1" t="s">
        <v>809</v>
      </c>
      <c r="B1013" s="1" t="s">
        <v>250</v>
      </c>
      <c r="C1013" s="1">
        <v>12.0</v>
      </c>
      <c r="D1013" s="1" t="s">
        <v>20</v>
      </c>
      <c r="E1013" s="1" t="s">
        <v>21</v>
      </c>
      <c r="F1013" s="1" t="s">
        <v>22</v>
      </c>
      <c r="G1013" s="1">
        <v>1.0</v>
      </c>
      <c r="H1013" s="2">
        <v>0.17152777777777778</v>
      </c>
    </row>
    <row r="1014">
      <c r="A1014" s="1" t="s">
        <v>809</v>
      </c>
      <c r="B1014" s="1" t="s">
        <v>250</v>
      </c>
      <c r="C1014" s="1">
        <v>13.0</v>
      </c>
      <c r="D1014" s="1" t="s">
        <v>44</v>
      </c>
      <c r="E1014" s="1" t="s">
        <v>45</v>
      </c>
      <c r="F1014" s="1" t="s">
        <v>44</v>
      </c>
      <c r="G1014" s="1">
        <v>0.0</v>
      </c>
      <c r="H1014" s="2">
        <v>0.12222222222222222</v>
      </c>
    </row>
    <row r="1015">
      <c r="A1015" s="1" t="s">
        <v>809</v>
      </c>
      <c r="B1015" s="1" t="s">
        <v>250</v>
      </c>
      <c r="C1015" s="1">
        <v>14.0</v>
      </c>
      <c r="D1015" s="1" t="s">
        <v>272</v>
      </c>
      <c r="E1015" s="1" t="s">
        <v>273</v>
      </c>
      <c r="F1015" s="1" t="s">
        <v>272</v>
      </c>
      <c r="G1015" s="1">
        <v>0.0</v>
      </c>
      <c r="H1015" s="2">
        <v>0.125</v>
      </c>
    </row>
    <row r="1016">
      <c r="A1016" s="1" t="s">
        <v>809</v>
      </c>
      <c r="B1016" s="1" t="s">
        <v>250</v>
      </c>
      <c r="C1016" s="1">
        <v>15.0</v>
      </c>
      <c r="D1016" s="1" t="s">
        <v>259</v>
      </c>
      <c r="E1016" s="1" t="s">
        <v>256</v>
      </c>
      <c r="F1016" s="1" t="s">
        <v>260</v>
      </c>
      <c r="G1016" s="1">
        <v>1.0</v>
      </c>
      <c r="H1016" s="2">
        <v>0.10902777777777778</v>
      </c>
    </row>
    <row r="1017">
      <c r="A1017" s="1" t="s">
        <v>809</v>
      </c>
      <c r="B1017" s="1" t="s">
        <v>250</v>
      </c>
      <c r="C1017" s="1">
        <v>16.0</v>
      </c>
      <c r="D1017" s="1" t="s">
        <v>287</v>
      </c>
      <c r="E1017" s="1" t="s">
        <v>276</v>
      </c>
      <c r="F1017" s="1" t="s">
        <v>287</v>
      </c>
      <c r="G1017" s="1">
        <v>0.0</v>
      </c>
      <c r="H1017" s="2">
        <v>0.1388888888888889</v>
      </c>
    </row>
    <row r="1018">
      <c r="A1018" s="1" t="s">
        <v>809</v>
      </c>
      <c r="B1018" s="1" t="s">
        <v>250</v>
      </c>
      <c r="C1018" s="1">
        <v>17.0</v>
      </c>
      <c r="D1018" s="1" t="s">
        <v>105</v>
      </c>
      <c r="E1018" s="1" t="s">
        <v>106</v>
      </c>
      <c r="F1018" s="1" t="s">
        <v>105</v>
      </c>
      <c r="G1018" s="1">
        <v>0.0</v>
      </c>
      <c r="H1018" s="2">
        <v>0.11527777777777778</v>
      </c>
    </row>
    <row r="1019">
      <c r="A1019" s="1" t="s">
        <v>809</v>
      </c>
      <c r="B1019" s="1" t="s">
        <v>250</v>
      </c>
      <c r="C1019" s="1">
        <v>18.0</v>
      </c>
      <c r="D1019" s="1" t="s">
        <v>281</v>
      </c>
      <c r="E1019" s="1" t="s">
        <v>282</v>
      </c>
      <c r="F1019" s="1" t="s">
        <v>283</v>
      </c>
      <c r="G1019" s="1">
        <v>0.0</v>
      </c>
      <c r="H1019" s="2">
        <v>0.11319444444444444</v>
      </c>
    </row>
    <row r="1020">
      <c r="A1020" s="1" t="s">
        <v>809</v>
      </c>
      <c r="B1020" s="1" t="s">
        <v>250</v>
      </c>
      <c r="C1020" s="1">
        <v>19.0</v>
      </c>
      <c r="D1020" s="1" t="s">
        <v>275</v>
      </c>
      <c r="E1020" s="1" t="s">
        <v>276</v>
      </c>
      <c r="F1020" s="1" t="s">
        <v>275</v>
      </c>
      <c r="G1020" s="1">
        <v>0.0</v>
      </c>
      <c r="H1020" s="2">
        <v>0.13402777777777777</v>
      </c>
    </row>
    <row r="1021">
      <c r="A1021" s="1" t="s">
        <v>809</v>
      </c>
      <c r="B1021" s="1" t="s">
        <v>250</v>
      </c>
      <c r="C1021" s="1">
        <v>20.0</v>
      </c>
      <c r="D1021" s="1" t="s">
        <v>810</v>
      </c>
      <c r="E1021" s="1" t="s">
        <v>811</v>
      </c>
      <c r="F1021" s="1" t="s">
        <v>810</v>
      </c>
      <c r="G1021" s="1">
        <v>0.0</v>
      </c>
      <c r="H1021" s="2">
        <v>0.12638888888888888</v>
      </c>
    </row>
    <row r="1022">
      <c r="A1022" s="1" t="s">
        <v>809</v>
      </c>
      <c r="B1022" s="1" t="s">
        <v>250</v>
      </c>
      <c r="C1022" s="1">
        <v>21.0</v>
      </c>
      <c r="D1022" s="1" t="s">
        <v>812</v>
      </c>
      <c r="E1022" s="1" t="s">
        <v>813</v>
      </c>
      <c r="F1022" s="1" t="s">
        <v>812</v>
      </c>
      <c r="G1022" s="1">
        <v>0.0</v>
      </c>
      <c r="H1022" s="2">
        <v>0.10486111111111111</v>
      </c>
    </row>
    <row r="1023">
      <c r="A1023" s="1" t="s">
        <v>809</v>
      </c>
      <c r="B1023" s="1" t="s">
        <v>250</v>
      </c>
      <c r="C1023" s="1">
        <v>22.0</v>
      </c>
      <c r="D1023" s="1" t="s">
        <v>293</v>
      </c>
      <c r="E1023" s="1" t="s">
        <v>294</v>
      </c>
      <c r="F1023" s="1" t="s">
        <v>293</v>
      </c>
      <c r="G1023" s="1">
        <v>0.0</v>
      </c>
      <c r="H1023" s="2">
        <v>0.10625</v>
      </c>
    </row>
    <row r="1024">
      <c r="A1024" s="1" t="s">
        <v>809</v>
      </c>
      <c r="B1024" s="1" t="s">
        <v>250</v>
      </c>
      <c r="C1024" s="1">
        <v>23.0</v>
      </c>
      <c r="D1024" s="1" t="s">
        <v>277</v>
      </c>
      <c r="E1024" s="1" t="s">
        <v>278</v>
      </c>
      <c r="F1024" s="1" t="s">
        <v>277</v>
      </c>
      <c r="G1024" s="1">
        <v>1.0</v>
      </c>
      <c r="H1024" s="2">
        <v>0.09791666666666667</v>
      </c>
    </row>
    <row r="1025">
      <c r="A1025" s="1" t="s">
        <v>809</v>
      </c>
      <c r="B1025" s="1" t="s">
        <v>250</v>
      </c>
      <c r="C1025" s="1">
        <v>24.0</v>
      </c>
      <c r="D1025" s="1" t="s">
        <v>23</v>
      </c>
      <c r="E1025" s="1" t="s">
        <v>24</v>
      </c>
      <c r="F1025" s="1" t="s">
        <v>23</v>
      </c>
      <c r="G1025" s="1">
        <v>0.0</v>
      </c>
      <c r="H1025" s="2">
        <v>0.12013888888888889</v>
      </c>
    </row>
    <row r="1026">
      <c r="A1026" s="1" t="s">
        <v>809</v>
      </c>
      <c r="B1026" s="1" t="s">
        <v>250</v>
      </c>
      <c r="C1026" s="1">
        <v>25.0</v>
      </c>
      <c r="D1026" s="1" t="s">
        <v>288</v>
      </c>
      <c r="E1026" s="1" t="s">
        <v>289</v>
      </c>
      <c r="F1026" s="1" t="s">
        <v>290</v>
      </c>
      <c r="G1026" s="1">
        <v>0.0</v>
      </c>
      <c r="H1026" s="2">
        <v>0.12916666666666668</v>
      </c>
    </row>
    <row r="1027">
      <c r="A1027" s="1" t="s">
        <v>809</v>
      </c>
      <c r="B1027" s="1" t="s">
        <v>250</v>
      </c>
      <c r="C1027" s="1">
        <v>26.0</v>
      </c>
      <c r="D1027" s="1" t="s">
        <v>274</v>
      </c>
      <c r="E1027" s="1" t="s">
        <v>266</v>
      </c>
      <c r="F1027" s="1" t="s">
        <v>274</v>
      </c>
      <c r="G1027" s="1">
        <v>0.0</v>
      </c>
      <c r="H1027" s="2">
        <v>0.1125</v>
      </c>
    </row>
    <row r="1028">
      <c r="A1028" s="1" t="s">
        <v>809</v>
      </c>
      <c r="B1028" s="1" t="s">
        <v>250</v>
      </c>
      <c r="C1028" s="1">
        <v>27.0</v>
      </c>
      <c r="D1028" s="1" t="s">
        <v>33</v>
      </c>
      <c r="E1028" s="1" t="s">
        <v>34</v>
      </c>
      <c r="F1028" s="1" t="s">
        <v>35</v>
      </c>
      <c r="G1028" s="1">
        <v>0.0</v>
      </c>
      <c r="H1028" s="2">
        <v>0.1451388888888889</v>
      </c>
    </row>
    <row r="1029">
      <c r="A1029" s="1" t="s">
        <v>809</v>
      </c>
      <c r="B1029" s="1" t="s">
        <v>250</v>
      </c>
      <c r="C1029" s="1">
        <v>28.0</v>
      </c>
      <c r="D1029" s="1" t="s">
        <v>814</v>
      </c>
      <c r="E1029" s="1" t="s">
        <v>815</v>
      </c>
      <c r="F1029" s="1" t="s">
        <v>814</v>
      </c>
      <c r="G1029" s="1">
        <v>0.0</v>
      </c>
      <c r="H1029" s="2">
        <v>0.12152777777777778</v>
      </c>
    </row>
    <row r="1030">
      <c r="A1030" s="1" t="s">
        <v>809</v>
      </c>
      <c r="B1030" s="1" t="s">
        <v>250</v>
      </c>
      <c r="C1030" s="1">
        <v>29.0</v>
      </c>
      <c r="D1030" s="1" t="s">
        <v>25</v>
      </c>
      <c r="E1030" s="1" t="s">
        <v>26</v>
      </c>
      <c r="F1030" s="1" t="s">
        <v>25</v>
      </c>
      <c r="G1030" s="1">
        <v>1.0</v>
      </c>
      <c r="H1030" s="2">
        <v>0.11458333333333333</v>
      </c>
    </row>
    <row r="1031">
      <c r="A1031" s="1" t="s">
        <v>809</v>
      </c>
      <c r="B1031" s="1" t="s">
        <v>250</v>
      </c>
      <c r="C1031" s="1">
        <v>30.0</v>
      </c>
      <c r="D1031" s="1" t="s">
        <v>9</v>
      </c>
      <c r="E1031" s="1" t="s">
        <v>10</v>
      </c>
      <c r="F1031" s="1" t="s">
        <v>9</v>
      </c>
      <c r="G1031" s="1">
        <v>0.0</v>
      </c>
      <c r="H1031" s="2">
        <v>0.12638888888888888</v>
      </c>
    </row>
    <row r="1032">
      <c r="A1032" s="1" t="s">
        <v>809</v>
      </c>
      <c r="B1032" s="1" t="s">
        <v>250</v>
      </c>
      <c r="C1032" s="1">
        <v>31.0</v>
      </c>
      <c r="D1032" s="1" t="s">
        <v>816</v>
      </c>
      <c r="E1032" s="1" t="s">
        <v>817</v>
      </c>
      <c r="F1032" s="1" t="s">
        <v>816</v>
      </c>
      <c r="G1032" s="1">
        <v>0.0</v>
      </c>
      <c r="H1032" s="2">
        <v>0.12777777777777777</v>
      </c>
    </row>
    <row r="1033">
      <c r="A1033" s="1" t="s">
        <v>809</v>
      </c>
      <c r="B1033" s="1" t="s">
        <v>250</v>
      </c>
      <c r="C1033" s="1">
        <v>32.0</v>
      </c>
      <c r="D1033" s="1" t="s">
        <v>265</v>
      </c>
      <c r="E1033" s="1" t="s">
        <v>266</v>
      </c>
      <c r="F1033" s="1" t="s">
        <v>265</v>
      </c>
      <c r="G1033" s="1">
        <v>0.0</v>
      </c>
      <c r="H1033" s="2">
        <v>0.125</v>
      </c>
    </row>
    <row r="1034">
      <c r="A1034" s="1" t="s">
        <v>809</v>
      </c>
      <c r="B1034" s="1" t="s">
        <v>250</v>
      </c>
      <c r="C1034" s="1">
        <v>33.0</v>
      </c>
      <c r="D1034" s="1" t="s">
        <v>270</v>
      </c>
      <c r="E1034" s="1" t="s">
        <v>271</v>
      </c>
      <c r="F1034" s="1" t="s">
        <v>270</v>
      </c>
      <c r="G1034" s="1">
        <v>0.0</v>
      </c>
      <c r="H1034" s="2">
        <v>0.14444444444444443</v>
      </c>
    </row>
    <row r="1035">
      <c r="A1035" s="1" t="s">
        <v>809</v>
      </c>
      <c r="B1035" s="1" t="s">
        <v>250</v>
      </c>
      <c r="C1035" s="1">
        <v>34.0</v>
      </c>
      <c r="D1035" s="1" t="s">
        <v>127</v>
      </c>
      <c r="E1035" s="1" t="s">
        <v>128</v>
      </c>
      <c r="F1035" s="1" t="s">
        <v>127</v>
      </c>
      <c r="G1035" s="1">
        <v>1.0</v>
      </c>
      <c r="H1035" s="2">
        <v>0.17291666666666666</v>
      </c>
    </row>
    <row r="1036">
      <c r="A1036" s="1" t="s">
        <v>809</v>
      </c>
      <c r="B1036" s="1" t="s">
        <v>250</v>
      </c>
      <c r="C1036" s="1">
        <v>35.0</v>
      </c>
      <c r="D1036" s="1" t="s">
        <v>818</v>
      </c>
      <c r="E1036" s="1" t="s">
        <v>819</v>
      </c>
      <c r="F1036" s="1" t="s">
        <v>818</v>
      </c>
      <c r="G1036" s="1">
        <v>0.0</v>
      </c>
      <c r="H1036" s="2">
        <v>0.12013888888888889</v>
      </c>
    </row>
    <row r="1037">
      <c r="A1037" s="1" t="s">
        <v>809</v>
      </c>
      <c r="B1037" s="1" t="s">
        <v>250</v>
      </c>
      <c r="C1037" s="1">
        <v>36.0</v>
      </c>
      <c r="D1037" s="1" t="s">
        <v>820</v>
      </c>
      <c r="E1037" s="1" t="s">
        <v>821</v>
      </c>
      <c r="F1037" s="1" t="s">
        <v>822</v>
      </c>
      <c r="G1037" s="1">
        <v>0.0</v>
      </c>
      <c r="H1037" s="2">
        <v>0.11597222222222223</v>
      </c>
    </row>
    <row r="1038">
      <c r="A1038" s="1" t="s">
        <v>809</v>
      </c>
      <c r="B1038" s="1" t="s">
        <v>250</v>
      </c>
      <c r="C1038" s="1">
        <v>37.0</v>
      </c>
      <c r="D1038" s="1" t="s">
        <v>47</v>
      </c>
      <c r="E1038" s="1" t="s">
        <v>48</v>
      </c>
      <c r="F1038" s="1" t="s">
        <v>49</v>
      </c>
      <c r="G1038" s="1">
        <v>1.0</v>
      </c>
      <c r="H1038" s="2">
        <v>0.15486111111111112</v>
      </c>
    </row>
    <row r="1039">
      <c r="A1039" s="1" t="s">
        <v>809</v>
      </c>
      <c r="B1039" s="1" t="s">
        <v>250</v>
      </c>
      <c r="C1039" s="1">
        <v>38.0</v>
      </c>
      <c r="D1039" s="1" t="s">
        <v>295</v>
      </c>
      <c r="E1039" s="1" t="s">
        <v>296</v>
      </c>
      <c r="F1039" s="1" t="s">
        <v>297</v>
      </c>
      <c r="G1039" s="1">
        <v>0.0</v>
      </c>
      <c r="H1039" s="2">
        <v>0.14097222222222222</v>
      </c>
    </row>
    <row r="1040">
      <c r="A1040" s="1" t="s">
        <v>809</v>
      </c>
      <c r="B1040" s="1" t="s">
        <v>250</v>
      </c>
      <c r="C1040" s="1">
        <v>39.0</v>
      </c>
      <c r="D1040" s="1" t="s">
        <v>823</v>
      </c>
      <c r="E1040" s="1" t="s">
        <v>824</v>
      </c>
      <c r="F1040" s="1" t="s">
        <v>823</v>
      </c>
      <c r="G1040" s="1">
        <v>0.0</v>
      </c>
      <c r="H1040" s="2">
        <v>0.10138888888888889</v>
      </c>
    </row>
    <row r="1041">
      <c r="A1041" s="1" t="s">
        <v>809</v>
      </c>
      <c r="B1041" s="1" t="s">
        <v>250</v>
      </c>
      <c r="C1041" s="1">
        <v>40.0</v>
      </c>
      <c r="D1041" s="1" t="s">
        <v>825</v>
      </c>
      <c r="E1041" s="1" t="s">
        <v>826</v>
      </c>
      <c r="F1041" s="1" t="s">
        <v>825</v>
      </c>
      <c r="G1041" s="1">
        <v>0.0</v>
      </c>
      <c r="H1041" s="2">
        <v>0.10694444444444444</v>
      </c>
    </row>
    <row r="1042">
      <c r="A1042" s="1" t="s">
        <v>809</v>
      </c>
      <c r="B1042" s="1" t="s">
        <v>250</v>
      </c>
      <c r="C1042" s="1">
        <v>41.0</v>
      </c>
      <c r="D1042" s="1" t="s">
        <v>827</v>
      </c>
      <c r="E1042" s="1" t="s">
        <v>828</v>
      </c>
      <c r="F1042" s="1" t="s">
        <v>827</v>
      </c>
      <c r="G1042" s="1">
        <v>0.0</v>
      </c>
      <c r="H1042" s="2">
        <v>0.11388888888888889</v>
      </c>
    </row>
    <row r="1043">
      <c r="A1043" s="1" t="s">
        <v>809</v>
      </c>
      <c r="B1043" s="1" t="s">
        <v>250</v>
      </c>
      <c r="C1043" s="1">
        <v>42.0</v>
      </c>
      <c r="D1043" s="1" t="s">
        <v>829</v>
      </c>
      <c r="E1043" s="1" t="s">
        <v>830</v>
      </c>
      <c r="F1043" s="1" t="s">
        <v>829</v>
      </c>
      <c r="G1043" s="1">
        <v>1.0</v>
      </c>
      <c r="H1043" s="2">
        <v>0.1375</v>
      </c>
    </row>
    <row r="1044">
      <c r="A1044" s="1" t="s">
        <v>809</v>
      </c>
      <c r="B1044" s="1" t="s">
        <v>250</v>
      </c>
      <c r="C1044" s="1">
        <v>43.0</v>
      </c>
      <c r="D1044" s="1" t="s">
        <v>831</v>
      </c>
      <c r="E1044" s="1" t="s">
        <v>832</v>
      </c>
      <c r="F1044" s="1" t="s">
        <v>831</v>
      </c>
      <c r="G1044" s="1">
        <v>1.0</v>
      </c>
      <c r="H1044" s="2">
        <v>0.1388888888888889</v>
      </c>
    </row>
    <row r="1045">
      <c r="A1045" s="1" t="s">
        <v>809</v>
      </c>
      <c r="B1045" s="1" t="s">
        <v>250</v>
      </c>
      <c r="C1045" s="1">
        <v>44.0</v>
      </c>
      <c r="D1045" s="1" t="s">
        <v>833</v>
      </c>
      <c r="E1045" s="1" t="s">
        <v>834</v>
      </c>
      <c r="F1045" s="1" t="s">
        <v>833</v>
      </c>
      <c r="G1045" s="1">
        <v>1.0</v>
      </c>
      <c r="H1045" s="2">
        <v>0.12986111111111112</v>
      </c>
    </row>
    <row r="1046">
      <c r="A1046" s="1" t="s">
        <v>809</v>
      </c>
      <c r="B1046" s="1" t="s">
        <v>250</v>
      </c>
      <c r="C1046" s="1">
        <v>45.0</v>
      </c>
      <c r="D1046" s="1" t="s">
        <v>835</v>
      </c>
      <c r="E1046" s="1" t="s">
        <v>836</v>
      </c>
      <c r="F1046" s="1" t="s">
        <v>835</v>
      </c>
      <c r="G1046" s="1">
        <v>1.0</v>
      </c>
      <c r="H1046" s="2">
        <v>0.11458333333333333</v>
      </c>
    </row>
    <row r="1047">
      <c r="A1047" s="1" t="s">
        <v>809</v>
      </c>
      <c r="B1047" s="1" t="s">
        <v>250</v>
      </c>
      <c r="C1047" s="1">
        <v>46.0</v>
      </c>
      <c r="D1047" s="1" t="s">
        <v>837</v>
      </c>
      <c r="E1047" s="1" t="s">
        <v>256</v>
      </c>
      <c r="F1047" s="1" t="s">
        <v>260</v>
      </c>
      <c r="G1047" s="1">
        <v>1.0</v>
      </c>
      <c r="H1047" s="2">
        <v>0.11319444444444444</v>
      </c>
    </row>
    <row r="1048">
      <c r="A1048" s="1" t="s">
        <v>809</v>
      </c>
      <c r="B1048" s="1" t="s">
        <v>250</v>
      </c>
      <c r="C1048" s="1">
        <v>47.0</v>
      </c>
      <c r="D1048" s="1" t="s">
        <v>285</v>
      </c>
      <c r="E1048" s="1" t="s">
        <v>286</v>
      </c>
      <c r="F1048" s="1" t="s">
        <v>285</v>
      </c>
      <c r="G1048" s="1">
        <v>0.0</v>
      </c>
      <c r="H1048" s="2">
        <v>0.11041666666666666</v>
      </c>
    </row>
    <row r="1049">
      <c r="A1049" s="1" t="s">
        <v>809</v>
      </c>
      <c r="B1049" s="1" t="s">
        <v>250</v>
      </c>
      <c r="C1049" s="1">
        <v>48.0</v>
      </c>
      <c r="D1049" s="1" t="s">
        <v>838</v>
      </c>
      <c r="E1049" s="1" t="s">
        <v>839</v>
      </c>
      <c r="F1049" s="1" t="s">
        <v>838</v>
      </c>
      <c r="G1049" s="1">
        <v>0.0</v>
      </c>
      <c r="H1049" s="2">
        <v>0.10625</v>
      </c>
    </row>
    <row r="1050">
      <c r="A1050" s="1" t="s">
        <v>809</v>
      </c>
      <c r="B1050" s="1" t="s">
        <v>250</v>
      </c>
      <c r="C1050" s="1">
        <v>49.0</v>
      </c>
      <c r="D1050" s="1" t="s">
        <v>30</v>
      </c>
      <c r="E1050" s="1" t="s">
        <v>31</v>
      </c>
      <c r="F1050" s="1" t="s">
        <v>32</v>
      </c>
      <c r="G1050" s="1">
        <v>0.0</v>
      </c>
      <c r="H1050" s="2">
        <v>0.15833333333333333</v>
      </c>
    </row>
    <row r="1051">
      <c r="A1051" s="1" t="s">
        <v>809</v>
      </c>
      <c r="B1051" s="1" t="s">
        <v>250</v>
      </c>
      <c r="C1051" s="1">
        <v>50.0</v>
      </c>
      <c r="D1051" s="1" t="s">
        <v>840</v>
      </c>
      <c r="E1051" s="1" t="s">
        <v>841</v>
      </c>
      <c r="F1051" s="1" t="s">
        <v>842</v>
      </c>
      <c r="G1051" s="1">
        <v>1.0</v>
      </c>
      <c r="H1051" s="2">
        <v>0.09236111111111112</v>
      </c>
    </row>
    <row r="1052">
      <c r="A1052" s="1" t="s">
        <v>843</v>
      </c>
      <c r="B1052" s="1" t="s">
        <v>250</v>
      </c>
      <c r="C1052" s="1">
        <v>1.0</v>
      </c>
      <c r="D1052" s="1" t="s">
        <v>844</v>
      </c>
      <c r="E1052" s="1" t="s">
        <v>845</v>
      </c>
      <c r="F1052" s="1" t="s">
        <v>846</v>
      </c>
      <c r="G1052" s="1">
        <v>1.0</v>
      </c>
      <c r="H1052" s="2">
        <v>0.1076388888888889</v>
      </c>
    </row>
    <row r="1053">
      <c r="A1053" s="1" t="s">
        <v>843</v>
      </c>
      <c r="B1053" s="1" t="s">
        <v>250</v>
      </c>
      <c r="C1053" s="1">
        <v>2.0</v>
      </c>
      <c r="D1053" s="1" t="s">
        <v>847</v>
      </c>
      <c r="E1053" s="1" t="s">
        <v>845</v>
      </c>
      <c r="F1053" s="1" t="s">
        <v>846</v>
      </c>
      <c r="G1053" s="1">
        <v>1.0</v>
      </c>
      <c r="H1053" s="2">
        <v>0.15902777777777777</v>
      </c>
    </row>
    <row r="1054">
      <c r="A1054" s="1" t="s">
        <v>843</v>
      </c>
      <c r="B1054" s="1" t="s">
        <v>250</v>
      </c>
      <c r="C1054" s="1">
        <v>3.0</v>
      </c>
      <c r="D1054" s="1" t="s">
        <v>848</v>
      </c>
      <c r="E1054" s="1" t="s">
        <v>849</v>
      </c>
      <c r="F1054" s="1" t="s">
        <v>846</v>
      </c>
      <c r="G1054" s="1">
        <v>1.0</v>
      </c>
      <c r="H1054" s="2">
        <v>0.10138888888888889</v>
      </c>
    </row>
    <row r="1055">
      <c r="A1055" s="1" t="s">
        <v>843</v>
      </c>
      <c r="B1055" s="1" t="s">
        <v>250</v>
      </c>
      <c r="C1055" s="1">
        <v>4.0</v>
      </c>
      <c r="D1055" s="1" t="s">
        <v>850</v>
      </c>
      <c r="E1055" s="1" t="s">
        <v>845</v>
      </c>
      <c r="F1055" s="1" t="s">
        <v>846</v>
      </c>
      <c r="G1055" s="1">
        <v>1.0</v>
      </c>
      <c r="H1055" s="2">
        <v>0.11875</v>
      </c>
    </row>
    <row r="1056">
      <c r="A1056" s="1" t="s">
        <v>843</v>
      </c>
      <c r="B1056" s="1" t="s">
        <v>250</v>
      </c>
      <c r="C1056" s="1">
        <v>5.0</v>
      </c>
      <c r="D1056" s="1" t="s">
        <v>851</v>
      </c>
      <c r="E1056" s="1" t="s">
        <v>845</v>
      </c>
      <c r="F1056" s="1" t="s">
        <v>846</v>
      </c>
      <c r="G1056" s="1">
        <v>1.0</v>
      </c>
      <c r="H1056" s="2">
        <v>0.12638888888888888</v>
      </c>
    </row>
    <row r="1057">
      <c r="A1057" s="1" t="s">
        <v>843</v>
      </c>
      <c r="B1057" s="1" t="s">
        <v>250</v>
      </c>
      <c r="C1057" s="1">
        <v>6.0</v>
      </c>
      <c r="D1057" s="1" t="s">
        <v>852</v>
      </c>
      <c r="E1057" s="1" t="s">
        <v>845</v>
      </c>
      <c r="F1057" s="1" t="s">
        <v>846</v>
      </c>
      <c r="G1057" s="1">
        <v>1.0</v>
      </c>
      <c r="H1057" s="2">
        <v>0.14305555555555555</v>
      </c>
    </row>
    <row r="1058">
      <c r="A1058" s="1" t="s">
        <v>843</v>
      </c>
      <c r="B1058" s="1" t="s">
        <v>250</v>
      </c>
      <c r="C1058" s="1">
        <v>7.0</v>
      </c>
      <c r="D1058" s="1" t="s">
        <v>853</v>
      </c>
      <c r="E1058" s="1" t="s">
        <v>845</v>
      </c>
      <c r="F1058" s="1" t="s">
        <v>846</v>
      </c>
      <c r="G1058" s="1">
        <v>1.0</v>
      </c>
      <c r="H1058" s="2">
        <v>0.12361111111111112</v>
      </c>
    </row>
    <row r="1059">
      <c r="A1059" s="1" t="s">
        <v>843</v>
      </c>
      <c r="B1059" s="1" t="s">
        <v>250</v>
      </c>
      <c r="C1059" s="1">
        <v>8.0</v>
      </c>
      <c r="D1059" s="1" t="s">
        <v>854</v>
      </c>
      <c r="E1059" s="1" t="s">
        <v>845</v>
      </c>
      <c r="F1059" s="1" t="s">
        <v>846</v>
      </c>
      <c r="G1059" s="1">
        <v>1.0</v>
      </c>
      <c r="H1059" s="2">
        <v>0.08125</v>
      </c>
    </row>
    <row r="1060">
      <c r="A1060" s="1" t="s">
        <v>843</v>
      </c>
      <c r="B1060" s="1" t="s">
        <v>250</v>
      </c>
      <c r="C1060" s="1">
        <v>9.0</v>
      </c>
      <c r="D1060" s="1" t="s">
        <v>855</v>
      </c>
      <c r="E1060" s="1" t="s">
        <v>845</v>
      </c>
      <c r="F1060" s="1" t="s">
        <v>846</v>
      </c>
      <c r="G1060" s="1">
        <v>1.0</v>
      </c>
      <c r="H1060" s="2">
        <v>0.11319444444444444</v>
      </c>
    </row>
    <row r="1061">
      <c r="A1061" s="1" t="s">
        <v>843</v>
      </c>
      <c r="B1061" s="1" t="s">
        <v>250</v>
      </c>
      <c r="C1061" s="1">
        <v>10.0</v>
      </c>
      <c r="D1061" s="1" t="s">
        <v>856</v>
      </c>
      <c r="E1061" s="1" t="s">
        <v>845</v>
      </c>
      <c r="F1061" s="1" t="s">
        <v>846</v>
      </c>
      <c r="G1061" s="1">
        <v>1.0</v>
      </c>
      <c r="H1061" s="2">
        <v>0.09236111111111112</v>
      </c>
    </row>
    <row r="1062">
      <c r="A1062" s="1" t="s">
        <v>843</v>
      </c>
      <c r="B1062" s="1" t="s">
        <v>250</v>
      </c>
      <c r="C1062" s="1">
        <v>11.0</v>
      </c>
      <c r="D1062" s="1" t="s">
        <v>857</v>
      </c>
      <c r="E1062" s="1" t="s">
        <v>858</v>
      </c>
      <c r="F1062" s="1" t="s">
        <v>846</v>
      </c>
      <c r="G1062" s="1">
        <v>1.0</v>
      </c>
      <c r="H1062" s="2">
        <v>0.18958333333333333</v>
      </c>
    </row>
    <row r="1063">
      <c r="A1063" s="1" t="s">
        <v>843</v>
      </c>
      <c r="B1063" s="1" t="s">
        <v>250</v>
      </c>
      <c r="C1063" s="1">
        <v>12.0</v>
      </c>
      <c r="D1063" s="1" t="s">
        <v>859</v>
      </c>
      <c r="E1063" s="1" t="s">
        <v>860</v>
      </c>
      <c r="F1063" s="1" t="s">
        <v>846</v>
      </c>
      <c r="G1063" s="1">
        <v>1.0</v>
      </c>
      <c r="H1063" s="2">
        <v>0.10208333333333333</v>
      </c>
    </row>
    <row r="1064">
      <c r="A1064" s="1" t="s">
        <v>843</v>
      </c>
      <c r="B1064" s="1" t="s">
        <v>250</v>
      </c>
      <c r="C1064" s="1">
        <v>13.0</v>
      </c>
      <c r="D1064" s="1" t="s">
        <v>651</v>
      </c>
      <c r="E1064" s="1" t="s">
        <v>845</v>
      </c>
      <c r="F1064" s="1" t="s">
        <v>846</v>
      </c>
      <c r="G1064" s="1">
        <v>1.0</v>
      </c>
      <c r="H1064" s="2">
        <v>0.11944444444444445</v>
      </c>
    </row>
    <row r="1065">
      <c r="A1065" s="1" t="s">
        <v>843</v>
      </c>
      <c r="B1065" s="1" t="s">
        <v>250</v>
      </c>
      <c r="C1065" s="1">
        <v>14.0</v>
      </c>
      <c r="D1065" s="1" t="s">
        <v>861</v>
      </c>
      <c r="E1065" s="1" t="s">
        <v>845</v>
      </c>
      <c r="F1065" s="1" t="s">
        <v>846</v>
      </c>
      <c r="G1065" s="1">
        <v>1.0</v>
      </c>
      <c r="H1065" s="2">
        <v>0.125</v>
      </c>
    </row>
    <row r="1066">
      <c r="A1066" s="1" t="s">
        <v>843</v>
      </c>
      <c r="B1066" s="1" t="s">
        <v>250</v>
      </c>
      <c r="C1066" s="1">
        <v>15.0</v>
      </c>
      <c r="D1066" s="1" t="s">
        <v>25</v>
      </c>
      <c r="E1066" s="1" t="s">
        <v>26</v>
      </c>
      <c r="F1066" s="1" t="s">
        <v>25</v>
      </c>
      <c r="G1066" s="1">
        <v>1.0</v>
      </c>
      <c r="H1066" s="2">
        <v>0.11458333333333333</v>
      </c>
    </row>
    <row r="1067">
      <c r="A1067" s="1" t="s">
        <v>843</v>
      </c>
      <c r="B1067" s="1" t="s">
        <v>250</v>
      </c>
      <c r="C1067" s="1">
        <v>16.0</v>
      </c>
      <c r="D1067" s="1" t="s">
        <v>862</v>
      </c>
      <c r="E1067" s="1" t="s">
        <v>863</v>
      </c>
      <c r="F1067" s="1" t="s">
        <v>862</v>
      </c>
      <c r="G1067" s="1">
        <v>1.0</v>
      </c>
      <c r="H1067" s="2">
        <v>0.14722222222222223</v>
      </c>
    </row>
    <row r="1068">
      <c r="A1068" s="1" t="s">
        <v>843</v>
      </c>
      <c r="B1068" s="1" t="s">
        <v>250</v>
      </c>
      <c r="C1068" s="1">
        <v>17.0</v>
      </c>
      <c r="D1068" s="1" t="s">
        <v>36</v>
      </c>
      <c r="E1068" s="1" t="s">
        <v>37</v>
      </c>
      <c r="F1068" s="1" t="s">
        <v>36</v>
      </c>
      <c r="G1068" s="1">
        <v>1.0</v>
      </c>
      <c r="H1068" s="2">
        <v>0.09166666666666666</v>
      </c>
    </row>
    <row r="1069">
      <c r="A1069" s="1" t="s">
        <v>843</v>
      </c>
      <c r="B1069" s="1" t="s">
        <v>250</v>
      </c>
      <c r="C1069" s="1">
        <v>18.0</v>
      </c>
      <c r="D1069" s="1" t="s">
        <v>17</v>
      </c>
      <c r="E1069" s="1" t="s">
        <v>18</v>
      </c>
      <c r="F1069" s="1" t="s">
        <v>19</v>
      </c>
      <c r="G1069" s="1">
        <v>1.0</v>
      </c>
      <c r="H1069" s="2">
        <v>0.12222222222222222</v>
      </c>
    </row>
    <row r="1070">
      <c r="A1070" s="1" t="s">
        <v>843</v>
      </c>
      <c r="B1070" s="1" t="s">
        <v>250</v>
      </c>
      <c r="C1070" s="1">
        <v>19.0</v>
      </c>
      <c r="D1070" s="1" t="s">
        <v>864</v>
      </c>
      <c r="E1070" s="1" t="s">
        <v>865</v>
      </c>
      <c r="F1070" s="1" t="s">
        <v>866</v>
      </c>
      <c r="G1070" s="1">
        <v>1.0</v>
      </c>
      <c r="H1070" s="2">
        <v>0.1597222222222222</v>
      </c>
    </row>
    <row r="1071">
      <c r="A1071" s="1" t="s">
        <v>843</v>
      </c>
      <c r="B1071" s="1" t="s">
        <v>250</v>
      </c>
      <c r="C1071" s="1">
        <v>20.0</v>
      </c>
      <c r="D1071" s="1" t="s">
        <v>9</v>
      </c>
      <c r="E1071" s="1" t="s">
        <v>10</v>
      </c>
      <c r="F1071" s="1" t="s">
        <v>9</v>
      </c>
      <c r="G1071" s="1">
        <v>0.0</v>
      </c>
      <c r="H1071" s="2">
        <v>0.12638888888888888</v>
      </c>
    </row>
    <row r="1072">
      <c r="A1072" s="1" t="s">
        <v>843</v>
      </c>
      <c r="B1072" s="1" t="s">
        <v>250</v>
      </c>
      <c r="C1072" s="1">
        <v>21.0</v>
      </c>
      <c r="D1072" s="1" t="s">
        <v>867</v>
      </c>
      <c r="E1072" s="1" t="s">
        <v>868</v>
      </c>
      <c r="F1072" s="1" t="s">
        <v>867</v>
      </c>
      <c r="G1072" s="1">
        <v>0.0</v>
      </c>
      <c r="H1072" s="2">
        <v>0.12361111111111112</v>
      </c>
    </row>
    <row r="1073">
      <c r="A1073" s="1" t="s">
        <v>843</v>
      </c>
      <c r="B1073" s="1" t="s">
        <v>250</v>
      </c>
      <c r="C1073" s="1">
        <v>22.0</v>
      </c>
      <c r="D1073" s="1" t="s">
        <v>11</v>
      </c>
      <c r="E1073" s="1" t="s">
        <v>12</v>
      </c>
      <c r="F1073" s="1" t="s">
        <v>13</v>
      </c>
      <c r="G1073" s="1">
        <v>0.0</v>
      </c>
      <c r="H1073" s="2">
        <v>0.1388888888888889</v>
      </c>
    </row>
    <row r="1074">
      <c r="A1074" s="1" t="s">
        <v>843</v>
      </c>
      <c r="B1074" s="1" t="s">
        <v>250</v>
      </c>
      <c r="C1074" s="1">
        <v>23.0</v>
      </c>
      <c r="D1074" s="1" t="s">
        <v>14</v>
      </c>
      <c r="E1074" s="1" t="s">
        <v>15</v>
      </c>
      <c r="F1074" s="1" t="s">
        <v>16</v>
      </c>
      <c r="G1074" s="1">
        <v>1.0</v>
      </c>
      <c r="H1074" s="2">
        <v>0.12569444444444444</v>
      </c>
    </row>
    <row r="1075">
      <c r="A1075" s="1" t="s">
        <v>843</v>
      </c>
      <c r="B1075" s="1" t="s">
        <v>250</v>
      </c>
      <c r="C1075" s="1">
        <v>24.0</v>
      </c>
      <c r="D1075" s="1" t="s">
        <v>869</v>
      </c>
      <c r="E1075" s="1" t="s">
        <v>870</v>
      </c>
      <c r="F1075" s="1" t="s">
        <v>869</v>
      </c>
      <c r="G1075" s="1">
        <v>1.0</v>
      </c>
      <c r="H1075" s="2">
        <v>0.11944444444444445</v>
      </c>
    </row>
    <row r="1076">
      <c r="A1076" s="1" t="s">
        <v>843</v>
      </c>
      <c r="B1076" s="1" t="s">
        <v>250</v>
      </c>
      <c r="C1076" s="1">
        <v>25.0</v>
      </c>
      <c r="D1076" s="1" t="s">
        <v>871</v>
      </c>
      <c r="E1076" s="1" t="s">
        <v>872</v>
      </c>
      <c r="F1076" s="1" t="s">
        <v>873</v>
      </c>
      <c r="G1076" s="1">
        <v>1.0</v>
      </c>
      <c r="H1076" s="2">
        <v>0.11041666666666666</v>
      </c>
    </row>
    <row r="1077">
      <c r="A1077" s="1" t="s">
        <v>843</v>
      </c>
      <c r="B1077" s="1" t="s">
        <v>250</v>
      </c>
      <c r="C1077" s="1">
        <v>26.0</v>
      </c>
      <c r="D1077" s="1" t="s">
        <v>874</v>
      </c>
      <c r="E1077" s="1" t="s">
        <v>845</v>
      </c>
      <c r="F1077" s="1" t="s">
        <v>874</v>
      </c>
      <c r="G1077" s="1">
        <v>1.0</v>
      </c>
      <c r="H1077" s="2">
        <v>0.12569444444444444</v>
      </c>
    </row>
    <row r="1078">
      <c r="A1078" s="1" t="s">
        <v>843</v>
      </c>
      <c r="B1078" s="1" t="s">
        <v>250</v>
      </c>
      <c r="C1078" s="1">
        <v>27.0</v>
      </c>
      <c r="D1078" s="1" t="s">
        <v>20</v>
      </c>
      <c r="E1078" s="1" t="s">
        <v>21</v>
      </c>
      <c r="F1078" s="1" t="s">
        <v>22</v>
      </c>
      <c r="G1078" s="1">
        <v>1.0</v>
      </c>
      <c r="H1078" s="2">
        <v>0.17152777777777778</v>
      </c>
    </row>
    <row r="1079">
      <c r="A1079" s="1" t="s">
        <v>843</v>
      </c>
      <c r="B1079" s="1" t="s">
        <v>250</v>
      </c>
      <c r="C1079" s="1">
        <v>28.0</v>
      </c>
      <c r="D1079" s="1" t="s">
        <v>875</v>
      </c>
      <c r="E1079" s="1" t="s">
        <v>876</v>
      </c>
      <c r="F1079" s="1" t="s">
        <v>875</v>
      </c>
      <c r="G1079" s="1">
        <v>1.0</v>
      </c>
      <c r="H1079" s="2">
        <v>0.10625</v>
      </c>
    </row>
    <row r="1080">
      <c r="A1080" s="1" t="s">
        <v>843</v>
      </c>
      <c r="B1080" s="1" t="s">
        <v>250</v>
      </c>
      <c r="C1080" s="1">
        <v>29.0</v>
      </c>
      <c r="D1080" s="1" t="s">
        <v>877</v>
      </c>
      <c r="E1080" s="1" t="s">
        <v>878</v>
      </c>
      <c r="F1080" s="1" t="s">
        <v>877</v>
      </c>
      <c r="G1080" s="1">
        <v>1.0</v>
      </c>
      <c r="H1080" s="2">
        <v>0.12638888888888888</v>
      </c>
    </row>
    <row r="1081">
      <c r="A1081" s="1" t="s">
        <v>843</v>
      </c>
      <c r="B1081" s="1" t="s">
        <v>250</v>
      </c>
      <c r="C1081" s="1">
        <v>30.0</v>
      </c>
      <c r="D1081" s="1" t="s">
        <v>104</v>
      </c>
      <c r="E1081" s="1" t="s">
        <v>84</v>
      </c>
      <c r="F1081" s="1" t="s">
        <v>104</v>
      </c>
      <c r="G1081" s="1">
        <v>1.0</v>
      </c>
      <c r="H1081" s="2">
        <v>0.12152777777777778</v>
      </c>
    </row>
    <row r="1082">
      <c r="A1082" s="1" t="s">
        <v>843</v>
      </c>
      <c r="B1082" s="1" t="s">
        <v>250</v>
      </c>
      <c r="C1082" s="1">
        <v>31.0</v>
      </c>
      <c r="D1082" s="1" t="s">
        <v>41</v>
      </c>
      <c r="E1082" s="1" t="s">
        <v>42</v>
      </c>
      <c r="F1082" s="1" t="s">
        <v>43</v>
      </c>
      <c r="G1082" s="1">
        <v>1.0</v>
      </c>
      <c r="H1082" s="2">
        <v>0.1361111111111111</v>
      </c>
    </row>
    <row r="1083">
      <c r="A1083" s="1" t="s">
        <v>843</v>
      </c>
      <c r="B1083" s="1" t="s">
        <v>250</v>
      </c>
      <c r="C1083" s="1">
        <v>32.0</v>
      </c>
      <c r="D1083" s="1" t="s">
        <v>879</v>
      </c>
      <c r="E1083" s="1" t="s">
        <v>880</v>
      </c>
      <c r="F1083" s="1" t="s">
        <v>879</v>
      </c>
      <c r="G1083" s="1">
        <v>1.0</v>
      </c>
      <c r="H1083" s="2">
        <v>0.24166666666666667</v>
      </c>
    </row>
    <row r="1084">
      <c r="A1084" s="1" t="s">
        <v>843</v>
      </c>
      <c r="B1084" s="1" t="s">
        <v>250</v>
      </c>
      <c r="C1084" s="1">
        <v>33.0</v>
      </c>
      <c r="D1084" s="1" t="s">
        <v>94</v>
      </c>
      <c r="E1084" s="1" t="s">
        <v>84</v>
      </c>
      <c r="F1084" s="1" t="s">
        <v>95</v>
      </c>
      <c r="G1084" s="1">
        <v>1.0</v>
      </c>
      <c r="H1084" s="2">
        <v>0.21666666666666667</v>
      </c>
    </row>
    <row r="1085">
      <c r="A1085" s="1" t="s">
        <v>843</v>
      </c>
      <c r="B1085" s="1" t="s">
        <v>250</v>
      </c>
      <c r="C1085" s="1">
        <v>34.0</v>
      </c>
      <c r="D1085" s="1" t="s">
        <v>38</v>
      </c>
      <c r="E1085" s="1" t="s">
        <v>39</v>
      </c>
      <c r="F1085" s="1" t="s">
        <v>40</v>
      </c>
      <c r="G1085" s="1">
        <v>1.0</v>
      </c>
      <c r="H1085" s="2">
        <v>0.1125</v>
      </c>
    </row>
    <row r="1086">
      <c r="A1086" s="1" t="s">
        <v>843</v>
      </c>
      <c r="B1086" s="1" t="s">
        <v>250</v>
      </c>
      <c r="C1086" s="1">
        <v>35.0</v>
      </c>
      <c r="D1086" s="1" t="s">
        <v>881</v>
      </c>
      <c r="E1086" s="1" t="s">
        <v>870</v>
      </c>
      <c r="F1086" s="1" t="s">
        <v>881</v>
      </c>
      <c r="G1086" s="1">
        <v>1.0</v>
      </c>
      <c r="H1086" s="2">
        <v>0.1451388888888889</v>
      </c>
    </row>
    <row r="1087">
      <c r="A1087" s="1" t="s">
        <v>843</v>
      </c>
      <c r="B1087" s="1" t="s">
        <v>250</v>
      </c>
      <c r="C1087" s="1">
        <v>36.0</v>
      </c>
      <c r="D1087" s="1" t="s">
        <v>101</v>
      </c>
      <c r="E1087" s="1" t="s">
        <v>102</v>
      </c>
      <c r="F1087" s="1" t="s">
        <v>103</v>
      </c>
      <c r="G1087" s="1">
        <v>1.0</v>
      </c>
      <c r="H1087" s="2">
        <v>0.16458333333333333</v>
      </c>
    </row>
    <row r="1088">
      <c r="A1088" s="1" t="s">
        <v>843</v>
      </c>
      <c r="B1088" s="1" t="s">
        <v>250</v>
      </c>
      <c r="C1088" s="1">
        <v>37.0</v>
      </c>
      <c r="D1088" s="1" t="s">
        <v>83</v>
      </c>
      <c r="E1088" s="1" t="s">
        <v>84</v>
      </c>
      <c r="F1088" s="1" t="s">
        <v>85</v>
      </c>
      <c r="G1088" s="1">
        <v>1.0</v>
      </c>
      <c r="H1088" s="2">
        <v>0.16875</v>
      </c>
    </row>
    <row r="1089">
      <c r="A1089" s="1" t="s">
        <v>843</v>
      </c>
      <c r="B1089" s="1" t="s">
        <v>250</v>
      </c>
      <c r="C1089" s="1">
        <v>38.0</v>
      </c>
      <c r="D1089" s="1" t="s">
        <v>882</v>
      </c>
      <c r="E1089" s="1" t="s">
        <v>883</v>
      </c>
      <c r="F1089" s="1" t="s">
        <v>882</v>
      </c>
      <c r="G1089" s="1">
        <v>1.0</v>
      </c>
      <c r="H1089" s="2">
        <v>0.12361111111111112</v>
      </c>
    </row>
    <row r="1090">
      <c r="A1090" s="1" t="s">
        <v>843</v>
      </c>
      <c r="B1090" s="1" t="s">
        <v>250</v>
      </c>
      <c r="C1090" s="1">
        <v>39.0</v>
      </c>
      <c r="D1090" s="1" t="s">
        <v>884</v>
      </c>
      <c r="E1090" s="1" t="s">
        <v>885</v>
      </c>
      <c r="F1090" s="1" t="s">
        <v>884</v>
      </c>
      <c r="G1090" s="1">
        <v>1.0</v>
      </c>
      <c r="H1090" s="2">
        <v>0.15416666666666667</v>
      </c>
    </row>
    <row r="1091">
      <c r="A1091" s="1" t="s">
        <v>843</v>
      </c>
      <c r="B1091" s="1" t="s">
        <v>250</v>
      </c>
      <c r="C1091" s="1">
        <v>40.0</v>
      </c>
      <c r="D1091" s="1" t="s">
        <v>88</v>
      </c>
      <c r="E1091" s="1" t="s">
        <v>89</v>
      </c>
      <c r="F1091" s="1" t="s">
        <v>90</v>
      </c>
      <c r="G1091" s="1">
        <v>1.0</v>
      </c>
      <c r="H1091" s="2">
        <v>0.09652777777777778</v>
      </c>
    </row>
    <row r="1092">
      <c r="A1092" s="1" t="s">
        <v>843</v>
      </c>
      <c r="B1092" s="1" t="s">
        <v>250</v>
      </c>
      <c r="C1092" s="1">
        <v>41.0</v>
      </c>
      <c r="D1092" s="1" t="s">
        <v>886</v>
      </c>
      <c r="E1092" s="1" t="s">
        <v>887</v>
      </c>
      <c r="F1092" s="1" t="s">
        <v>886</v>
      </c>
      <c r="G1092" s="1">
        <v>1.0</v>
      </c>
      <c r="H1092" s="2">
        <v>0.16111111111111112</v>
      </c>
    </row>
    <row r="1093">
      <c r="A1093" s="1" t="s">
        <v>843</v>
      </c>
      <c r="B1093" s="1" t="s">
        <v>250</v>
      </c>
      <c r="C1093" s="1">
        <v>42.0</v>
      </c>
      <c r="D1093" s="1" t="s">
        <v>888</v>
      </c>
      <c r="E1093" s="1" t="s">
        <v>889</v>
      </c>
      <c r="F1093" s="1">
        <v>777.0</v>
      </c>
      <c r="G1093" s="1">
        <v>1.0</v>
      </c>
      <c r="H1093" s="2">
        <v>0.11597222222222223</v>
      </c>
    </row>
    <row r="1094">
      <c r="A1094" s="1" t="s">
        <v>843</v>
      </c>
      <c r="B1094" s="1" t="s">
        <v>250</v>
      </c>
      <c r="C1094" s="1">
        <v>43.0</v>
      </c>
      <c r="D1094" s="1" t="s">
        <v>27</v>
      </c>
      <c r="E1094" s="1" t="s">
        <v>28</v>
      </c>
      <c r="F1094" s="1" t="s">
        <v>29</v>
      </c>
      <c r="G1094" s="1">
        <v>0.0</v>
      </c>
      <c r="H1094" s="2">
        <v>0.12708333333333333</v>
      </c>
    </row>
    <row r="1095">
      <c r="A1095" s="1" t="s">
        <v>843</v>
      </c>
      <c r="B1095" s="1" t="s">
        <v>250</v>
      </c>
      <c r="C1095" s="1">
        <v>44.0</v>
      </c>
      <c r="D1095" s="1" t="s">
        <v>60</v>
      </c>
      <c r="E1095" s="1" t="s">
        <v>61</v>
      </c>
      <c r="F1095" s="1" t="s">
        <v>62</v>
      </c>
      <c r="G1095" s="1">
        <v>0.0</v>
      </c>
      <c r="H1095" s="2">
        <v>0.11041666666666666</v>
      </c>
    </row>
    <row r="1096">
      <c r="A1096" s="1" t="s">
        <v>843</v>
      </c>
      <c r="B1096" s="1" t="s">
        <v>250</v>
      </c>
      <c r="C1096" s="1">
        <v>45.0</v>
      </c>
      <c r="D1096" s="1" t="s">
        <v>53</v>
      </c>
      <c r="E1096" s="1" t="s">
        <v>12</v>
      </c>
      <c r="F1096" s="1" t="s">
        <v>13</v>
      </c>
      <c r="G1096" s="1">
        <v>1.0</v>
      </c>
      <c r="H1096" s="2">
        <v>0.16458333333333333</v>
      </c>
    </row>
    <row r="1097">
      <c r="A1097" s="1" t="s">
        <v>843</v>
      </c>
      <c r="B1097" s="1" t="s">
        <v>250</v>
      </c>
      <c r="C1097" s="1">
        <v>46.0</v>
      </c>
      <c r="D1097" s="1" t="s">
        <v>890</v>
      </c>
      <c r="E1097" s="1" t="s">
        <v>891</v>
      </c>
      <c r="F1097" s="1" t="s">
        <v>892</v>
      </c>
      <c r="G1097" s="1">
        <v>1.0</v>
      </c>
      <c r="H1097" s="2">
        <v>0.1076388888888889</v>
      </c>
    </row>
    <row r="1098">
      <c r="A1098" s="1" t="s">
        <v>843</v>
      </c>
      <c r="B1098" s="1" t="s">
        <v>250</v>
      </c>
      <c r="C1098" s="1">
        <v>47.0</v>
      </c>
      <c r="D1098" s="1" t="s">
        <v>46</v>
      </c>
      <c r="E1098" s="1" t="s">
        <v>28</v>
      </c>
      <c r="F1098" s="1" t="s">
        <v>29</v>
      </c>
      <c r="G1098" s="1">
        <v>0.0</v>
      </c>
      <c r="H1098" s="2">
        <v>0.15347222222222223</v>
      </c>
    </row>
    <row r="1099">
      <c r="A1099" s="1" t="s">
        <v>843</v>
      </c>
      <c r="B1099" s="1" t="s">
        <v>250</v>
      </c>
      <c r="C1099" s="1">
        <v>48.0</v>
      </c>
      <c r="D1099" s="1" t="s">
        <v>30</v>
      </c>
      <c r="E1099" s="1" t="s">
        <v>31</v>
      </c>
      <c r="F1099" s="1" t="s">
        <v>32</v>
      </c>
      <c r="G1099" s="1">
        <v>0.0</v>
      </c>
      <c r="H1099" s="2">
        <v>0.15833333333333333</v>
      </c>
    </row>
    <row r="1100">
      <c r="A1100" s="1" t="s">
        <v>843</v>
      </c>
      <c r="B1100" s="1" t="s">
        <v>250</v>
      </c>
      <c r="C1100" s="1">
        <v>49.0</v>
      </c>
      <c r="D1100" s="1" t="s">
        <v>893</v>
      </c>
      <c r="E1100" s="1" t="s">
        <v>845</v>
      </c>
      <c r="F1100" s="1" t="s">
        <v>893</v>
      </c>
      <c r="G1100" s="1">
        <v>1.0</v>
      </c>
      <c r="H1100" s="2">
        <v>0.16666666666666666</v>
      </c>
    </row>
    <row r="1101">
      <c r="A1101" s="1" t="s">
        <v>843</v>
      </c>
      <c r="B1101" s="1" t="s">
        <v>250</v>
      </c>
      <c r="C1101" s="1">
        <v>50.0</v>
      </c>
      <c r="D1101" s="1" t="s">
        <v>78</v>
      </c>
      <c r="E1101" s="1" t="s">
        <v>79</v>
      </c>
      <c r="F1101" s="1" t="s">
        <v>78</v>
      </c>
      <c r="G1101" s="1">
        <v>0.0</v>
      </c>
      <c r="H1101" s="2">
        <v>0.10208333333333333</v>
      </c>
    </row>
    <row r="1102">
      <c r="A1102" s="1" t="s">
        <v>894</v>
      </c>
      <c r="B1102" s="1" t="s">
        <v>484</v>
      </c>
      <c r="C1102" s="1">
        <v>1.0</v>
      </c>
      <c r="D1102" s="1" t="s">
        <v>108</v>
      </c>
      <c r="E1102" s="1" t="s">
        <v>109</v>
      </c>
      <c r="F1102" s="1" t="s">
        <v>110</v>
      </c>
      <c r="G1102" s="1">
        <v>0.0</v>
      </c>
      <c r="H1102" s="2">
        <v>0.10416666666666667</v>
      </c>
    </row>
    <row r="1103">
      <c r="A1103" s="1" t="s">
        <v>894</v>
      </c>
      <c r="B1103" s="1" t="s">
        <v>484</v>
      </c>
      <c r="C1103" s="1">
        <v>2.0</v>
      </c>
      <c r="D1103" s="1" t="s">
        <v>71</v>
      </c>
      <c r="E1103" s="1" t="s">
        <v>72</v>
      </c>
      <c r="F1103" s="1" t="s">
        <v>67</v>
      </c>
      <c r="G1103" s="1">
        <v>0.0</v>
      </c>
      <c r="H1103" s="2">
        <v>0.11944444444444445</v>
      </c>
    </row>
    <row r="1104">
      <c r="A1104" s="1" t="s">
        <v>894</v>
      </c>
      <c r="B1104" s="1" t="s">
        <v>484</v>
      </c>
      <c r="C1104" s="1">
        <v>3.0</v>
      </c>
      <c r="D1104" s="1" t="s">
        <v>65</v>
      </c>
      <c r="E1104" s="1" t="s">
        <v>66</v>
      </c>
      <c r="F1104" s="1" t="s">
        <v>67</v>
      </c>
      <c r="G1104" s="1">
        <v>1.0</v>
      </c>
      <c r="H1104" s="2">
        <v>0.2048611111111111</v>
      </c>
    </row>
    <row r="1105">
      <c r="A1105" s="1" t="s">
        <v>894</v>
      </c>
      <c r="B1105" s="1" t="s">
        <v>484</v>
      </c>
      <c r="C1105" s="1">
        <v>4.0</v>
      </c>
      <c r="D1105" s="1" t="s">
        <v>129</v>
      </c>
      <c r="E1105" s="1" t="s">
        <v>130</v>
      </c>
      <c r="F1105" s="1" t="s">
        <v>131</v>
      </c>
      <c r="G1105" s="1">
        <v>0.0</v>
      </c>
      <c r="H1105" s="2">
        <v>0.1451388888888889</v>
      </c>
    </row>
    <row r="1106">
      <c r="A1106" s="1" t="s">
        <v>894</v>
      </c>
      <c r="B1106" s="1" t="s">
        <v>484</v>
      </c>
      <c r="C1106" s="1">
        <v>5.0</v>
      </c>
      <c r="D1106" s="1" t="s">
        <v>143</v>
      </c>
      <c r="E1106" s="1" t="s">
        <v>144</v>
      </c>
      <c r="F1106" s="1" t="s">
        <v>143</v>
      </c>
      <c r="G1106" s="1">
        <v>0.0</v>
      </c>
      <c r="H1106" s="2">
        <v>0.14027777777777778</v>
      </c>
    </row>
    <row r="1107">
      <c r="A1107" s="1" t="s">
        <v>894</v>
      </c>
      <c r="B1107" s="1" t="s">
        <v>484</v>
      </c>
      <c r="C1107" s="1">
        <v>6.0</v>
      </c>
      <c r="D1107" s="1" t="s">
        <v>177</v>
      </c>
      <c r="E1107" s="1" t="s">
        <v>178</v>
      </c>
      <c r="F1107" s="1" t="s">
        <v>67</v>
      </c>
      <c r="G1107" s="1">
        <v>1.0</v>
      </c>
      <c r="H1107" s="2">
        <v>0.14583333333333334</v>
      </c>
    </row>
    <row r="1108">
      <c r="A1108" s="1" t="s">
        <v>894</v>
      </c>
      <c r="B1108" s="1" t="s">
        <v>484</v>
      </c>
      <c r="C1108" s="1">
        <v>7.0</v>
      </c>
      <c r="D1108" s="1" t="s">
        <v>11</v>
      </c>
      <c r="E1108" s="1" t="s">
        <v>12</v>
      </c>
      <c r="F1108" s="1" t="s">
        <v>13</v>
      </c>
      <c r="G1108" s="1">
        <v>0.0</v>
      </c>
      <c r="H1108" s="2">
        <v>0.1388888888888889</v>
      </c>
    </row>
    <row r="1109">
      <c r="A1109" s="1" t="s">
        <v>894</v>
      </c>
      <c r="B1109" s="1" t="s">
        <v>484</v>
      </c>
      <c r="C1109" s="1">
        <v>8.0</v>
      </c>
      <c r="D1109" s="1" t="s">
        <v>330</v>
      </c>
      <c r="E1109" s="1" t="s">
        <v>72</v>
      </c>
      <c r="F1109" s="1" t="s">
        <v>67</v>
      </c>
      <c r="G1109" s="1">
        <v>0.0</v>
      </c>
      <c r="H1109" s="2">
        <v>0.11805555555555555</v>
      </c>
    </row>
    <row r="1110">
      <c r="A1110" s="1" t="s">
        <v>894</v>
      </c>
      <c r="B1110" s="1" t="s">
        <v>484</v>
      </c>
      <c r="C1110" s="1">
        <v>9.0</v>
      </c>
      <c r="D1110" s="1" t="s">
        <v>165</v>
      </c>
      <c r="E1110" s="1" t="s">
        <v>166</v>
      </c>
      <c r="F1110" s="1" t="s">
        <v>165</v>
      </c>
      <c r="G1110" s="1">
        <v>0.0</v>
      </c>
      <c r="H1110" s="2">
        <v>0.13819444444444445</v>
      </c>
    </row>
    <row r="1111">
      <c r="A1111" s="1" t="s">
        <v>894</v>
      </c>
      <c r="B1111" s="1" t="s">
        <v>484</v>
      </c>
      <c r="C1111" s="1">
        <v>10.0</v>
      </c>
      <c r="D1111" s="1" t="s">
        <v>161</v>
      </c>
      <c r="E1111" s="1" t="s">
        <v>162</v>
      </c>
      <c r="F1111" s="1" t="s">
        <v>161</v>
      </c>
      <c r="G1111" s="1">
        <v>0.0</v>
      </c>
      <c r="H1111" s="2">
        <v>0.15694444444444444</v>
      </c>
    </row>
    <row r="1112">
      <c r="A1112" s="1" t="s">
        <v>894</v>
      </c>
      <c r="B1112" s="1" t="s">
        <v>484</v>
      </c>
      <c r="C1112" s="1">
        <v>11.0</v>
      </c>
      <c r="D1112" s="1" t="s">
        <v>141</v>
      </c>
      <c r="E1112" s="1" t="s">
        <v>142</v>
      </c>
      <c r="F1112" s="1" t="s">
        <v>141</v>
      </c>
      <c r="G1112" s="1">
        <v>0.0</v>
      </c>
      <c r="H1112" s="2">
        <v>0.13680555555555557</v>
      </c>
    </row>
    <row r="1113">
      <c r="A1113" s="1" t="s">
        <v>894</v>
      </c>
      <c r="B1113" s="1" t="s">
        <v>484</v>
      </c>
      <c r="C1113" s="1">
        <v>12.0</v>
      </c>
      <c r="D1113" s="1" t="s">
        <v>147</v>
      </c>
      <c r="E1113" s="1" t="s">
        <v>148</v>
      </c>
      <c r="F1113" s="1" t="s">
        <v>149</v>
      </c>
      <c r="G1113" s="1">
        <v>0.0</v>
      </c>
      <c r="H1113" s="2">
        <v>0.17291666666666666</v>
      </c>
    </row>
    <row r="1114">
      <c r="A1114" s="1" t="s">
        <v>894</v>
      </c>
      <c r="B1114" s="1" t="s">
        <v>484</v>
      </c>
      <c r="C1114" s="1">
        <v>13.0</v>
      </c>
      <c r="D1114" s="1" t="s">
        <v>86</v>
      </c>
      <c r="E1114" s="1" t="s">
        <v>87</v>
      </c>
      <c r="F1114" s="1" t="s">
        <v>86</v>
      </c>
      <c r="G1114" s="1">
        <v>0.0</v>
      </c>
      <c r="H1114" s="2">
        <v>0.1388888888888889</v>
      </c>
    </row>
    <row r="1115">
      <c r="A1115" s="1" t="s">
        <v>894</v>
      </c>
      <c r="B1115" s="1" t="s">
        <v>484</v>
      </c>
      <c r="C1115" s="1">
        <v>14.0</v>
      </c>
      <c r="D1115" s="1" t="s">
        <v>326</v>
      </c>
      <c r="E1115" s="1" t="s">
        <v>327</v>
      </c>
      <c r="F1115" s="1" t="s">
        <v>328</v>
      </c>
      <c r="G1115" s="1">
        <v>0.0</v>
      </c>
      <c r="H1115" s="2">
        <v>0.1798611111111111</v>
      </c>
    </row>
    <row r="1116">
      <c r="A1116" s="1" t="s">
        <v>894</v>
      </c>
      <c r="B1116" s="1" t="s">
        <v>484</v>
      </c>
      <c r="C1116" s="1">
        <v>15.0</v>
      </c>
      <c r="D1116" s="1" t="s">
        <v>172</v>
      </c>
      <c r="E1116" s="1" t="s">
        <v>72</v>
      </c>
      <c r="F1116" s="1" t="s">
        <v>67</v>
      </c>
      <c r="G1116" s="1">
        <v>1.0</v>
      </c>
      <c r="H1116" s="2">
        <v>0.11319444444444444</v>
      </c>
    </row>
    <row r="1117">
      <c r="A1117" s="1" t="s">
        <v>894</v>
      </c>
      <c r="B1117" s="1" t="s">
        <v>484</v>
      </c>
      <c r="C1117" s="1">
        <v>16.0</v>
      </c>
      <c r="D1117" s="1" t="s">
        <v>324</v>
      </c>
      <c r="E1117" s="1" t="s">
        <v>325</v>
      </c>
      <c r="F1117" s="1" t="s">
        <v>324</v>
      </c>
      <c r="G1117" s="1">
        <v>1.0</v>
      </c>
      <c r="H1117" s="2">
        <v>0.15763888888888888</v>
      </c>
    </row>
    <row r="1118">
      <c r="A1118" s="1" t="s">
        <v>894</v>
      </c>
      <c r="B1118" s="1" t="s">
        <v>484</v>
      </c>
      <c r="C1118" s="1">
        <v>17.0</v>
      </c>
      <c r="D1118" s="1" t="s">
        <v>206</v>
      </c>
      <c r="E1118" s="1" t="s">
        <v>72</v>
      </c>
      <c r="F1118" s="1" t="s">
        <v>207</v>
      </c>
      <c r="G1118" s="1">
        <v>1.0</v>
      </c>
      <c r="H1118" s="2">
        <v>0.12361111111111112</v>
      </c>
    </row>
    <row r="1119">
      <c r="A1119" s="1" t="s">
        <v>894</v>
      </c>
      <c r="B1119" s="1" t="s">
        <v>484</v>
      </c>
      <c r="C1119" s="1">
        <v>18.0</v>
      </c>
      <c r="D1119" s="1" t="s">
        <v>349</v>
      </c>
      <c r="E1119" s="1" t="s">
        <v>72</v>
      </c>
      <c r="F1119" s="1" t="s">
        <v>67</v>
      </c>
      <c r="G1119" s="1">
        <v>1.0</v>
      </c>
      <c r="H1119" s="2">
        <v>0.13333333333333333</v>
      </c>
    </row>
    <row r="1120">
      <c r="A1120" s="1" t="s">
        <v>894</v>
      </c>
      <c r="B1120" s="1" t="s">
        <v>484</v>
      </c>
      <c r="C1120" s="1">
        <v>19.0</v>
      </c>
      <c r="D1120" s="1" t="s">
        <v>331</v>
      </c>
      <c r="E1120" s="1" t="s">
        <v>332</v>
      </c>
      <c r="F1120" s="1" t="s">
        <v>333</v>
      </c>
      <c r="G1120" s="1">
        <v>0.0</v>
      </c>
      <c r="H1120" s="2">
        <v>0.16805555555555557</v>
      </c>
    </row>
    <row r="1121">
      <c r="A1121" s="1" t="s">
        <v>894</v>
      </c>
      <c r="B1121" s="1" t="s">
        <v>484</v>
      </c>
      <c r="C1121" s="1">
        <v>20.0</v>
      </c>
      <c r="D1121" s="1" t="s">
        <v>151</v>
      </c>
      <c r="E1121" s="1" t="s">
        <v>152</v>
      </c>
      <c r="F1121" s="1" t="s">
        <v>153</v>
      </c>
      <c r="G1121" s="1">
        <v>1.0</v>
      </c>
      <c r="H1121" s="2">
        <v>0.1486111111111111</v>
      </c>
    </row>
    <row r="1122">
      <c r="A1122" s="1" t="s">
        <v>894</v>
      </c>
      <c r="B1122" s="1" t="s">
        <v>484</v>
      </c>
      <c r="C1122" s="1">
        <v>21.0</v>
      </c>
      <c r="D1122" s="1" t="s">
        <v>160</v>
      </c>
      <c r="E1122" s="1" t="s">
        <v>109</v>
      </c>
      <c r="F1122" s="1" t="s">
        <v>110</v>
      </c>
      <c r="G1122" s="1">
        <v>0.0</v>
      </c>
      <c r="H1122" s="2">
        <v>0.1388888888888889</v>
      </c>
    </row>
    <row r="1123">
      <c r="A1123" s="1" t="s">
        <v>894</v>
      </c>
      <c r="B1123" s="1" t="s">
        <v>484</v>
      </c>
      <c r="C1123" s="1">
        <v>22.0</v>
      </c>
      <c r="D1123" s="1" t="s">
        <v>344</v>
      </c>
      <c r="E1123" s="1" t="s">
        <v>345</v>
      </c>
      <c r="F1123" s="1" t="s">
        <v>346</v>
      </c>
      <c r="G1123" s="1">
        <v>0.0</v>
      </c>
      <c r="H1123" s="2">
        <v>0.21458333333333332</v>
      </c>
    </row>
    <row r="1124">
      <c r="A1124" s="1" t="s">
        <v>894</v>
      </c>
      <c r="B1124" s="1" t="s">
        <v>484</v>
      </c>
      <c r="C1124" s="1">
        <v>23.0</v>
      </c>
      <c r="D1124" s="1" t="s">
        <v>505</v>
      </c>
      <c r="E1124" s="1" t="s">
        <v>506</v>
      </c>
      <c r="F1124" s="1" t="s">
        <v>67</v>
      </c>
      <c r="G1124" s="1">
        <v>1.0</v>
      </c>
      <c r="H1124" s="2">
        <v>0.14305555555555555</v>
      </c>
    </row>
    <row r="1125">
      <c r="A1125" s="1" t="s">
        <v>894</v>
      </c>
      <c r="B1125" s="1" t="s">
        <v>484</v>
      </c>
      <c r="C1125" s="1">
        <v>24.0</v>
      </c>
      <c r="D1125" s="1" t="s">
        <v>352</v>
      </c>
      <c r="E1125" s="1" t="s">
        <v>353</v>
      </c>
      <c r="F1125" s="1" t="s">
        <v>207</v>
      </c>
      <c r="G1125" s="1">
        <v>1.0</v>
      </c>
      <c r="H1125" s="2">
        <v>0.1451388888888889</v>
      </c>
    </row>
    <row r="1126">
      <c r="A1126" s="1" t="s">
        <v>894</v>
      </c>
      <c r="B1126" s="1" t="s">
        <v>484</v>
      </c>
      <c r="C1126" s="1">
        <v>25.0</v>
      </c>
      <c r="D1126" s="1" t="s">
        <v>136</v>
      </c>
      <c r="E1126" s="1" t="s">
        <v>137</v>
      </c>
      <c r="F1126" s="1" t="s">
        <v>138</v>
      </c>
      <c r="G1126" s="1">
        <v>0.0</v>
      </c>
      <c r="H1126" s="2">
        <v>0.16111111111111112</v>
      </c>
    </row>
    <row r="1127">
      <c r="A1127" s="1" t="s">
        <v>894</v>
      </c>
      <c r="B1127" s="1" t="s">
        <v>484</v>
      </c>
      <c r="C1127" s="1">
        <v>26.0</v>
      </c>
      <c r="D1127" s="1" t="s">
        <v>498</v>
      </c>
      <c r="E1127" s="1" t="s">
        <v>499</v>
      </c>
      <c r="F1127" s="1" t="s">
        <v>500</v>
      </c>
      <c r="G1127" s="1">
        <v>1.0</v>
      </c>
      <c r="H1127" s="2">
        <v>0.15763888888888888</v>
      </c>
    </row>
    <row r="1128">
      <c r="A1128" s="1" t="s">
        <v>894</v>
      </c>
      <c r="B1128" s="1" t="s">
        <v>484</v>
      </c>
      <c r="C1128" s="1">
        <v>27.0</v>
      </c>
      <c r="D1128" s="1" t="s">
        <v>663</v>
      </c>
      <c r="E1128" s="1" t="s">
        <v>664</v>
      </c>
      <c r="F1128" s="1" t="s">
        <v>663</v>
      </c>
      <c r="G1128" s="1">
        <v>0.0</v>
      </c>
      <c r="H1128" s="2">
        <v>0.14097222222222222</v>
      </c>
    </row>
    <row r="1129">
      <c r="A1129" s="1" t="s">
        <v>894</v>
      </c>
      <c r="B1129" s="1" t="s">
        <v>484</v>
      </c>
      <c r="C1129" s="1">
        <v>28.0</v>
      </c>
      <c r="D1129" s="1" t="s">
        <v>338</v>
      </c>
      <c r="E1129" s="1" t="s">
        <v>339</v>
      </c>
      <c r="F1129" s="1" t="s">
        <v>340</v>
      </c>
      <c r="G1129" s="1">
        <v>0.0</v>
      </c>
      <c r="H1129" s="2">
        <v>0.13125</v>
      </c>
    </row>
    <row r="1130">
      <c r="A1130" s="1" t="s">
        <v>894</v>
      </c>
      <c r="B1130" s="1" t="s">
        <v>484</v>
      </c>
      <c r="C1130" s="1">
        <v>29.0</v>
      </c>
      <c r="D1130" s="1" t="s">
        <v>9</v>
      </c>
      <c r="E1130" s="1" t="s">
        <v>10</v>
      </c>
      <c r="F1130" s="1" t="s">
        <v>9</v>
      </c>
      <c r="G1130" s="1">
        <v>0.0</v>
      </c>
      <c r="H1130" s="2">
        <v>0.12638888888888888</v>
      </c>
    </row>
    <row r="1131">
      <c r="A1131" s="1" t="s">
        <v>894</v>
      </c>
      <c r="B1131" s="1" t="s">
        <v>484</v>
      </c>
      <c r="C1131" s="1">
        <v>30.0</v>
      </c>
      <c r="D1131" s="1" t="s">
        <v>173</v>
      </c>
      <c r="E1131" s="1" t="s">
        <v>109</v>
      </c>
      <c r="F1131" s="1" t="s">
        <v>110</v>
      </c>
      <c r="G1131" s="1">
        <v>0.0</v>
      </c>
      <c r="H1131" s="2">
        <v>0.10902777777777778</v>
      </c>
    </row>
    <row r="1132">
      <c r="A1132" s="1" t="s">
        <v>894</v>
      </c>
      <c r="B1132" s="1" t="s">
        <v>484</v>
      </c>
      <c r="C1132" s="1">
        <v>31.0</v>
      </c>
      <c r="D1132" s="1" t="s">
        <v>27</v>
      </c>
      <c r="E1132" s="1" t="s">
        <v>28</v>
      </c>
      <c r="F1132" s="1" t="s">
        <v>29</v>
      </c>
      <c r="G1132" s="1">
        <v>0.0</v>
      </c>
      <c r="H1132" s="2">
        <v>0.12708333333333333</v>
      </c>
    </row>
    <row r="1133">
      <c r="A1133" s="1" t="s">
        <v>894</v>
      </c>
      <c r="B1133" s="1" t="s">
        <v>484</v>
      </c>
      <c r="C1133" s="1">
        <v>32.0</v>
      </c>
      <c r="D1133" s="1" t="s">
        <v>33</v>
      </c>
      <c r="E1133" s="1" t="s">
        <v>34</v>
      </c>
      <c r="F1133" s="1" t="s">
        <v>35</v>
      </c>
      <c r="G1133" s="1">
        <v>0.0</v>
      </c>
      <c r="H1133" s="2">
        <v>0.1451388888888889</v>
      </c>
    </row>
    <row r="1134">
      <c r="A1134" s="1" t="s">
        <v>894</v>
      </c>
      <c r="B1134" s="1" t="s">
        <v>484</v>
      </c>
      <c r="C1134" s="1">
        <v>33.0</v>
      </c>
      <c r="D1134" s="1" t="s">
        <v>543</v>
      </c>
      <c r="E1134" s="1" t="s">
        <v>544</v>
      </c>
      <c r="F1134" s="1" t="s">
        <v>543</v>
      </c>
      <c r="G1134" s="1">
        <v>1.0</v>
      </c>
      <c r="H1134" s="2">
        <v>0.1736111111111111</v>
      </c>
    </row>
    <row r="1135">
      <c r="A1135" s="1" t="s">
        <v>894</v>
      </c>
      <c r="B1135" s="1" t="s">
        <v>484</v>
      </c>
      <c r="C1135" s="1">
        <v>34.0</v>
      </c>
      <c r="D1135" s="1" t="s">
        <v>23</v>
      </c>
      <c r="E1135" s="1" t="s">
        <v>24</v>
      </c>
      <c r="F1135" s="1" t="s">
        <v>23</v>
      </c>
      <c r="G1135" s="1">
        <v>0.0</v>
      </c>
      <c r="H1135" s="2">
        <v>0.12013888888888889</v>
      </c>
    </row>
    <row r="1136">
      <c r="A1136" s="1" t="s">
        <v>894</v>
      </c>
      <c r="B1136" s="1" t="s">
        <v>484</v>
      </c>
      <c r="C1136" s="1">
        <v>35.0</v>
      </c>
      <c r="D1136" s="1" t="s">
        <v>157</v>
      </c>
      <c r="E1136" s="1" t="s">
        <v>158</v>
      </c>
      <c r="F1136" s="1" t="s">
        <v>159</v>
      </c>
      <c r="G1136" s="1">
        <v>0.0</v>
      </c>
      <c r="H1136" s="2">
        <v>0.12777777777777777</v>
      </c>
    </row>
    <row r="1137">
      <c r="A1137" s="1" t="s">
        <v>894</v>
      </c>
      <c r="B1137" s="1" t="s">
        <v>484</v>
      </c>
      <c r="C1137" s="1">
        <v>36.0</v>
      </c>
      <c r="D1137" s="1" t="s">
        <v>329</v>
      </c>
      <c r="E1137" s="1" t="s">
        <v>109</v>
      </c>
      <c r="F1137" s="1" t="s">
        <v>110</v>
      </c>
      <c r="G1137" s="1">
        <v>0.0</v>
      </c>
      <c r="H1137" s="2">
        <v>0.1423611111111111</v>
      </c>
    </row>
    <row r="1138">
      <c r="A1138" s="1" t="s">
        <v>894</v>
      </c>
      <c r="B1138" s="1" t="s">
        <v>484</v>
      </c>
      <c r="C1138" s="1">
        <v>37.0</v>
      </c>
      <c r="D1138" s="1" t="s">
        <v>507</v>
      </c>
      <c r="E1138" s="1" t="s">
        <v>508</v>
      </c>
      <c r="F1138" s="1" t="s">
        <v>207</v>
      </c>
      <c r="G1138" s="1">
        <v>1.0</v>
      </c>
      <c r="H1138" s="2">
        <v>0.13472222222222222</v>
      </c>
    </row>
    <row r="1139">
      <c r="A1139" s="1" t="s">
        <v>894</v>
      </c>
      <c r="B1139" s="1" t="s">
        <v>484</v>
      </c>
      <c r="C1139" s="1">
        <v>38.0</v>
      </c>
      <c r="D1139" s="1" t="s">
        <v>523</v>
      </c>
      <c r="E1139" s="1" t="s">
        <v>524</v>
      </c>
      <c r="F1139" s="1" t="s">
        <v>523</v>
      </c>
      <c r="G1139" s="1">
        <v>0.0</v>
      </c>
      <c r="H1139" s="2">
        <v>0.1875</v>
      </c>
    </row>
    <row r="1140">
      <c r="A1140" s="1" t="s">
        <v>894</v>
      </c>
      <c r="B1140" s="1" t="s">
        <v>484</v>
      </c>
      <c r="C1140" s="1">
        <v>39.0</v>
      </c>
      <c r="D1140" s="1" t="s">
        <v>336</v>
      </c>
      <c r="E1140" s="1" t="s">
        <v>337</v>
      </c>
      <c r="F1140" s="1" t="s">
        <v>336</v>
      </c>
      <c r="G1140" s="1">
        <v>0.0</v>
      </c>
      <c r="H1140" s="2">
        <v>0.1326388888888889</v>
      </c>
    </row>
    <row r="1141">
      <c r="A1141" s="1" t="s">
        <v>894</v>
      </c>
      <c r="B1141" s="1" t="s">
        <v>484</v>
      </c>
      <c r="C1141" s="1">
        <v>40.0</v>
      </c>
      <c r="D1141" s="1" t="s">
        <v>322</v>
      </c>
      <c r="E1141" s="1" t="s">
        <v>323</v>
      </c>
      <c r="F1141" s="1" t="s">
        <v>322</v>
      </c>
      <c r="G1141" s="1">
        <v>0.0</v>
      </c>
      <c r="H1141" s="2">
        <v>0.10902777777777778</v>
      </c>
    </row>
    <row r="1142">
      <c r="A1142" s="1" t="s">
        <v>894</v>
      </c>
      <c r="B1142" s="1" t="s">
        <v>484</v>
      </c>
      <c r="C1142" s="1">
        <v>41.0</v>
      </c>
      <c r="D1142" s="1" t="s">
        <v>131</v>
      </c>
      <c r="E1142" s="1" t="s">
        <v>150</v>
      </c>
      <c r="F1142" s="1" t="s">
        <v>131</v>
      </c>
      <c r="G1142" s="1">
        <v>0.0</v>
      </c>
      <c r="H1142" s="2">
        <v>0.12638888888888888</v>
      </c>
    </row>
    <row r="1143">
      <c r="A1143" s="1" t="s">
        <v>894</v>
      </c>
      <c r="B1143" s="1" t="s">
        <v>484</v>
      </c>
      <c r="C1143" s="1">
        <v>42.0</v>
      </c>
      <c r="D1143" s="1" t="s">
        <v>895</v>
      </c>
      <c r="E1143" s="1" t="s">
        <v>896</v>
      </c>
      <c r="F1143" s="1" t="s">
        <v>895</v>
      </c>
      <c r="G1143" s="1">
        <v>0.0</v>
      </c>
      <c r="H1143" s="2">
        <v>0.11041666666666666</v>
      </c>
    </row>
    <row r="1144">
      <c r="A1144" s="1" t="s">
        <v>894</v>
      </c>
      <c r="B1144" s="1" t="s">
        <v>484</v>
      </c>
      <c r="C1144" s="1">
        <v>43.0</v>
      </c>
      <c r="D1144" s="1" t="s">
        <v>192</v>
      </c>
      <c r="E1144" s="1" t="s">
        <v>193</v>
      </c>
      <c r="F1144" s="1" t="s">
        <v>131</v>
      </c>
      <c r="G1144" s="1">
        <v>0.0</v>
      </c>
      <c r="H1144" s="2">
        <v>0.12430555555555556</v>
      </c>
    </row>
    <row r="1145">
      <c r="A1145" s="1" t="s">
        <v>894</v>
      </c>
      <c r="B1145" s="1" t="s">
        <v>484</v>
      </c>
      <c r="C1145" s="1">
        <v>44.0</v>
      </c>
      <c r="D1145" s="1" t="s">
        <v>503</v>
      </c>
      <c r="E1145" s="1" t="s">
        <v>504</v>
      </c>
      <c r="F1145" s="1" t="s">
        <v>207</v>
      </c>
      <c r="G1145" s="1">
        <v>1.0</v>
      </c>
      <c r="H1145" s="2">
        <v>0.14027777777777778</v>
      </c>
    </row>
    <row r="1146">
      <c r="A1146" s="1" t="s">
        <v>894</v>
      </c>
      <c r="B1146" s="1" t="s">
        <v>484</v>
      </c>
      <c r="C1146" s="1">
        <v>45.0</v>
      </c>
      <c r="D1146" s="1" t="s">
        <v>501</v>
      </c>
      <c r="E1146" s="1" t="s">
        <v>502</v>
      </c>
      <c r="F1146" s="1" t="s">
        <v>207</v>
      </c>
      <c r="G1146" s="1">
        <v>1.0</v>
      </c>
      <c r="H1146" s="2">
        <v>0.12708333333333333</v>
      </c>
    </row>
    <row r="1147">
      <c r="A1147" s="1" t="s">
        <v>894</v>
      </c>
      <c r="B1147" s="1" t="s">
        <v>484</v>
      </c>
      <c r="C1147" s="1">
        <v>46.0</v>
      </c>
      <c r="D1147" s="1" t="s">
        <v>546</v>
      </c>
      <c r="E1147" s="1" t="s">
        <v>547</v>
      </c>
      <c r="F1147" s="1" t="s">
        <v>159</v>
      </c>
      <c r="G1147" s="1">
        <v>0.0</v>
      </c>
      <c r="H1147" s="2">
        <v>0.14166666666666666</v>
      </c>
    </row>
    <row r="1148">
      <c r="A1148" s="1" t="s">
        <v>894</v>
      </c>
      <c r="B1148" s="1" t="s">
        <v>484</v>
      </c>
      <c r="C1148" s="1">
        <v>47.0</v>
      </c>
      <c r="D1148" s="1" t="s">
        <v>179</v>
      </c>
      <c r="E1148" s="1" t="s">
        <v>180</v>
      </c>
      <c r="F1148" s="1" t="s">
        <v>181</v>
      </c>
      <c r="G1148" s="1">
        <v>1.0</v>
      </c>
      <c r="H1148" s="2">
        <v>0.20069444444444445</v>
      </c>
    </row>
    <row r="1149">
      <c r="A1149" s="1" t="s">
        <v>894</v>
      </c>
      <c r="B1149" s="1" t="s">
        <v>484</v>
      </c>
      <c r="C1149" s="1">
        <v>48.0</v>
      </c>
      <c r="D1149" s="1" t="s">
        <v>360</v>
      </c>
      <c r="E1149" s="1" t="s">
        <v>361</v>
      </c>
      <c r="F1149" s="1" t="s">
        <v>360</v>
      </c>
      <c r="G1149" s="1">
        <v>0.0</v>
      </c>
      <c r="H1149" s="2">
        <v>0.20902777777777778</v>
      </c>
    </row>
    <row r="1150">
      <c r="A1150" s="1" t="s">
        <v>894</v>
      </c>
      <c r="B1150" s="1" t="s">
        <v>484</v>
      </c>
      <c r="C1150" s="1">
        <v>49.0</v>
      </c>
      <c r="D1150" s="1" t="s">
        <v>509</v>
      </c>
      <c r="E1150" s="1" t="s">
        <v>72</v>
      </c>
      <c r="F1150" s="1" t="s">
        <v>67</v>
      </c>
      <c r="G1150" s="1">
        <v>0.0</v>
      </c>
      <c r="H1150" s="2">
        <v>0.12152777777777778</v>
      </c>
    </row>
    <row r="1151">
      <c r="A1151" s="1" t="s">
        <v>894</v>
      </c>
      <c r="B1151" s="1" t="s">
        <v>484</v>
      </c>
      <c r="C1151" s="1">
        <v>50.0</v>
      </c>
      <c r="D1151" s="1" t="s">
        <v>334</v>
      </c>
      <c r="E1151" s="1" t="s">
        <v>335</v>
      </c>
      <c r="F1151" s="1" t="s">
        <v>334</v>
      </c>
      <c r="G1151" s="1">
        <v>0.0</v>
      </c>
      <c r="H1151" s="2">
        <v>0.15069444444444444</v>
      </c>
    </row>
    <row r="1152">
      <c r="A1152" s="1" t="s">
        <v>897</v>
      </c>
      <c r="B1152" s="1" t="s">
        <v>484</v>
      </c>
      <c r="C1152" s="1">
        <v>1.0</v>
      </c>
      <c r="D1152" s="1" t="s">
        <v>65</v>
      </c>
      <c r="E1152" s="1" t="s">
        <v>66</v>
      </c>
      <c r="F1152" s="1" t="s">
        <v>67</v>
      </c>
      <c r="G1152" s="1">
        <v>1.0</v>
      </c>
      <c r="H1152" s="2">
        <v>0.2048611111111111</v>
      </c>
    </row>
    <row r="1153">
      <c r="A1153" s="1" t="s">
        <v>897</v>
      </c>
      <c r="B1153" s="1" t="s">
        <v>484</v>
      </c>
      <c r="C1153" s="1">
        <v>2.0</v>
      </c>
      <c r="D1153" s="1" t="s">
        <v>71</v>
      </c>
      <c r="E1153" s="1" t="s">
        <v>72</v>
      </c>
      <c r="F1153" s="1" t="s">
        <v>67</v>
      </c>
      <c r="G1153" s="1">
        <v>0.0</v>
      </c>
      <c r="H1153" s="2">
        <v>0.11944444444444445</v>
      </c>
    </row>
    <row r="1154">
      <c r="A1154" s="1" t="s">
        <v>897</v>
      </c>
      <c r="B1154" s="1" t="s">
        <v>484</v>
      </c>
      <c r="C1154" s="1">
        <v>3.0</v>
      </c>
      <c r="D1154" s="1" t="s">
        <v>108</v>
      </c>
      <c r="E1154" s="1" t="s">
        <v>109</v>
      </c>
      <c r="F1154" s="1" t="s">
        <v>110</v>
      </c>
      <c r="G1154" s="1">
        <v>0.0</v>
      </c>
      <c r="H1154" s="2">
        <v>0.10416666666666667</v>
      </c>
    </row>
    <row r="1155">
      <c r="A1155" s="1" t="s">
        <v>897</v>
      </c>
      <c r="B1155" s="1" t="s">
        <v>484</v>
      </c>
      <c r="C1155" s="1">
        <v>4.0</v>
      </c>
      <c r="D1155" s="1" t="s">
        <v>498</v>
      </c>
      <c r="E1155" s="1" t="s">
        <v>499</v>
      </c>
      <c r="F1155" s="1" t="s">
        <v>500</v>
      </c>
      <c r="G1155" s="1">
        <v>1.0</v>
      </c>
      <c r="H1155" s="2">
        <v>0.15763888888888888</v>
      </c>
    </row>
    <row r="1156">
      <c r="A1156" s="1" t="s">
        <v>897</v>
      </c>
      <c r="B1156" s="1" t="s">
        <v>484</v>
      </c>
      <c r="C1156" s="1">
        <v>5.0</v>
      </c>
      <c r="D1156" s="1" t="s">
        <v>177</v>
      </c>
      <c r="E1156" s="1" t="s">
        <v>178</v>
      </c>
      <c r="F1156" s="1" t="s">
        <v>67</v>
      </c>
      <c r="G1156" s="1">
        <v>1.0</v>
      </c>
      <c r="H1156" s="2">
        <v>0.14583333333333334</v>
      </c>
    </row>
    <row r="1157">
      <c r="A1157" s="1" t="s">
        <v>897</v>
      </c>
      <c r="B1157" s="1" t="s">
        <v>484</v>
      </c>
      <c r="C1157" s="1">
        <v>6.0</v>
      </c>
      <c r="D1157" s="1" t="s">
        <v>206</v>
      </c>
      <c r="E1157" s="1" t="s">
        <v>72</v>
      </c>
      <c r="F1157" s="1" t="s">
        <v>207</v>
      </c>
      <c r="G1157" s="1">
        <v>1.0</v>
      </c>
      <c r="H1157" s="2">
        <v>0.12361111111111112</v>
      </c>
    </row>
    <row r="1158">
      <c r="A1158" s="1" t="s">
        <v>897</v>
      </c>
      <c r="B1158" s="1" t="s">
        <v>484</v>
      </c>
      <c r="C1158" s="1">
        <v>7.0</v>
      </c>
      <c r="D1158" s="1" t="s">
        <v>330</v>
      </c>
      <c r="E1158" s="1" t="s">
        <v>72</v>
      </c>
      <c r="F1158" s="1" t="s">
        <v>67</v>
      </c>
      <c r="G1158" s="1">
        <v>0.0</v>
      </c>
      <c r="H1158" s="2">
        <v>0.11805555555555555</v>
      </c>
    </row>
    <row r="1159">
      <c r="A1159" s="1" t="s">
        <v>897</v>
      </c>
      <c r="B1159" s="1" t="s">
        <v>484</v>
      </c>
      <c r="C1159" s="1">
        <v>8.0</v>
      </c>
      <c r="D1159" s="1" t="s">
        <v>129</v>
      </c>
      <c r="E1159" s="1" t="s">
        <v>130</v>
      </c>
      <c r="F1159" s="1" t="s">
        <v>131</v>
      </c>
      <c r="G1159" s="1">
        <v>0.0</v>
      </c>
      <c r="H1159" s="2">
        <v>0.1451388888888889</v>
      </c>
    </row>
    <row r="1160">
      <c r="A1160" s="1" t="s">
        <v>897</v>
      </c>
      <c r="B1160" s="1" t="s">
        <v>484</v>
      </c>
      <c r="C1160" s="1">
        <v>9.0</v>
      </c>
      <c r="D1160" s="1" t="s">
        <v>11</v>
      </c>
      <c r="E1160" s="1" t="s">
        <v>12</v>
      </c>
      <c r="F1160" s="1" t="s">
        <v>13</v>
      </c>
      <c r="G1160" s="1">
        <v>0.0</v>
      </c>
      <c r="H1160" s="2">
        <v>0.1388888888888889</v>
      </c>
    </row>
    <row r="1161">
      <c r="A1161" s="1" t="s">
        <v>897</v>
      </c>
      <c r="B1161" s="1" t="s">
        <v>484</v>
      </c>
      <c r="C1161" s="1">
        <v>10.0</v>
      </c>
      <c r="D1161" s="1" t="s">
        <v>505</v>
      </c>
      <c r="E1161" s="1" t="s">
        <v>506</v>
      </c>
      <c r="F1161" s="1" t="s">
        <v>67</v>
      </c>
      <c r="G1161" s="1">
        <v>1.0</v>
      </c>
      <c r="H1161" s="2">
        <v>0.14305555555555555</v>
      </c>
    </row>
    <row r="1162">
      <c r="A1162" s="1" t="s">
        <v>897</v>
      </c>
      <c r="B1162" s="1" t="s">
        <v>484</v>
      </c>
      <c r="C1162" s="1">
        <v>11.0</v>
      </c>
      <c r="D1162" s="1" t="s">
        <v>172</v>
      </c>
      <c r="E1162" s="1" t="s">
        <v>72</v>
      </c>
      <c r="F1162" s="1" t="s">
        <v>67</v>
      </c>
      <c r="G1162" s="1">
        <v>1.0</v>
      </c>
      <c r="H1162" s="2">
        <v>0.11319444444444444</v>
      </c>
    </row>
    <row r="1163">
      <c r="A1163" s="1" t="s">
        <v>897</v>
      </c>
      <c r="B1163" s="1" t="s">
        <v>484</v>
      </c>
      <c r="C1163" s="1">
        <v>12.0</v>
      </c>
      <c r="D1163" s="1" t="s">
        <v>143</v>
      </c>
      <c r="E1163" s="1" t="s">
        <v>144</v>
      </c>
      <c r="F1163" s="1" t="s">
        <v>143</v>
      </c>
      <c r="G1163" s="1">
        <v>0.0</v>
      </c>
      <c r="H1163" s="2">
        <v>0.14027777777777778</v>
      </c>
    </row>
    <row r="1164">
      <c r="A1164" s="1" t="s">
        <v>897</v>
      </c>
      <c r="B1164" s="1" t="s">
        <v>484</v>
      </c>
      <c r="C1164" s="1">
        <v>13.0</v>
      </c>
      <c r="D1164" s="1" t="s">
        <v>352</v>
      </c>
      <c r="E1164" s="1" t="s">
        <v>353</v>
      </c>
      <c r="F1164" s="1" t="s">
        <v>207</v>
      </c>
      <c r="G1164" s="1">
        <v>1.0</v>
      </c>
      <c r="H1164" s="2">
        <v>0.1451388888888889</v>
      </c>
    </row>
    <row r="1165">
      <c r="A1165" s="1" t="s">
        <v>897</v>
      </c>
      <c r="B1165" s="1" t="s">
        <v>484</v>
      </c>
      <c r="C1165" s="1">
        <v>14.0</v>
      </c>
      <c r="D1165" s="1" t="s">
        <v>349</v>
      </c>
      <c r="E1165" s="1" t="s">
        <v>72</v>
      </c>
      <c r="F1165" s="1" t="s">
        <v>67</v>
      </c>
      <c r="G1165" s="1">
        <v>1.0</v>
      </c>
      <c r="H1165" s="2">
        <v>0.13333333333333333</v>
      </c>
    </row>
    <row r="1166">
      <c r="A1166" s="1" t="s">
        <v>897</v>
      </c>
      <c r="B1166" s="1" t="s">
        <v>484</v>
      </c>
      <c r="C1166" s="1">
        <v>15.0</v>
      </c>
      <c r="D1166" s="1" t="s">
        <v>151</v>
      </c>
      <c r="E1166" s="1" t="s">
        <v>152</v>
      </c>
      <c r="F1166" s="1" t="s">
        <v>153</v>
      </c>
      <c r="G1166" s="1">
        <v>1.0</v>
      </c>
      <c r="H1166" s="2">
        <v>0.1486111111111111</v>
      </c>
    </row>
    <row r="1167">
      <c r="A1167" s="1" t="s">
        <v>897</v>
      </c>
      <c r="B1167" s="1" t="s">
        <v>484</v>
      </c>
      <c r="C1167" s="1">
        <v>16.0</v>
      </c>
      <c r="D1167" s="1" t="s">
        <v>147</v>
      </c>
      <c r="E1167" s="1" t="s">
        <v>148</v>
      </c>
      <c r="F1167" s="1" t="s">
        <v>149</v>
      </c>
      <c r="G1167" s="1">
        <v>0.0</v>
      </c>
      <c r="H1167" s="2">
        <v>0.17291666666666666</v>
      </c>
    </row>
    <row r="1168">
      <c r="A1168" s="1" t="s">
        <v>897</v>
      </c>
      <c r="B1168" s="1" t="s">
        <v>484</v>
      </c>
      <c r="C1168" s="1">
        <v>17.0</v>
      </c>
      <c r="D1168" s="1" t="s">
        <v>331</v>
      </c>
      <c r="E1168" s="1" t="s">
        <v>332</v>
      </c>
      <c r="F1168" s="1" t="s">
        <v>333</v>
      </c>
      <c r="G1168" s="1">
        <v>0.0</v>
      </c>
      <c r="H1168" s="2">
        <v>0.16805555555555557</v>
      </c>
    </row>
    <row r="1169">
      <c r="A1169" s="1" t="s">
        <v>897</v>
      </c>
      <c r="B1169" s="1" t="s">
        <v>484</v>
      </c>
      <c r="C1169" s="1">
        <v>18.0</v>
      </c>
      <c r="D1169" s="1" t="s">
        <v>86</v>
      </c>
      <c r="E1169" s="1" t="s">
        <v>87</v>
      </c>
      <c r="F1169" s="1" t="s">
        <v>86</v>
      </c>
      <c r="G1169" s="1">
        <v>0.0</v>
      </c>
      <c r="H1169" s="2">
        <v>0.1388888888888889</v>
      </c>
    </row>
    <row r="1170">
      <c r="A1170" s="1" t="s">
        <v>897</v>
      </c>
      <c r="B1170" s="1" t="s">
        <v>484</v>
      </c>
      <c r="C1170" s="1">
        <v>19.0</v>
      </c>
      <c r="D1170" s="1" t="s">
        <v>161</v>
      </c>
      <c r="E1170" s="1" t="s">
        <v>162</v>
      </c>
      <c r="F1170" s="1" t="s">
        <v>161</v>
      </c>
      <c r="G1170" s="1">
        <v>0.0</v>
      </c>
      <c r="H1170" s="2">
        <v>0.15694444444444444</v>
      </c>
    </row>
    <row r="1171">
      <c r="A1171" s="1" t="s">
        <v>897</v>
      </c>
      <c r="B1171" s="1" t="s">
        <v>484</v>
      </c>
      <c r="C1171" s="1">
        <v>20.0</v>
      </c>
      <c r="D1171" s="1" t="s">
        <v>509</v>
      </c>
      <c r="E1171" s="1" t="s">
        <v>72</v>
      </c>
      <c r="F1171" s="1" t="s">
        <v>67</v>
      </c>
      <c r="G1171" s="1">
        <v>0.0</v>
      </c>
      <c r="H1171" s="2">
        <v>0.12152777777777778</v>
      </c>
    </row>
    <row r="1172">
      <c r="A1172" s="1" t="s">
        <v>897</v>
      </c>
      <c r="B1172" s="1" t="s">
        <v>484</v>
      </c>
      <c r="C1172" s="1">
        <v>21.0</v>
      </c>
      <c r="D1172" s="1" t="s">
        <v>344</v>
      </c>
      <c r="E1172" s="1" t="s">
        <v>345</v>
      </c>
      <c r="F1172" s="1" t="s">
        <v>346</v>
      </c>
      <c r="G1172" s="1">
        <v>0.0</v>
      </c>
      <c r="H1172" s="2">
        <v>0.21458333333333332</v>
      </c>
    </row>
    <row r="1173">
      <c r="A1173" s="1" t="s">
        <v>897</v>
      </c>
      <c r="B1173" s="1" t="s">
        <v>484</v>
      </c>
      <c r="C1173" s="1">
        <v>22.0</v>
      </c>
      <c r="D1173" s="1" t="s">
        <v>9</v>
      </c>
      <c r="E1173" s="1" t="s">
        <v>10</v>
      </c>
      <c r="F1173" s="1" t="s">
        <v>9</v>
      </c>
      <c r="G1173" s="1">
        <v>0.0</v>
      </c>
      <c r="H1173" s="2">
        <v>0.12638888888888888</v>
      </c>
    </row>
    <row r="1174">
      <c r="A1174" s="1" t="s">
        <v>897</v>
      </c>
      <c r="B1174" s="1" t="s">
        <v>484</v>
      </c>
      <c r="C1174" s="1">
        <v>23.0</v>
      </c>
      <c r="D1174" s="1" t="s">
        <v>141</v>
      </c>
      <c r="E1174" s="1" t="s">
        <v>142</v>
      </c>
      <c r="F1174" s="1" t="s">
        <v>141</v>
      </c>
      <c r="G1174" s="1">
        <v>0.0</v>
      </c>
      <c r="H1174" s="2">
        <v>0.13680555555555557</v>
      </c>
    </row>
    <row r="1175">
      <c r="A1175" s="1" t="s">
        <v>897</v>
      </c>
      <c r="B1175" s="1" t="s">
        <v>484</v>
      </c>
      <c r="C1175" s="1">
        <v>24.0</v>
      </c>
      <c r="D1175" s="1" t="s">
        <v>503</v>
      </c>
      <c r="E1175" s="1" t="s">
        <v>504</v>
      </c>
      <c r="F1175" s="1" t="s">
        <v>207</v>
      </c>
      <c r="G1175" s="1">
        <v>1.0</v>
      </c>
      <c r="H1175" s="2">
        <v>0.14027777777777778</v>
      </c>
    </row>
    <row r="1176">
      <c r="A1176" s="1" t="s">
        <v>897</v>
      </c>
      <c r="B1176" s="1" t="s">
        <v>484</v>
      </c>
      <c r="C1176" s="1">
        <v>25.0</v>
      </c>
      <c r="D1176" s="1" t="s">
        <v>160</v>
      </c>
      <c r="E1176" s="1" t="s">
        <v>109</v>
      </c>
      <c r="F1176" s="1" t="s">
        <v>110</v>
      </c>
      <c r="G1176" s="1">
        <v>0.0</v>
      </c>
      <c r="H1176" s="2">
        <v>0.1388888888888889</v>
      </c>
    </row>
    <row r="1177">
      <c r="A1177" s="1" t="s">
        <v>897</v>
      </c>
      <c r="B1177" s="1" t="s">
        <v>484</v>
      </c>
      <c r="C1177" s="1">
        <v>26.0</v>
      </c>
      <c r="D1177" s="1" t="s">
        <v>165</v>
      </c>
      <c r="E1177" s="1" t="s">
        <v>166</v>
      </c>
      <c r="F1177" s="1" t="s">
        <v>165</v>
      </c>
      <c r="G1177" s="1">
        <v>0.0</v>
      </c>
      <c r="H1177" s="2">
        <v>0.13819444444444445</v>
      </c>
    </row>
    <row r="1178">
      <c r="A1178" s="1" t="s">
        <v>897</v>
      </c>
      <c r="B1178" s="1" t="s">
        <v>484</v>
      </c>
      <c r="C1178" s="1">
        <v>27.0</v>
      </c>
      <c r="D1178" s="1" t="s">
        <v>507</v>
      </c>
      <c r="E1178" s="1" t="s">
        <v>508</v>
      </c>
      <c r="F1178" s="1" t="s">
        <v>207</v>
      </c>
      <c r="G1178" s="1">
        <v>1.0</v>
      </c>
      <c r="H1178" s="2">
        <v>0.13472222222222222</v>
      </c>
    </row>
    <row r="1179">
      <c r="A1179" s="1" t="s">
        <v>897</v>
      </c>
      <c r="B1179" s="1" t="s">
        <v>484</v>
      </c>
      <c r="C1179" s="1">
        <v>28.0</v>
      </c>
      <c r="D1179" s="1" t="s">
        <v>501</v>
      </c>
      <c r="E1179" s="1" t="s">
        <v>502</v>
      </c>
      <c r="F1179" s="1" t="s">
        <v>207</v>
      </c>
      <c r="G1179" s="1">
        <v>1.0</v>
      </c>
      <c r="H1179" s="2">
        <v>0.12708333333333333</v>
      </c>
    </row>
    <row r="1180">
      <c r="A1180" s="1" t="s">
        <v>897</v>
      </c>
      <c r="B1180" s="1" t="s">
        <v>484</v>
      </c>
      <c r="C1180" s="1">
        <v>29.0</v>
      </c>
      <c r="D1180" s="1" t="s">
        <v>157</v>
      </c>
      <c r="E1180" s="1" t="s">
        <v>158</v>
      </c>
      <c r="F1180" s="1" t="s">
        <v>159</v>
      </c>
      <c r="G1180" s="1">
        <v>0.0</v>
      </c>
      <c r="H1180" s="2">
        <v>0.12777777777777777</v>
      </c>
    </row>
    <row r="1181">
      <c r="A1181" s="1" t="s">
        <v>897</v>
      </c>
      <c r="B1181" s="1" t="s">
        <v>484</v>
      </c>
      <c r="C1181" s="1">
        <v>30.0</v>
      </c>
      <c r="D1181" s="1" t="s">
        <v>27</v>
      </c>
      <c r="E1181" s="1" t="s">
        <v>28</v>
      </c>
      <c r="F1181" s="1" t="s">
        <v>29</v>
      </c>
      <c r="G1181" s="1">
        <v>0.0</v>
      </c>
      <c r="H1181" s="2">
        <v>0.12708333333333333</v>
      </c>
    </row>
    <row r="1182">
      <c r="A1182" s="1" t="s">
        <v>897</v>
      </c>
      <c r="B1182" s="1" t="s">
        <v>484</v>
      </c>
      <c r="C1182" s="1">
        <v>31.0</v>
      </c>
      <c r="D1182" s="1" t="s">
        <v>173</v>
      </c>
      <c r="E1182" s="1" t="s">
        <v>109</v>
      </c>
      <c r="F1182" s="1" t="s">
        <v>110</v>
      </c>
      <c r="G1182" s="1">
        <v>0.0</v>
      </c>
      <c r="H1182" s="2">
        <v>0.10902777777777778</v>
      </c>
    </row>
    <row r="1183">
      <c r="A1183" s="1" t="s">
        <v>897</v>
      </c>
      <c r="B1183" s="1" t="s">
        <v>484</v>
      </c>
      <c r="C1183" s="1">
        <v>32.0</v>
      </c>
      <c r="D1183" s="1" t="s">
        <v>324</v>
      </c>
      <c r="E1183" s="1" t="s">
        <v>325</v>
      </c>
      <c r="F1183" s="1" t="s">
        <v>324</v>
      </c>
      <c r="G1183" s="1">
        <v>1.0</v>
      </c>
      <c r="H1183" s="2">
        <v>0.15763888888888888</v>
      </c>
    </row>
    <row r="1184">
      <c r="A1184" s="1" t="s">
        <v>897</v>
      </c>
      <c r="B1184" s="1" t="s">
        <v>484</v>
      </c>
      <c r="C1184" s="1">
        <v>33.0</v>
      </c>
      <c r="D1184" s="1" t="s">
        <v>136</v>
      </c>
      <c r="E1184" s="1" t="s">
        <v>137</v>
      </c>
      <c r="F1184" s="1" t="s">
        <v>138</v>
      </c>
      <c r="G1184" s="1">
        <v>0.0</v>
      </c>
      <c r="H1184" s="2">
        <v>0.16111111111111112</v>
      </c>
    </row>
    <row r="1185">
      <c r="A1185" s="1" t="s">
        <v>897</v>
      </c>
      <c r="B1185" s="1" t="s">
        <v>484</v>
      </c>
      <c r="C1185" s="1">
        <v>34.0</v>
      </c>
      <c r="D1185" s="1" t="s">
        <v>543</v>
      </c>
      <c r="E1185" s="1" t="s">
        <v>544</v>
      </c>
      <c r="F1185" s="1" t="s">
        <v>543</v>
      </c>
      <c r="G1185" s="1">
        <v>1.0</v>
      </c>
      <c r="H1185" s="2">
        <v>0.1736111111111111</v>
      </c>
    </row>
    <row r="1186">
      <c r="A1186" s="1" t="s">
        <v>897</v>
      </c>
      <c r="B1186" s="1" t="s">
        <v>484</v>
      </c>
      <c r="C1186" s="1">
        <v>35.0</v>
      </c>
      <c r="D1186" s="1" t="s">
        <v>33</v>
      </c>
      <c r="E1186" s="1" t="s">
        <v>34</v>
      </c>
      <c r="F1186" s="1" t="s">
        <v>35</v>
      </c>
      <c r="G1186" s="1">
        <v>0.0</v>
      </c>
      <c r="H1186" s="2">
        <v>0.1451388888888889</v>
      </c>
    </row>
    <row r="1187">
      <c r="A1187" s="1" t="s">
        <v>897</v>
      </c>
      <c r="B1187" s="1" t="s">
        <v>484</v>
      </c>
      <c r="C1187" s="1">
        <v>36.0</v>
      </c>
      <c r="D1187" s="1" t="s">
        <v>326</v>
      </c>
      <c r="E1187" s="1" t="s">
        <v>327</v>
      </c>
      <c r="F1187" s="1" t="s">
        <v>328</v>
      </c>
      <c r="G1187" s="1">
        <v>0.0</v>
      </c>
      <c r="H1187" s="2">
        <v>0.1798611111111111</v>
      </c>
    </row>
    <row r="1188">
      <c r="A1188" s="1" t="s">
        <v>897</v>
      </c>
      <c r="B1188" s="1" t="s">
        <v>484</v>
      </c>
      <c r="C1188" s="1">
        <v>37.0</v>
      </c>
      <c r="D1188" s="1" t="s">
        <v>515</v>
      </c>
      <c r="E1188" s="1" t="s">
        <v>72</v>
      </c>
      <c r="F1188" s="1" t="s">
        <v>207</v>
      </c>
      <c r="G1188" s="1">
        <v>0.0</v>
      </c>
      <c r="H1188" s="2">
        <v>0.1076388888888889</v>
      </c>
    </row>
    <row r="1189">
      <c r="A1189" s="1" t="s">
        <v>897</v>
      </c>
      <c r="B1189" s="1" t="s">
        <v>484</v>
      </c>
      <c r="C1189" s="1">
        <v>38.0</v>
      </c>
      <c r="D1189" s="1" t="s">
        <v>179</v>
      </c>
      <c r="E1189" s="1" t="s">
        <v>180</v>
      </c>
      <c r="F1189" s="1" t="s">
        <v>181</v>
      </c>
      <c r="G1189" s="1">
        <v>1.0</v>
      </c>
      <c r="H1189" s="2">
        <v>0.20069444444444445</v>
      </c>
    </row>
    <row r="1190">
      <c r="A1190" s="1" t="s">
        <v>897</v>
      </c>
      <c r="B1190" s="1" t="s">
        <v>484</v>
      </c>
      <c r="C1190" s="1">
        <v>39.0</v>
      </c>
      <c r="D1190" s="1" t="s">
        <v>322</v>
      </c>
      <c r="E1190" s="1" t="s">
        <v>323</v>
      </c>
      <c r="F1190" s="1" t="s">
        <v>322</v>
      </c>
      <c r="G1190" s="1">
        <v>0.0</v>
      </c>
      <c r="H1190" s="2">
        <v>0.10902777777777778</v>
      </c>
    </row>
    <row r="1191">
      <c r="A1191" s="1" t="s">
        <v>897</v>
      </c>
      <c r="B1191" s="1" t="s">
        <v>484</v>
      </c>
      <c r="C1191" s="1">
        <v>40.0</v>
      </c>
      <c r="D1191" s="1" t="s">
        <v>523</v>
      </c>
      <c r="E1191" s="1" t="s">
        <v>524</v>
      </c>
      <c r="F1191" s="1" t="s">
        <v>523</v>
      </c>
      <c r="G1191" s="1">
        <v>0.0</v>
      </c>
      <c r="H1191" s="2">
        <v>0.1875</v>
      </c>
    </row>
    <row r="1192">
      <c r="A1192" s="1" t="s">
        <v>897</v>
      </c>
      <c r="B1192" s="1" t="s">
        <v>484</v>
      </c>
      <c r="C1192" s="1">
        <v>41.0</v>
      </c>
      <c r="D1192" s="1" t="s">
        <v>23</v>
      </c>
      <c r="E1192" s="1" t="s">
        <v>24</v>
      </c>
      <c r="F1192" s="1" t="s">
        <v>23</v>
      </c>
      <c r="G1192" s="1">
        <v>0.0</v>
      </c>
      <c r="H1192" s="2">
        <v>0.12013888888888889</v>
      </c>
    </row>
    <row r="1193">
      <c r="A1193" s="1" t="s">
        <v>897</v>
      </c>
      <c r="B1193" s="1" t="s">
        <v>484</v>
      </c>
      <c r="C1193" s="1">
        <v>42.0</v>
      </c>
      <c r="D1193" s="1" t="s">
        <v>212</v>
      </c>
      <c r="E1193" s="1" t="s">
        <v>213</v>
      </c>
      <c r="F1193" s="1" t="s">
        <v>214</v>
      </c>
      <c r="G1193" s="1">
        <v>1.0</v>
      </c>
      <c r="H1193" s="2">
        <v>0.2111111111111111</v>
      </c>
    </row>
    <row r="1194">
      <c r="A1194" s="1" t="s">
        <v>897</v>
      </c>
      <c r="B1194" s="1" t="s">
        <v>484</v>
      </c>
      <c r="C1194" s="1">
        <v>43.0</v>
      </c>
      <c r="D1194" s="1" t="s">
        <v>329</v>
      </c>
      <c r="E1194" s="1" t="s">
        <v>109</v>
      </c>
      <c r="F1194" s="1" t="s">
        <v>110</v>
      </c>
      <c r="G1194" s="1">
        <v>0.0</v>
      </c>
      <c r="H1194" s="2">
        <v>0.1423611111111111</v>
      </c>
    </row>
    <row r="1195">
      <c r="A1195" s="1" t="s">
        <v>897</v>
      </c>
      <c r="B1195" s="1" t="s">
        <v>484</v>
      </c>
      <c r="C1195" s="1">
        <v>44.0</v>
      </c>
      <c r="D1195" s="1" t="s">
        <v>20</v>
      </c>
      <c r="E1195" s="1" t="s">
        <v>21</v>
      </c>
      <c r="F1195" s="1" t="s">
        <v>22</v>
      </c>
      <c r="G1195" s="1">
        <v>1.0</v>
      </c>
      <c r="H1195" s="2">
        <v>0.17152777777777778</v>
      </c>
    </row>
    <row r="1196">
      <c r="A1196" s="1" t="s">
        <v>897</v>
      </c>
      <c r="B1196" s="1" t="s">
        <v>484</v>
      </c>
      <c r="C1196" s="1">
        <v>45.0</v>
      </c>
      <c r="D1196" s="1" t="s">
        <v>663</v>
      </c>
      <c r="E1196" s="1" t="s">
        <v>664</v>
      </c>
      <c r="F1196" s="1" t="s">
        <v>663</v>
      </c>
      <c r="G1196" s="1">
        <v>0.0</v>
      </c>
      <c r="H1196" s="2">
        <v>0.14097222222222222</v>
      </c>
    </row>
    <row r="1197">
      <c r="A1197" s="1" t="s">
        <v>897</v>
      </c>
      <c r="B1197" s="1" t="s">
        <v>484</v>
      </c>
      <c r="C1197" s="1">
        <v>46.0</v>
      </c>
      <c r="D1197" s="1" t="s">
        <v>338</v>
      </c>
      <c r="E1197" s="1" t="s">
        <v>339</v>
      </c>
      <c r="F1197" s="1" t="s">
        <v>340</v>
      </c>
      <c r="G1197" s="1">
        <v>0.0</v>
      </c>
      <c r="H1197" s="2">
        <v>0.13125</v>
      </c>
    </row>
    <row r="1198">
      <c r="A1198" s="1" t="s">
        <v>897</v>
      </c>
      <c r="B1198" s="1" t="s">
        <v>484</v>
      </c>
      <c r="C1198" s="1">
        <v>47.0</v>
      </c>
      <c r="D1198" s="1" t="s">
        <v>546</v>
      </c>
      <c r="E1198" s="1" t="s">
        <v>547</v>
      </c>
      <c r="F1198" s="1" t="s">
        <v>159</v>
      </c>
      <c r="G1198" s="1">
        <v>0.0</v>
      </c>
      <c r="H1198" s="2">
        <v>0.14166666666666666</v>
      </c>
    </row>
    <row r="1199">
      <c r="A1199" s="1" t="s">
        <v>897</v>
      </c>
      <c r="B1199" s="1" t="s">
        <v>484</v>
      </c>
      <c r="C1199" s="1">
        <v>48.0</v>
      </c>
      <c r="D1199" s="1" t="s">
        <v>510</v>
      </c>
      <c r="E1199" s="1" t="s">
        <v>511</v>
      </c>
      <c r="F1199" s="1" t="s">
        <v>159</v>
      </c>
      <c r="G1199" s="1">
        <v>0.0</v>
      </c>
      <c r="H1199" s="2">
        <v>0.14027777777777778</v>
      </c>
    </row>
    <row r="1200">
      <c r="A1200" s="1" t="s">
        <v>897</v>
      </c>
      <c r="B1200" s="1" t="s">
        <v>484</v>
      </c>
      <c r="C1200" s="1">
        <v>49.0</v>
      </c>
      <c r="D1200" s="1" t="s">
        <v>898</v>
      </c>
      <c r="E1200" s="1" t="s">
        <v>899</v>
      </c>
      <c r="F1200" s="1" t="s">
        <v>900</v>
      </c>
      <c r="G1200" s="1">
        <v>0.0</v>
      </c>
      <c r="H1200" s="2">
        <v>0.15347222222222223</v>
      </c>
    </row>
    <row r="1201">
      <c r="A1201" s="1" t="s">
        <v>897</v>
      </c>
      <c r="B1201" s="1" t="s">
        <v>484</v>
      </c>
      <c r="C1201" s="1">
        <v>50.0</v>
      </c>
      <c r="D1201" s="1" t="s">
        <v>901</v>
      </c>
      <c r="E1201" s="1" t="s">
        <v>72</v>
      </c>
      <c r="F1201" s="1" t="s">
        <v>67</v>
      </c>
      <c r="G1201" s="1">
        <v>0.0</v>
      </c>
      <c r="H1201" s="2">
        <v>0.1111111111111111</v>
      </c>
    </row>
    <row r="1202">
      <c r="A1202" s="1" t="s">
        <v>902</v>
      </c>
      <c r="B1202" s="1" t="s">
        <v>903</v>
      </c>
      <c r="C1202" s="1">
        <v>1.0</v>
      </c>
      <c r="D1202" s="1" t="s">
        <v>904</v>
      </c>
      <c r="E1202" s="1" t="s">
        <v>905</v>
      </c>
      <c r="F1202" s="1" t="s">
        <v>904</v>
      </c>
      <c r="G1202" s="1">
        <v>1.0</v>
      </c>
      <c r="H1202" s="2">
        <v>0.08263888888888889</v>
      </c>
    </row>
    <row r="1203">
      <c r="A1203" s="1" t="s">
        <v>902</v>
      </c>
      <c r="B1203" s="1" t="s">
        <v>903</v>
      </c>
      <c r="C1203" s="1">
        <v>2.0</v>
      </c>
      <c r="D1203" s="1" t="s">
        <v>906</v>
      </c>
      <c r="E1203" s="1" t="s">
        <v>907</v>
      </c>
      <c r="F1203" s="1" t="s">
        <v>906</v>
      </c>
      <c r="G1203" s="1">
        <v>1.0</v>
      </c>
      <c r="H1203" s="2">
        <v>0.22013888888888888</v>
      </c>
    </row>
    <row r="1204">
      <c r="A1204" s="1" t="s">
        <v>902</v>
      </c>
      <c r="B1204" s="1" t="s">
        <v>903</v>
      </c>
      <c r="C1204" s="1">
        <v>3.0</v>
      </c>
      <c r="D1204" s="1" t="s">
        <v>908</v>
      </c>
      <c r="E1204" s="1" t="s">
        <v>909</v>
      </c>
      <c r="F1204" s="1" t="s">
        <v>908</v>
      </c>
      <c r="G1204" s="1">
        <v>0.0</v>
      </c>
      <c r="H1204" s="2">
        <v>0.10208333333333333</v>
      </c>
    </row>
    <row r="1205">
      <c r="A1205" s="1" t="s">
        <v>902</v>
      </c>
      <c r="B1205" s="1" t="s">
        <v>903</v>
      </c>
      <c r="C1205" s="1">
        <v>4.0</v>
      </c>
      <c r="D1205" s="1" t="s">
        <v>910</v>
      </c>
      <c r="E1205" s="1" t="s">
        <v>911</v>
      </c>
      <c r="F1205" s="1" t="s">
        <v>912</v>
      </c>
      <c r="G1205" s="1">
        <v>1.0</v>
      </c>
      <c r="H1205" s="2">
        <v>0.14375</v>
      </c>
    </row>
    <row r="1206">
      <c r="A1206" s="1" t="s">
        <v>902</v>
      </c>
      <c r="B1206" s="1" t="s">
        <v>903</v>
      </c>
      <c r="C1206" s="1">
        <v>5.0</v>
      </c>
      <c r="D1206" s="1" t="s">
        <v>913</v>
      </c>
      <c r="E1206" s="1" t="s">
        <v>914</v>
      </c>
      <c r="F1206" s="1" t="s">
        <v>913</v>
      </c>
      <c r="G1206" s="1">
        <v>1.0</v>
      </c>
      <c r="H1206" s="2">
        <v>0.12152777777777778</v>
      </c>
    </row>
    <row r="1207">
      <c r="A1207" s="1" t="s">
        <v>902</v>
      </c>
      <c r="B1207" s="1" t="s">
        <v>903</v>
      </c>
      <c r="C1207" s="1">
        <v>6.0</v>
      </c>
      <c r="D1207" s="1" t="s">
        <v>915</v>
      </c>
      <c r="E1207" s="1" t="s">
        <v>916</v>
      </c>
      <c r="F1207" s="1" t="s">
        <v>915</v>
      </c>
      <c r="G1207" s="1">
        <v>0.0</v>
      </c>
      <c r="H1207" s="2">
        <v>0.2423611111111111</v>
      </c>
    </row>
    <row r="1208">
      <c r="A1208" s="1" t="s">
        <v>902</v>
      </c>
      <c r="B1208" s="1" t="s">
        <v>903</v>
      </c>
      <c r="C1208" s="1">
        <v>7.0</v>
      </c>
      <c r="D1208" s="1" t="s">
        <v>917</v>
      </c>
      <c r="E1208" s="1" t="s">
        <v>918</v>
      </c>
      <c r="F1208" s="1" t="s">
        <v>917</v>
      </c>
      <c r="G1208" s="1">
        <v>1.0</v>
      </c>
      <c r="H1208" s="2">
        <v>0.13333333333333333</v>
      </c>
    </row>
    <row r="1209">
      <c r="A1209" s="1" t="s">
        <v>902</v>
      </c>
      <c r="B1209" s="1" t="s">
        <v>903</v>
      </c>
      <c r="C1209" s="1">
        <v>8.0</v>
      </c>
      <c r="D1209" s="1" t="s">
        <v>919</v>
      </c>
      <c r="E1209" s="1" t="s">
        <v>920</v>
      </c>
      <c r="F1209" s="1" t="s">
        <v>919</v>
      </c>
      <c r="G1209" s="1">
        <v>0.0</v>
      </c>
      <c r="H1209" s="2">
        <v>0.11875</v>
      </c>
    </row>
    <row r="1210">
      <c r="A1210" s="1" t="s">
        <v>902</v>
      </c>
      <c r="B1210" s="1" t="s">
        <v>903</v>
      </c>
      <c r="C1210" s="1">
        <v>9.0</v>
      </c>
      <c r="D1210" s="1" t="s">
        <v>921</v>
      </c>
      <c r="E1210" s="1" t="s">
        <v>922</v>
      </c>
      <c r="F1210" s="1" t="s">
        <v>921</v>
      </c>
      <c r="G1210" s="1">
        <v>0.0</v>
      </c>
      <c r="H1210" s="2">
        <v>0.13125</v>
      </c>
    </row>
    <row r="1211">
      <c r="A1211" s="1" t="s">
        <v>902</v>
      </c>
      <c r="B1211" s="1" t="s">
        <v>903</v>
      </c>
      <c r="C1211" s="1">
        <v>10.0</v>
      </c>
      <c r="D1211" s="1" t="s">
        <v>923</v>
      </c>
      <c r="E1211" s="1" t="s">
        <v>924</v>
      </c>
      <c r="F1211" s="1" t="s">
        <v>925</v>
      </c>
      <c r="G1211" s="1">
        <v>0.0</v>
      </c>
      <c r="H1211" s="2">
        <v>0.18611111111111112</v>
      </c>
    </row>
    <row r="1212">
      <c r="A1212" s="1" t="s">
        <v>902</v>
      </c>
      <c r="B1212" s="1" t="s">
        <v>903</v>
      </c>
      <c r="C1212" s="1">
        <v>11.0</v>
      </c>
      <c r="D1212" s="1" t="s">
        <v>926</v>
      </c>
      <c r="E1212" s="1" t="s">
        <v>927</v>
      </c>
      <c r="F1212" s="1" t="s">
        <v>926</v>
      </c>
      <c r="G1212" s="1">
        <v>0.0</v>
      </c>
      <c r="H1212" s="2">
        <v>0.16319444444444445</v>
      </c>
    </row>
    <row r="1213">
      <c r="A1213" s="1" t="s">
        <v>902</v>
      </c>
      <c r="B1213" s="1" t="s">
        <v>903</v>
      </c>
      <c r="C1213" s="1">
        <v>12.0</v>
      </c>
      <c r="D1213" s="1" t="s">
        <v>928</v>
      </c>
      <c r="E1213" s="1" t="s">
        <v>929</v>
      </c>
      <c r="F1213" s="1" t="s">
        <v>930</v>
      </c>
      <c r="G1213" s="1">
        <v>0.0</v>
      </c>
      <c r="H1213" s="2">
        <v>0.19583333333333333</v>
      </c>
    </row>
    <row r="1214">
      <c r="A1214" s="1" t="s">
        <v>902</v>
      </c>
      <c r="B1214" s="1" t="s">
        <v>903</v>
      </c>
      <c r="C1214" s="1">
        <v>13.0</v>
      </c>
      <c r="D1214" s="1" t="s">
        <v>931</v>
      </c>
      <c r="E1214" s="1" t="s">
        <v>932</v>
      </c>
      <c r="F1214" s="1" t="s">
        <v>931</v>
      </c>
      <c r="G1214" s="1">
        <v>1.0</v>
      </c>
      <c r="H1214" s="2">
        <v>0.17708333333333334</v>
      </c>
    </row>
    <row r="1215">
      <c r="A1215" s="1" t="s">
        <v>902</v>
      </c>
      <c r="B1215" s="1" t="s">
        <v>903</v>
      </c>
      <c r="C1215" s="1">
        <v>14.0</v>
      </c>
      <c r="D1215" s="1" t="s">
        <v>933</v>
      </c>
      <c r="E1215" s="1" t="s">
        <v>934</v>
      </c>
      <c r="F1215" s="1" t="s">
        <v>935</v>
      </c>
      <c r="G1215" s="1">
        <v>0.0</v>
      </c>
      <c r="H1215" s="2">
        <v>0.19236111111111112</v>
      </c>
    </row>
    <row r="1216">
      <c r="A1216" s="1" t="s">
        <v>902</v>
      </c>
      <c r="B1216" s="1" t="s">
        <v>903</v>
      </c>
      <c r="C1216" s="1">
        <v>15.0</v>
      </c>
      <c r="D1216" s="1" t="s">
        <v>936</v>
      </c>
      <c r="E1216" s="1" t="s">
        <v>937</v>
      </c>
      <c r="F1216" s="1" t="s">
        <v>936</v>
      </c>
      <c r="G1216" s="1">
        <v>1.0</v>
      </c>
      <c r="H1216" s="2">
        <v>0.14583333333333334</v>
      </c>
    </row>
    <row r="1217">
      <c r="A1217" s="1" t="s">
        <v>902</v>
      </c>
      <c r="B1217" s="1" t="s">
        <v>903</v>
      </c>
      <c r="C1217" s="1">
        <v>16.0</v>
      </c>
      <c r="D1217" s="1" t="s">
        <v>938</v>
      </c>
      <c r="E1217" s="1" t="s">
        <v>939</v>
      </c>
      <c r="F1217" s="1" t="s">
        <v>938</v>
      </c>
      <c r="G1217" s="1">
        <v>0.0</v>
      </c>
      <c r="H1217" s="2">
        <v>0.15694444444444444</v>
      </c>
    </row>
    <row r="1218">
      <c r="A1218" s="1" t="s">
        <v>902</v>
      </c>
      <c r="B1218" s="1" t="s">
        <v>903</v>
      </c>
      <c r="C1218" s="1">
        <v>17.0</v>
      </c>
      <c r="D1218" s="1" t="s">
        <v>940</v>
      </c>
      <c r="E1218" s="1" t="s">
        <v>941</v>
      </c>
      <c r="F1218" s="1" t="s">
        <v>942</v>
      </c>
      <c r="G1218" s="1">
        <v>1.0</v>
      </c>
      <c r="H1218" s="2">
        <v>0.12013888888888889</v>
      </c>
    </row>
    <row r="1219">
      <c r="A1219" s="1" t="s">
        <v>902</v>
      </c>
      <c r="B1219" s="1" t="s">
        <v>903</v>
      </c>
      <c r="C1219" s="1">
        <v>18.0</v>
      </c>
      <c r="D1219" s="1" t="s">
        <v>943</v>
      </c>
      <c r="E1219" s="1" t="s">
        <v>944</v>
      </c>
      <c r="F1219" s="1" t="s">
        <v>944</v>
      </c>
      <c r="G1219" s="1">
        <v>1.0</v>
      </c>
      <c r="H1219" s="2">
        <v>0.18888888888888888</v>
      </c>
    </row>
    <row r="1220">
      <c r="A1220" s="1" t="s">
        <v>902</v>
      </c>
      <c r="B1220" s="1" t="s">
        <v>903</v>
      </c>
      <c r="C1220" s="1">
        <v>19.0</v>
      </c>
      <c r="D1220" s="1" t="s">
        <v>945</v>
      </c>
      <c r="E1220" s="1" t="s">
        <v>946</v>
      </c>
      <c r="F1220" s="1" t="s">
        <v>945</v>
      </c>
      <c r="G1220" s="1">
        <v>0.0</v>
      </c>
      <c r="H1220" s="2">
        <v>0.13819444444444445</v>
      </c>
    </row>
    <row r="1221">
      <c r="A1221" s="1" t="s">
        <v>902</v>
      </c>
      <c r="B1221" s="1" t="s">
        <v>903</v>
      </c>
      <c r="C1221" s="1">
        <v>20.0</v>
      </c>
      <c r="D1221" s="1" t="s">
        <v>947</v>
      </c>
      <c r="E1221" s="1" t="s">
        <v>944</v>
      </c>
      <c r="F1221" s="1" t="s">
        <v>948</v>
      </c>
      <c r="G1221" s="1">
        <v>0.0</v>
      </c>
      <c r="H1221" s="2">
        <v>0.17430555555555555</v>
      </c>
    </row>
    <row r="1222">
      <c r="A1222" s="1" t="s">
        <v>902</v>
      </c>
      <c r="B1222" s="1" t="s">
        <v>903</v>
      </c>
      <c r="C1222" s="1">
        <v>21.0</v>
      </c>
      <c r="D1222" s="1" t="s">
        <v>949</v>
      </c>
      <c r="E1222" s="1" t="s">
        <v>950</v>
      </c>
      <c r="F1222" s="1" t="s">
        <v>951</v>
      </c>
      <c r="G1222" s="1">
        <v>0.0</v>
      </c>
      <c r="H1222" s="2">
        <v>0.1486111111111111</v>
      </c>
    </row>
    <row r="1223">
      <c r="A1223" s="1" t="s">
        <v>902</v>
      </c>
      <c r="B1223" s="1" t="s">
        <v>903</v>
      </c>
      <c r="C1223" s="1">
        <v>22.0</v>
      </c>
      <c r="D1223" s="1" t="s">
        <v>9</v>
      </c>
      <c r="E1223" s="1" t="s">
        <v>10</v>
      </c>
      <c r="F1223" s="1" t="s">
        <v>9</v>
      </c>
      <c r="G1223" s="1">
        <v>0.0</v>
      </c>
      <c r="H1223" s="2">
        <v>0.12638888888888888</v>
      </c>
    </row>
    <row r="1224">
      <c r="A1224" s="1" t="s">
        <v>902</v>
      </c>
      <c r="B1224" s="1" t="s">
        <v>903</v>
      </c>
      <c r="C1224" s="1">
        <v>23.0</v>
      </c>
      <c r="D1224" s="1" t="s">
        <v>952</v>
      </c>
      <c r="E1224" s="1" t="s">
        <v>953</v>
      </c>
      <c r="F1224" s="1" t="s">
        <v>954</v>
      </c>
      <c r="G1224" s="1">
        <v>1.0</v>
      </c>
      <c r="H1224" s="2">
        <v>0.1361111111111111</v>
      </c>
    </row>
    <row r="1225">
      <c r="A1225" s="1" t="s">
        <v>902</v>
      </c>
      <c r="B1225" s="1" t="s">
        <v>903</v>
      </c>
      <c r="C1225" s="1">
        <v>24.0</v>
      </c>
      <c r="D1225" s="1" t="s">
        <v>955</v>
      </c>
      <c r="E1225" s="1" t="s">
        <v>956</v>
      </c>
      <c r="F1225" s="1" t="s">
        <v>957</v>
      </c>
      <c r="G1225" s="1">
        <v>1.0</v>
      </c>
      <c r="H1225" s="2">
        <v>0.09444444444444444</v>
      </c>
    </row>
    <row r="1226">
      <c r="A1226" s="1" t="s">
        <v>902</v>
      </c>
      <c r="B1226" s="1" t="s">
        <v>903</v>
      </c>
      <c r="C1226" s="1">
        <v>25.0</v>
      </c>
      <c r="D1226" s="1" t="s">
        <v>958</v>
      </c>
      <c r="E1226" s="1" t="s">
        <v>959</v>
      </c>
      <c r="F1226" s="1" t="s">
        <v>958</v>
      </c>
      <c r="G1226" s="1">
        <v>0.0</v>
      </c>
      <c r="H1226" s="2">
        <v>0.11875</v>
      </c>
    </row>
    <row r="1227">
      <c r="A1227" s="1" t="s">
        <v>902</v>
      </c>
      <c r="B1227" s="1" t="s">
        <v>903</v>
      </c>
      <c r="C1227" s="1">
        <v>26.0</v>
      </c>
      <c r="D1227" s="1" t="s">
        <v>960</v>
      </c>
      <c r="E1227" s="1" t="s">
        <v>944</v>
      </c>
      <c r="F1227" s="1" t="s">
        <v>948</v>
      </c>
      <c r="G1227" s="1">
        <v>1.0</v>
      </c>
      <c r="H1227" s="2">
        <v>0.19375</v>
      </c>
    </row>
    <row r="1228">
      <c r="A1228" s="1" t="s">
        <v>902</v>
      </c>
      <c r="B1228" s="1" t="s">
        <v>903</v>
      </c>
      <c r="C1228" s="1">
        <v>27.0</v>
      </c>
      <c r="D1228" s="1" t="s">
        <v>961</v>
      </c>
      <c r="E1228" s="1" t="s">
        <v>962</v>
      </c>
      <c r="F1228" s="1" t="s">
        <v>961</v>
      </c>
      <c r="G1228" s="1">
        <v>1.0</v>
      </c>
      <c r="H1228" s="2">
        <v>0.1361111111111111</v>
      </c>
    </row>
    <row r="1229">
      <c r="A1229" s="1" t="s">
        <v>902</v>
      </c>
      <c r="B1229" s="1" t="s">
        <v>903</v>
      </c>
      <c r="C1229" s="1">
        <v>28.0</v>
      </c>
      <c r="D1229" s="1" t="s">
        <v>963</v>
      </c>
      <c r="E1229" s="1" t="s">
        <v>964</v>
      </c>
      <c r="F1229" s="1" t="s">
        <v>963</v>
      </c>
      <c r="G1229" s="1">
        <v>0.0</v>
      </c>
      <c r="H1229" s="2">
        <v>0.11041666666666666</v>
      </c>
    </row>
    <row r="1230">
      <c r="A1230" s="1" t="s">
        <v>902</v>
      </c>
      <c r="B1230" s="1" t="s">
        <v>903</v>
      </c>
      <c r="C1230" s="1">
        <v>29.0</v>
      </c>
      <c r="D1230" s="1" t="s">
        <v>965</v>
      </c>
      <c r="E1230" s="1" t="s">
        <v>941</v>
      </c>
      <c r="F1230" s="1" t="s">
        <v>942</v>
      </c>
      <c r="G1230" s="1">
        <v>0.0</v>
      </c>
      <c r="H1230" s="2">
        <v>0.16805555555555557</v>
      </c>
    </row>
    <row r="1231">
      <c r="A1231" s="1" t="s">
        <v>902</v>
      </c>
      <c r="B1231" s="1" t="s">
        <v>903</v>
      </c>
      <c r="C1231" s="1">
        <v>30.0</v>
      </c>
      <c r="D1231" s="1" t="s">
        <v>966</v>
      </c>
      <c r="E1231" s="1" t="s">
        <v>967</v>
      </c>
      <c r="F1231" s="1" t="s">
        <v>966</v>
      </c>
      <c r="G1231" s="1">
        <v>0.0</v>
      </c>
      <c r="H1231" s="2">
        <v>0.11597222222222223</v>
      </c>
    </row>
    <row r="1232">
      <c r="A1232" s="1" t="s">
        <v>902</v>
      </c>
      <c r="B1232" s="1" t="s">
        <v>903</v>
      </c>
      <c r="C1232" s="1">
        <v>31.0</v>
      </c>
      <c r="D1232" s="1" t="s">
        <v>968</v>
      </c>
      <c r="E1232" s="1" t="s">
        <v>969</v>
      </c>
      <c r="F1232" s="1" t="s">
        <v>968</v>
      </c>
      <c r="G1232" s="1">
        <v>1.0</v>
      </c>
      <c r="H1232" s="2">
        <v>0.16875</v>
      </c>
    </row>
    <row r="1233">
      <c r="A1233" s="1" t="s">
        <v>902</v>
      </c>
      <c r="B1233" s="1" t="s">
        <v>903</v>
      </c>
      <c r="C1233" s="1">
        <v>32.0</v>
      </c>
      <c r="D1233" s="1" t="s">
        <v>970</v>
      </c>
      <c r="E1233" s="1" t="s">
        <v>971</v>
      </c>
      <c r="F1233" s="1" t="s">
        <v>972</v>
      </c>
      <c r="G1233" s="1">
        <v>1.0</v>
      </c>
      <c r="H1233" s="2">
        <v>0.11527777777777778</v>
      </c>
    </row>
    <row r="1234">
      <c r="A1234" s="1" t="s">
        <v>902</v>
      </c>
      <c r="B1234" s="1" t="s">
        <v>903</v>
      </c>
      <c r="C1234" s="1">
        <v>33.0</v>
      </c>
      <c r="D1234" s="1" t="s">
        <v>856</v>
      </c>
      <c r="E1234" s="1" t="s">
        <v>973</v>
      </c>
      <c r="F1234" s="1" t="s">
        <v>856</v>
      </c>
      <c r="G1234" s="1">
        <v>1.0</v>
      </c>
      <c r="H1234" s="2">
        <v>0.08888888888888889</v>
      </c>
    </row>
    <row r="1235">
      <c r="A1235" s="1" t="s">
        <v>902</v>
      </c>
      <c r="B1235" s="1" t="s">
        <v>903</v>
      </c>
      <c r="C1235" s="1">
        <v>34.0</v>
      </c>
      <c r="D1235" s="1" t="s">
        <v>974</v>
      </c>
      <c r="E1235" s="1" t="s">
        <v>975</v>
      </c>
      <c r="F1235" s="1" t="s">
        <v>976</v>
      </c>
      <c r="G1235" s="1">
        <v>1.0</v>
      </c>
      <c r="H1235" s="2">
        <v>0.14791666666666667</v>
      </c>
    </row>
    <row r="1236">
      <c r="A1236" s="1" t="s">
        <v>902</v>
      </c>
      <c r="B1236" s="1" t="s">
        <v>903</v>
      </c>
      <c r="C1236" s="1">
        <v>35.0</v>
      </c>
      <c r="D1236" s="1" t="s">
        <v>977</v>
      </c>
      <c r="E1236" s="1" t="s">
        <v>978</v>
      </c>
      <c r="F1236" s="1" t="s">
        <v>977</v>
      </c>
      <c r="G1236" s="1">
        <v>0.0</v>
      </c>
      <c r="H1236" s="2">
        <v>0.13819444444444445</v>
      </c>
    </row>
    <row r="1237">
      <c r="A1237" s="1" t="s">
        <v>902</v>
      </c>
      <c r="B1237" s="1" t="s">
        <v>903</v>
      </c>
      <c r="C1237" s="1">
        <v>36.0</v>
      </c>
      <c r="D1237" s="1" t="s">
        <v>979</v>
      </c>
      <c r="E1237" s="1" t="s">
        <v>980</v>
      </c>
      <c r="F1237" s="1" t="s">
        <v>979</v>
      </c>
      <c r="G1237" s="1">
        <v>1.0</v>
      </c>
      <c r="H1237" s="2">
        <v>0.09652777777777778</v>
      </c>
    </row>
    <row r="1238">
      <c r="A1238" s="1" t="s">
        <v>902</v>
      </c>
      <c r="B1238" s="1" t="s">
        <v>903</v>
      </c>
      <c r="C1238" s="1">
        <v>37.0</v>
      </c>
      <c r="D1238" s="1" t="s">
        <v>981</v>
      </c>
      <c r="E1238" s="1" t="s">
        <v>978</v>
      </c>
      <c r="F1238" s="1" t="s">
        <v>981</v>
      </c>
      <c r="G1238" s="1">
        <v>0.0</v>
      </c>
      <c r="H1238" s="2">
        <v>0.07708333333333334</v>
      </c>
    </row>
    <row r="1239">
      <c r="A1239" s="1" t="s">
        <v>902</v>
      </c>
      <c r="B1239" s="1" t="s">
        <v>903</v>
      </c>
      <c r="C1239" s="1">
        <v>38.0</v>
      </c>
      <c r="D1239" s="1" t="s">
        <v>982</v>
      </c>
      <c r="E1239" s="1" t="s">
        <v>983</v>
      </c>
      <c r="F1239" s="1" t="s">
        <v>982</v>
      </c>
      <c r="G1239" s="1">
        <v>0.0</v>
      </c>
      <c r="H1239" s="2">
        <v>0.15763888888888888</v>
      </c>
    </row>
    <row r="1240">
      <c r="A1240" s="1" t="s">
        <v>902</v>
      </c>
      <c r="B1240" s="1" t="s">
        <v>903</v>
      </c>
      <c r="C1240" s="1">
        <v>39.0</v>
      </c>
      <c r="D1240" s="1" t="s">
        <v>984</v>
      </c>
      <c r="E1240" s="1" t="s">
        <v>985</v>
      </c>
      <c r="F1240" s="1" t="s">
        <v>984</v>
      </c>
      <c r="G1240" s="1">
        <v>0.0</v>
      </c>
      <c r="H1240" s="2">
        <v>0.13125</v>
      </c>
    </row>
    <row r="1241">
      <c r="A1241" s="1" t="s">
        <v>902</v>
      </c>
      <c r="B1241" s="1" t="s">
        <v>903</v>
      </c>
      <c r="C1241" s="1">
        <v>40.0</v>
      </c>
      <c r="D1241" s="1" t="s">
        <v>986</v>
      </c>
      <c r="E1241" s="1" t="s">
        <v>987</v>
      </c>
      <c r="F1241" s="1" t="s">
        <v>986</v>
      </c>
      <c r="G1241" s="1">
        <v>0.0</v>
      </c>
      <c r="H1241" s="2">
        <v>0.16111111111111112</v>
      </c>
    </row>
    <row r="1242">
      <c r="A1242" s="1" t="s">
        <v>902</v>
      </c>
      <c r="B1242" s="1" t="s">
        <v>903</v>
      </c>
      <c r="C1242" s="1">
        <v>41.0</v>
      </c>
      <c r="D1242" s="1" t="s">
        <v>988</v>
      </c>
      <c r="E1242" s="1" t="s">
        <v>989</v>
      </c>
      <c r="F1242" s="1" t="s">
        <v>988</v>
      </c>
      <c r="G1242" s="1">
        <v>1.0</v>
      </c>
      <c r="H1242" s="2">
        <v>0.1284722222222222</v>
      </c>
    </row>
    <row r="1243">
      <c r="A1243" s="1" t="s">
        <v>902</v>
      </c>
      <c r="B1243" s="1" t="s">
        <v>903</v>
      </c>
      <c r="C1243" s="1">
        <v>42.0</v>
      </c>
      <c r="D1243" s="1" t="s">
        <v>30</v>
      </c>
      <c r="E1243" s="1" t="s">
        <v>31</v>
      </c>
      <c r="F1243" s="1" t="s">
        <v>32</v>
      </c>
      <c r="G1243" s="1">
        <v>0.0</v>
      </c>
      <c r="H1243" s="2">
        <v>0.15833333333333333</v>
      </c>
    </row>
    <row r="1244">
      <c r="A1244" s="1" t="s">
        <v>902</v>
      </c>
      <c r="B1244" s="1" t="s">
        <v>903</v>
      </c>
      <c r="C1244" s="1">
        <v>43.0</v>
      </c>
      <c r="D1244" s="1" t="s">
        <v>990</v>
      </c>
      <c r="E1244" s="1" t="s">
        <v>991</v>
      </c>
      <c r="F1244" s="1" t="s">
        <v>990</v>
      </c>
      <c r="G1244" s="1">
        <v>0.0</v>
      </c>
      <c r="H1244" s="2">
        <v>0.12638888888888888</v>
      </c>
    </row>
    <row r="1245">
      <c r="A1245" s="1" t="s">
        <v>902</v>
      </c>
      <c r="B1245" s="1" t="s">
        <v>903</v>
      </c>
      <c r="C1245" s="1">
        <v>44.0</v>
      </c>
      <c r="D1245" s="1" t="s">
        <v>992</v>
      </c>
      <c r="E1245" s="1" t="s">
        <v>993</v>
      </c>
      <c r="F1245" s="1" t="s">
        <v>992</v>
      </c>
      <c r="G1245" s="1">
        <v>0.0</v>
      </c>
      <c r="H1245" s="2">
        <v>0.11666666666666667</v>
      </c>
    </row>
    <row r="1246">
      <c r="A1246" s="1" t="s">
        <v>902</v>
      </c>
      <c r="B1246" s="1" t="s">
        <v>903</v>
      </c>
      <c r="C1246" s="1">
        <v>45.0</v>
      </c>
      <c r="D1246" s="1" t="s">
        <v>994</v>
      </c>
      <c r="E1246" s="1" t="s">
        <v>995</v>
      </c>
      <c r="F1246" s="1" t="s">
        <v>994</v>
      </c>
      <c r="G1246" s="1">
        <v>0.0</v>
      </c>
      <c r="H1246" s="2">
        <v>0.12152777777777778</v>
      </c>
    </row>
    <row r="1247">
      <c r="A1247" s="1" t="s">
        <v>902</v>
      </c>
      <c r="B1247" s="1" t="s">
        <v>903</v>
      </c>
      <c r="C1247" s="1">
        <v>46.0</v>
      </c>
      <c r="D1247" s="1" t="s">
        <v>996</v>
      </c>
      <c r="E1247" s="1">
        <v>831.0</v>
      </c>
      <c r="F1247" s="1" t="s">
        <v>996</v>
      </c>
      <c r="G1247" s="1">
        <v>0.0</v>
      </c>
      <c r="H1247" s="2">
        <v>0.16597222222222222</v>
      </c>
    </row>
    <row r="1248">
      <c r="A1248" s="1" t="s">
        <v>902</v>
      </c>
      <c r="B1248" s="1" t="s">
        <v>903</v>
      </c>
      <c r="C1248" s="1">
        <v>47.0</v>
      </c>
      <c r="D1248" s="1" t="s">
        <v>997</v>
      </c>
      <c r="E1248" s="1" t="s">
        <v>998</v>
      </c>
      <c r="F1248" s="1" t="s">
        <v>999</v>
      </c>
      <c r="G1248" s="1">
        <v>0.0</v>
      </c>
      <c r="H1248" s="2">
        <v>0.11597222222222223</v>
      </c>
    </row>
    <row r="1249">
      <c r="A1249" s="1" t="s">
        <v>902</v>
      </c>
      <c r="B1249" s="1" t="s">
        <v>903</v>
      </c>
      <c r="C1249" s="1">
        <v>48.0</v>
      </c>
      <c r="D1249" s="1" t="s">
        <v>99</v>
      </c>
      <c r="E1249" s="1" t="s">
        <v>100</v>
      </c>
      <c r="F1249" s="1" t="s">
        <v>99</v>
      </c>
      <c r="G1249" s="1">
        <v>0.0</v>
      </c>
      <c r="H1249" s="2">
        <v>0.11944444444444445</v>
      </c>
    </row>
    <row r="1250">
      <c r="A1250" s="1" t="s">
        <v>902</v>
      </c>
      <c r="B1250" s="1" t="s">
        <v>903</v>
      </c>
      <c r="C1250" s="1">
        <v>49.0</v>
      </c>
      <c r="D1250" s="1" t="s">
        <v>1000</v>
      </c>
      <c r="E1250" s="1" t="s">
        <v>1001</v>
      </c>
      <c r="F1250" s="1" t="s">
        <v>1000</v>
      </c>
      <c r="G1250" s="1">
        <v>0.0</v>
      </c>
      <c r="H1250" s="2">
        <v>0.13333333333333333</v>
      </c>
    </row>
    <row r="1251">
      <c r="A1251" s="1" t="s">
        <v>902</v>
      </c>
      <c r="B1251" s="1" t="s">
        <v>903</v>
      </c>
      <c r="C1251" s="1">
        <v>50.0</v>
      </c>
      <c r="D1251" s="1" t="s">
        <v>1002</v>
      </c>
      <c r="E1251" s="1" t="s">
        <v>1003</v>
      </c>
      <c r="F1251" s="1" t="s">
        <v>1002</v>
      </c>
      <c r="G1251" s="1">
        <v>1.0</v>
      </c>
      <c r="H1251" s="2">
        <v>0.12013888888888889</v>
      </c>
    </row>
    <row r="1252">
      <c r="A1252" s="1" t="s">
        <v>1004</v>
      </c>
      <c r="B1252" s="1" t="s">
        <v>250</v>
      </c>
      <c r="C1252" s="1">
        <v>1.0</v>
      </c>
      <c r="D1252" s="1" t="s">
        <v>17</v>
      </c>
      <c r="E1252" s="1" t="s">
        <v>18</v>
      </c>
      <c r="F1252" s="1" t="s">
        <v>19</v>
      </c>
      <c r="G1252" s="1">
        <v>1.0</v>
      </c>
      <c r="H1252" s="2">
        <v>0.12222222222222222</v>
      </c>
    </row>
    <row r="1253">
      <c r="A1253" s="1" t="s">
        <v>1004</v>
      </c>
      <c r="B1253" s="1" t="s">
        <v>250</v>
      </c>
      <c r="C1253" s="1">
        <v>2.0</v>
      </c>
      <c r="D1253" s="1" t="s">
        <v>11</v>
      </c>
      <c r="E1253" s="1" t="s">
        <v>12</v>
      </c>
      <c r="F1253" s="1" t="s">
        <v>13</v>
      </c>
      <c r="G1253" s="1">
        <v>0.0</v>
      </c>
      <c r="H1253" s="2">
        <v>0.1388888888888889</v>
      </c>
    </row>
    <row r="1254">
      <c r="A1254" s="1" t="s">
        <v>1004</v>
      </c>
      <c r="B1254" s="1" t="s">
        <v>250</v>
      </c>
      <c r="C1254" s="1">
        <v>3.0</v>
      </c>
      <c r="D1254" s="1" t="s">
        <v>36</v>
      </c>
      <c r="E1254" s="1" t="s">
        <v>37</v>
      </c>
      <c r="F1254" s="1" t="s">
        <v>36</v>
      </c>
      <c r="G1254" s="1">
        <v>1.0</v>
      </c>
      <c r="H1254" s="2">
        <v>0.09166666666666666</v>
      </c>
    </row>
    <row r="1255">
      <c r="A1255" s="1" t="s">
        <v>1004</v>
      </c>
      <c r="B1255" s="1" t="s">
        <v>250</v>
      </c>
      <c r="C1255" s="1">
        <v>4.0</v>
      </c>
      <c r="D1255" s="1" t="s">
        <v>105</v>
      </c>
      <c r="E1255" s="1" t="s">
        <v>106</v>
      </c>
      <c r="F1255" s="1" t="s">
        <v>105</v>
      </c>
      <c r="G1255" s="1">
        <v>0.0</v>
      </c>
      <c r="H1255" s="2">
        <v>0.11527777777777778</v>
      </c>
    </row>
    <row r="1256">
      <c r="A1256" s="1" t="s">
        <v>1004</v>
      </c>
      <c r="B1256" s="1" t="s">
        <v>250</v>
      </c>
      <c r="C1256" s="1">
        <v>5.0</v>
      </c>
      <c r="D1256" s="1" t="s">
        <v>14</v>
      </c>
      <c r="E1256" s="1" t="s">
        <v>15</v>
      </c>
      <c r="F1256" s="1" t="s">
        <v>16</v>
      </c>
      <c r="G1256" s="1">
        <v>1.0</v>
      </c>
      <c r="H1256" s="2">
        <v>0.12569444444444444</v>
      </c>
    </row>
    <row r="1257">
      <c r="A1257" s="1" t="s">
        <v>1004</v>
      </c>
      <c r="B1257" s="1" t="s">
        <v>250</v>
      </c>
      <c r="C1257" s="1">
        <v>6.0</v>
      </c>
      <c r="D1257" s="1" t="s">
        <v>9</v>
      </c>
      <c r="E1257" s="1" t="s">
        <v>10</v>
      </c>
      <c r="F1257" s="1" t="s">
        <v>9</v>
      </c>
      <c r="G1257" s="1">
        <v>0.0</v>
      </c>
      <c r="H1257" s="2">
        <v>0.12638888888888888</v>
      </c>
    </row>
    <row r="1258">
      <c r="A1258" s="1" t="s">
        <v>1004</v>
      </c>
      <c r="B1258" s="1" t="s">
        <v>250</v>
      </c>
      <c r="C1258" s="1">
        <v>7.0</v>
      </c>
      <c r="D1258" s="1" t="s">
        <v>25</v>
      </c>
      <c r="E1258" s="1" t="s">
        <v>26</v>
      </c>
      <c r="F1258" s="1" t="s">
        <v>25</v>
      </c>
      <c r="G1258" s="1">
        <v>1.0</v>
      </c>
      <c r="H1258" s="2">
        <v>0.11458333333333333</v>
      </c>
    </row>
    <row r="1259">
      <c r="A1259" s="1" t="s">
        <v>1004</v>
      </c>
      <c r="B1259" s="1" t="s">
        <v>250</v>
      </c>
      <c r="C1259" s="1">
        <v>8.0</v>
      </c>
      <c r="D1259" s="1" t="s">
        <v>33</v>
      </c>
      <c r="E1259" s="1" t="s">
        <v>34</v>
      </c>
      <c r="F1259" s="1" t="s">
        <v>35</v>
      </c>
      <c r="G1259" s="1">
        <v>0.0</v>
      </c>
      <c r="H1259" s="2">
        <v>0.1451388888888889</v>
      </c>
    </row>
    <row r="1260">
      <c r="A1260" s="1" t="s">
        <v>1004</v>
      </c>
      <c r="B1260" s="1" t="s">
        <v>250</v>
      </c>
      <c r="C1260" s="1">
        <v>9.0</v>
      </c>
      <c r="D1260" s="1" t="s">
        <v>27</v>
      </c>
      <c r="E1260" s="1" t="s">
        <v>28</v>
      </c>
      <c r="F1260" s="1" t="s">
        <v>29</v>
      </c>
      <c r="G1260" s="1">
        <v>0.0</v>
      </c>
      <c r="H1260" s="2">
        <v>0.12708333333333333</v>
      </c>
    </row>
    <row r="1261">
      <c r="A1261" s="1" t="s">
        <v>1004</v>
      </c>
      <c r="B1261" s="1" t="s">
        <v>250</v>
      </c>
      <c r="C1261" s="1">
        <v>10.0</v>
      </c>
      <c r="D1261" s="1" t="s">
        <v>20</v>
      </c>
      <c r="E1261" s="1" t="s">
        <v>21</v>
      </c>
      <c r="F1261" s="1" t="s">
        <v>22</v>
      </c>
      <c r="G1261" s="1">
        <v>1.0</v>
      </c>
      <c r="H1261" s="2">
        <v>0.17152777777777778</v>
      </c>
    </row>
    <row r="1262">
      <c r="A1262" s="1" t="s">
        <v>1004</v>
      </c>
      <c r="B1262" s="1" t="s">
        <v>250</v>
      </c>
      <c r="C1262" s="1">
        <v>11.0</v>
      </c>
      <c r="D1262" s="1" t="s">
        <v>41</v>
      </c>
      <c r="E1262" s="1" t="s">
        <v>42</v>
      </c>
      <c r="F1262" s="1" t="s">
        <v>43</v>
      </c>
      <c r="G1262" s="1">
        <v>1.0</v>
      </c>
      <c r="H1262" s="2">
        <v>0.1361111111111111</v>
      </c>
    </row>
    <row r="1263">
      <c r="A1263" s="1" t="s">
        <v>1004</v>
      </c>
      <c r="B1263" s="1" t="s">
        <v>250</v>
      </c>
      <c r="C1263" s="1">
        <v>12.0</v>
      </c>
      <c r="D1263" s="1" t="s">
        <v>38</v>
      </c>
      <c r="E1263" s="1" t="s">
        <v>39</v>
      </c>
      <c r="F1263" s="1" t="s">
        <v>40</v>
      </c>
      <c r="G1263" s="1">
        <v>1.0</v>
      </c>
      <c r="H1263" s="2">
        <v>0.1125</v>
      </c>
    </row>
    <row r="1264">
      <c r="A1264" s="1" t="s">
        <v>1004</v>
      </c>
      <c r="B1264" s="1" t="s">
        <v>250</v>
      </c>
      <c r="C1264" s="1">
        <v>13.0</v>
      </c>
      <c r="D1264" s="1" t="s">
        <v>46</v>
      </c>
      <c r="E1264" s="1" t="s">
        <v>28</v>
      </c>
      <c r="F1264" s="1" t="s">
        <v>29</v>
      </c>
      <c r="G1264" s="1">
        <v>0.0</v>
      </c>
      <c r="H1264" s="2">
        <v>0.15347222222222223</v>
      </c>
    </row>
    <row r="1265">
      <c r="A1265" s="1" t="s">
        <v>1004</v>
      </c>
      <c r="B1265" s="1" t="s">
        <v>250</v>
      </c>
      <c r="C1265" s="1">
        <v>14.0</v>
      </c>
      <c r="D1265" s="1" t="s">
        <v>60</v>
      </c>
      <c r="E1265" s="1" t="s">
        <v>61</v>
      </c>
      <c r="F1265" s="1" t="s">
        <v>62</v>
      </c>
      <c r="G1265" s="1">
        <v>0.0</v>
      </c>
      <c r="H1265" s="2">
        <v>0.11041666666666666</v>
      </c>
    </row>
    <row r="1266">
      <c r="A1266" s="1" t="s">
        <v>1004</v>
      </c>
      <c r="B1266" s="1" t="s">
        <v>250</v>
      </c>
      <c r="C1266" s="1">
        <v>15.0</v>
      </c>
      <c r="D1266" s="1" t="s">
        <v>1005</v>
      </c>
      <c r="E1266" s="1" t="s">
        <v>1006</v>
      </c>
      <c r="F1266" s="1" t="s">
        <v>1007</v>
      </c>
      <c r="G1266" s="1">
        <v>0.0</v>
      </c>
      <c r="H1266" s="2">
        <v>0.15694444444444444</v>
      </c>
    </row>
    <row r="1267">
      <c r="A1267" s="1" t="s">
        <v>1004</v>
      </c>
      <c r="B1267" s="1" t="s">
        <v>250</v>
      </c>
      <c r="C1267" s="1">
        <v>16.0</v>
      </c>
      <c r="D1267" s="1" t="s">
        <v>231</v>
      </c>
      <c r="E1267" s="1" t="s">
        <v>232</v>
      </c>
      <c r="F1267" s="1" t="s">
        <v>231</v>
      </c>
      <c r="G1267" s="1">
        <v>0.0</v>
      </c>
      <c r="H1267" s="2">
        <v>0.10902777777777778</v>
      </c>
    </row>
    <row r="1268">
      <c r="A1268" s="1" t="s">
        <v>1004</v>
      </c>
      <c r="B1268" s="1" t="s">
        <v>250</v>
      </c>
      <c r="C1268" s="1">
        <v>17.0</v>
      </c>
      <c r="D1268" s="1" t="s">
        <v>91</v>
      </c>
      <c r="E1268" s="1" t="s">
        <v>58</v>
      </c>
      <c r="F1268" s="1" t="s">
        <v>91</v>
      </c>
      <c r="G1268" s="1">
        <v>0.0</v>
      </c>
      <c r="H1268" s="2">
        <v>0.09305555555555556</v>
      </c>
    </row>
    <row r="1269">
      <c r="A1269" s="1" t="s">
        <v>1004</v>
      </c>
      <c r="B1269" s="1" t="s">
        <v>250</v>
      </c>
      <c r="C1269" s="1">
        <v>18.0</v>
      </c>
      <c r="D1269" s="1" t="s">
        <v>23</v>
      </c>
      <c r="E1269" s="1" t="s">
        <v>24</v>
      </c>
      <c r="F1269" s="1" t="s">
        <v>23</v>
      </c>
      <c r="G1269" s="1">
        <v>0.0</v>
      </c>
      <c r="H1269" s="2">
        <v>0.12013888888888889</v>
      </c>
    </row>
    <row r="1270">
      <c r="A1270" s="1" t="s">
        <v>1004</v>
      </c>
      <c r="B1270" s="1" t="s">
        <v>250</v>
      </c>
      <c r="C1270" s="1">
        <v>19.0</v>
      </c>
      <c r="D1270" s="1" t="s">
        <v>83</v>
      </c>
      <c r="E1270" s="1" t="s">
        <v>84</v>
      </c>
      <c r="F1270" s="1" t="s">
        <v>85</v>
      </c>
      <c r="G1270" s="1">
        <v>1.0</v>
      </c>
      <c r="H1270" s="2">
        <v>0.16875</v>
      </c>
    </row>
    <row r="1271">
      <c r="A1271" s="1" t="s">
        <v>1004</v>
      </c>
      <c r="B1271" s="1" t="s">
        <v>250</v>
      </c>
      <c r="C1271" s="1">
        <v>20.0</v>
      </c>
      <c r="D1271" s="1" t="s">
        <v>44</v>
      </c>
      <c r="E1271" s="1" t="s">
        <v>45</v>
      </c>
      <c r="F1271" s="1" t="s">
        <v>44</v>
      </c>
      <c r="G1271" s="1">
        <v>0.0</v>
      </c>
      <c r="H1271" s="2">
        <v>0.12222222222222222</v>
      </c>
    </row>
    <row r="1272">
      <c r="A1272" s="1" t="s">
        <v>1004</v>
      </c>
      <c r="B1272" s="1" t="s">
        <v>250</v>
      </c>
      <c r="C1272" s="1">
        <v>21.0</v>
      </c>
      <c r="D1272" s="1" t="s">
        <v>118</v>
      </c>
      <c r="E1272" s="1" t="s">
        <v>119</v>
      </c>
      <c r="F1272" s="1" t="s">
        <v>120</v>
      </c>
      <c r="G1272" s="1">
        <v>0.0</v>
      </c>
      <c r="H1272" s="2">
        <v>0.13472222222222222</v>
      </c>
    </row>
    <row r="1273">
      <c r="A1273" s="1" t="s">
        <v>1004</v>
      </c>
      <c r="B1273" s="1" t="s">
        <v>250</v>
      </c>
      <c r="C1273" s="1">
        <v>22.0</v>
      </c>
      <c r="D1273" s="1" t="s">
        <v>1008</v>
      </c>
      <c r="E1273" s="1" t="s">
        <v>1009</v>
      </c>
      <c r="F1273" s="1" t="s">
        <v>1008</v>
      </c>
      <c r="G1273" s="1">
        <v>0.0</v>
      </c>
      <c r="H1273" s="2">
        <v>0.1361111111111111</v>
      </c>
    </row>
    <row r="1274">
      <c r="A1274" s="1" t="s">
        <v>1004</v>
      </c>
      <c r="B1274" s="1" t="s">
        <v>250</v>
      </c>
      <c r="C1274" s="1">
        <v>23.0</v>
      </c>
      <c r="D1274" s="1" t="s">
        <v>30</v>
      </c>
      <c r="E1274" s="1" t="s">
        <v>31</v>
      </c>
      <c r="F1274" s="1" t="s">
        <v>32</v>
      </c>
      <c r="G1274" s="1">
        <v>0.0</v>
      </c>
      <c r="H1274" s="2">
        <v>0.15833333333333333</v>
      </c>
    </row>
    <row r="1275">
      <c r="A1275" s="1" t="s">
        <v>1004</v>
      </c>
      <c r="B1275" s="1" t="s">
        <v>250</v>
      </c>
      <c r="C1275" s="1">
        <v>24.0</v>
      </c>
      <c r="D1275" s="1" t="s">
        <v>462</v>
      </c>
      <c r="E1275" s="1" t="s">
        <v>463</v>
      </c>
      <c r="F1275" s="1" t="s">
        <v>464</v>
      </c>
      <c r="G1275" s="1">
        <v>1.0</v>
      </c>
      <c r="H1275" s="2">
        <v>0.14583333333333334</v>
      </c>
    </row>
    <row r="1276">
      <c r="A1276" s="1" t="s">
        <v>1004</v>
      </c>
      <c r="B1276" s="1" t="s">
        <v>250</v>
      </c>
      <c r="C1276" s="1">
        <v>25.0</v>
      </c>
      <c r="D1276" s="1" t="s">
        <v>104</v>
      </c>
      <c r="E1276" s="1" t="s">
        <v>84</v>
      </c>
      <c r="F1276" s="1" t="s">
        <v>104</v>
      </c>
      <c r="G1276" s="1">
        <v>1.0</v>
      </c>
      <c r="H1276" s="2">
        <v>0.12152777777777778</v>
      </c>
    </row>
    <row r="1277">
      <c r="A1277" s="1" t="s">
        <v>1004</v>
      </c>
      <c r="B1277" s="1" t="s">
        <v>250</v>
      </c>
      <c r="C1277" s="1">
        <v>26.0</v>
      </c>
      <c r="D1277" s="1" t="s">
        <v>94</v>
      </c>
      <c r="E1277" s="1" t="s">
        <v>84</v>
      </c>
      <c r="F1277" s="1" t="s">
        <v>95</v>
      </c>
      <c r="G1277" s="1">
        <v>1.0</v>
      </c>
      <c r="H1277" s="2">
        <v>0.21666666666666667</v>
      </c>
    </row>
    <row r="1278">
      <c r="A1278" s="1" t="s">
        <v>1004</v>
      </c>
      <c r="B1278" s="1" t="s">
        <v>250</v>
      </c>
      <c r="C1278" s="1">
        <v>27.0</v>
      </c>
      <c r="D1278" s="1" t="s">
        <v>88</v>
      </c>
      <c r="E1278" s="1" t="s">
        <v>89</v>
      </c>
      <c r="F1278" s="1" t="s">
        <v>90</v>
      </c>
      <c r="G1278" s="1">
        <v>1.0</v>
      </c>
      <c r="H1278" s="2">
        <v>0.09652777777777778</v>
      </c>
    </row>
    <row r="1279">
      <c r="A1279" s="1" t="s">
        <v>1004</v>
      </c>
      <c r="B1279" s="1" t="s">
        <v>250</v>
      </c>
      <c r="C1279" s="1">
        <v>28.0</v>
      </c>
      <c r="D1279" s="1" t="s">
        <v>92</v>
      </c>
      <c r="E1279" s="1" t="s">
        <v>93</v>
      </c>
      <c r="F1279" s="1" t="s">
        <v>92</v>
      </c>
      <c r="G1279" s="1">
        <v>1.0</v>
      </c>
      <c r="H1279" s="2">
        <v>0.11319444444444444</v>
      </c>
    </row>
    <row r="1280">
      <c r="A1280" s="1" t="s">
        <v>1004</v>
      </c>
      <c r="B1280" s="1" t="s">
        <v>250</v>
      </c>
      <c r="C1280" s="1">
        <v>29.0</v>
      </c>
      <c r="D1280" s="1" t="s">
        <v>238</v>
      </c>
      <c r="E1280" s="1" t="s">
        <v>239</v>
      </c>
      <c r="F1280" s="1" t="s">
        <v>238</v>
      </c>
      <c r="G1280" s="1">
        <v>0.0</v>
      </c>
      <c r="H1280" s="2">
        <v>0.11666666666666667</v>
      </c>
    </row>
    <row r="1281">
      <c r="A1281" s="1" t="s">
        <v>1004</v>
      </c>
      <c r="B1281" s="1" t="s">
        <v>250</v>
      </c>
      <c r="C1281" s="1">
        <v>30.0</v>
      </c>
      <c r="D1281" s="1" t="s">
        <v>47</v>
      </c>
      <c r="E1281" s="1" t="s">
        <v>48</v>
      </c>
      <c r="F1281" s="1" t="s">
        <v>49</v>
      </c>
      <c r="G1281" s="1">
        <v>1.0</v>
      </c>
      <c r="H1281" s="2">
        <v>0.15486111111111112</v>
      </c>
    </row>
    <row r="1282">
      <c r="A1282" s="1" t="s">
        <v>1004</v>
      </c>
      <c r="B1282" s="1" t="s">
        <v>250</v>
      </c>
      <c r="C1282" s="1">
        <v>31.0</v>
      </c>
      <c r="D1282" s="1" t="s">
        <v>304</v>
      </c>
      <c r="E1282" s="1" t="s">
        <v>28</v>
      </c>
      <c r="F1282" s="1" t="s">
        <v>29</v>
      </c>
      <c r="G1282" s="1">
        <v>0.0</v>
      </c>
      <c r="H1282" s="2">
        <v>0.13402777777777777</v>
      </c>
    </row>
    <row r="1283">
      <c r="A1283" s="1" t="s">
        <v>1004</v>
      </c>
      <c r="B1283" s="1" t="s">
        <v>250</v>
      </c>
      <c r="C1283" s="1">
        <v>32.0</v>
      </c>
      <c r="D1283" s="1" t="s">
        <v>121</v>
      </c>
      <c r="E1283" s="1" t="s">
        <v>122</v>
      </c>
      <c r="F1283" s="1" t="s">
        <v>123</v>
      </c>
      <c r="G1283" s="1">
        <v>0.0</v>
      </c>
      <c r="H1283" s="2">
        <v>0.13194444444444445</v>
      </c>
    </row>
    <row r="1284">
      <c r="A1284" s="1" t="s">
        <v>1004</v>
      </c>
      <c r="B1284" s="1" t="s">
        <v>250</v>
      </c>
      <c r="C1284" s="1">
        <v>33.0</v>
      </c>
      <c r="D1284" s="1" t="s">
        <v>73</v>
      </c>
      <c r="E1284" s="1" t="s">
        <v>74</v>
      </c>
      <c r="F1284" s="1" t="s">
        <v>75</v>
      </c>
      <c r="G1284" s="1">
        <v>0.0</v>
      </c>
      <c r="H1284" s="2">
        <v>0.14930555555555555</v>
      </c>
    </row>
    <row r="1285">
      <c r="A1285" s="1" t="s">
        <v>1004</v>
      </c>
      <c r="B1285" s="1" t="s">
        <v>250</v>
      </c>
      <c r="C1285" s="1">
        <v>34.0</v>
      </c>
      <c r="D1285" s="1" t="s">
        <v>1010</v>
      </c>
      <c r="E1285" s="1" t="s">
        <v>1011</v>
      </c>
      <c r="F1285" s="1" t="s">
        <v>1010</v>
      </c>
      <c r="G1285" s="1">
        <v>0.0</v>
      </c>
      <c r="H1285" s="2">
        <v>0.14652777777777778</v>
      </c>
    </row>
    <row r="1286">
      <c r="A1286" s="1" t="s">
        <v>1004</v>
      </c>
      <c r="B1286" s="1" t="s">
        <v>250</v>
      </c>
      <c r="C1286" s="1">
        <v>35.0</v>
      </c>
      <c r="D1286" s="1" t="s">
        <v>68</v>
      </c>
      <c r="E1286" s="1" t="s">
        <v>69</v>
      </c>
      <c r="F1286" s="1" t="s">
        <v>70</v>
      </c>
      <c r="G1286" s="1">
        <v>0.0</v>
      </c>
      <c r="H1286" s="2">
        <v>0.12638888888888888</v>
      </c>
    </row>
    <row r="1287">
      <c r="A1287" s="1" t="s">
        <v>1004</v>
      </c>
      <c r="B1287" s="1" t="s">
        <v>250</v>
      </c>
      <c r="C1287" s="1">
        <v>36.0</v>
      </c>
      <c r="D1287" s="1" t="s">
        <v>113</v>
      </c>
      <c r="E1287" s="1" t="s">
        <v>114</v>
      </c>
      <c r="F1287" s="1" t="s">
        <v>113</v>
      </c>
      <c r="G1287" s="1">
        <v>0.0</v>
      </c>
      <c r="H1287" s="2">
        <v>0.13125</v>
      </c>
    </row>
    <row r="1288">
      <c r="A1288" s="1" t="s">
        <v>1004</v>
      </c>
      <c r="B1288" s="1" t="s">
        <v>250</v>
      </c>
      <c r="C1288" s="1">
        <v>37.0</v>
      </c>
      <c r="D1288" s="1" t="s">
        <v>101</v>
      </c>
      <c r="E1288" s="1" t="s">
        <v>102</v>
      </c>
      <c r="F1288" s="1" t="s">
        <v>103</v>
      </c>
      <c r="G1288" s="1">
        <v>1.0</v>
      </c>
      <c r="H1288" s="2">
        <v>0.16458333333333333</v>
      </c>
    </row>
    <row r="1289">
      <c r="A1289" s="1" t="s">
        <v>1004</v>
      </c>
      <c r="B1289" s="1" t="s">
        <v>250</v>
      </c>
      <c r="C1289" s="1">
        <v>38.0</v>
      </c>
      <c r="D1289" s="1" t="s">
        <v>274</v>
      </c>
      <c r="E1289" s="1" t="s">
        <v>266</v>
      </c>
      <c r="F1289" s="1" t="s">
        <v>274</v>
      </c>
      <c r="G1289" s="1">
        <v>0.0</v>
      </c>
      <c r="H1289" s="2">
        <v>0.1125</v>
      </c>
    </row>
    <row r="1290">
      <c r="A1290" s="1" t="s">
        <v>1004</v>
      </c>
      <c r="B1290" s="1" t="s">
        <v>250</v>
      </c>
      <c r="C1290" s="1">
        <v>39.0</v>
      </c>
      <c r="D1290" s="1" t="s">
        <v>78</v>
      </c>
      <c r="E1290" s="1" t="s">
        <v>79</v>
      </c>
      <c r="F1290" s="1" t="s">
        <v>78</v>
      </c>
      <c r="G1290" s="1">
        <v>0.0</v>
      </c>
      <c r="H1290" s="2">
        <v>0.10208333333333333</v>
      </c>
    </row>
    <row r="1291">
      <c r="A1291" s="1" t="s">
        <v>1004</v>
      </c>
      <c r="B1291" s="1" t="s">
        <v>250</v>
      </c>
      <c r="C1291" s="1">
        <v>40.0</v>
      </c>
      <c r="D1291" s="1" t="s">
        <v>80</v>
      </c>
      <c r="E1291" s="1" t="s">
        <v>81</v>
      </c>
      <c r="F1291" s="1" t="s">
        <v>82</v>
      </c>
      <c r="G1291" s="1">
        <v>0.0</v>
      </c>
      <c r="H1291" s="2">
        <v>0.12083333333333333</v>
      </c>
    </row>
    <row r="1292">
      <c r="A1292" s="1" t="s">
        <v>1004</v>
      </c>
      <c r="B1292" s="1" t="s">
        <v>250</v>
      </c>
      <c r="C1292" s="1">
        <v>41.0</v>
      </c>
      <c r="D1292" s="1" t="s">
        <v>99</v>
      </c>
      <c r="E1292" s="1" t="s">
        <v>100</v>
      </c>
      <c r="F1292" s="1" t="s">
        <v>99</v>
      </c>
      <c r="G1292" s="1">
        <v>0.0</v>
      </c>
      <c r="H1292" s="2">
        <v>0.11944444444444445</v>
      </c>
    </row>
    <row r="1293">
      <c r="A1293" s="1" t="s">
        <v>1004</v>
      </c>
      <c r="B1293" s="1" t="s">
        <v>250</v>
      </c>
      <c r="C1293" s="1">
        <v>42.0</v>
      </c>
      <c r="D1293" s="1" t="s">
        <v>1012</v>
      </c>
      <c r="E1293" s="1" t="s">
        <v>1013</v>
      </c>
      <c r="F1293" s="1" t="s">
        <v>1014</v>
      </c>
      <c r="G1293" s="1">
        <v>0.0</v>
      </c>
      <c r="H1293" s="2">
        <v>0.11666666666666667</v>
      </c>
    </row>
    <row r="1294">
      <c r="A1294" s="1" t="s">
        <v>1004</v>
      </c>
      <c r="B1294" s="1" t="s">
        <v>250</v>
      </c>
      <c r="C1294" s="1">
        <v>43.0</v>
      </c>
      <c r="D1294" s="1" t="s">
        <v>265</v>
      </c>
      <c r="E1294" s="1" t="s">
        <v>266</v>
      </c>
      <c r="F1294" s="1" t="s">
        <v>265</v>
      </c>
      <c r="G1294" s="1">
        <v>0.0</v>
      </c>
      <c r="H1294" s="2">
        <v>0.125</v>
      </c>
    </row>
    <row r="1295">
      <c r="A1295" s="1" t="s">
        <v>1004</v>
      </c>
      <c r="B1295" s="1" t="s">
        <v>250</v>
      </c>
      <c r="C1295" s="1">
        <v>44.0</v>
      </c>
      <c r="D1295" s="1" t="s">
        <v>96</v>
      </c>
      <c r="E1295" s="1" t="s">
        <v>97</v>
      </c>
      <c r="F1295" s="1" t="s">
        <v>98</v>
      </c>
      <c r="G1295" s="1">
        <v>1.0</v>
      </c>
      <c r="H1295" s="2">
        <v>0.12430555555555556</v>
      </c>
    </row>
    <row r="1296">
      <c r="A1296" s="1" t="s">
        <v>1004</v>
      </c>
      <c r="B1296" s="1" t="s">
        <v>250</v>
      </c>
      <c r="C1296" s="1">
        <v>45.0</v>
      </c>
      <c r="D1296" s="1" t="s">
        <v>53</v>
      </c>
      <c r="E1296" s="1" t="s">
        <v>12</v>
      </c>
      <c r="F1296" s="1" t="s">
        <v>13</v>
      </c>
      <c r="G1296" s="1">
        <v>1.0</v>
      </c>
      <c r="H1296" s="2">
        <v>0.16458333333333333</v>
      </c>
    </row>
    <row r="1297">
      <c r="A1297" s="1" t="s">
        <v>1004</v>
      </c>
      <c r="B1297" s="1" t="s">
        <v>250</v>
      </c>
      <c r="C1297" s="1">
        <v>46.0</v>
      </c>
      <c r="D1297" s="1" t="s">
        <v>54</v>
      </c>
      <c r="E1297" s="1" t="s">
        <v>55</v>
      </c>
      <c r="F1297" s="1" t="s">
        <v>56</v>
      </c>
      <c r="G1297" s="1">
        <v>0.0</v>
      </c>
      <c r="H1297" s="2">
        <v>0.10972222222222222</v>
      </c>
    </row>
    <row r="1298">
      <c r="A1298" s="1" t="s">
        <v>1004</v>
      </c>
      <c r="B1298" s="1" t="s">
        <v>250</v>
      </c>
      <c r="C1298" s="1">
        <v>47.0</v>
      </c>
      <c r="D1298" s="1" t="s">
        <v>1015</v>
      </c>
      <c r="E1298" s="1" t="s">
        <v>1016</v>
      </c>
      <c r="F1298" s="1" t="s">
        <v>1015</v>
      </c>
      <c r="G1298" s="1">
        <v>0.0</v>
      </c>
      <c r="H1298" s="2">
        <v>0.10486111111111111</v>
      </c>
    </row>
    <row r="1299">
      <c r="A1299" s="1" t="s">
        <v>1004</v>
      </c>
      <c r="B1299" s="1" t="s">
        <v>250</v>
      </c>
      <c r="C1299" s="1">
        <v>48.0</v>
      </c>
      <c r="D1299" s="1" t="s">
        <v>50</v>
      </c>
      <c r="E1299" s="1" t="s">
        <v>51</v>
      </c>
      <c r="F1299" s="1" t="s">
        <v>52</v>
      </c>
      <c r="G1299" s="1">
        <v>0.0</v>
      </c>
      <c r="H1299" s="2">
        <v>0.14722222222222223</v>
      </c>
    </row>
    <row r="1300">
      <c r="A1300" s="1" t="s">
        <v>1004</v>
      </c>
      <c r="B1300" s="1" t="s">
        <v>250</v>
      </c>
      <c r="C1300" s="1">
        <v>49.0</v>
      </c>
      <c r="D1300" s="1" t="s">
        <v>57</v>
      </c>
      <c r="E1300" s="1" t="s">
        <v>58</v>
      </c>
      <c r="F1300" s="1" t="s">
        <v>59</v>
      </c>
      <c r="G1300" s="1">
        <v>1.0</v>
      </c>
      <c r="H1300" s="2">
        <v>0.16458333333333333</v>
      </c>
    </row>
    <row r="1301">
      <c r="A1301" s="1" t="s">
        <v>1004</v>
      </c>
      <c r="B1301" s="1" t="s">
        <v>250</v>
      </c>
      <c r="C1301" s="1">
        <v>50.0</v>
      </c>
      <c r="D1301" s="1" t="s">
        <v>244</v>
      </c>
      <c r="E1301" s="1" t="s">
        <v>245</v>
      </c>
      <c r="F1301" s="1" t="s">
        <v>244</v>
      </c>
      <c r="G1301" s="1">
        <v>0.0</v>
      </c>
      <c r="H1301" s="2">
        <v>0.13819444444444445</v>
      </c>
    </row>
    <row r="1302">
      <c r="A1302" s="1" t="s">
        <v>1017</v>
      </c>
      <c r="B1302" s="1" t="s">
        <v>250</v>
      </c>
      <c r="C1302" s="1">
        <v>1.0</v>
      </c>
      <c r="D1302" s="1" t="s">
        <v>14</v>
      </c>
      <c r="E1302" s="1" t="s">
        <v>15</v>
      </c>
      <c r="F1302" s="1" t="s">
        <v>16</v>
      </c>
      <c r="G1302" s="1">
        <v>1.0</v>
      </c>
      <c r="H1302" s="2">
        <v>0.12569444444444444</v>
      </c>
    </row>
    <row r="1303">
      <c r="A1303" s="1" t="s">
        <v>1017</v>
      </c>
      <c r="B1303" s="1" t="s">
        <v>250</v>
      </c>
      <c r="C1303" s="1">
        <v>2.0</v>
      </c>
      <c r="D1303" s="1" t="s">
        <v>11</v>
      </c>
      <c r="E1303" s="1" t="s">
        <v>12</v>
      </c>
      <c r="F1303" s="1" t="s">
        <v>13</v>
      </c>
      <c r="G1303" s="1">
        <v>0.0</v>
      </c>
      <c r="H1303" s="2">
        <v>0.1388888888888889</v>
      </c>
    </row>
    <row r="1304">
      <c r="A1304" s="1" t="s">
        <v>1017</v>
      </c>
      <c r="B1304" s="1" t="s">
        <v>250</v>
      </c>
      <c r="C1304" s="1">
        <v>3.0</v>
      </c>
      <c r="D1304" s="1" t="s">
        <v>1018</v>
      </c>
      <c r="E1304" s="1" t="s">
        <v>1019</v>
      </c>
      <c r="F1304" s="1" t="s">
        <v>1020</v>
      </c>
      <c r="G1304" s="1">
        <v>0.0</v>
      </c>
      <c r="H1304" s="2">
        <v>0.13333333333333333</v>
      </c>
    </row>
    <row r="1305">
      <c r="A1305" s="1" t="s">
        <v>1017</v>
      </c>
      <c r="B1305" s="1" t="s">
        <v>250</v>
      </c>
      <c r="C1305" s="1">
        <v>4.0</v>
      </c>
      <c r="D1305" s="1" t="s">
        <v>1021</v>
      </c>
      <c r="E1305" s="1" t="s">
        <v>1022</v>
      </c>
      <c r="F1305" s="1" t="s">
        <v>1021</v>
      </c>
      <c r="G1305" s="1">
        <v>0.0</v>
      </c>
      <c r="H1305" s="2">
        <v>0.1763888888888889</v>
      </c>
    </row>
    <row r="1306">
      <c r="A1306" s="1" t="s">
        <v>1017</v>
      </c>
      <c r="B1306" s="1" t="s">
        <v>250</v>
      </c>
      <c r="C1306" s="1">
        <v>5.0</v>
      </c>
      <c r="D1306" s="1" t="s">
        <v>1023</v>
      </c>
      <c r="E1306" s="1" t="s">
        <v>1024</v>
      </c>
      <c r="F1306" s="1" t="s">
        <v>1023</v>
      </c>
      <c r="G1306" s="1">
        <v>0.0</v>
      </c>
      <c r="H1306" s="2">
        <v>0.17152777777777778</v>
      </c>
    </row>
    <row r="1307">
      <c r="A1307" s="1" t="s">
        <v>1017</v>
      </c>
      <c r="B1307" s="1" t="s">
        <v>250</v>
      </c>
      <c r="C1307" s="1">
        <v>6.0</v>
      </c>
      <c r="D1307" s="1" t="s">
        <v>1025</v>
      </c>
      <c r="E1307" s="1" t="s">
        <v>1026</v>
      </c>
      <c r="F1307" s="1" t="s">
        <v>1025</v>
      </c>
      <c r="G1307" s="1">
        <v>0.0</v>
      </c>
      <c r="H1307" s="2">
        <v>0.12013888888888889</v>
      </c>
    </row>
    <row r="1308">
      <c r="A1308" s="1" t="s">
        <v>1017</v>
      </c>
      <c r="B1308" s="1" t="s">
        <v>250</v>
      </c>
      <c r="C1308" s="1">
        <v>7.0</v>
      </c>
      <c r="D1308" s="1" t="s">
        <v>53</v>
      </c>
      <c r="E1308" s="1" t="s">
        <v>12</v>
      </c>
      <c r="F1308" s="1" t="s">
        <v>13</v>
      </c>
      <c r="G1308" s="1">
        <v>1.0</v>
      </c>
      <c r="H1308" s="2">
        <v>0.16458333333333333</v>
      </c>
    </row>
    <row r="1309">
      <c r="A1309" s="1" t="s">
        <v>1017</v>
      </c>
      <c r="B1309" s="1" t="s">
        <v>250</v>
      </c>
      <c r="C1309" s="1">
        <v>8.0</v>
      </c>
      <c r="D1309" s="1" t="s">
        <v>1027</v>
      </c>
      <c r="E1309" s="1" t="s">
        <v>1028</v>
      </c>
      <c r="F1309" s="1" t="s">
        <v>1027</v>
      </c>
      <c r="G1309" s="1">
        <v>0.0</v>
      </c>
      <c r="H1309" s="2">
        <v>0.13541666666666666</v>
      </c>
    </row>
    <row r="1310">
      <c r="A1310" s="1" t="s">
        <v>1017</v>
      </c>
      <c r="B1310" s="1" t="s">
        <v>250</v>
      </c>
      <c r="C1310" s="1">
        <v>9.0</v>
      </c>
      <c r="D1310" s="1" t="s">
        <v>25</v>
      </c>
      <c r="E1310" s="1" t="s">
        <v>26</v>
      </c>
      <c r="F1310" s="1" t="s">
        <v>25</v>
      </c>
      <c r="G1310" s="1">
        <v>1.0</v>
      </c>
      <c r="H1310" s="2">
        <v>0.11458333333333333</v>
      </c>
    </row>
    <row r="1311">
      <c r="A1311" s="1" t="s">
        <v>1017</v>
      </c>
      <c r="B1311" s="1" t="s">
        <v>250</v>
      </c>
      <c r="C1311" s="1">
        <v>10.0</v>
      </c>
      <c r="D1311" s="1" t="s">
        <v>36</v>
      </c>
      <c r="E1311" s="1" t="s">
        <v>37</v>
      </c>
      <c r="F1311" s="1" t="s">
        <v>36</v>
      </c>
      <c r="G1311" s="1">
        <v>1.0</v>
      </c>
      <c r="H1311" s="2">
        <v>0.09166666666666666</v>
      </c>
    </row>
    <row r="1312">
      <c r="A1312" s="1" t="s">
        <v>1017</v>
      </c>
      <c r="B1312" s="1" t="s">
        <v>250</v>
      </c>
      <c r="C1312" s="1">
        <v>11.0</v>
      </c>
      <c r="D1312" s="1" t="s">
        <v>17</v>
      </c>
      <c r="E1312" s="1" t="s">
        <v>18</v>
      </c>
      <c r="F1312" s="1" t="s">
        <v>19</v>
      </c>
      <c r="G1312" s="1">
        <v>1.0</v>
      </c>
      <c r="H1312" s="2">
        <v>0.12222222222222222</v>
      </c>
    </row>
    <row r="1313">
      <c r="A1313" s="1" t="s">
        <v>1017</v>
      </c>
      <c r="B1313" s="1" t="s">
        <v>250</v>
      </c>
      <c r="C1313" s="1">
        <v>12.0</v>
      </c>
      <c r="D1313" s="1" t="s">
        <v>1029</v>
      </c>
      <c r="E1313" s="1" t="s">
        <v>1022</v>
      </c>
      <c r="F1313" s="1" t="s">
        <v>1029</v>
      </c>
      <c r="G1313" s="1">
        <v>0.0</v>
      </c>
      <c r="H1313" s="2">
        <v>0.125</v>
      </c>
    </row>
    <row r="1314">
      <c r="A1314" s="1" t="s">
        <v>1017</v>
      </c>
      <c r="B1314" s="1" t="s">
        <v>250</v>
      </c>
      <c r="C1314" s="1">
        <v>13.0</v>
      </c>
      <c r="D1314" s="1" t="s">
        <v>20</v>
      </c>
      <c r="E1314" s="1" t="s">
        <v>21</v>
      </c>
      <c r="F1314" s="1" t="s">
        <v>22</v>
      </c>
      <c r="G1314" s="1">
        <v>1.0</v>
      </c>
      <c r="H1314" s="2">
        <v>0.17152777777777778</v>
      </c>
    </row>
    <row r="1315">
      <c r="A1315" s="1" t="s">
        <v>1017</v>
      </c>
      <c r="B1315" s="1" t="s">
        <v>250</v>
      </c>
      <c r="C1315" s="1">
        <v>14.0</v>
      </c>
      <c r="D1315" s="1" t="s">
        <v>30</v>
      </c>
      <c r="E1315" s="1" t="s">
        <v>31</v>
      </c>
      <c r="F1315" s="1" t="s">
        <v>32</v>
      </c>
      <c r="G1315" s="1">
        <v>0.0</v>
      </c>
      <c r="H1315" s="2">
        <v>0.15833333333333333</v>
      </c>
    </row>
    <row r="1316">
      <c r="A1316" s="1" t="s">
        <v>1017</v>
      </c>
      <c r="B1316" s="1" t="s">
        <v>250</v>
      </c>
      <c r="C1316" s="1">
        <v>15.0</v>
      </c>
      <c r="D1316" s="1" t="s">
        <v>9</v>
      </c>
      <c r="E1316" s="1" t="s">
        <v>10</v>
      </c>
      <c r="F1316" s="1" t="s">
        <v>9</v>
      </c>
      <c r="G1316" s="1">
        <v>0.0</v>
      </c>
      <c r="H1316" s="2">
        <v>0.12638888888888888</v>
      </c>
    </row>
    <row r="1317">
      <c r="A1317" s="1" t="s">
        <v>1017</v>
      </c>
      <c r="B1317" s="1" t="s">
        <v>250</v>
      </c>
      <c r="C1317" s="1">
        <v>16.0</v>
      </c>
      <c r="D1317" s="1" t="s">
        <v>1030</v>
      </c>
      <c r="E1317" s="1" t="s">
        <v>1031</v>
      </c>
      <c r="F1317" s="1" t="s">
        <v>1030</v>
      </c>
      <c r="G1317" s="1">
        <v>0.0</v>
      </c>
      <c r="H1317" s="2">
        <v>0.08888888888888889</v>
      </c>
    </row>
    <row r="1318">
      <c r="A1318" s="1" t="s">
        <v>1017</v>
      </c>
      <c r="B1318" s="1" t="s">
        <v>250</v>
      </c>
      <c r="C1318" s="1">
        <v>17.0</v>
      </c>
      <c r="D1318" s="1" t="s">
        <v>1032</v>
      </c>
      <c r="E1318" s="1" t="s">
        <v>1033</v>
      </c>
      <c r="F1318" s="1" t="s">
        <v>1032</v>
      </c>
      <c r="G1318" s="1">
        <v>0.0</v>
      </c>
      <c r="H1318" s="2">
        <v>0.1076388888888889</v>
      </c>
    </row>
    <row r="1319">
      <c r="A1319" s="1" t="s">
        <v>1017</v>
      </c>
      <c r="B1319" s="1" t="s">
        <v>250</v>
      </c>
      <c r="C1319" s="1">
        <v>18.0</v>
      </c>
      <c r="D1319" s="1" t="s">
        <v>1034</v>
      </c>
      <c r="E1319" s="1" t="s">
        <v>1035</v>
      </c>
      <c r="F1319" s="1" t="s">
        <v>1036</v>
      </c>
      <c r="G1319" s="1">
        <v>0.0</v>
      </c>
      <c r="H1319" s="2">
        <v>0.12013888888888889</v>
      </c>
    </row>
    <row r="1320">
      <c r="A1320" s="1" t="s">
        <v>1017</v>
      </c>
      <c r="B1320" s="1" t="s">
        <v>250</v>
      </c>
      <c r="C1320" s="1">
        <v>19.0</v>
      </c>
      <c r="D1320" s="1" t="s">
        <v>1037</v>
      </c>
      <c r="E1320" s="1" t="s">
        <v>1038</v>
      </c>
      <c r="F1320" s="1" t="s">
        <v>1037</v>
      </c>
      <c r="G1320" s="1">
        <v>0.0</v>
      </c>
      <c r="H1320" s="2">
        <v>0.12569444444444444</v>
      </c>
    </row>
    <row r="1321">
      <c r="A1321" s="1" t="s">
        <v>1017</v>
      </c>
      <c r="B1321" s="1" t="s">
        <v>250</v>
      </c>
      <c r="C1321" s="1">
        <v>20.0</v>
      </c>
      <c r="D1321" s="1" t="s">
        <v>105</v>
      </c>
      <c r="E1321" s="1" t="s">
        <v>106</v>
      </c>
      <c r="F1321" s="1" t="s">
        <v>105</v>
      </c>
      <c r="G1321" s="1">
        <v>0.0</v>
      </c>
      <c r="H1321" s="2">
        <v>0.11527777777777778</v>
      </c>
    </row>
    <row r="1322">
      <c r="A1322" s="1" t="s">
        <v>1017</v>
      </c>
      <c r="B1322" s="1" t="s">
        <v>250</v>
      </c>
      <c r="C1322" s="1">
        <v>21.0</v>
      </c>
      <c r="D1322" s="1" t="s">
        <v>91</v>
      </c>
      <c r="E1322" s="1" t="s">
        <v>58</v>
      </c>
      <c r="F1322" s="1" t="s">
        <v>91</v>
      </c>
      <c r="G1322" s="1">
        <v>0.0</v>
      </c>
      <c r="H1322" s="2">
        <v>0.09305555555555556</v>
      </c>
    </row>
    <row r="1323">
      <c r="A1323" s="1" t="s">
        <v>1017</v>
      </c>
      <c r="B1323" s="1" t="s">
        <v>250</v>
      </c>
      <c r="C1323" s="1">
        <v>22.0</v>
      </c>
      <c r="D1323" s="1" t="s">
        <v>47</v>
      </c>
      <c r="E1323" s="1" t="s">
        <v>48</v>
      </c>
      <c r="F1323" s="1" t="s">
        <v>49</v>
      </c>
      <c r="G1323" s="1">
        <v>1.0</v>
      </c>
      <c r="H1323" s="2">
        <v>0.15486111111111112</v>
      </c>
    </row>
    <row r="1324">
      <c r="A1324" s="1" t="s">
        <v>1017</v>
      </c>
      <c r="B1324" s="1" t="s">
        <v>250</v>
      </c>
      <c r="C1324" s="1">
        <v>23.0</v>
      </c>
      <c r="D1324" s="1" t="s">
        <v>38</v>
      </c>
      <c r="E1324" s="1" t="s">
        <v>39</v>
      </c>
      <c r="F1324" s="1" t="s">
        <v>40</v>
      </c>
      <c r="G1324" s="1">
        <v>1.0</v>
      </c>
      <c r="H1324" s="2">
        <v>0.1125</v>
      </c>
    </row>
    <row r="1325">
      <c r="A1325" s="1" t="s">
        <v>1017</v>
      </c>
      <c r="B1325" s="1" t="s">
        <v>250</v>
      </c>
      <c r="C1325" s="1">
        <v>24.0</v>
      </c>
      <c r="D1325" s="1" t="s">
        <v>33</v>
      </c>
      <c r="E1325" s="1" t="s">
        <v>34</v>
      </c>
      <c r="F1325" s="1" t="s">
        <v>35</v>
      </c>
      <c r="G1325" s="1">
        <v>0.0</v>
      </c>
      <c r="H1325" s="2">
        <v>0.1451388888888889</v>
      </c>
    </row>
    <row r="1326">
      <c r="A1326" s="1" t="s">
        <v>1017</v>
      </c>
      <c r="B1326" s="1" t="s">
        <v>250</v>
      </c>
      <c r="C1326" s="1">
        <v>25.0</v>
      </c>
      <c r="D1326" s="1" t="s">
        <v>1039</v>
      </c>
      <c r="E1326" s="1" t="s">
        <v>1040</v>
      </c>
      <c r="F1326" s="1" t="s">
        <v>1039</v>
      </c>
      <c r="G1326" s="1">
        <v>0.0</v>
      </c>
      <c r="H1326" s="2">
        <v>0.12777777777777777</v>
      </c>
    </row>
    <row r="1327">
      <c r="A1327" s="1" t="s">
        <v>1017</v>
      </c>
      <c r="B1327" s="1" t="s">
        <v>250</v>
      </c>
      <c r="C1327" s="1">
        <v>26.0</v>
      </c>
      <c r="D1327" s="1" t="s">
        <v>1041</v>
      </c>
      <c r="E1327" s="1" t="s">
        <v>1042</v>
      </c>
      <c r="F1327" s="1" t="s">
        <v>1041</v>
      </c>
      <c r="G1327" s="1">
        <v>0.0</v>
      </c>
      <c r="H1327" s="2">
        <v>0.1388888888888889</v>
      </c>
    </row>
    <row r="1328">
      <c r="A1328" s="1" t="s">
        <v>1017</v>
      </c>
      <c r="B1328" s="1" t="s">
        <v>250</v>
      </c>
      <c r="C1328" s="1">
        <v>27.0</v>
      </c>
      <c r="D1328" s="1" t="s">
        <v>27</v>
      </c>
      <c r="E1328" s="1" t="s">
        <v>28</v>
      </c>
      <c r="F1328" s="1" t="s">
        <v>29</v>
      </c>
      <c r="G1328" s="1">
        <v>0.0</v>
      </c>
      <c r="H1328" s="2">
        <v>0.12708333333333333</v>
      </c>
    </row>
    <row r="1329">
      <c r="A1329" s="1" t="s">
        <v>1017</v>
      </c>
      <c r="B1329" s="1" t="s">
        <v>250</v>
      </c>
      <c r="C1329" s="1">
        <v>28.0</v>
      </c>
      <c r="D1329" s="1" t="s">
        <v>1043</v>
      </c>
      <c r="E1329" s="1" t="s">
        <v>1044</v>
      </c>
      <c r="F1329" s="1" t="s">
        <v>1043</v>
      </c>
      <c r="G1329" s="1">
        <v>0.0</v>
      </c>
      <c r="H1329" s="2">
        <v>0.13541666666666666</v>
      </c>
    </row>
    <row r="1330">
      <c r="A1330" s="1" t="s">
        <v>1017</v>
      </c>
      <c r="B1330" s="1" t="s">
        <v>250</v>
      </c>
      <c r="C1330" s="1">
        <v>29.0</v>
      </c>
      <c r="D1330" s="1" t="s">
        <v>50</v>
      </c>
      <c r="E1330" s="1" t="s">
        <v>51</v>
      </c>
      <c r="F1330" s="1" t="s">
        <v>52</v>
      </c>
      <c r="G1330" s="1">
        <v>0.0</v>
      </c>
      <c r="H1330" s="2">
        <v>0.14722222222222223</v>
      </c>
    </row>
    <row r="1331">
      <c r="A1331" s="1" t="s">
        <v>1017</v>
      </c>
      <c r="B1331" s="1" t="s">
        <v>250</v>
      </c>
      <c r="C1331" s="1">
        <v>30.0</v>
      </c>
      <c r="D1331" s="1" t="s">
        <v>1045</v>
      </c>
      <c r="E1331" s="1" t="s">
        <v>1046</v>
      </c>
      <c r="F1331" s="1" t="s">
        <v>1045</v>
      </c>
      <c r="G1331" s="1">
        <v>1.0</v>
      </c>
      <c r="H1331" s="2">
        <v>0.12638888888888888</v>
      </c>
    </row>
    <row r="1332">
      <c r="A1332" s="1" t="s">
        <v>1017</v>
      </c>
      <c r="B1332" s="1" t="s">
        <v>250</v>
      </c>
      <c r="C1332" s="1">
        <v>31.0</v>
      </c>
      <c r="D1332" s="1" t="s">
        <v>115</v>
      </c>
      <c r="E1332" s="1" t="s">
        <v>116</v>
      </c>
      <c r="F1332" s="1" t="s">
        <v>117</v>
      </c>
      <c r="G1332" s="1">
        <v>1.0</v>
      </c>
      <c r="H1332" s="2">
        <v>0.11597222222222223</v>
      </c>
    </row>
    <row r="1333">
      <c r="A1333" s="1" t="s">
        <v>1017</v>
      </c>
      <c r="B1333" s="1" t="s">
        <v>250</v>
      </c>
      <c r="C1333" s="1">
        <v>32.0</v>
      </c>
      <c r="D1333" s="1" t="s">
        <v>46</v>
      </c>
      <c r="E1333" s="1" t="s">
        <v>28</v>
      </c>
      <c r="F1333" s="1" t="s">
        <v>29</v>
      </c>
      <c r="G1333" s="1">
        <v>0.0</v>
      </c>
      <c r="H1333" s="2">
        <v>0.15347222222222223</v>
      </c>
    </row>
    <row r="1334">
      <c r="A1334" s="1" t="s">
        <v>1017</v>
      </c>
      <c r="B1334" s="1" t="s">
        <v>250</v>
      </c>
      <c r="C1334" s="1">
        <v>33.0</v>
      </c>
      <c r="D1334" s="1" t="s">
        <v>41</v>
      </c>
      <c r="E1334" s="1" t="s">
        <v>42</v>
      </c>
      <c r="F1334" s="1" t="s">
        <v>43</v>
      </c>
      <c r="G1334" s="1">
        <v>1.0</v>
      </c>
      <c r="H1334" s="2">
        <v>0.1361111111111111</v>
      </c>
    </row>
    <row r="1335">
      <c r="A1335" s="1" t="s">
        <v>1017</v>
      </c>
      <c r="B1335" s="1" t="s">
        <v>250</v>
      </c>
      <c r="C1335" s="1">
        <v>34.0</v>
      </c>
      <c r="D1335" s="1" t="s">
        <v>1047</v>
      </c>
      <c r="E1335" s="1" t="s">
        <v>1035</v>
      </c>
      <c r="F1335" s="1" t="s">
        <v>1036</v>
      </c>
      <c r="G1335" s="1">
        <v>0.0</v>
      </c>
      <c r="H1335" s="2">
        <v>0.12916666666666668</v>
      </c>
    </row>
    <row r="1336">
      <c r="A1336" s="1" t="s">
        <v>1017</v>
      </c>
      <c r="B1336" s="1" t="s">
        <v>250</v>
      </c>
      <c r="C1336" s="1">
        <v>35.0</v>
      </c>
      <c r="D1336" s="1" t="s">
        <v>57</v>
      </c>
      <c r="E1336" s="1" t="s">
        <v>58</v>
      </c>
      <c r="F1336" s="1" t="s">
        <v>59</v>
      </c>
      <c r="G1336" s="1">
        <v>1.0</v>
      </c>
      <c r="H1336" s="2">
        <v>0.16458333333333333</v>
      </c>
    </row>
    <row r="1337">
      <c r="A1337" s="1" t="s">
        <v>1017</v>
      </c>
      <c r="B1337" s="1" t="s">
        <v>250</v>
      </c>
      <c r="C1337" s="1">
        <v>36.0</v>
      </c>
      <c r="D1337" s="1" t="s">
        <v>118</v>
      </c>
      <c r="E1337" s="1" t="s">
        <v>119</v>
      </c>
      <c r="F1337" s="1" t="s">
        <v>120</v>
      </c>
      <c r="G1337" s="1">
        <v>0.0</v>
      </c>
      <c r="H1337" s="2">
        <v>0.13472222222222222</v>
      </c>
    </row>
    <row r="1338">
      <c r="A1338" s="1" t="s">
        <v>1017</v>
      </c>
      <c r="B1338" s="1" t="s">
        <v>250</v>
      </c>
      <c r="C1338" s="1">
        <v>37.0</v>
      </c>
      <c r="D1338" s="1" t="s">
        <v>63</v>
      </c>
      <c r="E1338" s="1" t="s">
        <v>64</v>
      </c>
      <c r="F1338" s="1" t="s">
        <v>63</v>
      </c>
      <c r="G1338" s="1">
        <v>1.0</v>
      </c>
      <c r="H1338" s="2">
        <v>0.16805555555555557</v>
      </c>
    </row>
    <row r="1339">
      <c r="A1339" s="1" t="s">
        <v>1017</v>
      </c>
      <c r="B1339" s="1" t="s">
        <v>250</v>
      </c>
      <c r="C1339" s="1">
        <v>38.0</v>
      </c>
      <c r="D1339" s="1" t="s">
        <v>101</v>
      </c>
      <c r="E1339" s="1" t="s">
        <v>102</v>
      </c>
      <c r="F1339" s="1" t="s">
        <v>103</v>
      </c>
      <c r="G1339" s="1">
        <v>1.0</v>
      </c>
      <c r="H1339" s="2">
        <v>0.16458333333333333</v>
      </c>
    </row>
    <row r="1340">
      <c r="A1340" s="1" t="s">
        <v>1017</v>
      </c>
      <c r="B1340" s="1" t="s">
        <v>250</v>
      </c>
      <c r="C1340" s="1">
        <v>39.0</v>
      </c>
      <c r="D1340" s="1" t="s">
        <v>88</v>
      </c>
      <c r="E1340" s="1" t="s">
        <v>89</v>
      </c>
      <c r="F1340" s="1" t="s">
        <v>90</v>
      </c>
      <c r="G1340" s="1">
        <v>1.0</v>
      </c>
      <c r="H1340" s="2">
        <v>0.09652777777777778</v>
      </c>
    </row>
    <row r="1341">
      <c r="A1341" s="1" t="s">
        <v>1017</v>
      </c>
      <c r="B1341" s="1" t="s">
        <v>250</v>
      </c>
      <c r="C1341" s="1">
        <v>40.0</v>
      </c>
      <c r="D1341" s="1" t="s">
        <v>23</v>
      </c>
      <c r="E1341" s="1" t="s">
        <v>24</v>
      </c>
      <c r="F1341" s="1" t="s">
        <v>23</v>
      </c>
      <c r="G1341" s="1">
        <v>0.0</v>
      </c>
      <c r="H1341" s="2">
        <v>0.12013888888888889</v>
      </c>
    </row>
    <row r="1342">
      <c r="A1342" s="1" t="s">
        <v>1017</v>
      </c>
      <c r="B1342" s="1" t="s">
        <v>250</v>
      </c>
      <c r="C1342" s="1">
        <v>41.0</v>
      </c>
      <c r="D1342" s="1" t="s">
        <v>83</v>
      </c>
      <c r="E1342" s="1" t="s">
        <v>84</v>
      </c>
      <c r="F1342" s="1" t="s">
        <v>85</v>
      </c>
      <c r="G1342" s="1">
        <v>1.0</v>
      </c>
      <c r="H1342" s="2">
        <v>0.16875</v>
      </c>
    </row>
    <row r="1343">
      <c r="A1343" s="1" t="s">
        <v>1017</v>
      </c>
      <c r="B1343" s="1" t="s">
        <v>250</v>
      </c>
      <c r="C1343" s="1">
        <v>42.0</v>
      </c>
      <c r="D1343" s="1" t="s">
        <v>80</v>
      </c>
      <c r="E1343" s="1" t="s">
        <v>81</v>
      </c>
      <c r="F1343" s="1" t="s">
        <v>82</v>
      </c>
      <c r="G1343" s="1">
        <v>0.0</v>
      </c>
      <c r="H1343" s="2">
        <v>0.12083333333333333</v>
      </c>
    </row>
    <row r="1344">
      <c r="A1344" s="1" t="s">
        <v>1017</v>
      </c>
      <c r="B1344" s="1" t="s">
        <v>250</v>
      </c>
      <c r="C1344" s="1">
        <v>43.0</v>
      </c>
      <c r="D1344" s="1" t="s">
        <v>1048</v>
      </c>
      <c r="E1344" s="1" t="s">
        <v>1024</v>
      </c>
      <c r="F1344" s="1" t="s">
        <v>1049</v>
      </c>
      <c r="G1344" s="1">
        <v>0.0</v>
      </c>
      <c r="H1344" s="2">
        <v>0.16319444444444445</v>
      </c>
    </row>
    <row r="1345">
      <c r="A1345" s="1" t="s">
        <v>1017</v>
      </c>
      <c r="B1345" s="1" t="s">
        <v>250</v>
      </c>
      <c r="C1345" s="1">
        <v>44.0</v>
      </c>
      <c r="D1345" s="1" t="s">
        <v>104</v>
      </c>
      <c r="E1345" s="1" t="s">
        <v>84</v>
      </c>
      <c r="F1345" s="1" t="s">
        <v>104</v>
      </c>
      <c r="G1345" s="1">
        <v>1.0</v>
      </c>
      <c r="H1345" s="2">
        <v>0.12152777777777778</v>
      </c>
    </row>
    <row r="1346">
      <c r="A1346" s="1" t="s">
        <v>1017</v>
      </c>
      <c r="B1346" s="1" t="s">
        <v>250</v>
      </c>
      <c r="C1346" s="1">
        <v>45.0</v>
      </c>
      <c r="D1346" s="1" t="s">
        <v>1050</v>
      </c>
      <c r="E1346" s="1" t="s">
        <v>1051</v>
      </c>
      <c r="F1346" s="1" t="s">
        <v>1052</v>
      </c>
      <c r="G1346" s="1">
        <v>0.0</v>
      </c>
      <c r="H1346" s="2">
        <v>0.14930555555555555</v>
      </c>
    </row>
    <row r="1347">
      <c r="A1347" s="1" t="s">
        <v>1017</v>
      </c>
      <c r="B1347" s="1" t="s">
        <v>250</v>
      </c>
      <c r="C1347" s="1">
        <v>46.0</v>
      </c>
      <c r="D1347" s="1" t="s">
        <v>68</v>
      </c>
      <c r="E1347" s="1" t="s">
        <v>69</v>
      </c>
      <c r="F1347" s="1" t="s">
        <v>70</v>
      </c>
      <c r="G1347" s="1">
        <v>0.0</v>
      </c>
      <c r="H1347" s="2">
        <v>0.12638888888888888</v>
      </c>
    </row>
    <row r="1348">
      <c r="A1348" s="1" t="s">
        <v>1017</v>
      </c>
      <c r="B1348" s="1" t="s">
        <v>250</v>
      </c>
      <c r="C1348" s="1">
        <v>47.0</v>
      </c>
      <c r="D1348" s="1" t="s">
        <v>1053</v>
      </c>
      <c r="E1348" s="1" t="s">
        <v>1054</v>
      </c>
      <c r="F1348" s="1" t="s">
        <v>1055</v>
      </c>
      <c r="G1348" s="1">
        <v>0.0</v>
      </c>
      <c r="H1348" s="2">
        <v>0.20625</v>
      </c>
    </row>
    <row r="1349">
      <c r="A1349" s="1" t="s">
        <v>1017</v>
      </c>
      <c r="B1349" s="1" t="s">
        <v>250</v>
      </c>
      <c r="C1349" s="1">
        <v>48.0</v>
      </c>
      <c r="D1349" s="1" t="s">
        <v>54</v>
      </c>
      <c r="E1349" s="1" t="s">
        <v>55</v>
      </c>
      <c r="F1349" s="1" t="s">
        <v>56</v>
      </c>
      <c r="G1349" s="1">
        <v>0.0</v>
      </c>
      <c r="H1349" s="2">
        <v>0.10972222222222222</v>
      </c>
    </row>
    <row r="1350">
      <c r="A1350" s="1" t="s">
        <v>1017</v>
      </c>
      <c r="B1350" s="1" t="s">
        <v>250</v>
      </c>
      <c r="C1350" s="1">
        <v>49.0</v>
      </c>
      <c r="D1350" s="1" t="s">
        <v>1056</v>
      </c>
      <c r="E1350" s="1" t="s">
        <v>1057</v>
      </c>
      <c r="F1350" s="1" t="s">
        <v>1058</v>
      </c>
      <c r="G1350" s="1">
        <v>0.0</v>
      </c>
      <c r="H1350" s="2">
        <v>0.17430555555555555</v>
      </c>
    </row>
    <row r="1351">
      <c r="A1351" s="1" t="s">
        <v>1017</v>
      </c>
      <c r="B1351" s="1" t="s">
        <v>250</v>
      </c>
      <c r="C1351" s="1">
        <v>50.0</v>
      </c>
      <c r="D1351" s="1" t="s">
        <v>1059</v>
      </c>
      <c r="E1351" s="1" t="s">
        <v>1054</v>
      </c>
      <c r="F1351" s="1" t="s">
        <v>1060</v>
      </c>
      <c r="G1351" s="1">
        <v>0.0</v>
      </c>
      <c r="H1351" s="2">
        <v>0.225</v>
      </c>
    </row>
    <row r="1352">
      <c r="A1352" s="1" t="s">
        <v>1061</v>
      </c>
      <c r="B1352" s="1" t="s">
        <v>903</v>
      </c>
      <c r="C1352" s="1">
        <v>1.0</v>
      </c>
      <c r="D1352" s="1" t="s">
        <v>1062</v>
      </c>
      <c r="E1352" s="1" t="s">
        <v>1063</v>
      </c>
      <c r="F1352" s="1" t="s">
        <v>1064</v>
      </c>
      <c r="G1352" s="1">
        <v>0.0</v>
      </c>
      <c r="H1352" s="2">
        <v>0.17152777777777778</v>
      </c>
    </row>
    <row r="1353">
      <c r="A1353" s="1" t="s">
        <v>1061</v>
      </c>
      <c r="B1353" s="1" t="s">
        <v>903</v>
      </c>
      <c r="C1353" s="1">
        <v>2.0</v>
      </c>
      <c r="D1353" s="1" t="s">
        <v>96</v>
      </c>
      <c r="E1353" s="1" t="s">
        <v>97</v>
      </c>
      <c r="F1353" s="1" t="s">
        <v>98</v>
      </c>
      <c r="G1353" s="1">
        <v>1.0</v>
      </c>
      <c r="H1353" s="2">
        <v>0.12430555555555556</v>
      </c>
    </row>
    <row r="1354">
      <c r="A1354" s="1" t="s">
        <v>1061</v>
      </c>
      <c r="B1354" s="1" t="s">
        <v>903</v>
      </c>
      <c r="C1354" s="1">
        <v>3.0</v>
      </c>
      <c r="D1354" s="1" t="s">
        <v>1065</v>
      </c>
      <c r="E1354" s="1" t="s">
        <v>1066</v>
      </c>
      <c r="F1354" s="1" t="s">
        <v>1065</v>
      </c>
      <c r="G1354" s="1">
        <v>0.0</v>
      </c>
      <c r="H1354" s="2">
        <v>0.11805555555555555</v>
      </c>
    </row>
    <row r="1355">
      <c r="A1355" s="1" t="s">
        <v>1061</v>
      </c>
      <c r="B1355" s="1" t="s">
        <v>903</v>
      </c>
      <c r="C1355" s="1">
        <v>4.0</v>
      </c>
      <c r="D1355" s="1" t="s">
        <v>23</v>
      </c>
      <c r="E1355" s="1" t="s">
        <v>24</v>
      </c>
      <c r="F1355" s="1" t="s">
        <v>23</v>
      </c>
      <c r="G1355" s="1">
        <v>0.0</v>
      </c>
      <c r="H1355" s="2">
        <v>0.12013888888888889</v>
      </c>
    </row>
    <row r="1356">
      <c r="A1356" s="1" t="s">
        <v>1061</v>
      </c>
      <c r="B1356" s="1" t="s">
        <v>903</v>
      </c>
      <c r="C1356" s="1">
        <v>5.0</v>
      </c>
      <c r="D1356" s="1" t="s">
        <v>1067</v>
      </c>
      <c r="E1356" s="1" t="s">
        <v>1068</v>
      </c>
      <c r="F1356" s="1" t="s">
        <v>1067</v>
      </c>
      <c r="G1356" s="1">
        <v>0.0</v>
      </c>
      <c r="H1356" s="2">
        <v>0.19930555555555557</v>
      </c>
    </row>
    <row r="1357">
      <c r="A1357" s="1" t="s">
        <v>1061</v>
      </c>
      <c r="B1357" s="1" t="s">
        <v>903</v>
      </c>
      <c r="C1357" s="1">
        <v>6.0</v>
      </c>
      <c r="D1357" s="1" t="s">
        <v>17</v>
      </c>
      <c r="E1357" s="1" t="s">
        <v>18</v>
      </c>
      <c r="F1357" s="1" t="s">
        <v>19</v>
      </c>
      <c r="G1357" s="1">
        <v>1.0</v>
      </c>
      <c r="H1357" s="2">
        <v>0.12222222222222222</v>
      </c>
    </row>
    <row r="1358">
      <c r="A1358" s="1" t="s">
        <v>1061</v>
      </c>
      <c r="B1358" s="1" t="s">
        <v>903</v>
      </c>
      <c r="C1358" s="1">
        <v>7.0</v>
      </c>
      <c r="D1358" s="1" t="s">
        <v>1069</v>
      </c>
      <c r="E1358" s="1" t="s">
        <v>1070</v>
      </c>
      <c r="F1358" s="1" t="s">
        <v>1069</v>
      </c>
      <c r="G1358" s="1">
        <v>0.0</v>
      </c>
      <c r="H1358" s="2">
        <v>0.20972222222222223</v>
      </c>
    </row>
    <row r="1359">
      <c r="A1359" s="1" t="s">
        <v>1061</v>
      </c>
      <c r="B1359" s="1" t="s">
        <v>903</v>
      </c>
      <c r="C1359" s="1">
        <v>8.0</v>
      </c>
      <c r="D1359" s="1" t="s">
        <v>11</v>
      </c>
      <c r="E1359" s="1" t="s">
        <v>12</v>
      </c>
      <c r="F1359" s="1" t="s">
        <v>13</v>
      </c>
      <c r="G1359" s="1">
        <v>0.0</v>
      </c>
      <c r="H1359" s="2">
        <v>0.1388888888888889</v>
      </c>
    </row>
    <row r="1360">
      <c r="A1360" s="1" t="s">
        <v>1061</v>
      </c>
      <c r="B1360" s="1" t="s">
        <v>903</v>
      </c>
      <c r="C1360" s="1">
        <v>9.0</v>
      </c>
      <c r="D1360" s="1" t="s">
        <v>1071</v>
      </c>
      <c r="E1360" s="1" t="s">
        <v>1072</v>
      </c>
      <c r="F1360" s="1" t="s">
        <v>1071</v>
      </c>
      <c r="G1360" s="1">
        <v>0.0</v>
      </c>
      <c r="H1360" s="2">
        <v>0.19722222222222222</v>
      </c>
    </row>
    <row r="1361">
      <c r="A1361" s="1" t="s">
        <v>1061</v>
      </c>
      <c r="B1361" s="1" t="s">
        <v>903</v>
      </c>
      <c r="C1361" s="1">
        <v>10.0</v>
      </c>
      <c r="D1361" s="1" t="s">
        <v>60</v>
      </c>
      <c r="E1361" s="1" t="s">
        <v>61</v>
      </c>
      <c r="F1361" s="1" t="s">
        <v>62</v>
      </c>
      <c r="G1361" s="1">
        <v>0.0</v>
      </c>
      <c r="H1361" s="2">
        <v>0.11041666666666666</v>
      </c>
    </row>
    <row r="1362">
      <c r="A1362" s="1" t="s">
        <v>1061</v>
      </c>
      <c r="B1362" s="1" t="s">
        <v>903</v>
      </c>
      <c r="C1362" s="1">
        <v>11.0</v>
      </c>
      <c r="D1362" s="1" t="s">
        <v>124</v>
      </c>
      <c r="E1362" s="1" t="s">
        <v>125</v>
      </c>
      <c r="F1362" s="1" t="s">
        <v>126</v>
      </c>
      <c r="G1362" s="1">
        <v>1.0</v>
      </c>
      <c r="H1362" s="2">
        <v>0.15625</v>
      </c>
    </row>
    <row r="1363">
      <c r="A1363" s="1" t="s">
        <v>1061</v>
      </c>
      <c r="B1363" s="1" t="s">
        <v>903</v>
      </c>
      <c r="C1363" s="1">
        <v>12.0</v>
      </c>
      <c r="D1363" s="1" t="s">
        <v>1073</v>
      </c>
      <c r="E1363" s="1" t="s">
        <v>1074</v>
      </c>
      <c r="F1363" s="1" t="s">
        <v>1075</v>
      </c>
      <c r="G1363" s="1">
        <v>0.0</v>
      </c>
      <c r="H1363" s="2">
        <v>0.13055555555555556</v>
      </c>
    </row>
    <row r="1364">
      <c r="A1364" s="1" t="s">
        <v>1061</v>
      </c>
      <c r="B1364" s="1" t="s">
        <v>903</v>
      </c>
      <c r="C1364" s="1">
        <v>13.0</v>
      </c>
      <c r="D1364" s="1" t="s">
        <v>1076</v>
      </c>
      <c r="E1364" s="1" t="s">
        <v>1077</v>
      </c>
      <c r="F1364" s="1" t="s">
        <v>1064</v>
      </c>
      <c r="G1364" s="1">
        <v>0.0</v>
      </c>
      <c r="H1364" s="2">
        <v>0.15138888888888888</v>
      </c>
    </row>
    <row r="1365">
      <c r="A1365" s="1" t="s">
        <v>1061</v>
      </c>
      <c r="B1365" s="1" t="s">
        <v>903</v>
      </c>
      <c r="C1365" s="1">
        <v>14.0</v>
      </c>
      <c r="D1365" s="1" t="s">
        <v>50</v>
      </c>
      <c r="E1365" s="1" t="s">
        <v>51</v>
      </c>
      <c r="F1365" s="1" t="s">
        <v>52</v>
      </c>
      <c r="G1365" s="1">
        <v>0.0</v>
      </c>
      <c r="H1365" s="2">
        <v>0.14722222222222223</v>
      </c>
    </row>
    <row r="1366">
      <c r="A1366" s="1" t="s">
        <v>1061</v>
      </c>
      <c r="B1366" s="1" t="s">
        <v>903</v>
      </c>
      <c r="C1366" s="1">
        <v>15.0</v>
      </c>
      <c r="D1366" s="1" t="s">
        <v>1078</v>
      </c>
      <c r="E1366" s="1" t="s">
        <v>1079</v>
      </c>
      <c r="F1366" s="1" t="s">
        <v>1080</v>
      </c>
      <c r="G1366" s="1">
        <v>0.0</v>
      </c>
      <c r="H1366" s="2">
        <v>0.12708333333333333</v>
      </c>
    </row>
    <row r="1367">
      <c r="A1367" s="1" t="s">
        <v>1061</v>
      </c>
      <c r="B1367" s="1" t="s">
        <v>903</v>
      </c>
      <c r="C1367" s="1">
        <v>16.0</v>
      </c>
      <c r="D1367" s="1" t="s">
        <v>1081</v>
      </c>
      <c r="E1367" s="1" t="s">
        <v>1082</v>
      </c>
      <c r="F1367" s="1" t="s">
        <v>1083</v>
      </c>
      <c r="G1367" s="1">
        <v>0.0</v>
      </c>
      <c r="H1367" s="2">
        <v>0.12638888888888888</v>
      </c>
    </row>
    <row r="1368">
      <c r="A1368" s="1" t="s">
        <v>1061</v>
      </c>
      <c r="B1368" s="1" t="s">
        <v>903</v>
      </c>
      <c r="C1368" s="1">
        <v>17.0</v>
      </c>
      <c r="D1368" s="1" t="s">
        <v>30</v>
      </c>
      <c r="E1368" s="1" t="s">
        <v>31</v>
      </c>
      <c r="F1368" s="1" t="s">
        <v>32</v>
      </c>
      <c r="G1368" s="1">
        <v>0.0</v>
      </c>
      <c r="H1368" s="2">
        <v>0.15833333333333333</v>
      </c>
    </row>
    <row r="1369">
      <c r="A1369" s="1" t="s">
        <v>1061</v>
      </c>
      <c r="B1369" s="1" t="s">
        <v>903</v>
      </c>
      <c r="C1369" s="1">
        <v>18.0</v>
      </c>
      <c r="D1369" s="1" t="s">
        <v>1084</v>
      </c>
      <c r="E1369" s="1" t="s">
        <v>1085</v>
      </c>
      <c r="F1369" s="1" t="s">
        <v>1084</v>
      </c>
      <c r="G1369" s="1">
        <v>0.0</v>
      </c>
      <c r="H1369" s="2">
        <v>0.1388888888888889</v>
      </c>
    </row>
    <row r="1370">
      <c r="A1370" s="1" t="s">
        <v>1061</v>
      </c>
      <c r="B1370" s="1" t="s">
        <v>903</v>
      </c>
      <c r="C1370" s="1">
        <v>19.0</v>
      </c>
      <c r="D1370" s="1" t="s">
        <v>1086</v>
      </c>
      <c r="E1370" s="1" t="s">
        <v>1087</v>
      </c>
      <c r="F1370" s="1" t="s">
        <v>1086</v>
      </c>
      <c r="G1370" s="1">
        <v>0.0</v>
      </c>
      <c r="H1370" s="2">
        <v>0.2076388888888889</v>
      </c>
    </row>
    <row r="1371">
      <c r="A1371" s="1" t="s">
        <v>1061</v>
      </c>
      <c r="B1371" s="1" t="s">
        <v>903</v>
      </c>
      <c r="C1371" s="1">
        <v>20.0</v>
      </c>
      <c r="D1371" s="1" t="s">
        <v>20</v>
      </c>
      <c r="E1371" s="1" t="s">
        <v>21</v>
      </c>
      <c r="F1371" s="1" t="s">
        <v>22</v>
      </c>
      <c r="G1371" s="1">
        <v>1.0</v>
      </c>
      <c r="H1371" s="2">
        <v>0.17152777777777778</v>
      </c>
    </row>
    <row r="1372">
      <c r="A1372" s="1" t="s">
        <v>1061</v>
      </c>
      <c r="B1372" s="1" t="s">
        <v>903</v>
      </c>
      <c r="C1372" s="1">
        <v>21.0</v>
      </c>
      <c r="D1372" s="1" t="s">
        <v>308</v>
      </c>
      <c r="E1372" s="1" t="s">
        <v>309</v>
      </c>
      <c r="F1372" s="1" t="s">
        <v>308</v>
      </c>
      <c r="G1372" s="1">
        <v>1.0</v>
      </c>
      <c r="H1372" s="2">
        <v>0.07361111111111111</v>
      </c>
    </row>
    <row r="1373">
      <c r="A1373" s="1" t="s">
        <v>1061</v>
      </c>
      <c r="B1373" s="1" t="s">
        <v>903</v>
      </c>
      <c r="C1373" s="1">
        <v>22.0</v>
      </c>
      <c r="D1373" s="1" t="s">
        <v>113</v>
      </c>
      <c r="E1373" s="1" t="s">
        <v>114</v>
      </c>
      <c r="F1373" s="1" t="s">
        <v>113</v>
      </c>
      <c r="G1373" s="1">
        <v>0.0</v>
      </c>
      <c r="H1373" s="2">
        <v>0.13125</v>
      </c>
    </row>
    <row r="1374">
      <c r="A1374" s="1" t="s">
        <v>1061</v>
      </c>
      <c r="B1374" s="1" t="s">
        <v>903</v>
      </c>
      <c r="C1374" s="1">
        <v>23.0</v>
      </c>
      <c r="D1374" s="1" t="s">
        <v>121</v>
      </c>
      <c r="E1374" s="1" t="s">
        <v>122</v>
      </c>
      <c r="F1374" s="1" t="s">
        <v>123</v>
      </c>
      <c r="G1374" s="1">
        <v>0.0</v>
      </c>
      <c r="H1374" s="2">
        <v>0.13194444444444445</v>
      </c>
    </row>
    <row r="1375">
      <c r="A1375" s="1" t="s">
        <v>1061</v>
      </c>
      <c r="B1375" s="1" t="s">
        <v>903</v>
      </c>
      <c r="C1375" s="1">
        <v>24.0</v>
      </c>
      <c r="D1375" s="1" t="s">
        <v>33</v>
      </c>
      <c r="E1375" s="1" t="s">
        <v>34</v>
      </c>
      <c r="F1375" s="1" t="s">
        <v>35</v>
      </c>
      <c r="G1375" s="1">
        <v>0.0</v>
      </c>
      <c r="H1375" s="2">
        <v>0.1451388888888889</v>
      </c>
    </row>
    <row r="1376">
      <c r="A1376" s="1" t="s">
        <v>1061</v>
      </c>
      <c r="B1376" s="1" t="s">
        <v>903</v>
      </c>
      <c r="C1376" s="1">
        <v>25.0</v>
      </c>
      <c r="D1376" s="1" t="s">
        <v>1088</v>
      </c>
      <c r="E1376" s="1" t="s">
        <v>1089</v>
      </c>
      <c r="F1376" s="1" t="s">
        <v>1088</v>
      </c>
      <c r="G1376" s="1">
        <v>0.0</v>
      </c>
      <c r="H1376" s="2">
        <v>0.1625</v>
      </c>
    </row>
    <row r="1377">
      <c r="A1377" s="1" t="s">
        <v>1061</v>
      </c>
      <c r="B1377" s="1" t="s">
        <v>903</v>
      </c>
      <c r="C1377" s="1">
        <v>26.0</v>
      </c>
      <c r="D1377" s="1" t="s">
        <v>44</v>
      </c>
      <c r="E1377" s="1" t="s">
        <v>45</v>
      </c>
      <c r="F1377" s="1" t="s">
        <v>44</v>
      </c>
      <c r="G1377" s="1">
        <v>0.0</v>
      </c>
      <c r="H1377" s="2">
        <v>0.12222222222222222</v>
      </c>
    </row>
    <row r="1378">
      <c r="A1378" s="1" t="s">
        <v>1061</v>
      </c>
      <c r="B1378" s="1" t="s">
        <v>903</v>
      </c>
      <c r="C1378" s="1">
        <v>27.0</v>
      </c>
      <c r="D1378" s="1" t="s">
        <v>1090</v>
      </c>
      <c r="E1378" s="1" t="s">
        <v>1091</v>
      </c>
      <c r="F1378" s="1" t="s">
        <v>1092</v>
      </c>
      <c r="G1378" s="1">
        <v>0.0</v>
      </c>
      <c r="H1378" s="2">
        <v>0.1763888888888889</v>
      </c>
    </row>
    <row r="1379">
      <c r="A1379" s="1" t="s">
        <v>1061</v>
      </c>
      <c r="B1379" s="1" t="s">
        <v>903</v>
      </c>
      <c r="C1379" s="1">
        <v>28.0</v>
      </c>
      <c r="D1379" s="1" t="s">
        <v>1093</v>
      </c>
      <c r="E1379" s="1" t="s">
        <v>1094</v>
      </c>
      <c r="F1379" s="1" t="s">
        <v>1093</v>
      </c>
      <c r="G1379" s="1">
        <v>0.0</v>
      </c>
      <c r="H1379" s="2">
        <v>0.09166666666666666</v>
      </c>
    </row>
    <row r="1380">
      <c r="A1380" s="1" t="s">
        <v>1061</v>
      </c>
      <c r="B1380" s="1" t="s">
        <v>903</v>
      </c>
      <c r="C1380" s="1">
        <v>29.0</v>
      </c>
      <c r="D1380" s="1" t="s">
        <v>14</v>
      </c>
      <c r="E1380" s="1" t="s">
        <v>15</v>
      </c>
      <c r="F1380" s="1" t="s">
        <v>16</v>
      </c>
      <c r="G1380" s="1">
        <v>1.0</v>
      </c>
      <c r="H1380" s="2">
        <v>0.12569444444444444</v>
      </c>
    </row>
    <row r="1381">
      <c r="A1381" s="1" t="s">
        <v>1061</v>
      </c>
      <c r="B1381" s="1" t="s">
        <v>903</v>
      </c>
      <c r="C1381" s="1">
        <v>30.0</v>
      </c>
      <c r="D1381" s="1" t="s">
        <v>1095</v>
      </c>
      <c r="E1381" s="1" t="s">
        <v>1096</v>
      </c>
      <c r="F1381" s="1" t="s">
        <v>1064</v>
      </c>
      <c r="G1381" s="1">
        <v>0.0</v>
      </c>
      <c r="H1381" s="2">
        <v>0.17291666666666666</v>
      </c>
    </row>
    <row r="1382">
      <c r="A1382" s="1" t="s">
        <v>1061</v>
      </c>
      <c r="B1382" s="1" t="s">
        <v>903</v>
      </c>
      <c r="C1382" s="1">
        <v>31.0</v>
      </c>
      <c r="D1382" s="1" t="s">
        <v>1097</v>
      </c>
      <c r="E1382" s="1" t="s">
        <v>1098</v>
      </c>
      <c r="F1382" s="1" t="s">
        <v>1097</v>
      </c>
      <c r="G1382" s="1">
        <v>0.0</v>
      </c>
      <c r="H1382" s="2">
        <v>0.12569444444444444</v>
      </c>
    </row>
    <row r="1383">
      <c r="A1383" s="1" t="s">
        <v>1061</v>
      </c>
      <c r="B1383" s="1" t="s">
        <v>903</v>
      </c>
      <c r="C1383" s="1">
        <v>32.0</v>
      </c>
      <c r="D1383" s="1" t="s">
        <v>1099</v>
      </c>
      <c r="E1383" s="1" t="s">
        <v>1100</v>
      </c>
      <c r="F1383" s="1" t="s">
        <v>1101</v>
      </c>
      <c r="G1383" s="1">
        <v>0.0</v>
      </c>
      <c r="H1383" s="2">
        <v>0.15416666666666667</v>
      </c>
    </row>
    <row r="1384">
      <c r="A1384" s="1" t="s">
        <v>1061</v>
      </c>
      <c r="B1384" s="1" t="s">
        <v>903</v>
      </c>
      <c r="C1384" s="1">
        <v>33.0</v>
      </c>
      <c r="D1384" s="1" t="s">
        <v>41</v>
      </c>
      <c r="E1384" s="1" t="s">
        <v>42</v>
      </c>
      <c r="F1384" s="1" t="s">
        <v>43</v>
      </c>
      <c r="G1384" s="1">
        <v>1.0</v>
      </c>
      <c r="H1384" s="2">
        <v>0.1361111111111111</v>
      </c>
    </row>
    <row r="1385">
      <c r="A1385" s="1" t="s">
        <v>1061</v>
      </c>
      <c r="B1385" s="1" t="s">
        <v>903</v>
      </c>
      <c r="C1385" s="1">
        <v>34.0</v>
      </c>
      <c r="D1385" s="1" t="s">
        <v>27</v>
      </c>
      <c r="E1385" s="1" t="s">
        <v>28</v>
      </c>
      <c r="F1385" s="1" t="s">
        <v>29</v>
      </c>
      <c r="G1385" s="1">
        <v>0.0</v>
      </c>
      <c r="H1385" s="2">
        <v>0.12708333333333333</v>
      </c>
    </row>
    <row r="1386">
      <c r="A1386" s="1" t="s">
        <v>1061</v>
      </c>
      <c r="B1386" s="1" t="s">
        <v>903</v>
      </c>
      <c r="C1386" s="1">
        <v>35.0</v>
      </c>
      <c r="D1386" s="1" t="s">
        <v>1102</v>
      </c>
      <c r="E1386" s="1" t="s">
        <v>1103</v>
      </c>
      <c r="F1386" s="1" t="s">
        <v>1102</v>
      </c>
      <c r="G1386" s="1">
        <v>0.0</v>
      </c>
      <c r="H1386" s="2">
        <v>0.1375</v>
      </c>
    </row>
    <row r="1387">
      <c r="A1387" s="1" t="s">
        <v>1061</v>
      </c>
      <c r="B1387" s="1" t="s">
        <v>903</v>
      </c>
      <c r="C1387" s="1">
        <v>36.0</v>
      </c>
      <c r="D1387" s="1" t="s">
        <v>1104</v>
      </c>
      <c r="E1387" s="1" t="s">
        <v>1105</v>
      </c>
      <c r="F1387" s="1" t="s">
        <v>1104</v>
      </c>
      <c r="G1387" s="1">
        <v>0.0</v>
      </c>
      <c r="H1387" s="2">
        <v>0.25763888888888886</v>
      </c>
    </row>
    <row r="1388">
      <c r="A1388" s="1" t="s">
        <v>1061</v>
      </c>
      <c r="B1388" s="1" t="s">
        <v>903</v>
      </c>
      <c r="C1388" s="1">
        <v>37.0</v>
      </c>
      <c r="D1388" s="1" t="s">
        <v>1106</v>
      </c>
      <c r="E1388" s="1" t="s">
        <v>1107</v>
      </c>
      <c r="F1388" s="1" t="s">
        <v>1108</v>
      </c>
      <c r="G1388" s="1">
        <v>0.0</v>
      </c>
      <c r="H1388" s="2">
        <v>0.1638888888888889</v>
      </c>
    </row>
    <row r="1389">
      <c r="A1389" s="1" t="s">
        <v>1061</v>
      </c>
      <c r="B1389" s="1" t="s">
        <v>903</v>
      </c>
      <c r="C1389" s="1">
        <v>38.0</v>
      </c>
      <c r="D1389" s="1" t="s">
        <v>1109</v>
      </c>
      <c r="E1389" s="1" t="s">
        <v>1110</v>
      </c>
      <c r="F1389" s="1" t="s">
        <v>1111</v>
      </c>
      <c r="G1389" s="1">
        <v>0.0</v>
      </c>
      <c r="H1389" s="2">
        <v>0.15486111111111112</v>
      </c>
    </row>
    <row r="1390">
      <c r="A1390" s="1" t="s">
        <v>1061</v>
      </c>
      <c r="B1390" s="1" t="s">
        <v>903</v>
      </c>
      <c r="C1390" s="1">
        <v>39.0</v>
      </c>
      <c r="D1390" s="1" t="s">
        <v>1112</v>
      </c>
      <c r="E1390" s="1" t="s">
        <v>1113</v>
      </c>
      <c r="F1390" s="1" t="s">
        <v>1112</v>
      </c>
      <c r="G1390" s="1">
        <v>0.0</v>
      </c>
      <c r="H1390" s="2">
        <v>0.17777777777777778</v>
      </c>
    </row>
    <row r="1391">
      <c r="A1391" s="1" t="s">
        <v>1061</v>
      </c>
      <c r="B1391" s="1" t="s">
        <v>903</v>
      </c>
      <c r="C1391" s="1">
        <v>40.0</v>
      </c>
      <c r="D1391" s="1" t="s">
        <v>1114</v>
      </c>
      <c r="E1391" s="1" t="s">
        <v>1115</v>
      </c>
      <c r="F1391" s="1" t="s">
        <v>1114</v>
      </c>
      <c r="G1391" s="1">
        <v>0.0</v>
      </c>
      <c r="H1391" s="2">
        <v>0.13402777777777777</v>
      </c>
    </row>
    <row r="1392">
      <c r="A1392" s="1" t="s">
        <v>1061</v>
      </c>
      <c r="B1392" s="1" t="s">
        <v>903</v>
      </c>
      <c r="C1392" s="1">
        <v>41.0</v>
      </c>
      <c r="D1392" s="1" t="s">
        <v>9</v>
      </c>
      <c r="E1392" s="1" t="s">
        <v>10</v>
      </c>
      <c r="F1392" s="1" t="s">
        <v>9</v>
      </c>
      <c r="G1392" s="1">
        <v>0.0</v>
      </c>
      <c r="H1392" s="2">
        <v>0.12638888888888888</v>
      </c>
    </row>
    <row r="1393">
      <c r="A1393" s="1" t="s">
        <v>1061</v>
      </c>
      <c r="B1393" s="1" t="s">
        <v>903</v>
      </c>
      <c r="C1393" s="1">
        <v>42.0</v>
      </c>
      <c r="D1393" s="1" t="s">
        <v>1116</v>
      </c>
      <c r="E1393" s="1" t="s">
        <v>1117</v>
      </c>
      <c r="F1393" s="1" t="s">
        <v>1116</v>
      </c>
      <c r="G1393" s="1">
        <v>0.0</v>
      </c>
      <c r="H1393" s="2">
        <v>0.19027777777777777</v>
      </c>
    </row>
    <row r="1394">
      <c r="A1394" s="1" t="s">
        <v>1061</v>
      </c>
      <c r="B1394" s="1" t="s">
        <v>903</v>
      </c>
      <c r="C1394" s="1">
        <v>43.0</v>
      </c>
      <c r="D1394" s="1" t="s">
        <v>1118</v>
      </c>
      <c r="E1394" s="1" t="s">
        <v>1119</v>
      </c>
      <c r="F1394" s="1" t="s">
        <v>1120</v>
      </c>
      <c r="G1394" s="1">
        <v>0.0</v>
      </c>
      <c r="H1394" s="2">
        <v>0.14930555555555555</v>
      </c>
    </row>
    <row r="1395">
      <c r="A1395" s="1" t="s">
        <v>1061</v>
      </c>
      <c r="B1395" s="1" t="s">
        <v>903</v>
      </c>
      <c r="C1395" s="1">
        <v>44.0</v>
      </c>
      <c r="D1395" s="1" t="s">
        <v>1121</v>
      </c>
      <c r="E1395" s="1" t="s">
        <v>1122</v>
      </c>
      <c r="F1395" s="1" t="s">
        <v>1123</v>
      </c>
      <c r="G1395" s="1">
        <v>0.0</v>
      </c>
      <c r="H1395" s="2">
        <v>0.23680555555555555</v>
      </c>
    </row>
    <row r="1396">
      <c r="A1396" s="1" t="s">
        <v>1061</v>
      </c>
      <c r="B1396" s="1" t="s">
        <v>903</v>
      </c>
      <c r="C1396" s="1">
        <v>45.0</v>
      </c>
      <c r="D1396" s="1" t="s">
        <v>99</v>
      </c>
      <c r="E1396" s="1" t="s">
        <v>100</v>
      </c>
      <c r="F1396" s="1" t="s">
        <v>99</v>
      </c>
      <c r="G1396" s="1">
        <v>0.0</v>
      </c>
      <c r="H1396" s="2">
        <v>0.11944444444444445</v>
      </c>
    </row>
    <row r="1397">
      <c r="A1397" s="1" t="s">
        <v>1061</v>
      </c>
      <c r="B1397" s="1" t="s">
        <v>903</v>
      </c>
      <c r="C1397" s="1">
        <v>46.0</v>
      </c>
      <c r="D1397" s="1" t="s">
        <v>1124</v>
      </c>
      <c r="E1397" s="1" t="s">
        <v>1125</v>
      </c>
      <c r="F1397" s="1" t="s">
        <v>1124</v>
      </c>
      <c r="G1397" s="1">
        <v>0.0</v>
      </c>
      <c r="H1397" s="2">
        <v>0.17291666666666666</v>
      </c>
    </row>
    <row r="1398">
      <c r="A1398" s="1" t="s">
        <v>1061</v>
      </c>
      <c r="B1398" s="1" t="s">
        <v>903</v>
      </c>
      <c r="C1398" s="1">
        <v>47.0</v>
      </c>
      <c r="D1398" s="1" t="s">
        <v>1126</v>
      </c>
      <c r="E1398" s="1" t="s">
        <v>1127</v>
      </c>
      <c r="F1398" s="1" t="s">
        <v>52</v>
      </c>
      <c r="G1398" s="1">
        <v>0.0</v>
      </c>
      <c r="H1398" s="2">
        <v>0.14444444444444443</v>
      </c>
    </row>
    <row r="1399">
      <c r="A1399" s="1" t="s">
        <v>1061</v>
      </c>
      <c r="B1399" s="1" t="s">
        <v>903</v>
      </c>
      <c r="C1399" s="1">
        <v>48.0</v>
      </c>
      <c r="D1399" s="1" t="s">
        <v>92</v>
      </c>
      <c r="E1399" s="1" t="s">
        <v>93</v>
      </c>
      <c r="F1399" s="1" t="s">
        <v>92</v>
      </c>
      <c r="G1399" s="1">
        <v>1.0</v>
      </c>
      <c r="H1399" s="2">
        <v>0.11319444444444444</v>
      </c>
    </row>
    <row r="1400">
      <c r="A1400" s="1" t="s">
        <v>1061</v>
      </c>
      <c r="B1400" s="1" t="s">
        <v>903</v>
      </c>
      <c r="C1400" s="1">
        <v>49.0</v>
      </c>
      <c r="D1400" s="1" t="s">
        <v>1128</v>
      </c>
      <c r="E1400" s="1" t="s">
        <v>1129</v>
      </c>
      <c r="F1400" s="1" t="s">
        <v>1128</v>
      </c>
      <c r="G1400" s="1">
        <v>0.0</v>
      </c>
      <c r="H1400" s="2">
        <v>0.12222222222222222</v>
      </c>
    </row>
    <row r="1401">
      <c r="A1401" s="1" t="s">
        <v>1061</v>
      </c>
      <c r="B1401" s="1" t="s">
        <v>903</v>
      </c>
      <c r="C1401" s="1">
        <v>50.0</v>
      </c>
      <c r="D1401" s="1" t="s">
        <v>1130</v>
      </c>
      <c r="E1401" s="1" t="s">
        <v>1131</v>
      </c>
      <c r="F1401" s="1" t="s">
        <v>1130</v>
      </c>
      <c r="G1401" s="1">
        <v>0.0</v>
      </c>
      <c r="H1401" s="2">
        <v>0.2361111111111111</v>
      </c>
    </row>
    <row r="1402">
      <c r="A1402" s="1" t="s">
        <v>1132</v>
      </c>
      <c r="B1402" s="1" t="s">
        <v>903</v>
      </c>
      <c r="C1402" s="1">
        <v>1.0</v>
      </c>
      <c r="D1402" s="1" t="s">
        <v>1133</v>
      </c>
      <c r="E1402" s="1" t="s">
        <v>1134</v>
      </c>
      <c r="F1402" s="1" t="s">
        <v>1133</v>
      </c>
      <c r="G1402" s="1">
        <v>0.0</v>
      </c>
      <c r="H1402" s="2">
        <v>0.13055555555555556</v>
      </c>
    </row>
    <row r="1403">
      <c r="A1403" s="1" t="s">
        <v>1132</v>
      </c>
      <c r="B1403" s="1" t="s">
        <v>903</v>
      </c>
      <c r="C1403" s="1">
        <v>2.0</v>
      </c>
      <c r="D1403" s="1" t="s">
        <v>96</v>
      </c>
      <c r="E1403" s="1" t="s">
        <v>97</v>
      </c>
      <c r="F1403" s="1" t="s">
        <v>98</v>
      </c>
      <c r="G1403" s="1">
        <v>1.0</v>
      </c>
      <c r="H1403" s="2">
        <v>0.12430555555555556</v>
      </c>
    </row>
    <row r="1404">
      <c r="A1404" s="1" t="s">
        <v>1132</v>
      </c>
      <c r="B1404" s="1" t="s">
        <v>903</v>
      </c>
      <c r="C1404" s="1">
        <v>3.0</v>
      </c>
      <c r="D1404" s="1" t="s">
        <v>23</v>
      </c>
      <c r="E1404" s="1" t="s">
        <v>24</v>
      </c>
      <c r="F1404" s="1" t="s">
        <v>23</v>
      </c>
      <c r="G1404" s="1">
        <v>0.0</v>
      </c>
      <c r="H1404" s="2">
        <v>0.12013888888888889</v>
      </c>
    </row>
    <row r="1405">
      <c r="A1405" s="1" t="s">
        <v>1132</v>
      </c>
      <c r="B1405" s="1" t="s">
        <v>903</v>
      </c>
      <c r="C1405" s="1">
        <v>4.0</v>
      </c>
      <c r="D1405" s="1" t="s">
        <v>1135</v>
      </c>
      <c r="E1405" s="1" t="s">
        <v>1136</v>
      </c>
      <c r="F1405" s="1" t="s">
        <v>1135</v>
      </c>
      <c r="G1405" s="1">
        <v>0.0</v>
      </c>
      <c r="H1405" s="2">
        <v>0.12708333333333333</v>
      </c>
    </row>
    <row r="1406">
      <c r="A1406" s="1" t="s">
        <v>1132</v>
      </c>
      <c r="B1406" s="1" t="s">
        <v>903</v>
      </c>
      <c r="C1406" s="1">
        <v>5.0</v>
      </c>
      <c r="D1406" s="1" t="s">
        <v>68</v>
      </c>
      <c r="E1406" s="1" t="s">
        <v>69</v>
      </c>
      <c r="F1406" s="1" t="s">
        <v>70</v>
      </c>
      <c r="G1406" s="1">
        <v>0.0</v>
      </c>
      <c r="H1406" s="2">
        <v>0.12638888888888888</v>
      </c>
    </row>
    <row r="1407">
      <c r="A1407" s="1" t="s">
        <v>1132</v>
      </c>
      <c r="B1407" s="1" t="s">
        <v>903</v>
      </c>
      <c r="C1407" s="1">
        <v>6.0</v>
      </c>
      <c r="D1407" s="1" t="s">
        <v>50</v>
      </c>
      <c r="E1407" s="1" t="s">
        <v>51</v>
      </c>
      <c r="F1407" s="1" t="s">
        <v>52</v>
      </c>
      <c r="G1407" s="1">
        <v>0.0</v>
      </c>
      <c r="H1407" s="2">
        <v>0.14722222222222223</v>
      </c>
    </row>
    <row r="1408">
      <c r="A1408" s="1" t="s">
        <v>1132</v>
      </c>
      <c r="B1408" s="1" t="s">
        <v>903</v>
      </c>
      <c r="C1408" s="1">
        <v>7.0</v>
      </c>
      <c r="D1408" s="1" t="s">
        <v>1137</v>
      </c>
      <c r="E1408" s="1" t="s">
        <v>1138</v>
      </c>
      <c r="F1408" s="1" t="s">
        <v>1139</v>
      </c>
      <c r="G1408" s="1">
        <v>0.0</v>
      </c>
      <c r="H1408" s="2">
        <v>0.17708333333333334</v>
      </c>
    </row>
    <row r="1409">
      <c r="A1409" s="1" t="s">
        <v>1132</v>
      </c>
      <c r="B1409" s="1" t="s">
        <v>903</v>
      </c>
      <c r="C1409" s="1">
        <v>8.0</v>
      </c>
      <c r="D1409" s="1" t="s">
        <v>30</v>
      </c>
      <c r="E1409" s="1" t="s">
        <v>31</v>
      </c>
      <c r="F1409" s="1" t="s">
        <v>32</v>
      </c>
      <c r="G1409" s="1">
        <v>0.0</v>
      </c>
      <c r="H1409" s="2">
        <v>0.15833333333333333</v>
      </c>
    </row>
    <row r="1410">
      <c r="A1410" s="1" t="s">
        <v>1132</v>
      </c>
      <c r="B1410" s="1" t="s">
        <v>903</v>
      </c>
      <c r="C1410" s="1">
        <v>9.0</v>
      </c>
      <c r="D1410" s="1" t="s">
        <v>1140</v>
      </c>
      <c r="E1410" s="1" t="s">
        <v>1141</v>
      </c>
      <c r="F1410" s="1" t="s">
        <v>1142</v>
      </c>
      <c r="G1410" s="1">
        <v>0.0</v>
      </c>
      <c r="H1410" s="2">
        <v>0.18263888888888888</v>
      </c>
    </row>
    <row r="1411">
      <c r="A1411" s="1" t="s">
        <v>1132</v>
      </c>
      <c r="B1411" s="1" t="s">
        <v>903</v>
      </c>
      <c r="C1411" s="1">
        <v>10.0</v>
      </c>
      <c r="D1411" s="1" t="s">
        <v>1143</v>
      </c>
      <c r="E1411" s="1" t="s">
        <v>1144</v>
      </c>
      <c r="F1411" s="1" t="s">
        <v>1145</v>
      </c>
      <c r="G1411" s="1">
        <v>0.0</v>
      </c>
      <c r="H1411" s="2">
        <v>0.525</v>
      </c>
    </row>
    <row r="1412">
      <c r="A1412" s="1" t="s">
        <v>1132</v>
      </c>
      <c r="B1412" s="1" t="s">
        <v>903</v>
      </c>
      <c r="C1412" s="1">
        <v>11.0</v>
      </c>
      <c r="D1412" s="1" t="s">
        <v>47</v>
      </c>
      <c r="E1412" s="1" t="s">
        <v>48</v>
      </c>
      <c r="F1412" s="1" t="s">
        <v>49</v>
      </c>
      <c r="G1412" s="1">
        <v>1.0</v>
      </c>
      <c r="H1412" s="2">
        <v>0.15486111111111112</v>
      </c>
    </row>
    <row r="1413">
      <c r="A1413" s="1" t="s">
        <v>1132</v>
      </c>
      <c r="B1413" s="1" t="s">
        <v>903</v>
      </c>
      <c r="C1413" s="1">
        <v>12.0</v>
      </c>
      <c r="D1413" s="1" t="s">
        <v>1146</v>
      </c>
      <c r="E1413" s="1" t="s">
        <v>1147</v>
      </c>
      <c r="F1413" s="1" t="s">
        <v>1146</v>
      </c>
      <c r="G1413" s="1">
        <v>0.0</v>
      </c>
      <c r="H1413" s="2">
        <v>0.16111111111111112</v>
      </c>
    </row>
    <row r="1414">
      <c r="A1414" s="1" t="s">
        <v>1132</v>
      </c>
      <c r="B1414" s="1" t="s">
        <v>903</v>
      </c>
      <c r="C1414" s="1">
        <v>13.0</v>
      </c>
      <c r="D1414" s="1" t="s">
        <v>997</v>
      </c>
      <c r="E1414" s="1" t="s">
        <v>998</v>
      </c>
      <c r="F1414" s="1" t="s">
        <v>999</v>
      </c>
      <c r="G1414" s="1">
        <v>0.0</v>
      </c>
      <c r="H1414" s="2">
        <v>0.11597222222222223</v>
      </c>
    </row>
    <row r="1415">
      <c r="A1415" s="1" t="s">
        <v>1132</v>
      </c>
      <c r="B1415" s="1" t="s">
        <v>903</v>
      </c>
      <c r="C1415" s="1">
        <v>14.0</v>
      </c>
      <c r="D1415" s="1" t="s">
        <v>1148</v>
      </c>
      <c r="E1415" s="1" t="s">
        <v>1149</v>
      </c>
      <c r="F1415" s="1" t="s">
        <v>1148</v>
      </c>
      <c r="G1415" s="1">
        <v>0.0</v>
      </c>
      <c r="H1415" s="2">
        <v>0.17083333333333334</v>
      </c>
    </row>
    <row r="1416">
      <c r="A1416" s="1" t="s">
        <v>1132</v>
      </c>
      <c r="B1416" s="1" t="s">
        <v>903</v>
      </c>
      <c r="C1416" s="1">
        <v>15.0</v>
      </c>
      <c r="D1416" s="1" t="s">
        <v>60</v>
      </c>
      <c r="E1416" s="1" t="s">
        <v>61</v>
      </c>
      <c r="F1416" s="1" t="s">
        <v>62</v>
      </c>
      <c r="G1416" s="1">
        <v>0.0</v>
      </c>
      <c r="H1416" s="2">
        <v>0.11041666666666666</v>
      </c>
    </row>
    <row r="1417">
      <c r="A1417" s="1" t="s">
        <v>1132</v>
      </c>
      <c r="B1417" s="1" t="s">
        <v>903</v>
      </c>
      <c r="C1417" s="1">
        <v>16.0</v>
      </c>
      <c r="D1417" s="1" t="s">
        <v>54</v>
      </c>
      <c r="E1417" s="1" t="s">
        <v>55</v>
      </c>
      <c r="F1417" s="1" t="s">
        <v>56</v>
      </c>
      <c r="G1417" s="1">
        <v>0.0</v>
      </c>
      <c r="H1417" s="2">
        <v>0.10972222222222222</v>
      </c>
    </row>
    <row r="1418">
      <c r="A1418" s="1" t="s">
        <v>1132</v>
      </c>
      <c r="B1418" s="1" t="s">
        <v>903</v>
      </c>
      <c r="C1418" s="1">
        <v>17.0</v>
      </c>
      <c r="D1418" s="1" t="s">
        <v>1150</v>
      </c>
      <c r="E1418" s="1" t="s">
        <v>1151</v>
      </c>
      <c r="F1418" s="1" t="s">
        <v>1152</v>
      </c>
      <c r="G1418" s="1">
        <v>0.0</v>
      </c>
      <c r="H1418" s="2">
        <v>0.1423611111111111</v>
      </c>
    </row>
    <row r="1419">
      <c r="A1419" s="1" t="s">
        <v>1132</v>
      </c>
      <c r="B1419" s="1" t="s">
        <v>903</v>
      </c>
      <c r="C1419" s="1">
        <v>18.0</v>
      </c>
      <c r="D1419" s="1" t="s">
        <v>1153</v>
      </c>
      <c r="E1419" s="1" t="s">
        <v>1144</v>
      </c>
      <c r="F1419" s="1" t="s">
        <v>1145</v>
      </c>
      <c r="G1419" s="1">
        <v>0.0</v>
      </c>
      <c r="H1419" s="2">
        <v>0.5402777777777777</v>
      </c>
    </row>
    <row r="1420">
      <c r="A1420" s="1" t="s">
        <v>1132</v>
      </c>
      <c r="B1420" s="1" t="s">
        <v>903</v>
      </c>
      <c r="C1420" s="1">
        <v>19.0</v>
      </c>
      <c r="D1420" s="1" t="s">
        <v>310</v>
      </c>
      <c r="E1420" s="1" t="s">
        <v>311</v>
      </c>
      <c r="F1420" s="1" t="s">
        <v>310</v>
      </c>
      <c r="G1420" s="1">
        <v>0.0</v>
      </c>
      <c r="H1420" s="2">
        <v>0.12430555555555556</v>
      </c>
    </row>
    <row r="1421">
      <c r="A1421" s="1" t="s">
        <v>1132</v>
      </c>
      <c r="B1421" s="1" t="s">
        <v>903</v>
      </c>
      <c r="C1421" s="1">
        <v>20.0</v>
      </c>
      <c r="D1421" s="1" t="s">
        <v>113</v>
      </c>
      <c r="E1421" s="1" t="s">
        <v>114</v>
      </c>
      <c r="F1421" s="1" t="s">
        <v>113</v>
      </c>
      <c r="G1421" s="1">
        <v>0.0</v>
      </c>
      <c r="H1421" s="2">
        <v>0.13125</v>
      </c>
    </row>
    <row r="1422">
      <c r="A1422" s="1" t="s">
        <v>1132</v>
      </c>
      <c r="B1422" s="1" t="s">
        <v>903</v>
      </c>
      <c r="C1422" s="1">
        <v>21.0</v>
      </c>
      <c r="D1422" s="1" t="s">
        <v>1154</v>
      </c>
      <c r="E1422" s="1" t="s">
        <v>1138</v>
      </c>
      <c r="F1422" s="1" t="s">
        <v>1139</v>
      </c>
      <c r="G1422" s="1">
        <v>0.0</v>
      </c>
      <c r="H1422" s="2">
        <v>0.14375</v>
      </c>
    </row>
    <row r="1423">
      <c r="A1423" s="1" t="s">
        <v>1132</v>
      </c>
      <c r="B1423" s="1" t="s">
        <v>903</v>
      </c>
      <c r="C1423" s="1">
        <v>22.0</v>
      </c>
      <c r="D1423" s="1" t="s">
        <v>1155</v>
      </c>
      <c r="E1423" s="1" t="s">
        <v>1156</v>
      </c>
      <c r="F1423" s="1" t="s">
        <v>1157</v>
      </c>
      <c r="G1423" s="1">
        <v>0.0</v>
      </c>
      <c r="H1423" s="2">
        <v>0.13819444444444445</v>
      </c>
    </row>
    <row r="1424">
      <c r="A1424" s="1" t="s">
        <v>1132</v>
      </c>
      <c r="B1424" s="1" t="s">
        <v>903</v>
      </c>
      <c r="C1424" s="1">
        <v>23.0</v>
      </c>
      <c r="D1424" s="1" t="s">
        <v>44</v>
      </c>
      <c r="E1424" s="1" t="s">
        <v>45</v>
      </c>
      <c r="F1424" s="1" t="s">
        <v>44</v>
      </c>
      <c r="G1424" s="1">
        <v>0.0</v>
      </c>
      <c r="H1424" s="2">
        <v>0.12222222222222222</v>
      </c>
    </row>
    <row r="1425">
      <c r="A1425" s="1" t="s">
        <v>1132</v>
      </c>
      <c r="B1425" s="1" t="s">
        <v>903</v>
      </c>
      <c r="C1425" s="1">
        <v>24.0</v>
      </c>
      <c r="D1425" s="1" t="s">
        <v>1158</v>
      </c>
      <c r="E1425" s="1" t="s">
        <v>1159</v>
      </c>
      <c r="F1425" s="1" t="s">
        <v>1160</v>
      </c>
      <c r="G1425" s="1">
        <v>0.0</v>
      </c>
      <c r="H1425" s="2">
        <v>0.17222222222222222</v>
      </c>
    </row>
    <row r="1426">
      <c r="A1426" s="1" t="s">
        <v>1132</v>
      </c>
      <c r="B1426" s="1" t="s">
        <v>903</v>
      </c>
      <c r="C1426" s="1">
        <v>25.0</v>
      </c>
      <c r="D1426" s="1" t="s">
        <v>1161</v>
      </c>
      <c r="E1426" s="1" t="s">
        <v>1162</v>
      </c>
      <c r="F1426" s="1" t="s">
        <v>1163</v>
      </c>
      <c r="G1426" s="1">
        <v>0.0</v>
      </c>
      <c r="H1426" s="2">
        <v>0.22569444444444445</v>
      </c>
    </row>
    <row r="1427">
      <c r="A1427" s="1" t="s">
        <v>1132</v>
      </c>
      <c r="B1427" s="1" t="s">
        <v>903</v>
      </c>
      <c r="C1427" s="1">
        <v>26.0</v>
      </c>
      <c r="D1427" s="1" t="s">
        <v>1164</v>
      </c>
      <c r="E1427" s="1" t="s">
        <v>1165</v>
      </c>
      <c r="F1427" s="1" t="s">
        <v>1164</v>
      </c>
      <c r="G1427" s="1">
        <v>0.0</v>
      </c>
      <c r="H1427" s="2">
        <v>0.17291666666666666</v>
      </c>
    </row>
    <row r="1428">
      <c r="A1428" s="1" t="s">
        <v>1132</v>
      </c>
      <c r="B1428" s="1" t="s">
        <v>903</v>
      </c>
      <c r="C1428" s="1">
        <v>27.0</v>
      </c>
      <c r="D1428" s="1" t="s">
        <v>124</v>
      </c>
      <c r="E1428" s="1" t="s">
        <v>125</v>
      </c>
      <c r="F1428" s="1" t="s">
        <v>126</v>
      </c>
      <c r="G1428" s="1">
        <v>1.0</v>
      </c>
      <c r="H1428" s="2">
        <v>0.15625</v>
      </c>
    </row>
    <row r="1429">
      <c r="A1429" s="1" t="s">
        <v>1132</v>
      </c>
      <c r="B1429" s="1" t="s">
        <v>903</v>
      </c>
      <c r="C1429" s="1">
        <v>28.0</v>
      </c>
      <c r="D1429" s="1" t="s">
        <v>92</v>
      </c>
      <c r="E1429" s="1" t="s">
        <v>93</v>
      </c>
      <c r="F1429" s="1" t="s">
        <v>92</v>
      </c>
      <c r="G1429" s="1">
        <v>1.0</v>
      </c>
      <c r="H1429" s="2">
        <v>0.11319444444444444</v>
      </c>
    </row>
    <row r="1430">
      <c r="A1430" s="1" t="s">
        <v>1132</v>
      </c>
      <c r="B1430" s="1" t="s">
        <v>903</v>
      </c>
      <c r="C1430" s="1">
        <v>29.0</v>
      </c>
      <c r="D1430" s="1" t="s">
        <v>1166</v>
      </c>
      <c r="E1430" s="1" t="s">
        <v>1167</v>
      </c>
      <c r="F1430" s="1" t="s">
        <v>1166</v>
      </c>
      <c r="G1430" s="1">
        <v>0.0</v>
      </c>
      <c r="H1430" s="2">
        <v>0.20833333333333334</v>
      </c>
    </row>
    <row r="1431">
      <c r="A1431" s="1" t="s">
        <v>1132</v>
      </c>
      <c r="B1431" s="1" t="s">
        <v>903</v>
      </c>
      <c r="C1431" s="1">
        <v>30.0</v>
      </c>
      <c r="D1431" s="1" t="s">
        <v>1168</v>
      </c>
      <c r="E1431" s="1" t="s">
        <v>1169</v>
      </c>
      <c r="F1431" s="1" t="s">
        <v>1170</v>
      </c>
      <c r="G1431" s="1">
        <v>0.0</v>
      </c>
      <c r="H1431" s="2">
        <v>0.17291666666666666</v>
      </c>
    </row>
    <row r="1432">
      <c r="A1432" s="1" t="s">
        <v>1132</v>
      </c>
      <c r="B1432" s="1" t="s">
        <v>903</v>
      </c>
      <c r="C1432" s="1">
        <v>31.0</v>
      </c>
      <c r="D1432" s="1" t="s">
        <v>27</v>
      </c>
      <c r="E1432" s="1" t="s">
        <v>28</v>
      </c>
      <c r="F1432" s="1" t="s">
        <v>29</v>
      </c>
      <c r="G1432" s="1">
        <v>0.0</v>
      </c>
      <c r="H1432" s="2">
        <v>0.12708333333333333</v>
      </c>
    </row>
    <row r="1433">
      <c r="A1433" s="1" t="s">
        <v>1132</v>
      </c>
      <c r="B1433" s="1" t="s">
        <v>903</v>
      </c>
      <c r="C1433" s="1">
        <v>32.0</v>
      </c>
      <c r="D1433" s="1" t="s">
        <v>20</v>
      </c>
      <c r="E1433" s="1" t="s">
        <v>21</v>
      </c>
      <c r="F1433" s="1" t="s">
        <v>22</v>
      </c>
      <c r="G1433" s="1">
        <v>1.0</v>
      </c>
      <c r="H1433" s="2">
        <v>0.17152777777777778</v>
      </c>
    </row>
    <row r="1434">
      <c r="A1434" s="1" t="s">
        <v>1132</v>
      </c>
      <c r="B1434" s="1" t="s">
        <v>903</v>
      </c>
      <c r="C1434" s="1">
        <v>33.0</v>
      </c>
      <c r="D1434" s="1" t="s">
        <v>9</v>
      </c>
      <c r="E1434" s="1" t="s">
        <v>10</v>
      </c>
      <c r="F1434" s="1" t="s">
        <v>9</v>
      </c>
      <c r="G1434" s="1">
        <v>0.0</v>
      </c>
      <c r="H1434" s="2">
        <v>0.12638888888888888</v>
      </c>
    </row>
    <row r="1435">
      <c r="A1435" s="1" t="s">
        <v>1132</v>
      </c>
      <c r="B1435" s="1" t="s">
        <v>903</v>
      </c>
      <c r="C1435" s="1">
        <v>34.0</v>
      </c>
      <c r="D1435" s="1" t="s">
        <v>1171</v>
      </c>
      <c r="E1435" s="1" t="s">
        <v>1165</v>
      </c>
      <c r="F1435" s="1" t="s">
        <v>1171</v>
      </c>
      <c r="G1435" s="1">
        <v>0.0</v>
      </c>
      <c r="H1435" s="2">
        <v>0.18125</v>
      </c>
    </row>
    <row r="1436">
      <c r="A1436" s="1" t="s">
        <v>1132</v>
      </c>
      <c r="B1436" s="1" t="s">
        <v>903</v>
      </c>
      <c r="C1436" s="1">
        <v>35.0</v>
      </c>
      <c r="D1436" s="1" t="s">
        <v>1172</v>
      </c>
      <c r="E1436" s="1" t="s">
        <v>1173</v>
      </c>
      <c r="F1436" s="1" t="s">
        <v>1172</v>
      </c>
      <c r="G1436" s="1">
        <v>0.0</v>
      </c>
      <c r="H1436" s="2">
        <v>0.17222222222222222</v>
      </c>
    </row>
    <row r="1437">
      <c r="A1437" s="1" t="s">
        <v>1132</v>
      </c>
      <c r="B1437" s="1" t="s">
        <v>903</v>
      </c>
      <c r="C1437" s="1">
        <v>36.0</v>
      </c>
      <c r="D1437" s="1" t="s">
        <v>1126</v>
      </c>
      <c r="E1437" s="1" t="s">
        <v>1127</v>
      </c>
      <c r="F1437" s="1" t="s">
        <v>52</v>
      </c>
      <c r="G1437" s="1">
        <v>0.0</v>
      </c>
      <c r="H1437" s="2">
        <v>0.14444444444444443</v>
      </c>
    </row>
    <row r="1438">
      <c r="A1438" s="1" t="s">
        <v>1132</v>
      </c>
      <c r="B1438" s="1" t="s">
        <v>903</v>
      </c>
      <c r="C1438" s="1">
        <v>37.0</v>
      </c>
      <c r="D1438" s="1" t="s">
        <v>1174</v>
      </c>
      <c r="E1438" s="1" t="s">
        <v>1175</v>
      </c>
      <c r="F1438" s="1" t="s">
        <v>59</v>
      </c>
      <c r="G1438" s="1">
        <v>1.0</v>
      </c>
      <c r="H1438" s="2">
        <v>0.11319444444444444</v>
      </c>
    </row>
    <row r="1439">
      <c r="A1439" s="1" t="s">
        <v>1132</v>
      </c>
      <c r="B1439" s="1" t="s">
        <v>903</v>
      </c>
      <c r="C1439" s="1">
        <v>38.0</v>
      </c>
      <c r="D1439" s="1" t="s">
        <v>1176</v>
      </c>
      <c r="E1439" s="1" t="s">
        <v>1177</v>
      </c>
      <c r="F1439" s="1" t="s">
        <v>1178</v>
      </c>
      <c r="G1439" s="1">
        <v>0.0</v>
      </c>
      <c r="H1439" s="2">
        <v>0.15347222222222223</v>
      </c>
    </row>
    <row r="1440">
      <c r="A1440" s="1" t="s">
        <v>1132</v>
      </c>
      <c r="B1440" s="1" t="s">
        <v>903</v>
      </c>
      <c r="C1440" s="1">
        <v>39.0</v>
      </c>
      <c r="D1440" s="1" t="s">
        <v>1172</v>
      </c>
      <c r="E1440" s="1" t="s">
        <v>1179</v>
      </c>
      <c r="F1440" s="1" t="s">
        <v>1180</v>
      </c>
      <c r="G1440" s="1">
        <v>0.0</v>
      </c>
      <c r="H1440" s="2">
        <v>0.18055555555555555</v>
      </c>
    </row>
    <row r="1441">
      <c r="A1441" s="1" t="s">
        <v>1132</v>
      </c>
      <c r="B1441" s="1" t="s">
        <v>903</v>
      </c>
      <c r="C1441" s="1">
        <v>40.0</v>
      </c>
      <c r="D1441" s="1" t="s">
        <v>38</v>
      </c>
      <c r="E1441" s="1" t="s">
        <v>39</v>
      </c>
      <c r="F1441" s="1" t="s">
        <v>40</v>
      </c>
      <c r="G1441" s="1">
        <v>1.0</v>
      </c>
      <c r="H1441" s="2">
        <v>0.1125</v>
      </c>
    </row>
    <row r="1442">
      <c r="A1442" s="1" t="s">
        <v>1132</v>
      </c>
      <c r="B1442" s="1" t="s">
        <v>903</v>
      </c>
      <c r="C1442" s="1">
        <v>41.0</v>
      </c>
      <c r="D1442" s="1" t="s">
        <v>1181</v>
      </c>
      <c r="E1442" s="1" t="s">
        <v>1182</v>
      </c>
      <c r="F1442" s="1" t="s">
        <v>1183</v>
      </c>
      <c r="G1442" s="1">
        <v>0.0</v>
      </c>
      <c r="H1442" s="2">
        <v>0.13958333333333334</v>
      </c>
    </row>
    <row r="1443">
      <c r="A1443" s="1" t="s">
        <v>1132</v>
      </c>
      <c r="B1443" s="1" t="s">
        <v>903</v>
      </c>
      <c r="C1443" s="1">
        <v>42.0</v>
      </c>
      <c r="D1443" s="1" t="s">
        <v>63</v>
      </c>
      <c r="E1443" s="1" t="s">
        <v>64</v>
      </c>
      <c r="F1443" s="1" t="s">
        <v>63</v>
      </c>
      <c r="G1443" s="1">
        <v>1.0</v>
      </c>
      <c r="H1443" s="2">
        <v>0.16805555555555557</v>
      </c>
    </row>
    <row r="1444">
      <c r="A1444" s="1" t="s">
        <v>1132</v>
      </c>
      <c r="B1444" s="1" t="s">
        <v>903</v>
      </c>
      <c r="C1444" s="1">
        <v>43.0</v>
      </c>
      <c r="D1444" s="1" t="s">
        <v>1184</v>
      </c>
      <c r="E1444" s="1" t="s">
        <v>1185</v>
      </c>
      <c r="F1444" s="1" t="s">
        <v>1186</v>
      </c>
      <c r="G1444" s="1">
        <v>0.0</v>
      </c>
      <c r="H1444" s="2">
        <v>0.15694444444444444</v>
      </c>
    </row>
    <row r="1445">
      <c r="A1445" s="1" t="s">
        <v>1132</v>
      </c>
      <c r="B1445" s="1" t="s">
        <v>903</v>
      </c>
      <c r="C1445" s="1">
        <v>44.0</v>
      </c>
      <c r="D1445" s="1" t="s">
        <v>1187</v>
      </c>
      <c r="E1445" s="1" t="s">
        <v>1188</v>
      </c>
      <c r="F1445" s="1" t="s">
        <v>1187</v>
      </c>
      <c r="G1445" s="1">
        <v>0.0</v>
      </c>
      <c r="H1445" s="2">
        <v>0.1840277777777778</v>
      </c>
    </row>
    <row r="1446">
      <c r="A1446" s="1" t="s">
        <v>1132</v>
      </c>
      <c r="B1446" s="1" t="s">
        <v>903</v>
      </c>
      <c r="C1446" s="1">
        <v>45.0</v>
      </c>
      <c r="D1446" s="1" t="s">
        <v>1189</v>
      </c>
      <c r="E1446" s="1" t="s">
        <v>1190</v>
      </c>
      <c r="F1446" s="1" t="s">
        <v>1191</v>
      </c>
      <c r="G1446" s="1">
        <v>0.0</v>
      </c>
      <c r="H1446" s="2">
        <v>0.16319444444444445</v>
      </c>
    </row>
    <row r="1447">
      <c r="A1447" s="1" t="s">
        <v>1132</v>
      </c>
      <c r="B1447" s="1" t="s">
        <v>903</v>
      </c>
      <c r="C1447" s="1">
        <v>46.0</v>
      </c>
      <c r="D1447" s="1" t="s">
        <v>1192</v>
      </c>
      <c r="E1447" s="1" t="s">
        <v>1193</v>
      </c>
      <c r="F1447" s="1" t="s">
        <v>1192</v>
      </c>
      <c r="G1447" s="1">
        <v>0.0</v>
      </c>
      <c r="H1447" s="2">
        <v>0.12986111111111112</v>
      </c>
    </row>
    <row r="1448">
      <c r="A1448" s="1" t="s">
        <v>1132</v>
      </c>
      <c r="B1448" s="1" t="s">
        <v>903</v>
      </c>
      <c r="C1448" s="1">
        <v>47.0</v>
      </c>
      <c r="D1448" s="1" t="s">
        <v>1194</v>
      </c>
      <c r="E1448" s="1" t="s">
        <v>1138</v>
      </c>
      <c r="F1448" s="1" t="s">
        <v>1139</v>
      </c>
      <c r="G1448" s="1">
        <v>0.0</v>
      </c>
      <c r="H1448" s="2">
        <v>0.1527777777777778</v>
      </c>
    </row>
    <row r="1449">
      <c r="A1449" s="1" t="s">
        <v>1132</v>
      </c>
      <c r="B1449" s="1" t="s">
        <v>903</v>
      </c>
      <c r="C1449" s="1">
        <v>48.0</v>
      </c>
      <c r="D1449" s="1" t="s">
        <v>1195</v>
      </c>
      <c r="E1449" s="1" t="s">
        <v>1196</v>
      </c>
      <c r="F1449" s="1" t="s">
        <v>1195</v>
      </c>
      <c r="G1449" s="1">
        <v>0.0</v>
      </c>
      <c r="H1449" s="2">
        <v>0.15</v>
      </c>
    </row>
    <row r="1450">
      <c r="A1450" s="1" t="s">
        <v>1132</v>
      </c>
      <c r="B1450" s="1" t="s">
        <v>903</v>
      </c>
      <c r="C1450" s="1">
        <v>49.0</v>
      </c>
      <c r="D1450" s="1" t="s">
        <v>1197</v>
      </c>
      <c r="E1450" s="1" t="s">
        <v>1198</v>
      </c>
      <c r="F1450" s="1" t="s">
        <v>1199</v>
      </c>
      <c r="G1450" s="1">
        <v>0.0</v>
      </c>
      <c r="H1450" s="2">
        <v>0.14166666666666666</v>
      </c>
    </row>
    <row r="1451">
      <c r="A1451" s="1" t="s">
        <v>1132</v>
      </c>
      <c r="B1451" s="1" t="s">
        <v>903</v>
      </c>
      <c r="C1451" s="1">
        <v>50.0</v>
      </c>
      <c r="D1451" s="1" t="s">
        <v>11</v>
      </c>
      <c r="E1451" s="1" t="s">
        <v>12</v>
      </c>
      <c r="F1451" s="1" t="s">
        <v>13</v>
      </c>
      <c r="G1451" s="1">
        <v>0.0</v>
      </c>
      <c r="H1451" s="2">
        <v>0.1388888888888889</v>
      </c>
    </row>
    <row r="1452">
      <c r="A1452" s="1" t="s">
        <v>1200</v>
      </c>
      <c r="B1452" s="1" t="s">
        <v>250</v>
      </c>
      <c r="C1452" s="1">
        <v>1.0</v>
      </c>
      <c r="D1452" s="1" t="s">
        <v>14</v>
      </c>
      <c r="E1452" s="1" t="s">
        <v>15</v>
      </c>
      <c r="F1452" s="1" t="s">
        <v>16</v>
      </c>
      <c r="G1452" s="1">
        <v>1.0</v>
      </c>
      <c r="H1452" s="2">
        <v>0.12569444444444444</v>
      </c>
    </row>
    <row r="1453">
      <c r="A1453" s="1" t="s">
        <v>1200</v>
      </c>
      <c r="B1453" s="1" t="s">
        <v>250</v>
      </c>
      <c r="C1453" s="1">
        <v>2.0</v>
      </c>
      <c r="D1453" s="1" t="s">
        <v>9</v>
      </c>
      <c r="E1453" s="1" t="s">
        <v>10</v>
      </c>
      <c r="F1453" s="1" t="s">
        <v>9</v>
      </c>
      <c r="G1453" s="1">
        <v>0.0</v>
      </c>
      <c r="H1453" s="2">
        <v>0.12638888888888888</v>
      </c>
    </row>
    <row r="1454">
      <c r="A1454" s="1" t="s">
        <v>1200</v>
      </c>
      <c r="B1454" s="1" t="s">
        <v>250</v>
      </c>
      <c r="C1454" s="1">
        <v>3.0</v>
      </c>
      <c r="D1454" s="1" t="s">
        <v>11</v>
      </c>
      <c r="E1454" s="1" t="s">
        <v>12</v>
      </c>
      <c r="F1454" s="1" t="s">
        <v>13</v>
      </c>
      <c r="G1454" s="1">
        <v>0.0</v>
      </c>
      <c r="H1454" s="2">
        <v>0.1388888888888889</v>
      </c>
    </row>
    <row r="1455">
      <c r="A1455" s="1" t="s">
        <v>1200</v>
      </c>
      <c r="B1455" s="1" t="s">
        <v>250</v>
      </c>
      <c r="C1455" s="1">
        <v>4.0</v>
      </c>
      <c r="D1455" s="1" t="s">
        <v>17</v>
      </c>
      <c r="E1455" s="1" t="s">
        <v>18</v>
      </c>
      <c r="F1455" s="1" t="s">
        <v>19</v>
      </c>
      <c r="G1455" s="1">
        <v>1.0</v>
      </c>
      <c r="H1455" s="2">
        <v>0.12222222222222222</v>
      </c>
    </row>
    <row r="1456">
      <c r="A1456" s="1" t="s">
        <v>1200</v>
      </c>
      <c r="B1456" s="1" t="s">
        <v>250</v>
      </c>
      <c r="C1456" s="1">
        <v>5.0</v>
      </c>
      <c r="D1456" s="1" t="s">
        <v>1025</v>
      </c>
      <c r="E1456" s="1" t="s">
        <v>1026</v>
      </c>
      <c r="F1456" s="1" t="s">
        <v>1025</v>
      </c>
      <c r="G1456" s="1">
        <v>0.0</v>
      </c>
      <c r="H1456" s="2">
        <v>0.12013888888888889</v>
      </c>
    </row>
    <row r="1457">
      <c r="A1457" s="1" t="s">
        <v>1200</v>
      </c>
      <c r="B1457" s="1" t="s">
        <v>250</v>
      </c>
      <c r="C1457" s="1">
        <v>6.0</v>
      </c>
      <c r="D1457" s="1" t="s">
        <v>20</v>
      </c>
      <c r="E1457" s="1" t="s">
        <v>21</v>
      </c>
      <c r="F1457" s="1" t="s">
        <v>22</v>
      </c>
      <c r="G1457" s="1">
        <v>1.0</v>
      </c>
      <c r="H1457" s="2">
        <v>0.17152777777777778</v>
      </c>
    </row>
    <row r="1458">
      <c r="A1458" s="1" t="s">
        <v>1200</v>
      </c>
      <c r="B1458" s="1" t="s">
        <v>250</v>
      </c>
      <c r="C1458" s="1">
        <v>7.0</v>
      </c>
      <c r="D1458" s="1" t="s">
        <v>227</v>
      </c>
      <c r="E1458" s="1" t="s">
        <v>228</v>
      </c>
      <c r="F1458" s="1" t="s">
        <v>227</v>
      </c>
      <c r="G1458" s="1">
        <v>1.0</v>
      </c>
      <c r="H1458" s="2">
        <v>0.11597222222222223</v>
      </c>
    </row>
    <row r="1459">
      <c r="A1459" s="1" t="s">
        <v>1200</v>
      </c>
      <c r="B1459" s="1" t="s">
        <v>250</v>
      </c>
      <c r="C1459" s="1">
        <v>8.0</v>
      </c>
      <c r="D1459" s="1" t="s">
        <v>38</v>
      </c>
      <c r="E1459" s="1" t="s">
        <v>39</v>
      </c>
      <c r="F1459" s="1" t="s">
        <v>40</v>
      </c>
      <c r="G1459" s="1">
        <v>1.0</v>
      </c>
      <c r="H1459" s="2">
        <v>0.1125</v>
      </c>
    </row>
    <row r="1460">
      <c r="A1460" s="1" t="s">
        <v>1200</v>
      </c>
      <c r="B1460" s="1" t="s">
        <v>250</v>
      </c>
      <c r="C1460" s="1">
        <v>9.0</v>
      </c>
      <c r="D1460" s="1" t="s">
        <v>30</v>
      </c>
      <c r="E1460" s="1" t="s">
        <v>31</v>
      </c>
      <c r="F1460" s="1" t="s">
        <v>32</v>
      </c>
      <c r="G1460" s="1">
        <v>0.0</v>
      </c>
      <c r="H1460" s="2">
        <v>0.15833333333333333</v>
      </c>
    </row>
    <row r="1461">
      <c r="A1461" s="1" t="s">
        <v>1200</v>
      </c>
      <c r="B1461" s="1" t="s">
        <v>250</v>
      </c>
      <c r="C1461" s="1">
        <v>10.0</v>
      </c>
      <c r="D1461" s="1" t="s">
        <v>46</v>
      </c>
      <c r="E1461" s="1" t="s">
        <v>28</v>
      </c>
      <c r="F1461" s="1" t="s">
        <v>29</v>
      </c>
      <c r="G1461" s="1">
        <v>0.0</v>
      </c>
      <c r="H1461" s="2">
        <v>0.15347222222222223</v>
      </c>
    </row>
    <row r="1462">
      <c r="A1462" s="1" t="s">
        <v>1200</v>
      </c>
      <c r="B1462" s="1" t="s">
        <v>250</v>
      </c>
      <c r="C1462" s="1">
        <v>11.0</v>
      </c>
      <c r="D1462" s="1" t="s">
        <v>23</v>
      </c>
      <c r="E1462" s="1" t="s">
        <v>24</v>
      </c>
      <c r="F1462" s="1" t="s">
        <v>23</v>
      </c>
      <c r="G1462" s="1">
        <v>0.0</v>
      </c>
      <c r="H1462" s="2">
        <v>0.12013888888888889</v>
      </c>
    </row>
    <row r="1463">
      <c r="A1463" s="1" t="s">
        <v>1200</v>
      </c>
      <c r="B1463" s="1" t="s">
        <v>250</v>
      </c>
      <c r="C1463" s="1">
        <v>12.0</v>
      </c>
      <c r="D1463" s="1" t="s">
        <v>25</v>
      </c>
      <c r="E1463" s="1" t="s">
        <v>26</v>
      </c>
      <c r="F1463" s="1" t="s">
        <v>25</v>
      </c>
      <c r="G1463" s="1">
        <v>1.0</v>
      </c>
      <c r="H1463" s="2">
        <v>0.11458333333333333</v>
      </c>
    </row>
    <row r="1464">
      <c r="A1464" s="1" t="s">
        <v>1200</v>
      </c>
      <c r="B1464" s="1" t="s">
        <v>250</v>
      </c>
      <c r="C1464" s="1">
        <v>13.0</v>
      </c>
      <c r="D1464" s="1" t="s">
        <v>76</v>
      </c>
      <c r="E1464" s="1" t="s">
        <v>77</v>
      </c>
      <c r="F1464" s="1" t="s">
        <v>76</v>
      </c>
      <c r="G1464" s="1">
        <v>1.0</v>
      </c>
      <c r="H1464" s="2">
        <v>0.14305555555555555</v>
      </c>
    </row>
    <row r="1465">
      <c r="A1465" s="1" t="s">
        <v>1200</v>
      </c>
      <c r="B1465" s="1" t="s">
        <v>250</v>
      </c>
      <c r="C1465" s="1">
        <v>14.0</v>
      </c>
      <c r="D1465" s="1" t="s">
        <v>1201</v>
      </c>
      <c r="E1465" s="1" t="s">
        <v>1202</v>
      </c>
      <c r="F1465" s="1" t="s">
        <v>1201</v>
      </c>
      <c r="G1465" s="1">
        <v>0.0</v>
      </c>
      <c r="H1465" s="2">
        <v>0.13194444444444445</v>
      </c>
    </row>
    <row r="1466">
      <c r="A1466" s="1" t="s">
        <v>1200</v>
      </c>
      <c r="B1466" s="1" t="s">
        <v>250</v>
      </c>
      <c r="C1466" s="1">
        <v>15.0</v>
      </c>
      <c r="D1466" s="1" t="s">
        <v>80</v>
      </c>
      <c r="E1466" s="1" t="s">
        <v>81</v>
      </c>
      <c r="F1466" s="1" t="s">
        <v>82</v>
      </c>
      <c r="G1466" s="1">
        <v>0.0</v>
      </c>
      <c r="H1466" s="2">
        <v>0.12083333333333333</v>
      </c>
    </row>
    <row r="1467">
      <c r="A1467" s="1" t="s">
        <v>1200</v>
      </c>
      <c r="B1467" s="1" t="s">
        <v>250</v>
      </c>
      <c r="C1467" s="1">
        <v>16.0</v>
      </c>
      <c r="D1467" s="1" t="s">
        <v>27</v>
      </c>
      <c r="E1467" s="1" t="s">
        <v>28</v>
      </c>
      <c r="F1467" s="1" t="s">
        <v>29</v>
      </c>
      <c r="G1467" s="1">
        <v>0.0</v>
      </c>
      <c r="H1467" s="2">
        <v>0.12708333333333333</v>
      </c>
    </row>
    <row r="1468">
      <c r="A1468" s="1" t="s">
        <v>1200</v>
      </c>
      <c r="B1468" s="1" t="s">
        <v>250</v>
      </c>
      <c r="C1468" s="1">
        <v>17.0</v>
      </c>
      <c r="D1468" s="1" t="s">
        <v>1203</v>
      </c>
      <c r="E1468" s="1" t="s">
        <v>1204</v>
      </c>
      <c r="F1468" s="1" t="s">
        <v>1203</v>
      </c>
      <c r="G1468" s="1">
        <v>1.0</v>
      </c>
      <c r="H1468" s="2">
        <v>0.12708333333333333</v>
      </c>
    </row>
    <row r="1469">
      <c r="A1469" s="1" t="s">
        <v>1200</v>
      </c>
      <c r="B1469" s="1" t="s">
        <v>250</v>
      </c>
      <c r="C1469" s="1">
        <v>18.0</v>
      </c>
      <c r="D1469" s="1" t="s">
        <v>63</v>
      </c>
      <c r="E1469" s="1" t="s">
        <v>64</v>
      </c>
      <c r="F1469" s="1" t="s">
        <v>63</v>
      </c>
      <c r="G1469" s="1">
        <v>1.0</v>
      </c>
      <c r="H1469" s="2">
        <v>0.16805555555555557</v>
      </c>
    </row>
    <row r="1470">
      <c r="A1470" s="1" t="s">
        <v>1200</v>
      </c>
      <c r="B1470" s="1" t="s">
        <v>250</v>
      </c>
      <c r="C1470" s="1">
        <v>19.0</v>
      </c>
      <c r="D1470" s="1" t="s">
        <v>47</v>
      </c>
      <c r="E1470" s="1" t="s">
        <v>48</v>
      </c>
      <c r="F1470" s="1" t="s">
        <v>49</v>
      </c>
      <c r="G1470" s="1">
        <v>1.0</v>
      </c>
      <c r="H1470" s="2">
        <v>0.15486111111111112</v>
      </c>
    </row>
    <row r="1471">
      <c r="A1471" s="1" t="s">
        <v>1200</v>
      </c>
      <c r="B1471" s="1" t="s">
        <v>250</v>
      </c>
      <c r="C1471" s="1">
        <v>20.0</v>
      </c>
      <c r="D1471" s="1" t="s">
        <v>36</v>
      </c>
      <c r="E1471" s="1" t="s">
        <v>37</v>
      </c>
      <c r="F1471" s="1" t="s">
        <v>36</v>
      </c>
      <c r="G1471" s="1">
        <v>1.0</v>
      </c>
      <c r="H1471" s="2">
        <v>0.09166666666666666</v>
      </c>
    </row>
    <row r="1472">
      <c r="A1472" s="1" t="s">
        <v>1200</v>
      </c>
      <c r="B1472" s="1" t="s">
        <v>250</v>
      </c>
      <c r="C1472" s="1">
        <v>21.0</v>
      </c>
      <c r="D1472" s="1" t="s">
        <v>33</v>
      </c>
      <c r="E1472" s="1" t="s">
        <v>34</v>
      </c>
      <c r="F1472" s="1" t="s">
        <v>35</v>
      </c>
      <c r="G1472" s="1">
        <v>0.0</v>
      </c>
      <c r="H1472" s="2">
        <v>0.1451388888888889</v>
      </c>
    </row>
    <row r="1473">
      <c r="A1473" s="1" t="s">
        <v>1200</v>
      </c>
      <c r="B1473" s="1" t="s">
        <v>250</v>
      </c>
      <c r="C1473" s="1">
        <v>22.0</v>
      </c>
      <c r="D1473" s="1" t="s">
        <v>91</v>
      </c>
      <c r="E1473" s="1" t="s">
        <v>58</v>
      </c>
      <c r="F1473" s="1" t="s">
        <v>91</v>
      </c>
      <c r="G1473" s="1">
        <v>0.0</v>
      </c>
      <c r="H1473" s="2">
        <v>0.09305555555555556</v>
      </c>
    </row>
    <row r="1474">
      <c r="A1474" s="1" t="s">
        <v>1200</v>
      </c>
      <c r="B1474" s="1" t="s">
        <v>250</v>
      </c>
      <c r="C1474" s="1">
        <v>23.0</v>
      </c>
      <c r="D1474" s="1" t="s">
        <v>68</v>
      </c>
      <c r="E1474" s="1" t="s">
        <v>69</v>
      </c>
      <c r="F1474" s="1" t="s">
        <v>70</v>
      </c>
      <c r="G1474" s="1">
        <v>0.0</v>
      </c>
      <c r="H1474" s="2">
        <v>0.12638888888888888</v>
      </c>
    </row>
    <row r="1475">
      <c r="A1475" s="1" t="s">
        <v>1200</v>
      </c>
      <c r="B1475" s="1" t="s">
        <v>250</v>
      </c>
      <c r="C1475" s="1">
        <v>24.0</v>
      </c>
      <c r="D1475" s="1" t="s">
        <v>111</v>
      </c>
      <c r="E1475" s="1" t="s">
        <v>69</v>
      </c>
      <c r="F1475" s="1" t="s">
        <v>112</v>
      </c>
      <c r="G1475" s="1">
        <v>0.0</v>
      </c>
      <c r="H1475" s="2">
        <v>0.14930555555555555</v>
      </c>
    </row>
    <row r="1476">
      <c r="A1476" s="1" t="s">
        <v>1200</v>
      </c>
      <c r="B1476" s="1" t="s">
        <v>250</v>
      </c>
      <c r="C1476" s="1">
        <v>25.0</v>
      </c>
      <c r="D1476" s="1" t="s">
        <v>41</v>
      </c>
      <c r="E1476" s="1" t="s">
        <v>42</v>
      </c>
      <c r="F1476" s="1" t="s">
        <v>43</v>
      </c>
      <c r="G1476" s="1">
        <v>1.0</v>
      </c>
      <c r="H1476" s="2">
        <v>0.1361111111111111</v>
      </c>
    </row>
    <row r="1477">
      <c r="A1477" s="1" t="s">
        <v>1200</v>
      </c>
      <c r="B1477" s="1" t="s">
        <v>250</v>
      </c>
      <c r="C1477" s="1">
        <v>26.0</v>
      </c>
      <c r="D1477" s="1" t="s">
        <v>105</v>
      </c>
      <c r="E1477" s="1" t="s">
        <v>106</v>
      </c>
      <c r="F1477" s="1" t="s">
        <v>105</v>
      </c>
      <c r="G1477" s="1">
        <v>0.0</v>
      </c>
      <c r="H1477" s="2">
        <v>0.11527777777777778</v>
      </c>
    </row>
    <row r="1478">
      <c r="A1478" s="1" t="s">
        <v>1200</v>
      </c>
      <c r="B1478" s="1" t="s">
        <v>250</v>
      </c>
      <c r="C1478" s="1">
        <v>27.0</v>
      </c>
      <c r="D1478" s="1" t="s">
        <v>1205</v>
      </c>
      <c r="E1478" s="1" t="s">
        <v>1206</v>
      </c>
      <c r="F1478" s="1" t="s">
        <v>1205</v>
      </c>
      <c r="G1478" s="1">
        <v>0.0</v>
      </c>
      <c r="H1478" s="2">
        <v>0.13680555555555557</v>
      </c>
    </row>
    <row r="1479">
      <c r="A1479" s="1" t="s">
        <v>1200</v>
      </c>
      <c r="B1479" s="1" t="s">
        <v>250</v>
      </c>
      <c r="C1479" s="1">
        <v>28.0</v>
      </c>
      <c r="D1479" s="1" t="s">
        <v>1207</v>
      </c>
      <c r="E1479" s="1" t="s">
        <v>1208</v>
      </c>
      <c r="F1479" s="1" t="s">
        <v>1209</v>
      </c>
      <c r="G1479" s="1">
        <v>1.0</v>
      </c>
      <c r="H1479" s="2">
        <v>0.11666666666666667</v>
      </c>
    </row>
    <row r="1480">
      <c r="A1480" s="1" t="s">
        <v>1200</v>
      </c>
      <c r="B1480" s="1" t="s">
        <v>250</v>
      </c>
      <c r="C1480" s="1">
        <v>29.0</v>
      </c>
      <c r="D1480" s="1" t="s">
        <v>78</v>
      </c>
      <c r="E1480" s="1" t="s">
        <v>79</v>
      </c>
      <c r="F1480" s="1" t="s">
        <v>78</v>
      </c>
      <c r="G1480" s="1">
        <v>0.0</v>
      </c>
      <c r="H1480" s="2">
        <v>0.10208333333333333</v>
      </c>
    </row>
    <row r="1481">
      <c r="A1481" s="1" t="s">
        <v>1200</v>
      </c>
      <c r="B1481" s="1" t="s">
        <v>250</v>
      </c>
      <c r="C1481" s="1">
        <v>30.0</v>
      </c>
      <c r="D1481" s="1" t="s">
        <v>107</v>
      </c>
      <c r="E1481" s="1" t="s">
        <v>81</v>
      </c>
      <c r="F1481" s="1" t="s">
        <v>82</v>
      </c>
      <c r="G1481" s="1">
        <v>0.0</v>
      </c>
      <c r="H1481" s="2">
        <v>0.14375</v>
      </c>
    </row>
    <row r="1482">
      <c r="A1482" s="1" t="s">
        <v>1200</v>
      </c>
      <c r="B1482" s="1" t="s">
        <v>250</v>
      </c>
      <c r="C1482" s="1">
        <v>31.0</v>
      </c>
      <c r="D1482" s="1" t="s">
        <v>304</v>
      </c>
      <c r="E1482" s="1" t="s">
        <v>28</v>
      </c>
      <c r="F1482" s="1" t="s">
        <v>29</v>
      </c>
      <c r="G1482" s="1">
        <v>0.0</v>
      </c>
      <c r="H1482" s="2">
        <v>0.13402777777777777</v>
      </c>
    </row>
    <row r="1483">
      <c r="A1483" s="1" t="s">
        <v>1200</v>
      </c>
      <c r="B1483" s="1" t="s">
        <v>250</v>
      </c>
      <c r="C1483" s="1">
        <v>32.0</v>
      </c>
      <c r="D1483" s="1" t="s">
        <v>57</v>
      </c>
      <c r="E1483" s="1" t="s">
        <v>58</v>
      </c>
      <c r="F1483" s="1" t="s">
        <v>59</v>
      </c>
      <c r="G1483" s="1">
        <v>1.0</v>
      </c>
      <c r="H1483" s="2">
        <v>0.16458333333333333</v>
      </c>
    </row>
    <row r="1484">
      <c r="A1484" s="1" t="s">
        <v>1200</v>
      </c>
      <c r="B1484" s="1" t="s">
        <v>250</v>
      </c>
      <c r="C1484" s="1">
        <v>33.0</v>
      </c>
      <c r="D1484" s="1" t="s">
        <v>44</v>
      </c>
      <c r="E1484" s="1" t="s">
        <v>45</v>
      </c>
      <c r="F1484" s="1" t="s">
        <v>44</v>
      </c>
      <c r="G1484" s="1">
        <v>0.0</v>
      </c>
      <c r="H1484" s="2">
        <v>0.12222222222222222</v>
      </c>
    </row>
    <row r="1485">
      <c r="A1485" s="1" t="s">
        <v>1200</v>
      </c>
      <c r="B1485" s="1" t="s">
        <v>250</v>
      </c>
      <c r="C1485" s="1">
        <v>34.0</v>
      </c>
      <c r="D1485" s="1" t="s">
        <v>1210</v>
      </c>
      <c r="E1485" s="1" t="s">
        <v>1211</v>
      </c>
      <c r="F1485" s="1" t="s">
        <v>1210</v>
      </c>
      <c r="G1485" s="1">
        <v>1.0</v>
      </c>
      <c r="H1485" s="2">
        <v>0.1375</v>
      </c>
    </row>
    <row r="1486">
      <c r="A1486" s="1" t="s">
        <v>1200</v>
      </c>
      <c r="B1486" s="1" t="s">
        <v>250</v>
      </c>
      <c r="C1486" s="1">
        <v>35.0</v>
      </c>
      <c r="D1486" s="1" t="s">
        <v>50</v>
      </c>
      <c r="E1486" s="1" t="s">
        <v>51</v>
      </c>
      <c r="F1486" s="1" t="s">
        <v>52</v>
      </c>
      <c r="G1486" s="1">
        <v>0.0</v>
      </c>
      <c r="H1486" s="2">
        <v>0.14722222222222223</v>
      </c>
    </row>
    <row r="1487">
      <c r="A1487" s="1" t="s">
        <v>1200</v>
      </c>
      <c r="B1487" s="1" t="s">
        <v>250</v>
      </c>
      <c r="C1487" s="1">
        <v>36.0</v>
      </c>
      <c r="D1487" s="1" t="s">
        <v>224</v>
      </c>
      <c r="E1487" s="1" t="s">
        <v>225</v>
      </c>
      <c r="F1487" s="1" t="s">
        <v>226</v>
      </c>
      <c r="G1487" s="1">
        <v>0.0</v>
      </c>
      <c r="H1487" s="2">
        <v>0.14444444444444443</v>
      </c>
    </row>
    <row r="1488">
      <c r="A1488" s="1" t="s">
        <v>1200</v>
      </c>
      <c r="B1488" s="1" t="s">
        <v>250</v>
      </c>
      <c r="C1488" s="1">
        <v>37.0</v>
      </c>
      <c r="D1488" s="1" t="s">
        <v>115</v>
      </c>
      <c r="E1488" s="1" t="s">
        <v>116</v>
      </c>
      <c r="F1488" s="1" t="s">
        <v>117</v>
      </c>
      <c r="G1488" s="1">
        <v>1.0</v>
      </c>
      <c r="H1488" s="2">
        <v>0.11597222222222223</v>
      </c>
    </row>
    <row r="1489">
      <c r="A1489" s="1" t="s">
        <v>1200</v>
      </c>
      <c r="B1489" s="1" t="s">
        <v>250</v>
      </c>
      <c r="C1489" s="1">
        <v>38.0</v>
      </c>
      <c r="D1489" s="1" t="s">
        <v>73</v>
      </c>
      <c r="E1489" s="1" t="s">
        <v>74</v>
      </c>
      <c r="F1489" s="1" t="s">
        <v>75</v>
      </c>
      <c r="G1489" s="1">
        <v>0.0</v>
      </c>
      <c r="H1489" s="2">
        <v>0.14930555555555555</v>
      </c>
    </row>
    <row r="1490">
      <c r="A1490" s="1" t="s">
        <v>1200</v>
      </c>
      <c r="B1490" s="1" t="s">
        <v>250</v>
      </c>
      <c r="C1490" s="1">
        <v>39.0</v>
      </c>
      <c r="D1490" s="1" t="s">
        <v>1212</v>
      </c>
      <c r="E1490" s="1" t="s">
        <v>1213</v>
      </c>
      <c r="F1490" s="1" t="s">
        <v>1212</v>
      </c>
      <c r="G1490" s="1">
        <v>0.0</v>
      </c>
      <c r="H1490" s="2">
        <v>0.11944444444444445</v>
      </c>
    </row>
    <row r="1491">
      <c r="A1491" s="1" t="s">
        <v>1200</v>
      </c>
      <c r="B1491" s="1" t="s">
        <v>250</v>
      </c>
      <c r="C1491" s="1">
        <v>40.0</v>
      </c>
      <c r="D1491" s="1" t="s">
        <v>60</v>
      </c>
      <c r="E1491" s="1" t="s">
        <v>81</v>
      </c>
      <c r="F1491" s="1" t="s">
        <v>82</v>
      </c>
      <c r="G1491" s="1">
        <v>0.0</v>
      </c>
      <c r="H1491" s="2">
        <v>0.16666666666666666</v>
      </c>
    </row>
    <row r="1492">
      <c r="A1492" s="1" t="s">
        <v>1200</v>
      </c>
      <c r="B1492" s="1" t="s">
        <v>250</v>
      </c>
      <c r="C1492" s="1">
        <v>41.0</v>
      </c>
      <c r="D1492" s="1" t="s">
        <v>1214</v>
      </c>
      <c r="E1492" s="1" t="s">
        <v>1215</v>
      </c>
      <c r="F1492" s="1" t="s">
        <v>1214</v>
      </c>
      <c r="G1492" s="1">
        <v>0.0</v>
      </c>
      <c r="H1492" s="2">
        <v>0.1388888888888889</v>
      </c>
    </row>
    <row r="1493">
      <c r="A1493" s="1" t="s">
        <v>1200</v>
      </c>
      <c r="B1493" s="1" t="s">
        <v>250</v>
      </c>
      <c r="C1493" s="1">
        <v>42.0</v>
      </c>
      <c r="D1493" s="1" t="s">
        <v>1216</v>
      </c>
      <c r="E1493" s="1" t="s">
        <v>1217</v>
      </c>
      <c r="F1493" s="1" t="s">
        <v>1218</v>
      </c>
      <c r="G1493" s="1">
        <v>1.0</v>
      </c>
      <c r="H1493" s="2">
        <v>0.14583333333333334</v>
      </c>
    </row>
    <row r="1494">
      <c r="A1494" s="1" t="s">
        <v>1200</v>
      </c>
      <c r="B1494" s="1" t="s">
        <v>250</v>
      </c>
      <c r="C1494" s="1">
        <v>43.0</v>
      </c>
      <c r="D1494" s="1" t="s">
        <v>88</v>
      </c>
      <c r="E1494" s="1" t="s">
        <v>89</v>
      </c>
      <c r="F1494" s="1" t="s">
        <v>90</v>
      </c>
      <c r="G1494" s="1">
        <v>1.0</v>
      </c>
      <c r="H1494" s="2">
        <v>0.09652777777777778</v>
      </c>
    </row>
    <row r="1495">
      <c r="A1495" s="1" t="s">
        <v>1200</v>
      </c>
      <c r="B1495" s="1" t="s">
        <v>250</v>
      </c>
      <c r="C1495" s="1">
        <v>44.0</v>
      </c>
      <c r="D1495" s="1" t="s">
        <v>1219</v>
      </c>
      <c r="E1495" s="1" t="s">
        <v>1220</v>
      </c>
      <c r="F1495" s="1" t="s">
        <v>1221</v>
      </c>
      <c r="G1495" s="1">
        <v>0.0</v>
      </c>
      <c r="H1495" s="2">
        <v>0.1701388888888889</v>
      </c>
    </row>
    <row r="1496">
      <c r="A1496" s="1" t="s">
        <v>1200</v>
      </c>
      <c r="B1496" s="1" t="s">
        <v>250</v>
      </c>
      <c r="C1496" s="1">
        <v>45.0</v>
      </c>
      <c r="D1496" s="1" t="s">
        <v>1222</v>
      </c>
      <c r="E1496" s="1" t="s">
        <v>1223</v>
      </c>
      <c r="F1496" s="1" t="s">
        <v>1224</v>
      </c>
      <c r="G1496" s="1">
        <v>0.0</v>
      </c>
      <c r="H1496" s="2">
        <v>0.12222222222222222</v>
      </c>
    </row>
    <row r="1497">
      <c r="A1497" s="1" t="s">
        <v>1200</v>
      </c>
      <c r="B1497" s="1" t="s">
        <v>250</v>
      </c>
      <c r="C1497" s="1">
        <v>46.0</v>
      </c>
      <c r="D1497" s="1" t="s">
        <v>1225</v>
      </c>
      <c r="E1497" s="1" t="s">
        <v>1226</v>
      </c>
      <c r="F1497" s="1" t="s">
        <v>1227</v>
      </c>
      <c r="G1497" s="1">
        <v>0.0</v>
      </c>
      <c r="H1497" s="2">
        <v>0.15625</v>
      </c>
    </row>
    <row r="1498">
      <c r="A1498" s="1" t="s">
        <v>1200</v>
      </c>
      <c r="B1498" s="1" t="s">
        <v>250</v>
      </c>
      <c r="C1498" s="1">
        <v>47.0</v>
      </c>
      <c r="D1498" s="1" t="s">
        <v>101</v>
      </c>
      <c r="E1498" s="1" t="s">
        <v>102</v>
      </c>
      <c r="F1498" s="1" t="s">
        <v>103</v>
      </c>
      <c r="G1498" s="1">
        <v>1.0</v>
      </c>
      <c r="H1498" s="2">
        <v>0.16458333333333333</v>
      </c>
    </row>
    <row r="1499">
      <c r="A1499" s="1" t="s">
        <v>1200</v>
      </c>
      <c r="B1499" s="1" t="s">
        <v>250</v>
      </c>
      <c r="C1499" s="1">
        <v>48.0</v>
      </c>
      <c r="D1499" s="1" t="s">
        <v>1228</v>
      </c>
      <c r="E1499" s="1" t="s">
        <v>1229</v>
      </c>
      <c r="F1499" s="1" t="s">
        <v>1209</v>
      </c>
      <c r="G1499" s="1">
        <v>1.0</v>
      </c>
      <c r="H1499" s="2">
        <v>0.1326388888888889</v>
      </c>
    </row>
    <row r="1500">
      <c r="A1500" s="1" t="s">
        <v>1200</v>
      </c>
      <c r="B1500" s="1" t="s">
        <v>250</v>
      </c>
      <c r="C1500" s="1">
        <v>49.0</v>
      </c>
      <c r="D1500" s="1" t="s">
        <v>83</v>
      </c>
      <c r="E1500" s="1" t="s">
        <v>84</v>
      </c>
      <c r="F1500" s="1" t="s">
        <v>85</v>
      </c>
      <c r="G1500" s="1">
        <v>1.0</v>
      </c>
      <c r="H1500" s="2">
        <v>0.16875</v>
      </c>
    </row>
    <row r="1501">
      <c r="A1501" s="1" t="s">
        <v>1200</v>
      </c>
      <c r="B1501" s="1" t="s">
        <v>250</v>
      </c>
      <c r="C1501" s="1">
        <v>50.0</v>
      </c>
      <c r="D1501" s="1" t="s">
        <v>1230</v>
      </c>
      <c r="E1501" s="1" t="s">
        <v>1231</v>
      </c>
      <c r="F1501" s="1" t="s">
        <v>1209</v>
      </c>
      <c r="G1501" s="1">
        <v>1.0</v>
      </c>
      <c r="H1501" s="2">
        <v>0.10486111111111111</v>
      </c>
    </row>
    <row r="1502">
      <c r="A1502" s="1" t="s">
        <v>1232</v>
      </c>
      <c r="B1502" s="1" t="s">
        <v>903</v>
      </c>
      <c r="C1502" s="1">
        <v>1.0</v>
      </c>
      <c r="D1502" s="1" t="s">
        <v>11</v>
      </c>
      <c r="E1502" s="1" t="s">
        <v>12</v>
      </c>
      <c r="F1502" s="1" t="s">
        <v>13</v>
      </c>
      <c r="G1502" s="1">
        <v>0.0</v>
      </c>
      <c r="H1502" s="2">
        <v>0.1388888888888889</v>
      </c>
    </row>
    <row r="1503">
      <c r="A1503" s="1" t="s">
        <v>1232</v>
      </c>
      <c r="B1503" s="1" t="s">
        <v>903</v>
      </c>
      <c r="C1503" s="1">
        <v>2.0</v>
      </c>
      <c r="D1503" s="1" t="s">
        <v>20</v>
      </c>
      <c r="E1503" s="1" t="s">
        <v>21</v>
      </c>
      <c r="F1503" s="1" t="s">
        <v>22</v>
      </c>
      <c r="G1503" s="1">
        <v>1.0</v>
      </c>
      <c r="H1503" s="2">
        <v>0.17152777777777778</v>
      </c>
    </row>
    <row r="1504">
      <c r="A1504" s="1" t="s">
        <v>1232</v>
      </c>
      <c r="B1504" s="1" t="s">
        <v>903</v>
      </c>
      <c r="C1504" s="1">
        <v>3.0</v>
      </c>
      <c r="D1504" s="1" t="s">
        <v>33</v>
      </c>
      <c r="E1504" s="1" t="s">
        <v>34</v>
      </c>
      <c r="F1504" s="1" t="s">
        <v>35</v>
      </c>
      <c r="G1504" s="1">
        <v>0.0</v>
      </c>
      <c r="H1504" s="2">
        <v>0.1451388888888889</v>
      </c>
    </row>
    <row r="1505">
      <c r="A1505" s="1" t="s">
        <v>1232</v>
      </c>
      <c r="B1505" s="1" t="s">
        <v>903</v>
      </c>
      <c r="C1505" s="1">
        <v>4.0</v>
      </c>
      <c r="D1505" s="1" t="s">
        <v>25</v>
      </c>
      <c r="E1505" s="1" t="s">
        <v>26</v>
      </c>
      <c r="F1505" s="1" t="s">
        <v>25</v>
      </c>
      <c r="G1505" s="1">
        <v>1.0</v>
      </c>
      <c r="H1505" s="2">
        <v>0.11458333333333333</v>
      </c>
    </row>
    <row r="1506">
      <c r="A1506" s="1" t="s">
        <v>1232</v>
      </c>
      <c r="B1506" s="1" t="s">
        <v>903</v>
      </c>
      <c r="C1506" s="1">
        <v>5.0</v>
      </c>
      <c r="D1506" s="1" t="s">
        <v>17</v>
      </c>
      <c r="E1506" s="1" t="s">
        <v>18</v>
      </c>
      <c r="F1506" s="1" t="s">
        <v>19</v>
      </c>
      <c r="G1506" s="1">
        <v>1.0</v>
      </c>
      <c r="H1506" s="2">
        <v>0.12222222222222222</v>
      </c>
    </row>
    <row r="1507">
      <c r="A1507" s="1" t="s">
        <v>1232</v>
      </c>
      <c r="B1507" s="1" t="s">
        <v>903</v>
      </c>
      <c r="C1507" s="1">
        <v>6.0</v>
      </c>
      <c r="D1507" s="4" t="s">
        <v>1233</v>
      </c>
      <c r="E1507" s="1" t="s">
        <v>1234</v>
      </c>
      <c r="F1507" s="4" t="s">
        <v>1233</v>
      </c>
      <c r="G1507" s="1">
        <v>0.0</v>
      </c>
      <c r="H1507" s="2">
        <v>0.09166666666666666</v>
      </c>
    </row>
    <row r="1508">
      <c r="A1508" s="1" t="s">
        <v>1232</v>
      </c>
      <c r="B1508" s="1" t="s">
        <v>903</v>
      </c>
      <c r="C1508" s="1">
        <v>7.0</v>
      </c>
      <c r="D1508" s="1" t="s">
        <v>9</v>
      </c>
      <c r="E1508" s="1" t="s">
        <v>10</v>
      </c>
      <c r="F1508" s="1" t="s">
        <v>9</v>
      </c>
      <c r="G1508" s="1">
        <v>0.0</v>
      </c>
      <c r="H1508" s="2">
        <v>0.12638888888888888</v>
      </c>
    </row>
    <row r="1509">
      <c r="A1509" s="1" t="s">
        <v>1232</v>
      </c>
      <c r="B1509" s="1" t="s">
        <v>903</v>
      </c>
      <c r="C1509" s="1">
        <v>8.0</v>
      </c>
      <c r="D1509" s="1" t="s">
        <v>14</v>
      </c>
      <c r="E1509" s="1" t="s">
        <v>15</v>
      </c>
      <c r="F1509" s="1" t="s">
        <v>16</v>
      </c>
      <c r="G1509" s="1">
        <v>1.0</v>
      </c>
      <c r="H1509" s="2">
        <v>0.12569444444444444</v>
      </c>
    </row>
    <row r="1510">
      <c r="A1510" s="1" t="s">
        <v>1232</v>
      </c>
      <c r="B1510" s="1" t="s">
        <v>903</v>
      </c>
      <c r="C1510" s="1">
        <v>9.0</v>
      </c>
      <c r="D1510" s="1" t="s">
        <v>27</v>
      </c>
      <c r="E1510" s="1" t="s">
        <v>28</v>
      </c>
      <c r="F1510" s="1" t="s">
        <v>29</v>
      </c>
      <c r="G1510" s="1">
        <v>0.0</v>
      </c>
      <c r="H1510" s="2">
        <v>0.12708333333333333</v>
      </c>
    </row>
    <row r="1511">
      <c r="A1511" s="1" t="s">
        <v>1232</v>
      </c>
      <c r="B1511" s="1" t="s">
        <v>903</v>
      </c>
      <c r="C1511" s="1">
        <v>10.0</v>
      </c>
      <c r="D1511" s="4" t="s">
        <v>1235</v>
      </c>
      <c r="E1511" s="1" t="s">
        <v>1236</v>
      </c>
      <c r="F1511" s="4" t="s">
        <v>1235</v>
      </c>
      <c r="G1511" s="1">
        <v>0.0</v>
      </c>
      <c r="H1511" s="2">
        <v>0.11736111111111111</v>
      </c>
    </row>
    <row r="1512">
      <c r="A1512" s="1" t="s">
        <v>1232</v>
      </c>
      <c r="B1512" s="1" t="s">
        <v>903</v>
      </c>
      <c r="C1512" s="1">
        <v>11.0</v>
      </c>
      <c r="D1512" s="4" t="s">
        <v>1237</v>
      </c>
      <c r="E1512" s="1" t="s">
        <v>1238</v>
      </c>
      <c r="F1512" s="4" t="s">
        <v>1237</v>
      </c>
      <c r="G1512" s="1">
        <v>0.0</v>
      </c>
      <c r="H1512" s="2">
        <v>0.14375</v>
      </c>
    </row>
    <row r="1513">
      <c r="A1513" s="1" t="s">
        <v>1232</v>
      </c>
      <c r="B1513" s="1" t="s">
        <v>903</v>
      </c>
      <c r="C1513" s="1">
        <v>12.0</v>
      </c>
      <c r="D1513" s="4" t="s">
        <v>1239</v>
      </c>
      <c r="E1513" s="1" t="s">
        <v>1240</v>
      </c>
      <c r="F1513" s="4" t="s">
        <v>1239</v>
      </c>
      <c r="G1513" s="1">
        <v>0.0</v>
      </c>
      <c r="H1513" s="2">
        <v>0.14930555555555555</v>
      </c>
    </row>
    <row r="1514">
      <c r="A1514" s="1" t="s">
        <v>1232</v>
      </c>
      <c r="B1514" s="1" t="s">
        <v>903</v>
      </c>
      <c r="C1514" s="1">
        <v>13.0</v>
      </c>
      <c r="D1514" s="4" t="s">
        <v>1241</v>
      </c>
      <c r="E1514" s="1" t="s">
        <v>1240</v>
      </c>
      <c r="F1514" s="4" t="s">
        <v>1241</v>
      </c>
      <c r="G1514" s="1">
        <v>0.0</v>
      </c>
      <c r="H1514" s="2">
        <v>0.12222222222222222</v>
      </c>
    </row>
    <row r="1515">
      <c r="A1515" s="1" t="s">
        <v>1232</v>
      </c>
      <c r="B1515" s="1" t="s">
        <v>903</v>
      </c>
      <c r="C1515" s="1">
        <v>14.0</v>
      </c>
      <c r="D1515" s="1" t="s">
        <v>41</v>
      </c>
      <c r="E1515" s="1" t="s">
        <v>42</v>
      </c>
      <c r="F1515" s="1" t="s">
        <v>43</v>
      </c>
      <c r="G1515" s="1">
        <v>1.0</v>
      </c>
      <c r="H1515" s="2">
        <v>0.1361111111111111</v>
      </c>
    </row>
    <row r="1516">
      <c r="A1516" s="1" t="s">
        <v>1232</v>
      </c>
      <c r="B1516" s="1" t="s">
        <v>903</v>
      </c>
      <c r="C1516" s="1">
        <v>15.0</v>
      </c>
      <c r="D1516" s="4" t="s">
        <v>1242</v>
      </c>
      <c r="E1516" s="1" t="s">
        <v>1243</v>
      </c>
      <c r="F1516" s="4" t="s">
        <v>1242</v>
      </c>
      <c r="G1516" s="1">
        <v>0.0</v>
      </c>
      <c r="H1516" s="2">
        <v>0.14097222222222222</v>
      </c>
    </row>
    <row r="1517">
      <c r="A1517" s="1" t="s">
        <v>1232</v>
      </c>
      <c r="B1517" s="1" t="s">
        <v>903</v>
      </c>
      <c r="C1517" s="1">
        <v>16.0</v>
      </c>
      <c r="D1517" s="1" t="s">
        <v>30</v>
      </c>
      <c r="E1517" s="1" t="s">
        <v>31</v>
      </c>
      <c r="F1517" s="1" t="s">
        <v>32</v>
      </c>
      <c r="G1517" s="1">
        <v>0.0</v>
      </c>
      <c r="H1517" s="2">
        <v>0.15833333333333333</v>
      </c>
    </row>
    <row r="1518">
      <c r="A1518" s="1" t="s">
        <v>1232</v>
      </c>
      <c r="B1518" s="1" t="s">
        <v>903</v>
      </c>
      <c r="C1518" s="1">
        <v>17.0</v>
      </c>
      <c r="D1518" s="4" t="s">
        <v>1244</v>
      </c>
      <c r="E1518" s="1" t="s">
        <v>1245</v>
      </c>
      <c r="F1518" s="4" t="s">
        <v>1246</v>
      </c>
      <c r="G1518" s="1">
        <v>0.0</v>
      </c>
      <c r="H1518" s="2">
        <v>0.14375</v>
      </c>
    </row>
    <row r="1519">
      <c r="A1519" s="1" t="s">
        <v>1232</v>
      </c>
      <c r="B1519" s="1" t="s">
        <v>903</v>
      </c>
      <c r="C1519" s="1">
        <v>18.0</v>
      </c>
      <c r="D1519" s="1" t="s">
        <v>46</v>
      </c>
      <c r="E1519" s="1" t="s">
        <v>28</v>
      </c>
      <c r="F1519" s="1" t="s">
        <v>29</v>
      </c>
      <c r="G1519" s="1">
        <v>0.0</v>
      </c>
      <c r="H1519" s="2">
        <v>0.15347222222222223</v>
      </c>
    </row>
    <row r="1520">
      <c r="A1520" s="1" t="s">
        <v>1232</v>
      </c>
      <c r="B1520" s="1" t="s">
        <v>903</v>
      </c>
      <c r="C1520" s="1">
        <v>19.0</v>
      </c>
      <c r="D1520" s="1" t="s">
        <v>23</v>
      </c>
      <c r="E1520" s="1" t="s">
        <v>24</v>
      </c>
      <c r="F1520" s="1" t="s">
        <v>23</v>
      </c>
      <c r="G1520" s="1">
        <v>0.0</v>
      </c>
      <c r="H1520" s="2">
        <v>0.12013888888888889</v>
      </c>
    </row>
    <row r="1521">
      <c r="A1521" s="1" t="s">
        <v>1232</v>
      </c>
      <c r="B1521" s="1" t="s">
        <v>903</v>
      </c>
      <c r="C1521" s="1">
        <v>20.0</v>
      </c>
      <c r="D1521" s="1" t="s">
        <v>38</v>
      </c>
      <c r="E1521" s="1" t="s">
        <v>39</v>
      </c>
      <c r="F1521" s="1" t="s">
        <v>40</v>
      </c>
      <c r="G1521" s="1">
        <v>1.0</v>
      </c>
      <c r="H1521" s="2">
        <v>0.1125</v>
      </c>
    </row>
    <row r="1522">
      <c r="A1522" s="1" t="s">
        <v>1232</v>
      </c>
      <c r="B1522" s="1" t="s">
        <v>903</v>
      </c>
      <c r="C1522" s="1">
        <v>21.0</v>
      </c>
      <c r="D1522" s="1" t="s">
        <v>121</v>
      </c>
      <c r="E1522" s="1" t="s">
        <v>122</v>
      </c>
      <c r="F1522" s="1" t="s">
        <v>123</v>
      </c>
      <c r="G1522" s="1">
        <v>0.0</v>
      </c>
      <c r="H1522" s="2">
        <v>0.13194444444444445</v>
      </c>
    </row>
    <row r="1523">
      <c r="A1523" s="1" t="s">
        <v>1232</v>
      </c>
      <c r="B1523" s="1" t="s">
        <v>903</v>
      </c>
      <c r="C1523" s="1">
        <v>22.0</v>
      </c>
      <c r="D1523" s="4" t="s">
        <v>1247</v>
      </c>
      <c r="E1523" s="1" t="s">
        <v>1248</v>
      </c>
      <c r="F1523" s="4" t="s">
        <v>1249</v>
      </c>
      <c r="G1523" s="1">
        <v>0.0</v>
      </c>
      <c r="H1523" s="2">
        <v>0.13680555555555557</v>
      </c>
    </row>
    <row r="1524">
      <c r="A1524" s="1" t="s">
        <v>1232</v>
      </c>
      <c r="B1524" s="1" t="s">
        <v>903</v>
      </c>
      <c r="C1524" s="1">
        <v>23.0</v>
      </c>
      <c r="D1524" s="1" t="s">
        <v>101</v>
      </c>
      <c r="E1524" s="1" t="s">
        <v>102</v>
      </c>
      <c r="F1524" s="1" t="s">
        <v>103</v>
      </c>
      <c r="G1524" s="1">
        <v>1.0</v>
      </c>
      <c r="H1524" s="2">
        <v>0.16458333333333333</v>
      </c>
    </row>
    <row r="1525">
      <c r="A1525" s="1" t="s">
        <v>1232</v>
      </c>
      <c r="B1525" s="1" t="s">
        <v>903</v>
      </c>
      <c r="C1525" s="1">
        <v>24.0</v>
      </c>
      <c r="D1525" s="1" t="s">
        <v>60</v>
      </c>
      <c r="E1525" s="1" t="s">
        <v>61</v>
      </c>
      <c r="F1525" s="1" t="s">
        <v>62</v>
      </c>
      <c r="G1525" s="1">
        <v>0.0</v>
      </c>
      <c r="H1525" s="2">
        <v>0.11041666666666666</v>
      </c>
    </row>
    <row r="1526">
      <c r="A1526" s="1" t="s">
        <v>1232</v>
      </c>
      <c r="B1526" s="1" t="s">
        <v>903</v>
      </c>
      <c r="C1526" s="1">
        <v>25.0</v>
      </c>
      <c r="D1526" s="1" t="s">
        <v>36</v>
      </c>
      <c r="E1526" s="1" t="s">
        <v>37</v>
      </c>
      <c r="F1526" s="1" t="s">
        <v>36</v>
      </c>
      <c r="G1526" s="1">
        <v>1.0</v>
      </c>
      <c r="H1526" s="2">
        <v>0.09166666666666666</v>
      </c>
    </row>
    <row r="1527">
      <c r="A1527" s="1" t="s">
        <v>1232</v>
      </c>
      <c r="B1527" s="1" t="s">
        <v>903</v>
      </c>
      <c r="C1527" s="1">
        <v>26.0</v>
      </c>
      <c r="D1527" s="1" t="s">
        <v>53</v>
      </c>
      <c r="E1527" s="1" t="s">
        <v>12</v>
      </c>
      <c r="F1527" s="1" t="s">
        <v>13</v>
      </c>
      <c r="G1527" s="1">
        <v>1.0</v>
      </c>
      <c r="H1527" s="2">
        <v>0.16458333333333333</v>
      </c>
    </row>
    <row r="1528">
      <c r="A1528" s="1" t="s">
        <v>1232</v>
      </c>
      <c r="B1528" s="1" t="s">
        <v>903</v>
      </c>
      <c r="C1528" s="1">
        <v>27.0</v>
      </c>
      <c r="D1528" s="1" t="s">
        <v>83</v>
      </c>
      <c r="E1528" s="1" t="s">
        <v>84</v>
      </c>
      <c r="F1528" s="1" t="s">
        <v>85</v>
      </c>
      <c r="G1528" s="1">
        <v>1.0</v>
      </c>
      <c r="H1528" s="2">
        <v>0.16875</v>
      </c>
    </row>
    <row r="1529">
      <c r="A1529" s="1" t="s">
        <v>1232</v>
      </c>
      <c r="B1529" s="1" t="s">
        <v>903</v>
      </c>
      <c r="C1529" s="1">
        <v>28.0</v>
      </c>
      <c r="D1529" s="1" t="s">
        <v>94</v>
      </c>
      <c r="E1529" s="1" t="s">
        <v>84</v>
      </c>
      <c r="F1529" s="1" t="s">
        <v>95</v>
      </c>
      <c r="G1529" s="1">
        <v>1.0</v>
      </c>
      <c r="H1529" s="2">
        <v>0.21666666666666667</v>
      </c>
    </row>
    <row r="1530">
      <c r="A1530" s="1" t="s">
        <v>1232</v>
      </c>
      <c r="B1530" s="1" t="s">
        <v>903</v>
      </c>
      <c r="C1530" s="1">
        <v>29.0</v>
      </c>
      <c r="D1530" s="1" t="s">
        <v>118</v>
      </c>
      <c r="E1530" s="1" t="s">
        <v>119</v>
      </c>
      <c r="F1530" s="1" t="s">
        <v>120</v>
      </c>
      <c r="G1530" s="1">
        <v>0.0</v>
      </c>
      <c r="H1530" s="2">
        <v>0.13472222222222222</v>
      </c>
    </row>
    <row r="1531">
      <c r="A1531" s="1" t="s">
        <v>1232</v>
      </c>
      <c r="B1531" s="1" t="s">
        <v>903</v>
      </c>
      <c r="C1531" s="1">
        <v>30.0</v>
      </c>
      <c r="D1531" s="4" t="s">
        <v>1250</v>
      </c>
      <c r="E1531" s="1" t="s">
        <v>1236</v>
      </c>
      <c r="F1531" s="4" t="s">
        <v>1251</v>
      </c>
      <c r="G1531" s="1">
        <v>0.0</v>
      </c>
      <c r="H1531" s="2">
        <v>0.12777777777777777</v>
      </c>
    </row>
    <row r="1532">
      <c r="A1532" s="1" t="s">
        <v>1232</v>
      </c>
      <c r="B1532" s="1" t="s">
        <v>903</v>
      </c>
      <c r="C1532" s="1">
        <v>31.0</v>
      </c>
      <c r="D1532" s="1" t="s">
        <v>68</v>
      </c>
      <c r="E1532" s="1" t="s">
        <v>69</v>
      </c>
      <c r="F1532" s="1" t="s">
        <v>70</v>
      </c>
      <c r="G1532" s="1">
        <v>0.0</v>
      </c>
      <c r="H1532" s="2">
        <v>0.12638888888888888</v>
      </c>
    </row>
    <row r="1533">
      <c r="A1533" s="1" t="s">
        <v>1232</v>
      </c>
      <c r="B1533" s="1" t="s">
        <v>903</v>
      </c>
      <c r="C1533" s="1">
        <v>32.0</v>
      </c>
      <c r="D1533" s="4" t="s">
        <v>1252</v>
      </c>
      <c r="E1533" s="1" t="s">
        <v>1253</v>
      </c>
      <c r="F1533" s="4" t="s">
        <v>1254</v>
      </c>
      <c r="G1533" s="1">
        <v>0.0</v>
      </c>
      <c r="H1533" s="2">
        <v>0.11944444444444445</v>
      </c>
    </row>
    <row r="1534">
      <c r="A1534" s="1" t="s">
        <v>1232</v>
      </c>
      <c r="B1534" s="1" t="s">
        <v>903</v>
      </c>
      <c r="C1534" s="1">
        <v>33.0</v>
      </c>
      <c r="D1534" s="4" t="s">
        <v>1255</v>
      </c>
      <c r="E1534" s="1" t="s">
        <v>1256</v>
      </c>
      <c r="F1534" s="4" t="s">
        <v>1255</v>
      </c>
      <c r="G1534" s="1">
        <v>0.0</v>
      </c>
      <c r="H1534" s="2">
        <v>0.15486111111111112</v>
      </c>
    </row>
    <row r="1535">
      <c r="A1535" s="1" t="s">
        <v>1232</v>
      </c>
      <c r="B1535" s="1" t="s">
        <v>903</v>
      </c>
      <c r="C1535" s="1">
        <v>34.0</v>
      </c>
      <c r="D1535" s="4" t="s">
        <v>1257</v>
      </c>
      <c r="E1535" s="1" t="s">
        <v>1258</v>
      </c>
      <c r="F1535" s="4" t="s">
        <v>1257</v>
      </c>
      <c r="G1535" s="1">
        <v>0.0</v>
      </c>
      <c r="H1535" s="2">
        <v>0.15138888888888888</v>
      </c>
    </row>
    <row r="1536">
      <c r="A1536" s="1" t="s">
        <v>1232</v>
      </c>
      <c r="B1536" s="1" t="s">
        <v>903</v>
      </c>
      <c r="C1536" s="1">
        <v>35.0</v>
      </c>
      <c r="D1536" s="1" t="s">
        <v>104</v>
      </c>
      <c r="E1536" s="1" t="s">
        <v>84</v>
      </c>
      <c r="F1536" s="1" t="s">
        <v>104</v>
      </c>
      <c r="G1536" s="1">
        <v>1.0</v>
      </c>
      <c r="H1536" s="2">
        <v>0.12152777777777778</v>
      </c>
    </row>
    <row r="1537">
      <c r="A1537" s="1" t="s">
        <v>1232</v>
      </c>
      <c r="B1537" s="1" t="s">
        <v>903</v>
      </c>
      <c r="C1537" s="1">
        <v>36.0</v>
      </c>
      <c r="D1537" s="1" t="s">
        <v>1259</v>
      </c>
      <c r="E1537" s="1" t="s">
        <v>1260</v>
      </c>
      <c r="F1537" s="1" t="s">
        <v>1261</v>
      </c>
      <c r="G1537" s="1">
        <v>0.0</v>
      </c>
      <c r="H1537" s="2">
        <v>0.14722222222222223</v>
      </c>
    </row>
    <row r="1538">
      <c r="A1538" s="1" t="s">
        <v>1232</v>
      </c>
      <c r="B1538" s="1" t="s">
        <v>903</v>
      </c>
      <c r="C1538" s="1">
        <v>37.0</v>
      </c>
      <c r="D1538" s="4" t="s">
        <v>1262</v>
      </c>
      <c r="E1538" s="1" t="s">
        <v>1263</v>
      </c>
      <c r="F1538" s="4" t="s">
        <v>1262</v>
      </c>
      <c r="G1538" s="1">
        <v>0.0</v>
      </c>
      <c r="H1538" s="2">
        <v>0.13125</v>
      </c>
    </row>
    <row r="1539">
      <c r="A1539" s="1" t="s">
        <v>1232</v>
      </c>
      <c r="B1539" s="1" t="s">
        <v>903</v>
      </c>
      <c r="C1539" s="1">
        <v>38.0</v>
      </c>
      <c r="D1539" s="1" t="s">
        <v>92</v>
      </c>
      <c r="E1539" s="1" t="s">
        <v>93</v>
      </c>
      <c r="F1539" s="1" t="s">
        <v>92</v>
      </c>
      <c r="G1539" s="1">
        <v>1.0</v>
      </c>
      <c r="H1539" s="2">
        <v>0.11319444444444444</v>
      </c>
    </row>
    <row r="1540">
      <c r="A1540" s="1" t="s">
        <v>1232</v>
      </c>
      <c r="B1540" s="1" t="s">
        <v>903</v>
      </c>
      <c r="C1540" s="1">
        <v>39.0</v>
      </c>
      <c r="D1540" s="4" t="s">
        <v>1264</v>
      </c>
      <c r="E1540" s="1" t="s">
        <v>1236</v>
      </c>
      <c r="F1540" s="4" t="s">
        <v>1264</v>
      </c>
      <c r="G1540" s="1">
        <v>0.0</v>
      </c>
      <c r="H1540" s="2">
        <v>0.11319444444444444</v>
      </c>
    </row>
    <row r="1541">
      <c r="A1541" s="1" t="s">
        <v>1232</v>
      </c>
      <c r="B1541" s="1" t="s">
        <v>903</v>
      </c>
      <c r="C1541" s="1">
        <v>40.0</v>
      </c>
      <c r="D1541" s="1" t="s">
        <v>54</v>
      </c>
      <c r="E1541" s="1" t="s">
        <v>55</v>
      </c>
      <c r="F1541" s="1" t="s">
        <v>56</v>
      </c>
      <c r="G1541" s="1">
        <v>0.0</v>
      </c>
      <c r="H1541" s="2">
        <v>0.10972222222222222</v>
      </c>
    </row>
    <row r="1542">
      <c r="A1542" s="1" t="s">
        <v>1232</v>
      </c>
      <c r="B1542" s="1" t="s">
        <v>903</v>
      </c>
      <c r="C1542" s="1">
        <v>41.0</v>
      </c>
      <c r="D1542" s="4" t="s">
        <v>1265</v>
      </c>
      <c r="E1542" s="1" t="s">
        <v>1248</v>
      </c>
      <c r="F1542" s="4" t="s">
        <v>1266</v>
      </c>
      <c r="G1542" s="1">
        <v>0.0</v>
      </c>
      <c r="H1542" s="2">
        <v>0.16597222222222222</v>
      </c>
    </row>
    <row r="1543">
      <c r="A1543" s="1" t="s">
        <v>1232</v>
      </c>
      <c r="B1543" s="1" t="s">
        <v>903</v>
      </c>
      <c r="C1543" s="1">
        <v>42.0</v>
      </c>
      <c r="D1543" s="4" t="s">
        <v>1267</v>
      </c>
      <c r="E1543" s="1" t="s">
        <v>1268</v>
      </c>
      <c r="F1543" s="4" t="s">
        <v>1267</v>
      </c>
      <c r="G1543" s="1">
        <v>0.0</v>
      </c>
      <c r="H1543" s="2">
        <v>0.11666666666666667</v>
      </c>
    </row>
    <row r="1544">
      <c r="A1544" s="1" t="s">
        <v>1232</v>
      </c>
      <c r="B1544" s="1" t="s">
        <v>903</v>
      </c>
      <c r="C1544" s="1">
        <v>43.0</v>
      </c>
      <c r="D1544" s="4" t="s">
        <v>1269</v>
      </c>
      <c r="E1544" s="1" t="s">
        <v>1270</v>
      </c>
      <c r="F1544" s="4" t="s">
        <v>1271</v>
      </c>
      <c r="G1544" s="1">
        <v>0.0</v>
      </c>
      <c r="H1544" s="2">
        <v>0.1326388888888889</v>
      </c>
    </row>
    <row r="1545">
      <c r="A1545" s="1" t="s">
        <v>1232</v>
      </c>
      <c r="B1545" s="1" t="s">
        <v>903</v>
      </c>
      <c r="C1545" s="1">
        <v>44.0</v>
      </c>
      <c r="D1545" s="4" t="s">
        <v>1272</v>
      </c>
      <c r="E1545" s="1" t="s">
        <v>1273</v>
      </c>
      <c r="F1545" s="4" t="s">
        <v>1246</v>
      </c>
      <c r="G1545" s="1">
        <v>0.0</v>
      </c>
      <c r="H1545" s="2">
        <v>0.12569444444444444</v>
      </c>
    </row>
    <row r="1546">
      <c r="A1546" s="1" t="s">
        <v>1232</v>
      </c>
      <c r="B1546" s="1" t="s">
        <v>903</v>
      </c>
      <c r="C1546" s="1">
        <v>45.0</v>
      </c>
      <c r="D1546" s="4" t="s">
        <v>1274</v>
      </c>
      <c r="E1546" s="1" t="s">
        <v>1275</v>
      </c>
      <c r="F1546" s="4" t="s">
        <v>1274</v>
      </c>
      <c r="G1546" s="1">
        <v>0.0</v>
      </c>
      <c r="H1546" s="2">
        <v>0.13541666666666666</v>
      </c>
    </row>
    <row r="1547">
      <c r="A1547" s="1" t="s">
        <v>1232</v>
      </c>
      <c r="B1547" s="1" t="s">
        <v>903</v>
      </c>
      <c r="C1547" s="1">
        <v>46.0</v>
      </c>
      <c r="D1547" s="1" t="s">
        <v>50</v>
      </c>
      <c r="E1547" s="1" t="s">
        <v>51</v>
      </c>
      <c r="F1547" s="1" t="s">
        <v>52</v>
      </c>
      <c r="G1547" s="1">
        <v>0.0</v>
      </c>
      <c r="H1547" s="2">
        <v>0.14722222222222223</v>
      </c>
    </row>
    <row r="1548">
      <c r="A1548" s="1" t="s">
        <v>1232</v>
      </c>
      <c r="B1548" s="1" t="s">
        <v>903</v>
      </c>
      <c r="C1548" s="1">
        <v>47.0</v>
      </c>
      <c r="D1548" s="1" t="s">
        <v>73</v>
      </c>
      <c r="E1548" s="1" t="s">
        <v>74</v>
      </c>
      <c r="F1548" s="1" t="s">
        <v>75</v>
      </c>
      <c r="G1548" s="1">
        <v>0.0</v>
      </c>
      <c r="H1548" s="2">
        <v>0.14930555555555555</v>
      </c>
    </row>
    <row r="1549">
      <c r="A1549" s="1" t="s">
        <v>1232</v>
      </c>
      <c r="B1549" s="1" t="s">
        <v>903</v>
      </c>
      <c r="C1549" s="1">
        <v>48.0</v>
      </c>
      <c r="D1549" s="4" t="s">
        <v>1276</v>
      </c>
      <c r="E1549" s="1" t="s">
        <v>1277</v>
      </c>
      <c r="F1549" s="4" t="s">
        <v>1278</v>
      </c>
      <c r="G1549" s="1">
        <v>0.0</v>
      </c>
      <c r="H1549" s="2">
        <v>0.18541666666666667</v>
      </c>
    </row>
    <row r="1550">
      <c r="A1550" s="1" t="s">
        <v>1232</v>
      </c>
      <c r="B1550" s="1" t="s">
        <v>903</v>
      </c>
      <c r="C1550" s="1">
        <v>49.0</v>
      </c>
      <c r="D1550" s="1" t="s">
        <v>462</v>
      </c>
      <c r="E1550" s="1" t="s">
        <v>463</v>
      </c>
      <c r="F1550" s="1" t="s">
        <v>464</v>
      </c>
      <c r="G1550" s="1">
        <v>1.0</v>
      </c>
      <c r="H1550" s="2">
        <v>0.14583333333333334</v>
      </c>
    </row>
    <row r="1551">
      <c r="A1551" s="1" t="s">
        <v>1232</v>
      </c>
      <c r="B1551" s="1" t="s">
        <v>903</v>
      </c>
      <c r="C1551" s="1">
        <v>50.0</v>
      </c>
      <c r="D1551" s="4" t="s">
        <v>1279</v>
      </c>
      <c r="E1551" s="1" t="s">
        <v>1240</v>
      </c>
      <c r="F1551" s="4" t="s">
        <v>1279</v>
      </c>
      <c r="G1551" s="1">
        <v>0.0</v>
      </c>
      <c r="H1551" s="2">
        <v>0.16527777777777777</v>
      </c>
    </row>
    <row r="1552">
      <c r="A1552" s="1" t="s">
        <v>1280</v>
      </c>
      <c r="B1552" s="1" t="s">
        <v>250</v>
      </c>
      <c r="C1552" s="1">
        <v>1.0</v>
      </c>
      <c r="D1552" s="1" t="s">
        <v>1281</v>
      </c>
      <c r="E1552" s="1" t="s">
        <v>1282</v>
      </c>
      <c r="F1552" s="1" t="s">
        <v>1283</v>
      </c>
      <c r="G1552" s="1">
        <v>0.0</v>
      </c>
      <c r="H1552" s="2">
        <v>0.11319444444444444</v>
      </c>
    </row>
    <row r="1553">
      <c r="A1553" s="1" t="s">
        <v>1280</v>
      </c>
      <c r="B1553" s="1" t="s">
        <v>250</v>
      </c>
      <c r="C1553" s="1">
        <v>2.0</v>
      </c>
      <c r="D1553" s="1" t="s">
        <v>1284</v>
      </c>
      <c r="E1553" s="1" t="s">
        <v>1285</v>
      </c>
      <c r="F1553" s="1" t="s">
        <v>1284</v>
      </c>
      <c r="G1553" s="1">
        <v>0.0</v>
      </c>
      <c r="H1553" s="2">
        <v>0.12291666666666666</v>
      </c>
    </row>
    <row r="1554">
      <c r="A1554" s="1" t="s">
        <v>1280</v>
      </c>
      <c r="B1554" s="1" t="s">
        <v>250</v>
      </c>
      <c r="C1554" s="1">
        <v>3.0</v>
      </c>
      <c r="D1554" s="1" t="s">
        <v>1286</v>
      </c>
      <c r="E1554" s="1" t="s">
        <v>1287</v>
      </c>
      <c r="F1554" s="1" t="s">
        <v>1288</v>
      </c>
      <c r="G1554" s="1">
        <v>1.0</v>
      </c>
      <c r="H1554" s="2">
        <v>0.1527777777777778</v>
      </c>
    </row>
    <row r="1555">
      <c r="A1555" s="1" t="s">
        <v>1280</v>
      </c>
      <c r="B1555" s="1" t="s">
        <v>250</v>
      </c>
      <c r="C1555" s="1">
        <v>4.0</v>
      </c>
      <c r="D1555" s="1" t="s">
        <v>1289</v>
      </c>
      <c r="E1555" s="1" t="s">
        <v>1290</v>
      </c>
      <c r="F1555" s="1" t="s">
        <v>1289</v>
      </c>
      <c r="G1555" s="1">
        <v>0.0</v>
      </c>
      <c r="H1555" s="2">
        <v>0.17777777777777778</v>
      </c>
    </row>
    <row r="1556">
      <c r="A1556" s="1" t="s">
        <v>1280</v>
      </c>
      <c r="B1556" s="1" t="s">
        <v>250</v>
      </c>
      <c r="C1556" s="1">
        <v>5.0</v>
      </c>
      <c r="D1556" s="1" t="s">
        <v>127</v>
      </c>
      <c r="E1556" s="1" t="s">
        <v>128</v>
      </c>
      <c r="F1556" s="1" t="s">
        <v>127</v>
      </c>
      <c r="G1556" s="1">
        <v>1.0</v>
      </c>
      <c r="H1556" s="2">
        <v>0.17291666666666666</v>
      </c>
    </row>
    <row r="1557">
      <c r="A1557" s="1" t="s">
        <v>1280</v>
      </c>
      <c r="B1557" s="1" t="s">
        <v>250</v>
      </c>
      <c r="C1557" s="1">
        <v>6.0</v>
      </c>
      <c r="D1557" s="1" t="s">
        <v>1291</v>
      </c>
      <c r="E1557" s="1" t="s">
        <v>1292</v>
      </c>
      <c r="F1557" s="1" t="s">
        <v>1291</v>
      </c>
      <c r="G1557" s="1">
        <v>0.0</v>
      </c>
      <c r="H1557" s="2">
        <v>0.12152777777777778</v>
      </c>
    </row>
    <row r="1558">
      <c r="A1558" s="1" t="s">
        <v>1280</v>
      </c>
      <c r="B1558" s="1" t="s">
        <v>250</v>
      </c>
      <c r="C1558" s="1">
        <v>7.0</v>
      </c>
      <c r="D1558" s="1" t="s">
        <v>17</v>
      </c>
      <c r="E1558" s="1" t="s">
        <v>18</v>
      </c>
      <c r="F1558" s="1" t="s">
        <v>19</v>
      </c>
      <c r="G1558" s="1">
        <v>1.0</v>
      </c>
      <c r="H1558" s="2">
        <v>0.12222222222222222</v>
      </c>
    </row>
    <row r="1559">
      <c r="A1559" s="1" t="s">
        <v>1280</v>
      </c>
      <c r="B1559" s="1" t="s">
        <v>250</v>
      </c>
      <c r="C1559" s="1">
        <v>8.0</v>
      </c>
      <c r="D1559" s="1" t="s">
        <v>1293</v>
      </c>
      <c r="E1559" s="1" t="s">
        <v>1294</v>
      </c>
      <c r="F1559" s="1" t="s">
        <v>1293</v>
      </c>
      <c r="G1559" s="1">
        <v>1.0</v>
      </c>
      <c r="H1559" s="2">
        <v>0.11527777777777778</v>
      </c>
    </row>
    <row r="1560">
      <c r="A1560" s="1" t="s">
        <v>1280</v>
      </c>
      <c r="B1560" s="1" t="s">
        <v>250</v>
      </c>
      <c r="C1560" s="1">
        <v>9.0</v>
      </c>
      <c r="D1560" s="1" t="s">
        <v>23</v>
      </c>
      <c r="E1560" s="1" t="s">
        <v>24</v>
      </c>
      <c r="F1560" s="1" t="s">
        <v>23</v>
      </c>
      <c r="G1560" s="1">
        <v>0.0</v>
      </c>
      <c r="H1560" s="2">
        <v>0.12013888888888889</v>
      </c>
    </row>
    <row r="1561">
      <c r="A1561" s="1" t="s">
        <v>1280</v>
      </c>
      <c r="B1561" s="1" t="s">
        <v>250</v>
      </c>
      <c r="C1561" s="1">
        <v>10.0</v>
      </c>
      <c r="D1561" s="1" t="s">
        <v>1295</v>
      </c>
      <c r="E1561" s="1" t="s">
        <v>1296</v>
      </c>
      <c r="F1561" s="1" t="s">
        <v>1295</v>
      </c>
      <c r="G1561" s="1">
        <v>0.0</v>
      </c>
      <c r="H1561" s="2">
        <v>0.12291666666666666</v>
      </c>
    </row>
    <row r="1562">
      <c r="A1562" s="1" t="s">
        <v>1280</v>
      </c>
      <c r="B1562" s="1" t="s">
        <v>250</v>
      </c>
      <c r="C1562" s="1">
        <v>11.0</v>
      </c>
      <c r="D1562" s="1" t="s">
        <v>36</v>
      </c>
      <c r="E1562" s="1" t="s">
        <v>37</v>
      </c>
      <c r="F1562" s="1" t="s">
        <v>36</v>
      </c>
      <c r="G1562" s="1">
        <v>1.0</v>
      </c>
      <c r="H1562" s="2">
        <v>0.09166666666666666</v>
      </c>
    </row>
    <row r="1563">
      <c r="A1563" s="1" t="s">
        <v>1280</v>
      </c>
      <c r="B1563" s="1" t="s">
        <v>250</v>
      </c>
      <c r="C1563" s="1">
        <v>12.0</v>
      </c>
      <c r="D1563" s="1" t="s">
        <v>1297</v>
      </c>
      <c r="E1563" s="1" t="s">
        <v>1298</v>
      </c>
      <c r="F1563" s="1" t="s">
        <v>1297</v>
      </c>
      <c r="G1563" s="1">
        <v>0.0</v>
      </c>
      <c r="H1563" s="2">
        <v>0.125</v>
      </c>
    </row>
    <row r="1564">
      <c r="A1564" s="1" t="s">
        <v>1280</v>
      </c>
      <c r="B1564" s="1" t="s">
        <v>250</v>
      </c>
      <c r="C1564" s="1">
        <v>13.0</v>
      </c>
      <c r="D1564" s="1" t="s">
        <v>1299</v>
      </c>
      <c r="E1564" s="1" t="s">
        <v>1300</v>
      </c>
      <c r="F1564" s="1" t="s">
        <v>1299</v>
      </c>
      <c r="G1564" s="1">
        <v>1.0</v>
      </c>
      <c r="H1564" s="2">
        <v>0.10347222222222222</v>
      </c>
    </row>
    <row r="1565">
      <c r="A1565" s="1" t="s">
        <v>1280</v>
      </c>
      <c r="B1565" s="1" t="s">
        <v>250</v>
      </c>
      <c r="C1565" s="1">
        <v>14.0</v>
      </c>
      <c r="D1565" s="1" t="s">
        <v>1301</v>
      </c>
      <c r="E1565" s="1" t="s">
        <v>1302</v>
      </c>
      <c r="F1565" s="1" t="s">
        <v>1288</v>
      </c>
      <c r="G1565" s="1">
        <v>1.0</v>
      </c>
      <c r="H1565" s="2">
        <v>0.13472222222222222</v>
      </c>
    </row>
    <row r="1566">
      <c r="A1566" s="1" t="s">
        <v>1280</v>
      </c>
      <c r="B1566" s="1" t="s">
        <v>250</v>
      </c>
      <c r="C1566" s="1">
        <v>15.0</v>
      </c>
      <c r="D1566" s="1" t="s">
        <v>1303</v>
      </c>
      <c r="E1566" s="1" t="s">
        <v>1304</v>
      </c>
      <c r="F1566" s="1" t="s">
        <v>1303</v>
      </c>
      <c r="G1566" s="1">
        <v>0.0</v>
      </c>
      <c r="H1566" s="2">
        <v>0.09305555555555556</v>
      </c>
    </row>
    <row r="1567">
      <c r="A1567" s="1" t="s">
        <v>1280</v>
      </c>
      <c r="B1567" s="1" t="s">
        <v>250</v>
      </c>
      <c r="C1567" s="1">
        <v>16.0</v>
      </c>
      <c r="D1567" s="1" t="s">
        <v>86</v>
      </c>
      <c r="E1567" s="1" t="s">
        <v>87</v>
      </c>
      <c r="F1567" s="1" t="s">
        <v>86</v>
      </c>
      <c r="G1567" s="1">
        <v>0.0</v>
      </c>
      <c r="H1567" s="2">
        <v>0.1388888888888889</v>
      </c>
    </row>
    <row r="1568">
      <c r="A1568" s="1" t="s">
        <v>1280</v>
      </c>
      <c r="B1568" s="1" t="s">
        <v>250</v>
      </c>
      <c r="C1568" s="1">
        <v>17.0</v>
      </c>
      <c r="D1568" s="1" t="s">
        <v>11</v>
      </c>
      <c r="E1568" s="1" t="s">
        <v>12</v>
      </c>
      <c r="F1568" s="1" t="s">
        <v>13</v>
      </c>
      <c r="G1568" s="1">
        <v>0.0</v>
      </c>
      <c r="H1568" s="2">
        <v>0.1388888888888889</v>
      </c>
    </row>
    <row r="1569">
      <c r="A1569" s="1" t="s">
        <v>1280</v>
      </c>
      <c r="B1569" s="1" t="s">
        <v>250</v>
      </c>
      <c r="C1569" s="1">
        <v>18.0</v>
      </c>
      <c r="D1569" s="1" t="s">
        <v>1305</v>
      </c>
      <c r="E1569" s="1" t="s">
        <v>1306</v>
      </c>
      <c r="F1569" s="1" t="s">
        <v>1307</v>
      </c>
      <c r="G1569" s="1">
        <v>0.0</v>
      </c>
      <c r="H1569" s="2">
        <v>0.12777777777777777</v>
      </c>
    </row>
    <row r="1570">
      <c r="A1570" s="1" t="s">
        <v>1280</v>
      </c>
      <c r="B1570" s="1" t="s">
        <v>250</v>
      </c>
      <c r="C1570" s="1">
        <v>19.0</v>
      </c>
      <c r="D1570" s="1" t="s">
        <v>1308</v>
      </c>
      <c r="E1570" s="1" t="s">
        <v>1309</v>
      </c>
      <c r="F1570" s="1" t="s">
        <v>1283</v>
      </c>
      <c r="G1570" s="1">
        <v>1.0</v>
      </c>
      <c r="H1570" s="2">
        <v>0.11041666666666666</v>
      </c>
    </row>
    <row r="1571">
      <c r="A1571" s="1" t="s">
        <v>1280</v>
      </c>
      <c r="B1571" s="1" t="s">
        <v>250</v>
      </c>
      <c r="C1571" s="1">
        <v>20.0</v>
      </c>
      <c r="D1571" s="1" t="s">
        <v>25</v>
      </c>
      <c r="E1571" s="1" t="s">
        <v>26</v>
      </c>
      <c r="F1571" s="1" t="s">
        <v>25</v>
      </c>
      <c r="G1571" s="1">
        <v>1.0</v>
      </c>
      <c r="H1571" s="2">
        <v>0.11458333333333333</v>
      </c>
    </row>
    <row r="1572">
      <c r="A1572" s="1" t="s">
        <v>1280</v>
      </c>
      <c r="B1572" s="1" t="s">
        <v>250</v>
      </c>
      <c r="C1572" s="1">
        <v>21.0</v>
      </c>
      <c r="D1572" s="1" t="s">
        <v>1310</v>
      </c>
      <c r="E1572" s="1" t="s">
        <v>1311</v>
      </c>
      <c r="F1572" s="1" t="s">
        <v>1310</v>
      </c>
      <c r="G1572" s="1">
        <v>0.0</v>
      </c>
      <c r="H1572" s="2">
        <v>0.13402777777777777</v>
      </c>
    </row>
    <row r="1573">
      <c r="A1573" s="1" t="s">
        <v>1280</v>
      </c>
      <c r="B1573" s="1" t="s">
        <v>250</v>
      </c>
      <c r="C1573" s="1">
        <v>22.0</v>
      </c>
      <c r="D1573" s="1" t="s">
        <v>1312</v>
      </c>
      <c r="E1573" s="1" t="s">
        <v>1313</v>
      </c>
      <c r="F1573" s="1" t="s">
        <v>1314</v>
      </c>
      <c r="G1573" s="1">
        <v>0.0</v>
      </c>
      <c r="H1573" s="2">
        <v>0.12291666666666666</v>
      </c>
    </row>
    <row r="1574">
      <c r="A1574" s="1" t="s">
        <v>1280</v>
      </c>
      <c r="B1574" s="1" t="s">
        <v>250</v>
      </c>
      <c r="C1574" s="1">
        <v>23.0</v>
      </c>
      <c r="D1574" s="1" t="s">
        <v>1315</v>
      </c>
      <c r="E1574" s="1" t="s">
        <v>1316</v>
      </c>
      <c r="F1574" s="1" t="s">
        <v>1288</v>
      </c>
      <c r="G1574" s="1">
        <v>1.0</v>
      </c>
      <c r="H1574" s="2">
        <v>0.12986111111111112</v>
      </c>
    </row>
    <row r="1575">
      <c r="A1575" s="1" t="s">
        <v>1280</v>
      </c>
      <c r="B1575" s="1" t="s">
        <v>250</v>
      </c>
      <c r="C1575" s="1">
        <v>24.0</v>
      </c>
      <c r="D1575" s="1" t="s">
        <v>1317</v>
      </c>
      <c r="E1575" s="1" t="s">
        <v>1318</v>
      </c>
      <c r="F1575" s="1" t="s">
        <v>1317</v>
      </c>
      <c r="G1575" s="1">
        <v>0.0</v>
      </c>
      <c r="H1575" s="2">
        <v>0.14930555555555555</v>
      </c>
    </row>
    <row r="1576">
      <c r="A1576" s="1" t="s">
        <v>1280</v>
      </c>
      <c r="B1576" s="1" t="s">
        <v>250</v>
      </c>
      <c r="C1576" s="1">
        <v>25.0</v>
      </c>
      <c r="D1576" s="1" t="s">
        <v>1319</v>
      </c>
      <c r="E1576" s="1" t="s">
        <v>1320</v>
      </c>
      <c r="F1576" s="1" t="s">
        <v>1321</v>
      </c>
      <c r="G1576" s="1">
        <v>0.0</v>
      </c>
      <c r="H1576" s="2">
        <v>0.12083333333333333</v>
      </c>
    </row>
    <row r="1577">
      <c r="A1577" s="1" t="s">
        <v>1280</v>
      </c>
      <c r="B1577" s="1" t="s">
        <v>250</v>
      </c>
      <c r="C1577" s="1">
        <v>26.0</v>
      </c>
      <c r="D1577" s="1" t="s">
        <v>1322</v>
      </c>
      <c r="E1577" s="1" t="s">
        <v>1323</v>
      </c>
      <c r="F1577" s="1" t="s">
        <v>1322</v>
      </c>
      <c r="G1577" s="1">
        <v>0.0</v>
      </c>
      <c r="H1577" s="2">
        <v>0.16041666666666668</v>
      </c>
    </row>
    <row r="1578">
      <c r="A1578" s="1" t="s">
        <v>1280</v>
      </c>
      <c r="B1578" s="1" t="s">
        <v>250</v>
      </c>
      <c r="C1578" s="1">
        <v>27.0</v>
      </c>
      <c r="D1578" s="1" t="s">
        <v>1324</v>
      </c>
      <c r="E1578" s="1" t="s">
        <v>1325</v>
      </c>
      <c r="F1578" s="1" t="s">
        <v>1324</v>
      </c>
      <c r="G1578" s="1">
        <v>0.0</v>
      </c>
      <c r="H1578" s="2">
        <v>0.16875</v>
      </c>
    </row>
    <row r="1579">
      <c r="A1579" s="1" t="s">
        <v>1280</v>
      </c>
      <c r="B1579" s="1" t="s">
        <v>250</v>
      </c>
      <c r="C1579" s="1">
        <v>28.0</v>
      </c>
      <c r="D1579" s="1" t="s">
        <v>1326</v>
      </c>
      <c r="E1579" s="1" t="s">
        <v>1327</v>
      </c>
      <c r="F1579" s="1" t="s">
        <v>1328</v>
      </c>
      <c r="G1579" s="1">
        <v>1.0</v>
      </c>
      <c r="H1579" s="2">
        <v>0.11597222222222223</v>
      </c>
    </row>
    <row r="1580">
      <c r="A1580" s="1" t="s">
        <v>1280</v>
      </c>
      <c r="B1580" s="1" t="s">
        <v>250</v>
      </c>
      <c r="C1580" s="1">
        <v>29.0</v>
      </c>
      <c r="D1580" s="1" t="s">
        <v>1329</v>
      </c>
      <c r="E1580" s="1" t="s">
        <v>1330</v>
      </c>
      <c r="F1580" s="1" t="s">
        <v>1331</v>
      </c>
      <c r="G1580" s="1">
        <v>1.0</v>
      </c>
      <c r="H1580" s="2">
        <v>0.11180555555555556</v>
      </c>
    </row>
    <row r="1581">
      <c r="A1581" s="1" t="s">
        <v>1280</v>
      </c>
      <c r="B1581" s="1" t="s">
        <v>250</v>
      </c>
      <c r="C1581" s="1">
        <v>30.0</v>
      </c>
      <c r="D1581" s="1" t="s">
        <v>20</v>
      </c>
      <c r="E1581" s="1" t="s">
        <v>21</v>
      </c>
      <c r="F1581" s="1" t="s">
        <v>22</v>
      </c>
      <c r="G1581" s="1">
        <v>1.0</v>
      </c>
      <c r="H1581" s="2">
        <v>0.17152777777777778</v>
      </c>
    </row>
    <row r="1582">
      <c r="A1582" s="1" t="s">
        <v>1280</v>
      </c>
      <c r="B1582" s="1" t="s">
        <v>250</v>
      </c>
      <c r="C1582" s="1">
        <v>31.0</v>
      </c>
      <c r="D1582" s="1" t="s">
        <v>1332</v>
      </c>
      <c r="E1582" s="1" t="s">
        <v>1333</v>
      </c>
      <c r="F1582" s="1" t="s">
        <v>1331</v>
      </c>
      <c r="G1582" s="1">
        <v>1.0</v>
      </c>
      <c r="H1582" s="2">
        <v>0.1076388888888889</v>
      </c>
    </row>
    <row r="1583">
      <c r="A1583" s="1" t="s">
        <v>1280</v>
      </c>
      <c r="B1583" s="1" t="s">
        <v>250</v>
      </c>
      <c r="C1583" s="1">
        <v>32.0</v>
      </c>
      <c r="D1583" s="1" t="s">
        <v>1334</v>
      </c>
      <c r="E1583" s="1" t="s">
        <v>1335</v>
      </c>
      <c r="F1583" s="1" t="s">
        <v>1288</v>
      </c>
      <c r="G1583" s="1">
        <v>1.0</v>
      </c>
      <c r="H1583" s="2">
        <v>0.14027777777777778</v>
      </c>
    </row>
    <row r="1584">
      <c r="A1584" s="1" t="s">
        <v>1280</v>
      </c>
      <c r="B1584" s="1" t="s">
        <v>250</v>
      </c>
      <c r="C1584" s="1">
        <v>33.0</v>
      </c>
      <c r="D1584" s="1" t="s">
        <v>1336</v>
      </c>
      <c r="E1584" s="1" t="s">
        <v>1337</v>
      </c>
      <c r="F1584" s="1" t="s">
        <v>1336</v>
      </c>
      <c r="G1584" s="1">
        <v>0.0</v>
      </c>
      <c r="H1584" s="2">
        <v>0.11666666666666667</v>
      </c>
    </row>
    <row r="1585">
      <c r="A1585" s="1" t="s">
        <v>1280</v>
      </c>
      <c r="B1585" s="1" t="s">
        <v>250</v>
      </c>
      <c r="C1585" s="1">
        <v>34.0</v>
      </c>
      <c r="D1585" s="1" t="s">
        <v>1338</v>
      </c>
      <c r="E1585" s="1" t="s">
        <v>1339</v>
      </c>
      <c r="F1585" s="1" t="s">
        <v>1340</v>
      </c>
      <c r="G1585" s="1">
        <v>0.0</v>
      </c>
      <c r="H1585" s="2">
        <v>0.13541666666666666</v>
      </c>
    </row>
    <row r="1586">
      <c r="A1586" s="1" t="s">
        <v>1280</v>
      </c>
      <c r="B1586" s="1" t="s">
        <v>250</v>
      </c>
      <c r="C1586" s="1">
        <v>35.0</v>
      </c>
      <c r="D1586" s="1" t="s">
        <v>14</v>
      </c>
      <c r="E1586" s="1" t="s">
        <v>15</v>
      </c>
      <c r="F1586" s="1" t="s">
        <v>16</v>
      </c>
      <c r="G1586" s="1">
        <v>1.0</v>
      </c>
      <c r="H1586" s="2">
        <v>0.12569444444444444</v>
      </c>
    </row>
    <row r="1587">
      <c r="A1587" s="1" t="s">
        <v>1280</v>
      </c>
      <c r="B1587" s="1" t="s">
        <v>250</v>
      </c>
      <c r="C1587" s="1">
        <v>36.0</v>
      </c>
      <c r="D1587" s="1" t="s">
        <v>91</v>
      </c>
      <c r="E1587" s="1" t="s">
        <v>58</v>
      </c>
      <c r="F1587" s="1" t="s">
        <v>91</v>
      </c>
      <c r="G1587" s="1">
        <v>0.0</v>
      </c>
      <c r="H1587" s="2">
        <v>0.09305555555555556</v>
      </c>
    </row>
    <row r="1588">
      <c r="A1588" s="1" t="s">
        <v>1280</v>
      </c>
      <c r="B1588" s="1" t="s">
        <v>250</v>
      </c>
      <c r="C1588" s="1">
        <v>37.0</v>
      </c>
      <c r="D1588" s="1" t="s">
        <v>83</v>
      </c>
      <c r="E1588" s="1" t="s">
        <v>84</v>
      </c>
      <c r="F1588" s="1" t="s">
        <v>85</v>
      </c>
      <c r="G1588" s="1">
        <v>1.0</v>
      </c>
      <c r="H1588" s="2">
        <v>0.16875</v>
      </c>
    </row>
    <row r="1589">
      <c r="A1589" s="1" t="s">
        <v>1280</v>
      </c>
      <c r="B1589" s="1" t="s">
        <v>250</v>
      </c>
      <c r="C1589" s="1">
        <v>38.0</v>
      </c>
      <c r="D1589" s="1" t="s">
        <v>1341</v>
      </c>
      <c r="E1589" s="1" t="s">
        <v>1342</v>
      </c>
      <c r="F1589" s="1" t="s">
        <v>1341</v>
      </c>
      <c r="G1589" s="1">
        <v>0.0</v>
      </c>
      <c r="H1589" s="2">
        <v>0.12638888888888888</v>
      </c>
    </row>
    <row r="1590">
      <c r="A1590" s="1" t="s">
        <v>1280</v>
      </c>
      <c r="B1590" s="1" t="s">
        <v>250</v>
      </c>
      <c r="C1590" s="1">
        <v>39.0</v>
      </c>
      <c r="D1590" s="1" t="s">
        <v>1343</v>
      </c>
      <c r="E1590" s="1" t="s">
        <v>1344</v>
      </c>
      <c r="F1590" s="1" t="s">
        <v>1345</v>
      </c>
      <c r="G1590" s="1">
        <v>0.0</v>
      </c>
      <c r="H1590" s="2">
        <v>0.12708333333333333</v>
      </c>
    </row>
    <row r="1591">
      <c r="A1591" s="1" t="s">
        <v>1280</v>
      </c>
      <c r="B1591" s="1" t="s">
        <v>250</v>
      </c>
      <c r="C1591" s="1">
        <v>40.0</v>
      </c>
      <c r="D1591" s="1" t="s">
        <v>1346</v>
      </c>
      <c r="E1591" s="1" t="s">
        <v>1347</v>
      </c>
      <c r="F1591" s="1" t="s">
        <v>1288</v>
      </c>
      <c r="G1591" s="1">
        <v>1.0</v>
      </c>
      <c r="H1591" s="2">
        <v>0.11527777777777778</v>
      </c>
    </row>
    <row r="1592">
      <c r="A1592" s="1" t="s">
        <v>1280</v>
      </c>
      <c r="B1592" s="1" t="s">
        <v>250</v>
      </c>
      <c r="C1592" s="1">
        <v>41.0</v>
      </c>
      <c r="D1592" s="1" t="s">
        <v>94</v>
      </c>
      <c r="E1592" s="1" t="s">
        <v>84</v>
      </c>
      <c r="F1592" s="1" t="s">
        <v>95</v>
      </c>
      <c r="G1592" s="1">
        <v>1.0</v>
      </c>
      <c r="H1592" s="2">
        <v>0.21666666666666667</v>
      </c>
    </row>
    <row r="1593">
      <c r="A1593" s="1" t="s">
        <v>1280</v>
      </c>
      <c r="B1593" s="1" t="s">
        <v>250</v>
      </c>
      <c r="C1593" s="1">
        <v>42.0</v>
      </c>
      <c r="D1593" s="1" t="s">
        <v>9</v>
      </c>
      <c r="E1593" s="1" t="s">
        <v>10</v>
      </c>
      <c r="F1593" s="1" t="s">
        <v>9</v>
      </c>
      <c r="G1593" s="1">
        <v>0.0</v>
      </c>
      <c r="H1593" s="2">
        <v>0.12638888888888888</v>
      </c>
    </row>
    <row r="1594">
      <c r="A1594" s="1" t="s">
        <v>1280</v>
      </c>
      <c r="B1594" s="1" t="s">
        <v>250</v>
      </c>
      <c r="C1594" s="1">
        <v>43.0</v>
      </c>
      <c r="D1594" s="1" t="s">
        <v>1348</v>
      </c>
      <c r="E1594" s="1" t="s">
        <v>1349</v>
      </c>
      <c r="F1594" s="1" t="s">
        <v>1348</v>
      </c>
      <c r="G1594" s="1">
        <v>0.0</v>
      </c>
      <c r="H1594" s="2">
        <v>0.16180555555555556</v>
      </c>
    </row>
    <row r="1595">
      <c r="A1595" s="1" t="s">
        <v>1280</v>
      </c>
      <c r="B1595" s="1" t="s">
        <v>250</v>
      </c>
      <c r="C1595" s="1">
        <v>44.0</v>
      </c>
      <c r="D1595" s="1" t="s">
        <v>1350</v>
      </c>
      <c r="E1595" s="1" t="s">
        <v>1351</v>
      </c>
      <c r="F1595" s="1" t="s">
        <v>1352</v>
      </c>
      <c r="G1595" s="1">
        <v>0.0</v>
      </c>
      <c r="H1595" s="2">
        <v>0.13472222222222222</v>
      </c>
    </row>
    <row r="1596">
      <c r="A1596" s="1" t="s">
        <v>1280</v>
      </c>
      <c r="B1596" s="1" t="s">
        <v>250</v>
      </c>
      <c r="C1596" s="1">
        <v>45.0</v>
      </c>
      <c r="D1596" s="1" t="s">
        <v>1353</v>
      </c>
      <c r="E1596" s="1" t="s">
        <v>1354</v>
      </c>
      <c r="F1596" s="1" t="s">
        <v>1355</v>
      </c>
      <c r="G1596" s="1">
        <v>0.0</v>
      </c>
      <c r="H1596" s="2">
        <v>0.14444444444444443</v>
      </c>
    </row>
    <row r="1597">
      <c r="A1597" s="1" t="s">
        <v>1280</v>
      </c>
      <c r="B1597" s="1" t="s">
        <v>250</v>
      </c>
      <c r="C1597" s="1">
        <v>46.0</v>
      </c>
      <c r="D1597" s="1" t="s">
        <v>1356</v>
      </c>
      <c r="E1597" s="1" t="s">
        <v>1357</v>
      </c>
      <c r="F1597" s="1" t="s">
        <v>1288</v>
      </c>
      <c r="G1597" s="1">
        <v>1.0</v>
      </c>
      <c r="H1597" s="2">
        <v>0.10416666666666667</v>
      </c>
    </row>
    <row r="1598">
      <c r="A1598" s="1" t="s">
        <v>1280</v>
      </c>
      <c r="B1598" s="1" t="s">
        <v>250</v>
      </c>
      <c r="C1598" s="1">
        <v>47.0</v>
      </c>
      <c r="D1598" s="1" t="s">
        <v>33</v>
      </c>
      <c r="E1598" s="1" t="s">
        <v>34</v>
      </c>
      <c r="F1598" s="1" t="s">
        <v>35</v>
      </c>
      <c r="G1598" s="1">
        <v>0.0</v>
      </c>
      <c r="H1598" s="2">
        <v>0.1451388888888889</v>
      </c>
    </row>
    <row r="1599">
      <c r="A1599" s="1" t="s">
        <v>1280</v>
      </c>
      <c r="B1599" s="1" t="s">
        <v>250</v>
      </c>
      <c r="C1599" s="1">
        <v>48.0</v>
      </c>
      <c r="D1599" s="1" t="s">
        <v>1358</v>
      </c>
      <c r="E1599" s="1" t="s">
        <v>1342</v>
      </c>
      <c r="F1599" s="1" t="s">
        <v>1358</v>
      </c>
      <c r="G1599" s="1">
        <v>0.0</v>
      </c>
      <c r="H1599" s="2">
        <v>0.11805555555555555</v>
      </c>
    </row>
    <row r="1600">
      <c r="A1600" s="1" t="s">
        <v>1280</v>
      </c>
      <c r="B1600" s="1" t="s">
        <v>250</v>
      </c>
      <c r="C1600" s="1">
        <v>49.0</v>
      </c>
      <c r="D1600" s="1" t="s">
        <v>334</v>
      </c>
      <c r="E1600" s="1" t="s">
        <v>335</v>
      </c>
      <c r="F1600" s="1" t="s">
        <v>334</v>
      </c>
      <c r="G1600" s="1">
        <v>0.0</v>
      </c>
      <c r="H1600" s="2">
        <v>0.15069444444444444</v>
      </c>
    </row>
    <row r="1601">
      <c r="A1601" s="1" t="s">
        <v>1280</v>
      </c>
      <c r="B1601" s="1" t="s">
        <v>250</v>
      </c>
      <c r="C1601" s="1">
        <v>50.0</v>
      </c>
      <c r="D1601" s="1" t="s">
        <v>1359</v>
      </c>
      <c r="E1601" s="1" t="s">
        <v>1360</v>
      </c>
      <c r="F1601" s="1" t="s">
        <v>1361</v>
      </c>
      <c r="G1601" s="1">
        <v>1.0</v>
      </c>
      <c r="H1601" s="2">
        <v>0.14375</v>
      </c>
    </row>
    <row r="1602">
      <c r="A1602" s="1" t="s">
        <v>1362</v>
      </c>
      <c r="B1602" s="1" t="s">
        <v>903</v>
      </c>
      <c r="C1602" s="1">
        <v>1.0</v>
      </c>
      <c r="D1602" s="1" t="s">
        <v>1363</v>
      </c>
      <c r="E1602" s="1" t="s">
        <v>1364</v>
      </c>
      <c r="F1602" s="1" t="s">
        <v>1363</v>
      </c>
      <c r="G1602" s="1">
        <v>0.0</v>
      </c>
      <c r="H1602" s="2">
        <v>0.18125</v>
      </c>
    </row>
    <row r="1603">
      <c r="A1603" s="1" t="s">
        <v>1362</v>
      </c>
      <c r="B1603" s="1" t="s">
        <v>903</v>
      </c>
      <c r="C1603" s="1">
        <v>2.0</v>
      </c>
      <c r="D1603" s="1" t="s">
        <v>1365</v>
      </c>
      <c r="E1603" s="1" t="s">
        <v>1366</v>
      </c>
      <c r="F1603" s="1" t="s">
        <v>1367</v>
      </c>
      <c r="G1603" s="1">
        <v>0.0</v>
      </c>
      <c r="H1603" s="2">
        <v>0.2263888888888889</v>
      </c>
    </row>
    <row r="1604">
      <c r="A1604" s="1" t="s">
        <v>1362</v>
      </c>
      <c r="B1604" s="1" t="s">
        <v>903</v>
      </c>
      <c r="C1604" s="1">
        <v>3.0</v>
      </c>
      <c r="D1604" s="1" t="s">
        <v>1368</v>
      </c>
      <c r="E1604" s="1" t="s">
        <v>1369</v>
      </c>
      <c r="F1604" s="1" t="s">
        <v>1368</v>
      </c>
      <c r="G1604" s="1">
        <v>0.0</v>
      </c>
      <c r="H1604" s="2">
        <v>0.175</v>
      </c>
    </row>
    <row r="1605">
      <c r="A1605" s="1" t="s">
        <v>1362</v>
      </c>
      <c r="B1605" s="1" t="s">
        <v>903</v>
      </c>
      <c r="C1605" s="1">
        <v>4.0</v>
      </c>
      <c r="D1605" s="1" t="s">
        <v>1370</v>
      </c>
      <c r="E1605" s="1" t="s">
        <v>1366</v>
      </c>
      <c r="F1605" s="1" t="s">
        <v>1370</v>
      </c>
      <c r="G1605" s="1">
        <v>0.0</v>
      </c>
      <c r="H1605" s="2">
        <v>0.19583333333333333</v>
      </c>
    </row>
    <row r="1606">
      <c r="A1606" s="1" t="s">
        <v>1362</v>
      </c>
      <c r="B1606" s="1" t="s">
        <v>903</v>
      </c>
      <c r="C1606" s="1">
        <v>5.0</v>
      </c>
      <c r="D1606" s="1" t="s">
        <v>1371</v>
      </c>
      <c r="E1606" s="1" t="s">
        <v>1372</v>
      </c>
      <c r="F1606" s="1" t="s">
        <v>1373</v>
      </c>
      <c r="G1606" s="1">
        <v>0.0</v>
      </c>
      <c r="H1606" s="2">
        <v>0.19166666666666668</v>
      </c>
    </row>
    <row r="1607">
      <c r="A1607" s="1" t="s">
        <v>1362</v>
      </c>
      <c r="B1607" s="1" t="s">
        <v>903</v>
      </c>
      <c r="C1607" s="1">
        <v>6.0</v>
      </c>
      <c r="D1607" s="1" t="s">
        <v>1374</v>
      </c>
      <c r="E1607" s="1" t="s">
        <v>1366</v>
      </c>
      <c r="F1607" s="1" t="s">
        <v>1367</v>
      </c>
      <c r="G1607" s="1">
        <v>0.0</v>
      </c>
      <c r="H1607" s="2">
        <v>0.19444444444444445</v>
      </c>
    </row>
    <row r="1608">
      <c r="A1608" s="1" t="s">
        <v>1362</v>
      </c>
      <c r="B1608" s="1" t="s">
        <v>903</v>
      </c>
      <c r="C1608" s="1">
        <v>7.0</v>
      </c>
      <c r="D1608" s="1" t="s">
        <v>1375</v>
      </c>
      <c r="E1608" s="1" t="s">
        <v>1366</v>
      </c>
      <c r="F1608" s="1" t="s">
        <v>1376</v>
      </c>
      <c r="G1608" s="1">
        <v>0.0</v>
      </c>
      <c r="H1608" s="2">
        <v>0.225</v>
      </c>
    </row>
    <row r="1609">
      <c r="A1609" s="1" t="s">
        <v>1362</v>
      </c>
      <c r="B1609" s="1" t="s">
        <v>903</v>
      </c>
      <c r="C1609" s="1">
        <v>8.0</v>
      </c>
      <c r="D1609" s="1" t="s">
        <v>1377</v>
      </c>
      <c r="E1609" s="1" t="s">
        <v>1378</v>
      </c>
      <c r="F1609" s="1" t="s">
        <v>1377</v>
      </c>
      <c r="G1609" s="1">
        <v>0.0</v>
      </c>
      <c r="H1609" s="2">
        <v>0.16527777777777777</v>
      </c>
    </row>
    <row r="1610">
      <c r="A1610" s="1" t="s">
        <v>1362</v>
      </c>
      <c r="B1610" s="1" t="s">
        <v>903</v>
      </c>
      <c r="C1610" s="1">
        <v>9.0</v>
      </c>
      <c r="D1610" s="1" t="s">
        <v>1379</v>
      </c>
      <c r="E1610" s="1" t="s">
        <v>1366</v>
      </c>
      <c r="F1610" s="1" t="s">
        <v>1367</v>
      </c>
      <c r="G1610" s="1">
        <v>0.0</v>
      </c>
      <c r="H1610" s="2">
        <v>0.2076388888888889</v>
      </c>
    </row>
    <row r="1611">
      <c r="A1611" s="1" t="s">
        <v>1362</v>
      </c>
      <c r="B1611" s="1" t="s">
        <v>903</v>
      </c>
      <c r="C1611" s="1">
        <v>10.0</v>
      </c>
      <c r="D1611" s="1" t="s">
        <v>1380</v>
      </c>
      <c r="E1611" s="1" t="s">
        <v>1366</v>
      </c>
      <c r="F1611" s="1" t="s">
        <v>1376</v>
      </c>
      <c r="G1611" s="1">
        <v>0.0</v>
      </c>
      <c r="H1611" s="2">
        <v>0.14027777777777778</v>
      </c>
    </row>
    <row r="1612">
      <c r="A1612" s="1" t="s">
        <v>1362</v>
      </c>
      <c r="B1612" s="1" t="s">
        <v>903</v>
      </c>
      <c r="C1612" s="1">
        <v>11.0</v>
      </c>
      <c r="D1612" s="1" t="s">
        <v>1381</v>
      </c>
      <c r="E1612" s="1" t="s">
        <v>1382</v>
      </c>
      <c r="F1612" s="1" t="s">
        <v>1383</v>
      </c>
      <c r="G1612" s="1">
        <v>0.0</v>
      </c>
      <c r="H1612" s="2">
        <v>0.15486111111111112</v>
      </c>
    </row>
    <row r="1613">
      <c r="A1613" s="1" t="s">
        <v>1362</v>
      </c>
      <c r="B1613" s="1" t="s">
        <v>903</v>
      </c>
      <c r="C1613" s="1">
        <v>12.0</v>
      </c>
      <c r="D1613" s="1" t="s">
        <v>1384</v>
      </c>
      <c r="E1613" s="1" t="s">
        <v>1385</v>
      </c>
      <c r="F1613" s="1" t="s">
        <v>1386</v>
      </c>
      <c r="G1613" s="1">
        <v>0.0</v>
      </c>
      <c r="H1613" s="2">
        <v>0.2125</v>
      </c>
    </row>
    <row r="1614">
      <c r="A1614" s="1" t="s">
        <v>1362</v>
      </c>
      <c r="B1614" s="1" t="s">
        <v>903</v>
      </c>
      <c r="C1614" s="1">
        <v>13.0</v>
      </c>
      <c r="D1614" s="1" t="s">
        <v>1387</v>
      </c>
      <c r="E1614" s="1" t="s">
        <v>1388</v>
      </c>
      <c r="F1614" s="1" t="s">
        <v>1389</v>
      </c>
      <c r="G1614" s="1">
        <v>0.0</v>
      </c>
      <c r="H1614" s="2">
        <v>0.1375</v>
      </c>
    </row>
    <row r="1615">
      <c r="A1615" s="1" t="s">
        <v>1362</v>
      </c>
      <c r="B1615" s="1" t="s">
        <v>903</v>
      </c>
      <c r="C1615" s="1">
        <v>14.0</v>
      </c>
      <c r="D1615" s="1" t="s">
        <v>1390</v>
      </c>
      <c r="E1615" s="1" t="s">
        <v>1391</v>
      </c>
      <c r="F1615" s="1" t="s">
        <v>1390</v>
      </c>
      <c r="G1615" s="1">
        <v>0.0</v>
      </c>
      <c r="H1615" s="2">
        <v>0.12777777777777777</v>
      </c>
    </row>
    <row r="1616">
      <c r="A1616" s="1" t="s">
        <v>1362</v>
      </c>
      <c r="B1616" s="1" t="s">
        <v>903</v>
      </c>
      <c r="C1616" s="1">
        <v>15.0</v>
      </c>
      <c r="D1616" s="1" t="s">
        <v>1392</v>
      </c>
      <c r="E1616" s="1" t="s">
        <v>1366</v>
      </c>
      <c r="F1616" s="1" t="s">
        <v>1392</v>
      </c>
      <c r="G1616" s="1">
        <v>0.0</v>
      </c>
      <c r="H1616" s="2">
        <v>0.20902777777777778</v>
      </c>
    </row>
    <row r="1617">
      <c r="A1617" s="1" t="s">
        <v>1362</v>
      </c>
      <c r="B1617" s="1" t="s">
        <v>903</v>
      </c>
      <c r="C1617" s="1">
        <v>16.0</v>
      </c>
      <c r="D1617" s="1" t="s">
        <v>1393</v>
      </c>
      <c r="E1617" s="1" t="s">
        <v>1382</v>
      </c>
      <c r="F1617" s="1" t="s">
        <v>1394</v>
      </c>
      <c r="G1617" s="1">
        <v>0.0</v>
      </c>
      <c r="H1617" s="2">
        <v>0.17847222222222223</v>
      </c>
    </row>
    <row r="1618">
      <c r="A1618" s="1" t="s">
        <v>1362</v>
      </c>
      <c r="B1618" s="1" t="s">
        <v>903</v>
      </c>
      <c r="C1618" s="1">
        <v>17.0</v>
      </c>
      <c r="D1618" s="1" t="s">
        <v>1395</v>
      </c>
      <c r="E1618" s="1" t="s">
        <v>1396</v>
      </c>
      <c r="F1618" s="1" t="s">
        <v>1397</v>
      </c>
      <c r="G1618" s="1">
        <v>0.0</v>
      </c>
      <c r="H1618" s="2">
        <v>0.22291666666666668</v>
      </c>
    </row>
    <row r="1619">
      <c r="A1619" s="1" t="s">
        <v>1362</v>
      </c>
      <c r="B1619" s="1" t="s">
        <v>903</v>
      </c>
      <c r="C1619" s="1">
        <v>18.0</v>
      </c>
      <c r="D1619" s="1" t="s">
        <v>1398</v>
      </c>
      <c r="E1619" s="1" t="s">
        <v>1385</v>
      </c>
      <c r="F1619" s="1" t="s">
        <v>1398</v>
      </c>
      <c r="G1619" s="1">
        <v>0.0</v>
      </c>
      <c r="H1619" s="2">
        <v>0.2263888888888889</v>
      </c>
    </row>
    <row r="1620">
      <c r="A1620" s="1" t="s">
        <v>1362</v>
      </c>
      <c r="B1620" s="1" t="s">
        <v>903</v>
      </c>
      <c r="C1620" s="1">
        <v>19.0</v>
      </c>
      <c r="D1620" s="1" t="s">
        <v>1399</v>
      </c>
      <c r="E1620" s="1" t="s">
        <v>1400</v>
      </c>
      <c r="F1620" s="1" t="s">
        <v>1401</v>
      </c>
      <c r="G1620" s="1">
        <v>0.0</v>
      </c>
      <c r="H1620" s="2">
        <v>0.20416666666666666</v>
      </c>
    </row>
    <row r="1621">
      <c r="A1621" s="1" t="s">
        <v>1362</v>
      </c>
      <c r="B1621" s="1" t="s">
        <v>903</v>
      </c>
      <c r="C1621" s="1">
        <v>20.0</v>
      </c>
      <c r="D1621" s="1" t="s">
        <v>1402</v>
      </c>
      <c r="E1621" s="1" t="s">
        <v>1403</v>
      </c>
      <c r="F1621" s="1" t="s">
        <v>1404</v>
      </c>
      <c r="G1621" s="1">
        <v>0.0</v>
      </c>
      <c r="H1621" s="2">
        <v>0.15486111111111112</v>
      </c>
    </row>
    <row r="1622">
      <c r="A1622" s="1" t="s">
        <v>1362</v>
      </c>
      <c r="B1622" s="1" t="s">
        <v>903</v>
      </c>
      <c r="C1622" s="1">
        <v>21.0</v>
      </c>
      <c r="D1622" s="1" t="s">
        <v>1405</v>
      </c>
      <c r="E1622" s="1" t="s">
        <v>1396</v>
      </c>
      <c r="F1622" s="1" t="s">
        <v>1397</v>
      </c>
      <c r="G1622" s="1">
        <v>0.0</v>
      </c>
      <c r="H1622" s="2">
        <v>0.14652777777777778</v>
      </c>
    </row>
    <row r="1623">
      <c r="A1623" s="1" t="s">
        <v>1362</v>
      </c>
      <c r="B1623" s="1" t="s">
        <v>903</v>
      </c>
      <c r="C1623" s="1">
        <v>22.0</v>
      </c>
      <c r="D1623" s="1" t="s">
        <v>1406</v>
      </c>
      <c r="E1623" s="1" t="s">
        <v>1366</v>
      </c>
      <c r="F1623" s="1" t="s">
        <v>1367</v>
      </c>
      <c r="G1623" s="1">
        <v>0.0</v>
      </c>
      <c r="H1623" s="2">
        <v>0.17777777777777778</v>
      </c>
    </row>
    <row r="1624">
      <c r="A1624" s="1" t="s">
        <v>1362</v>
      </c>
      <c r="B1624" s="1" t="s">
        <v>903</v>
      </c>
      <c r="C1624" s="1">
        <v>23.0</v>
      </c>
      <c r="D1624" s="1" t="s">
        <v>1407</v>
      </c>
      <c r="E1624" s="1" t="s">
        <v>1408</v>
      </c>
      <c r="F1624" s="1" t="s">
        <v>1409</v>
      </c>
      <c r="G1624" s="1">
        <v>0.0</v>
      </c>
      <c r="H1624" s="2">
        <v>0.21319444444444444</v>
      </c>
    </row>
    <row r="1625">
      <c r="A1625" s="1" t="s">
        <v>1362</v>
      </c>
      <c r="B1625" s="1" t="s">
        <v>903</v>
      </c>
      <c r="C1625" s="1">
        <v>24.0</v>
      </c>
      <c r="D1625" s="1" t="s">
        <v>1409</v>
      </c>
      <c r="E1625" s="1" t="s">
        <v>1396</v>
      </c>
      <c r="F1625" s="1" t="s">
        <v>1397</v>
      </c>
      <c r="G1625" s="1">
        <v>0.0</v>
      </c>
      <c r="H1625" s="2">
        <v>0.1875</v>
      </c>
    </row>
    <row r="1626">
      <c r="A1626" s="1" t="s">
        <v>1362</v>
      </c>
      <c r="B1626" s="1" t="s">
        <v>903</v>
      </c>
      <c r="C1626" s="1">
        <v>25.0</v>
      </c>
      <c r="D1626" s="1" t="s">
        <v>1410</v>
      </c>
      <c r="E1626" s="1" t="s">
        <v>1411</v>
      </c>
      <c r="F1626" s="1" t="s">
        <v>1412</v>
      </c>
      <c r="G1626" s="1">
        <v>0.0</v>
      </c>
      <c r="H1626" s="2">
        <v>0.21944444444444444</v>
      </c>
    </row>
    <row r="1627">
      <c r="A1627" s="1" t="s">
        <v>1362</v>
      </c>
      <c r="B1627" s="1" t="s">
        <v>903</v>
      </c>
      <c r="C1627" s="1">
        <v>26.0</v>
      </c>
      <c r="D1627" s="1" t="s">
        <v>1413</v>
      </c>
      <c r="E1627" s="1" t="s">
        <v>1385</v>
      </c>
      <c r="F1627" s="1" t="s">
        <v>1413</v>
      </c>
      <c r="G1627" s="1">
        <v>0.0</v>
      </c>
      <c r="H1627" s="2">
        <v>0.20555555555555555</v>
      </c>
    </row>
    <row r="1628">
      <c r="A1628" s="1" t="s">
        <v>1362</v>
      </c>
      <c r="B1628" s="1" t="s">
        <v>903</v>
      </c>
      <c r="C1628" s="1">
        <v>27.0</v>
      </c>
      <c r="D1628" s="1" t="s">
        <v>1414</v>
      </c>
      <c r="E1628" s="1" t="s">
        <v>1385</v>
      </c>
      <c r="F1628" s="1" t="s">
        <v>1415</v>
      </c>
      <c r="G1628" s="1">
        <v>0.0</v>
      </c>
      <c r="H1628" s="2">
        <v>0.17083333333333334</v>
      </c>
    </row>
    <row r="1629">
      <c r="A1629" s="1" t="s">
        <v>1362</v>
      </c>
      <c r="B1629" s="1" t="s">
        <v>903</v>
      </c>
      <c r="C1629" s="1">
        <v>28.0</v>
      </c>
      <c r="D1629" s="1" t="s">
        <v>1416</v>
      </c>
      <c r="E1629" s="1" t="s">
        <v>1372</v>
      </c>
      <c r="F1629" s="1" t="s">
        <v>1373</v>
      </c>
      <c r="G1629" s="1">
        <v>0.0</v>
      </c>
      <c r="H1629" s="2">
        <v>0.18055555555555555</v>
      </c>
    </row>
    <row r="1630">
      <c r="A1630" s="1" t="s">
        <v>1362</v>
      </c>
      <c r="B1630" s="1" t="s">
        <v>903</v>
      </c>
      <c r="C1630" s="1">
        <v>29.0</v>
      </c>
      <c r="D1630" s="1" t="s">
        <v>1417</v>
      </c>
      <c r="E1630" s="1" t="s">
        <v>1418</v>
      </c>
      <c r="F1630" s="1" t="s">
        <v>1417</v>
      </c>
      <c r="G1630" s="1">
        <v>0.0</v>
      </c>
      <c r="H1630" s="2">
        <v>0.16666666666666666</v>
      </c>
    </row>
    <row r="1631">
      <c r="A1631" s="1" t="s">
        <v>1362</v>
      </c>
      <c r="B1631" s="1" t="s">
        <v>903</v>
      </c>
      <c r="C1631" s="1">
        <v>30.0</v>
      </c>
      <c r="D1631" s="1" t="s">
        <v>118</v>
      </c>
      <c r="E1631" s="1" t="s">
        <v>119</v>
      </c>
      <c r="F1631" s="1" t="s">
        <v>120</v>
      </c>
      <c r="G1631" s="1">
        <v>0.0</v>
      </c>
      <c r="H1631" s="2">
        <v>0.13472222222222222</v>
      </c>
    </row>
    <row r="1632">
      <c r="A1632" s="1" t="s">
        <v>1362</v>
      </c>
      <c r="B1632" s="1" t="s">
        <v>903</v>
      </c>
      <c r="C1632" s="1">
        <v>31.0</v>
      </c>
      <c r="D1632" s="1" t="s">
        <v>1419</v>
      </c>
      <c r="E1632" s="1" t="s">
        <v>1420</v>
      </c>
      <c r="F1632" s="1" t="s">
        <v>1419</v>
      </c>
      <c r="G1632" s="1">
        <v>0.0</v>
      </c>
      <c r="H1632" s="2">
        <v>0.16944444444444445</v>
      </c>
    </row>
    <row r="1633">
      <c r="A1633" s="1" t="s">
        <v>1362</v>
      </c>
      <c r="B1633" s="1" t="s">
        <v>903</v>
      </c>
      <c r="C1633" s="1">
        <v>32.0</v>
      </c>
      <c r="D1633" s="1" t="s">
        <v>1421</v>
      </c>
      <c r="E1633" s="1" t="s">
        <v>1372</v>
      </c>
      <c r="F1633" s="1" t="s">
        <v>1373</v>
      </c>
      <c r="G1633" s="1">
        <v>0.0</v>
      </c>
      <c r="H1633" s="2">
        <v>0.12638888888888888</v>
      </c>
    </row>
    <row r="1634">
      <c r="A1634" s="1" t="s">
        <v>1362</v>
      </c>
      <c r="B1634" s="1" t="s">
        <v>903</v>
      </c>
      <c r="C1634" s="1">
        <v>33.0</v>
      </c>
      <c r="D1634" s="1" t="s">
        <v>1422</v>
      </c>
      <c r="E1634" s="1" t="s">
        <v>1396</v>
      </c>
      <c r="F1634" s="1" t="s">
        <v>1397</v>
      </c>
      <c r="G1634" s="1">
        <v>0.0</v>
      </c>
      <c r="H1634" s="2">
        <v>0.14791666666666667</v>
      </c>
    </row>
    <row r="1635">
      <c r="A1635" s="1" t="s">
        <v>1362</v>
      </c>
      <c r="B1635" s="1" t="s">
        <v>903</v>
      </c>
      <c r="C1635" s="1">
        <v>34.0</v>
      </c>
      <c r="D1635" s="1" t="s">
        <v>1423</v>
      </c>
      <c r="E1635" s="1" t="s">
        <v>1424</v>
      </c>
      <c r="F1635" s="1" t="s">
        <v>1425</v>
      </c>
      <c r="G1635" s="1">
        <v>0.0</v>
      </c>
      <c r="H1635" s="2">
        <v>0.2111111111111111</v>
      </c>
    </row>
    <row r="1636">
      <c r="A1636" s="1" t="s">
        <v>1362</v>
      </c>
      <c r="B1636" s="1" t="s">
        <v>903</v>
      </c>
      <c r="C1636" s="1">
        <v>35.0</v>
      </c>
      <c r="D1636" s="1" t="s">
        <v>1426</v>
      </c>
      <c r="E1636" s="1" t="s">
        <v>1372</v>
      </c>
      <c r="F1636" s="1" t="s">
        <v>1373</v>
      </c>
      <c r="G1636" s="1">
        <v>0.0</v>
      </c>
      <c r="H1636" s="2">
        <v>0.13125</v>
      </c>
    </row>
    <row r="1637">
      <c r="A1637" s="1" t="s">
        <v>1362</v>
      </c>
      <c r="B1637" s="1" t="s">
        <v>903</v>
      </c>
      <c r="C1637" s="1">
        <v>36.0</v>
      </c>
      <c r="D1637" s="1" t="s">
        <v>1427</v>
      </c>
      <c r="E1637" s="1" t="s">
        <v>1428</v>
      </c>
      <c r="F1637" s="1" t="s">
        <v>1429</v>
      </c>
      <c r="G1637" s="1">
        <v>0.0</v>
      </c>
      <c r="H1637" s="2">
        <v>0.2375</v>
      </c>
    </row>
    <row r="1638">
      <c r="A1638" s="1" t="s">
        <v>1362</v>
      </c>
      <c r="B1638" s="1" t="s">
        <v>903</v>
      </c>
      <c r="C1638" s="1">
        <v>37.0</v>
      </c>
      <c r="D1638" s="1" t="s">
        <v>1430</v>
      </c>
      <c r="E1638" s="1" t="s">
        <v>1385</v>
      </c>
      <c r="F1638" s="1" t="s">
        <v>1386</v>
      </c>
      <c r="G1638" s="1">
        <v>0.0</v>
      </c>
      <c r="H1638" s="2">
        <v>0.16527777777777777</v>
      </c>
    </row>
    <row r="1639">
      <c r="A1639" s="1" t="s">
        <v>1362</v>
      </c>
      <c r="B1639" s="1" t="s">
        <v>903</v>
      </c>
      <c r="C1639" s="1">
        <v>38.0</v>
      </c>
      <c r="D1639" s="1" t="s">
        <v>1431</v>
      </c>
      <c r="E1639" s="1" t="s">
        <v>1432</v>
      </c>
      <c r="F1639" s="1" t="s">
        <v>1433</v>
      </c>
      <c r="G1639" s="1">
        <v>0.0</v>
      </c>
      <c r="H1639" s="2">
        <v>0.22777777777777777</v>
      </c>
    </row>
    <row r="1640">
      <c r="A1640" s="1" t="s">
        <v>1362</v>
      </c>
      <c r="B1640" s="1" t="s">
        <v>903</v>
      </c>
      <c r="C1640" s="1">
        <v>39.0</v>
      </c>
      <c r="D1640" s="1" t="s">
        <v>1434</v>
      </c>
      <c r="E1640" s="1" t="s">
        <v>1400</v>
      </c>
      <c r="F1640" s="1" t="s">
        <v>1435</v>
      </c>
      <c r="G1640" s="1">
        <v>0.0</v>
      </c>
      <c r="H1640" s="2">
        <v>0.21805555555555556</v>
      </c>
    </row>
    <row r="1641">
      <c r="A1641" s="1" t="s">
        <v>1362</v>
      </c>
      <c r="B1641" s="1" t="s">
        <v>903</v>
      </c>
      <c r="C1641" s="1">
        <v>40.0</v>
      </c>
      <c r="D1641" s="1" t="s">
        <v>1436</v>
      </c>
      <c r="E1641" s="1" t="s">
        <v>1437</v>
      </c>
      <c r="F1641" s="1" t="s">
        <v>1436</v>
      </c>
      <c r="G1641" s="1">
        <v>0.0</v>
      </c>
      <c r="H1641" s="2">
        <v>0.20625</v>
      </c>
    </row>
    <row r="1642">
      <c r="A1642" s="1" t="s">
        <v>1362</v>
      </c>
      <c r="B1642" s="1" t="s">
        <v>903</v>
      </c>
      <c r="C1642" s="1">
        <v>41.0</v>
      </c>
      <c r="D1642" s="1" t="s">
        <v>1438</v>
      </c>
      <c r="E1642" s="1" t="s">
        <v>1439</v>
      </c>
      <c r="F1642" s="1" t="s">
        <v>1438</v>
      </c>
      <c r="G1642" s="1">
        <v>0.0</v>
      </c>
      <c r="H1642" s="2">
        <v>0.12638888888888888</v>
      </c>
    </row>
    <row r="1643">
      <c r="A1643" s="1" t="s">
        <v>1362</v>
      </c>
      <c r="B1643" s="1" t="s">
        <v>903</v>
      </c>
      <c r="C1643" s="1">
        <v>42.0</v>
      </c>
      <c r="D1643" s="1" t="s">
        <v>1440</v>
      </c>
      <c r="E1643" s="1" t="s">
        <v>1441</v>
      </c>
      <c r="F1643" s="1" t="s">
        <v>1442</v>
      </c>
      <c r="G1643" s="1">
        <v>0.0</v>
      </c>
      <c r="H1643" s="2">
        <v>0.15416666666666667</v>
      </c>
    </row>
    <row r="1644">
      <c r="A1644" s="1" t="s">
        <v>1362</v>
      </c>
      <c r="B1644" s="1" t="s">
        <v>903</v>
      </c>
      <c r="C1644" s="1">
        <v>43.0</v>
      </c>
      <c r="D1644" s="1" t="s">
        <v>1443</v>
      </c>
      <c r="E1644" s="1" t="s">
        <v>1444</v>
      </c>
      <c r="F1644" s="1" t="s">
        <v>1445</v>
      </c>
      <c r="G1644" s="1">
        <v>0.0</v>
      </c>
      <c r="H1644" s="2">
        <v>0.24444444444444444</v>
      </c>
    </row>
    <row r="1645">
      <c r="A1645" s="1" t="s">
        <v>1362</v>
      </c>
      <c r="B1645" s="1" t="s">
        <v>903</v>
      </c>
      <c r="C1645" s="1">
        <v>44.0</v>
      </c>
      <c r="D1645" s="1" t="s">
        <v>1446</v>
      </c>
      <c r="E1645" s="1" t="s">
        <v>1447</v>
      </c>
      <c r="F1645" s="1" t="s">
        <v>1448</v>
      </c>
      <c r="G1645" s="1">
        <v>0.0</v>
      </c>
      <c r="H1645" s="2">
        <v>0.17222222222222222</v>
      </c>
    </row>
    <row r="1646">
      <c r="A1646" s="1" t="s">
        <v>1362</v>
      </c>
      <c r="B1646" s="1" t="s">
        <v>903</v>
      </c>
      <c r="C1646" s="1">
        <v>45.0</v>
      </c>
      <c r="D1646" s="1" t="s">
        <v>1449</v>
      </c>
      <c r="E1646" s="1" t="s">
        <v>1450</v>
      </c>
      <c r="F1646" s="1" t="s">
        <v>1451</v>
      </c>
      <c r="G1646" s="1">
        <v>0.0</v>
      </c>
      <c r="H1646" s="2">
        <v>0.2048611111111111</v>
      </c>
    </row>
    <row r="1647">
      <c r="A1647" s="1" t="s">
        <v>1362</v>
      </c>
      <c r="B1647" s="1" t="s">
        <v>903</v>
      </c>
      <c r="C1647" s="1">
        <v>46.0</v>
      </c>
      <c r="D1647" s="1" t="s">
        <v>752</v>
      </c>
      <c r="E1647" s="1" t="s">
        <v>1366</v>
      </c>
      <c r="F1647" s="1" t="s">
        <v>1367</v>
      </c>
      <c r="G1647" s="1">
        <v>0.0</v>
      </c>
      <c r="H1647" s="2">
        <v>0.175</v>
      </c>
    </row>
    <row r="1648">
      <c r="A1648" s="1" t="s">
        <v>1362</v>
      </c>
      <c r="B1648" s="1" t="s">
        <v>903</v>
      </c>
      <c r="C1648" s="1">
        <v>47.0</v>
      </c>
      <c r="D1648" s="1" t="s">
        <v>1452</v>
      </c>
      <c r="E1648" s="1" t="s">
        <v>1372</v>
      </c>
      <c r="F1648" s="1" t="s">
        <v>1373</v>
      </c>
      <c r="G1648" s="1">
        <v>0.0</v>
      </c>
      <c r="H1648" s="2">
        <v>0.14097222222222222</v>
      </c>
    </row>
    <row r="1649">
      <c r="A1649" s="1" t="s">
        <v>1362</v>
      </c>
      <c r="B1649" s="1" t="s">
        <v>903</v>
      </c>
      <c r="C1649" s="1">
        <v>48.0</v>
      </c>
      <c r="D1649" s="1" t="s">
        <v>1453</v>
      </c>
      <c r="E1649" s="1" t="s">
        <v>1454</v>
      </c>
      <c r="F1649" s="1" t="s">
        <v>1455</v>
      </c>
      <c r="G1649" s="1">
        <v>0.0</v>
      </c>
      <c r="H1649" s="2">
        <v>0.20069444444444445</v>
      </c>
    </row>
    <row r="1650">
      <c r="A1650" s="1" t="s">
        <v>1362</v>
      </c>
      <c r="B1650" s="1" t="s">
        <v>903</v>
      </c>
      <c r="C1650" s="1">
        <v>49.0</v>
      </c>
      <c r="D1650" s="1" t="s">
        <v>1456</v>
      </c>
      <c r="E1650" s="1" t="s">
        <v>1457</v>
      </c>
      <c r="F1650" s="1" t="s">
        <v>1458</v>
      </c>
      <c r="G1650" s="1">
        <v>0.0</v>
      </c>
      <c r="H1650" s="2">
        <v>0.17083333333333334</v>
      </c>
    </row>
    <row r="1651">
      <c r="A1651" s="1" t="s">
        <v>1362</v>
      </c>
      <c r="B1651" s="1" t="s">
        <v>903</v>
      </c>
      <c r="C1651" s="1">
        <v>50.0</v>
      </c>
      <c r="D1651" s="1" t="s">
        <v>1459</v>
      </c>
      <c r="E1651" s="1" t="s">
        <v>1460</v>
      </c>
      <c r="F1651" s="1" t="s">
        <v>1461</v>
      </c>
      <c r="G1651" s="1">
        <v>0.0</v>
      </c>
      <c r="H1651" s="2">
        <v>0.20555555555555555</v>
      </c>
    </row>
    <row r="1652">
      <c r="A1652" s="1" t="s">
        <v>1462</v>
      </c>
      <c r="B1652" s="1" t="s">
        <v>250</v>
      </c>
      <c r="C1652" s="1">
        <v>1.0</v>
      </c>
      <c r="D1652" s="1" t="s">
        <v>17</v>
      </c>
      <c r="E1652" s="1" t="s">
        <v>18</v>
      </c>
      <c r="F1652" s="1" t="s">
        <v>19</v>
      </c>
      <c r="G1652" s="1">
        <v>1.0</v>
      </c>
      <c r="H1652" s="2">
        <v>0.12222222222222222</v>
      </c>
    </row>
    <row r="1653">
      <c r="A1653" s="1" t="s">
        <v>1462</v>
      </c>
      <c r="B1653" s="1" t="s">
        <v>250</v>
      </c>
      <c r="C1653" s="1">
        <v>2.0</v>
      </c>
      <c r="D1653" s="1" t="s">
        <v>11</v>
      </c>
      <c r="E1653" s="1" t="s">
        <v>12</v>
      </c>
      <c r="F1653" s="1" t="s">
        <v>13</v>
      </c>
      <c r="G1653" s="1">
        <v>0.0</v>
      </c>
      <c r="H1653" s="2">
        <v>0.1388888888888889</v>
      </c>
    </row>
    <row r="1654">
      <c r="A1654" s="1" t="s">
        <v>1462</v>
      </c>
      <c r="B1654" s="1" t="s">
        <v>250</v>
      </c>
      <c r="C1654" s="1">
        <v>3.0</v>
      </c>
      <c r="D1654" s="1" t="s">
        <v>14</v>
      </c>
      <c r="E1654" s="1" t="s">
        <v>15</v>
      </c>
      <c r="F1654" s="1" t="s">
        <v>16</v>
      </c>
      <c r="G1654" s="1">
        <v>1.0</v>
      </c>
      <c r="H1654" s="2">
        <v>0.12569444444444444</v>
      </c>
    </row>
    <row r="1655">
      <c r="A1655" s="1" t="s">
        <v>1462</v>
      </c>
      <c r="B1655" s="1" t="s">
        <v>250</v>
      </c>
      <c r="C1655" s="1">
        <v>4.0</v>
      </c>
      <c r="D1655" s="1" t="s">
        <v>36</v>
      </c>
      <c r="E1655" s="1" t="s">
        <v>37</v>
      </c>
      <c r="F1655" s="1" t="s">
        <v>36</v>
      </c>
      <c r="G1655" s="1">
        <v>1.0</v>
      </c>
      <c r="H1655" s="2">
        <v>0.09166666666666666</v>
      </c>
    </row>
    <row r="1656">
      <c r="A1656" s="1" t="s">
        <v>1462</v>
      </c>
      <c r="B1656" s="1" t="s">
        <v>250</v>
      </c>
      <c r="C1656" s="1">
        <v>5.0</v>
      </c>
      <c r="D1656" s="1" t="s">
        <v>25</v>
      </c>
      <c r="E1656" s="1" t="s">
        <v>26</v>
      </c>
      <c r="F1656" s="1" t="s">
        <v>25</v>
      </c>
      <c r="G1656" s="1">
        <v>1.0</v>
      </c>
      <c r="H1656" s="2">
        <v>0.11458333333333333</v>
      </c>
    </row>
    <row r="1657">
      <c r="A1657" s="1" t="s">
        <v>1462</v>
      </c>
      <c r="B1657" s="1" t="s">
        <v>250</v>
      </c>
      <c r="C1657" s="1">
        <v>6.0</v>
      </c>
      <c r="D1657" s="1" t="s">
        <v>9</v>
      </c>
      <c r="E1657" s="1" t="s">
        <v>10</v>
      </c>
      <c r="F1657" s="1" t="s">
        <v>9</v>
      </c>
      <c r="G1657" s="1">
        <v>0.0</v>
      </c>
      <c r="H1657" s="2">
        <v>0.12638888888888888</v>
      </c>
    </row>
    <row r="1658">
      <c r="A1658" s="1" t="s">
        <v>1462</v>
      </c>
      <c r="B1658" s="1" t="s">
        <v>250</v>
      </c>
      <c r="C1658" s="1">
        <v>7.0</v>
      </c>
      <c r="D1658" s="1" t="s">
        <v>20</v>
      </c>
      <c r="E1658" s="1" t="s">
        <v>21</v>
      </c>
      <c r="F1658" s="1" t="s">
        <v>22</v>
      </c>
      <c r="G1658" s="1">
        <v>1.0</v>
      </c>
      <c r="H1658" s="2">
        <v>0.17152777777777778</v>
      </c>
    </row>
    <row r="1659">
      <c r="A1659" s="1" t="s">
        <v>1462</v>
      </c>
      <c r="B1659" s="1" t="s">
        <v>250</v>
      </c>
      <c r="C1659" s="1">
        <v>8.0</v>
      </c>
      <c r="D1659" s="1" t="s">
        <v>41</v>
      </c>
      <c r="E1659" s="1" t="s">
        <v>42</v>
      </c>
      <c r="F1659" s="1" t="s">
        <v>43</v>
      </c>
      <c r="G1659" s="1">
        <v>1.0</v>
      </c>
      <c r="H1659" s="2">
        <v>0.1361111111111111</v>
      </c>
    </row>
    <row r="1660">
      <c r="A1660" s="1" t="s">
        <v>1462</v>
      </c>
      <c r="B1660" s="1" t="s">
        <v>250</v>
      </c>
      <c r="C1660" s="1">
        <v>9.0</v>
      </c>
      <c r="D1660" s="1" t="s">
        <v>38</v>
      </c>
      <c r="E1660" s="1" t="s">
        <v>39</v>
      </c>
      <c r="F1660" s="1" t="s">
        <v>40</v>
      </c>
      <c r="G1660" s="1">
        <v>1.0</v>
      </c>
      <c r="H1660" s="2">
        <v>0.1125</v>
      </c>
    </row>
    <row r="1661">
      <c r="A1661" s="1" t="s">
        <v>1462</v>
      </c>
      <c r="B1661" s="1" t="s">
        <v>250</v>
      </c>
      <c r="C1661" s="1">
        <v>10.0</v>
      </c>
      <c r="D1661" s="1" t="s">
        <v>23</v>
      </c>
      <c r="E1661" s="1" t="s">
        <v>24</v>
      </c>
      <c r="F1661" s="1" t="s">
        <v>23</v>
      </c>
      <c r="G1661" s="1">
        <v>0.0</v>
      </c>
      <c r="H1661" s="2">
        <v>0.12013888888888889</v>
      </c>
    </row>
    <row r="1662">
      <c r="A1662" s="1" t="s">
        <v>1462</v>
      </c>
      <c r="B1662" s="1" t="s">
        <v>250</v>
      </c>
      <c r="C1662" s="1">
        <v>11.0</v>
      </c>
      <c r="D1662" s="1" t="s">
        <v>88</v>
      </c>
      <c r="E1662" s="1" t="s">
        <v>89</v>
      </c>
      <c r="F1662" s="1" t="s">
        <v>90</v>
      </c>
      <c r="G1662" s="1">
        <v>1.0</v>
      </c>
      <c r="H1662" s="2">
        <v>0.09652777777777778</v>
      </c>
    </row>
    <row r="1663">
      <c r="A1663" s="1" t="s">
        <v>1462</v>
      </c>
      <c r="B1663" s="1" t="s">
        <v>250</v>
      </c>
      <c r="C1663" s="1">
        <v>12.0</v>
      </c>
      <c r="D1663" s="1" t="s">
        <v>44</v>
      </c>
      <c r="E1663" s="1" t="s">
        <v>45</v>
      </c>
      <c r="F1663" s="1" t="s">
        <v>44</v>
      </c>
      <c r="G1663" s="1">
        <v>0.0</v>
      </c>
      <c r="H1663" s="2">
        <v>0.12222222222222222</v>
      </c>
    </row>
    <row r="1664">
      <c r="A1664" s="1" t="s">
        <v>1462</v>
      </c>
      <c r="B1664" s="1" t="s">
        <v>250</v>
      </c>
      <c r="C1664" s="1">
        <v>13.0</v>
      </c>
      <c r="D1664" s="1" t="s">
        <v>54</v>
      </c>
      <c r="E1664" s="1" t="s">
        <v>55</v>
      </c>
      <c r="F1664" s="1" t="s">
        <v>56</v>
      </c>
      <c r="G1664" s="1">
        <v>0.0</v>
      </c>
      <c r="H1664" s="2">
        <v>0.10972222222222222</v>
      </c>
    </row>
    <row r="1665">
      <c r="A1665" s="1" t="s">
        <v>1462</v>
      </c>
      <c r="B1665" s="1" t="s">
        <v>250</v>
      </c>
      <c r="C1665" s="1">
        <v>14.0</v>
      </c>
      <c r="D1665" s="1" t="s">
        <v>27</v>
      </c>
      <c r="E1665" s="1" t="s">
        <v>28</v>
      </c>
      <c r="F1665" s="1" t="s">
        <v>29</v>
      </c>
      <c r="G1665" s="1">
        <v>0.0</v>
      </c>
      <c r="H1665" s="2">
        <v>0.12708333333333333</v>
      </c>
    </row>
    <row r="1666">
      <c r="A1666" s="1" t="s">
        <v>1462</v>
      </c>
      <c r="B1666" s="1" t="s">
        <v>250</v>
      </c>
      <c r="C1666" s="1">
        <v>15.0</v>
      </c>
      <c r="D1666" s="1" t="s">
        <v>80</v>
      </c>
      <c r="E1666" s="1" t="s">
        <v>81</v>
      </c>
      <c r="F1666" s="1" t="s">
        <v>82</v>
      </c>
      <c r="G1666" s="1">
        <v>0.0</v>
      </c>
      <c r="H1666" s="2">
        <v>0.12083333333333333</v>
      </c>
    </row>
    <row r="1667">
      <c r="A1667" s="1" t="s">
        <v>1462</v>
      </c>
      <c r="B1667" s="1" t="s">
        <v>250</v>
      </c>
      <c r="C1667" s="1">
        <v>16.0</v>
      </c>
      <c r="D1667" s="1" t="s">
        <v>60</v>
      </c>
      <c r="E1667" s="1" t="s">
        <v>61</v>
      </c>
      <c r="F1667" s="1" t="s">
        <v>62</v>
      </c>
      <c r="G1667" s="1">
        <v>0.0</v>
      </c>
      <c r="H1667" s="2">
        <v>0.11041666666666666</v>
      </c>
    </row>
    <row r="1668">
      <c r="A1668" s="1" t="s">
        <v>1462</v>
      </c>
      <c r="B1668" s="1" t="s">
        <v>250</v>
      </c>
      <c r="C1668" s="1">
        <v>17.0</v>
      </c>
      <c r="D1668" s="1" t="s">
        <v>91</v>
      </c>
      <c r="E1668" s="1" t="s">
        <v>58</v>
      </c>
      <c r="F1668" s="1" t="s">
        <v>91</v>
      </c>
      <c r="G1668" s="1">
        <v>0.0</v>
      </c>
      <c r="H1668" s="2">
        <v>0.09305555555555556</v>
      </c>
    </row>
    <row r="1669">
      <c r="A1669" s="1" t="s">
        <v>1462</v>
      </c>
      <c r="B1669" s="1" t="s">
        <v>250</v>
      </c>
      <c r="C1669" s="1">
        <v>18.0</v>
      </c>
      <c r="D1669" s="1" t="s">
        <v>47</v>
      </c>
      <c r="E1669" s="1" t="s">
        <v>48</v>
      </c>
      <c r="F1669" s="1" t="s">
        <v>49</v>
      </c>
      <c r="G1669" s="1">
        <v>1.0</v>
      </c>
      <c r="H1669" s="2">
        <v>0.15486111111111112</v>
      </c>
    </row>
    <row r="1670">
      <c r="A1670" s="1" t="s">
        <v>1462</v>
      </c>
      <c r="B1670" s="1" t="s">
        <v>250</v>
      </c>
      <c r="C1670" s="1">
        <v>19.0</v>
      </c>
      <c r="D1670" s="1" t="s">
        <v>73</v>
      </c>
      <c r="E1670" s="1" t="s">
        <v>74</v>
      </c>
      <c r="F1670" s="1" t="s">
        <v>75</v>
      </c>
      <c r="G1670" s="1">
        <v>0.0</v>
      </c>
      <c r="H1670" s="2">
        <v>0.14930555555555555</v>
      </c>
    </row>
    <row r="1671">
      <c r="A1671" s="1" t="s">
        <v>1462</v>
      </c>
      <c r="B1671" s="1" t="s">
        <v>250</v>
      </c>
      <c r="C1671" s="1">
        <v>20.0</v>
      </c>
      <c r="D1671" s="1" t="s">
        <v>115</v>
      </c>
      <c r="E1671" s="1" t="s">
        <v>116</v>
      </c>
      <c r="F1671" s="1" t="s">
        <v>117</v>
      </c>
      <c r="G1671" s="1">
        <v>1.0</v>
      </c>
      <c r="H1671" s="2">
        <v>0.11597222222222223</v>
      </c>
    </row>
    <row r="1672">
      <c r="A1672" s="1" t="s">
        <v>1462</v>
      </c>
      <c r="B1672" s="1" t="s">
        <v>250</v>
      </c>
      <c r="C1672" s="1">
        <v>21.0</v>
      </c>
      <c r="D1672" s="1" t="s">
        <v>104</v>
      </c>
      <c r="E1672" s="1" t="s">
        <v>84</v>
      </c>
      <c r="F1672" s="1" t="s">
        <v>104</v>
      </c>
      <c r="G1672" s="1">
        <v>1.0</v>
      </c>
      <c r="H1672" s="2">
        <v>0.12152777777777778</v>
      </c>
    </row>
    <row r="1673">
      <c r="A1673" s="1" t="s">
        <v>1462</v>
      </c>
      <c r="B1673" s="1" t="s">
        <v>250</v>
      </c>
      <c r="C1673" s="1">
        <v>22.0</v>
      </c>
      <c r="D1673" s="1" t="s">
        <v>101</v>
      </c>
      <c r="E1673" s="1" t="s">
        <v>102</v>
      </c>
      <c r="F1673" s="1" t="s">
        <v>103</v>
      </c>
      <c r="G1673" s="1">
        <v>1.0</v>
      </c>
      <c r="H1673" s="2">
        <v>0.16458333333333333</v>
      </c>
    </row>
    <row r="1674">
      <c r="A1674" s="1" t="s">
        <v>1462</v>
      </c>
      <c r="B1674" s="1" t="s">
        <v>250</v>
      </c>
      <c r="C1674" s="1">
        <v>23.0</v>
      </c>
      <c r="D1674" s="1" t="s">
        <v>46</v>
      </c>
      <c r="E1674" s="1" t="s">
        <v>28</v>
      </c>
      <c r="F1674" s="1" t="s">
        <v>29</v>
      </c>
      <c r="G1674" s="1">
        <v>0.0</v>
      </c>
      <c r="H1674" s="2">
        <v>0.15347222222222223</v>
      </c>
    </row>
    <row r="1675">
      <c r="A1675" s="1" t="s">
        <v>1462</v>
      </c>
      <c r="B1675" s="1" t="s">
        <v>250</v>
      </c>
      <c r="C1675" s="1">
        <v>24.0</v>
      </c>
      <c r="D1675" s="1" t="s">
        <v>53</v>
      </c>
      <c r="E1675" s="1" t="s">
        <v>12</v>
      </c>
      <c r="F1675" s="1" t="s">
        <v>13</v>
      </c>
      <c r="G1675" s="1">
        <v>1.0</v>
      </c>
      <c r="H1675" s="2">
        <v>0.16458333333333333</v>
      </c>
    </row>
    <row r="1676">
      <c r="A1676" s="1" t="s">
        <v>1462</v>
      </c>
      <c r="B1676" s="1" t="s">
        <v>250</v>
      </c>
      <c r="C1676" s="1">
        <v>25.0</v>
      </c>
      <c r="D1676" s="1" t="s">
        <v>105</v>
      </c>
      <c r="E1676" s="1" t="s">
        <v>106</v>
      </c>
      <c r="F1676" s="1" t="s">
        <v>105</v>
      </c>
      <c r="G1676" s="1">
        <v>0.0</v>
      </c>
      <c r="H1676" s="2">
        <v>0.11527777777777778</v>
      </c>
    </row>
    <row r="1677">
      <c r="A1677" s="1" t="s">
        <v>1462</v>
      </c>
      <c r="B1677" s="1" t="s">
        <v>250</v>
      </c>
      <c r="C1677" s="1">
        <v>26.0</v>
      </c>
      <c r="D1677" s="1" t="s">
        <v>57</v>
      </c>
      <c r="E1677" s="1" t="s">
        <v>58</v>
      </c>
      <c r="F1677" s="1" t="s">
        <v>59</v>
      </c>
      <c r="G1677" s="1">
        <v>1.0</v>
      </c>
      <c r="H1677" s="2">
        <v>0.16458333333333333</v>
      </c>
    </row>
    <row r="1678">
      <c r="A1678" s="1" t="s">
        <v>1462</v>
      </c>
      <c r="B1678" s="1" t="s">
        <v>250</v>
      </c>
      <c r="C1678" s="1">
        <v>27.0</v>
      </c>
      <c r="D1678" s="1" t="s">
        <v>30</v>
      </c>
      <c r="E1678" s="1" t="s">
        <v>31</v>
      </c>
      <c r="F1678" s="1" t="s">
        <v>32</v>
      </c>
      <c r="G1678" s="1">
        <v>0.0</v>
      </c>
      <c r="H1678" s="2">
        <v>0.15833333333333333</v>
      </c>
    </row>
    <row r="1679">
      <c r="A1679" s="1" t="s">
        <v>1462</v>
      </c>
      <c r="B1679" s="1" t="s">
        <v>250</v>
      </c>
      <c r="C1679" s="1">
        <v>28.0</v>
      </c>
      <c r="D1679" s="1" t="s">
        <v>78</v>
      </c>
      <c r="E1679" s="1" t="s">
        <v>79</v>
      </c>
      <c r="F1679" s="1" t="s">
        <v>78</v>
      </c>
      <c r="G1679" s="1">
        <v>0.0</v>
      </c>
      <c r="H1679" s="2">
        <v>0.10208333333333333</v>
      </c>
    </row>
    <row r="1680">
      <c r="A1680" s="1" t="s">
        <v>1462</v>
      </c>
      <c r="B1680" s="1" t="s">
        <v>250</v>
      </c>
      <c r="C1680" s="1">
        <v>29.0</v>
      </c>
      <c r="D1680" s="1" t="s">
        <v>33</v>
      </c>
      <c r="E1680" s="1" t="s">
        <v>34</v>
      </c>
      <c r="F1680" s="1" t="s">
        <v>35</v>
      </c>
      <c r="G1680" s="1">
        <v>0.0</v>
      </c>
      <c r="H1680" s="2">
        <v>0.1451388888888889</v>
      </c>
    </row>
    <row r="1681">
      <c r="A1681" s="1" t="s">
        <v>1462</v>
      </c>
      <c r="B1681" s="1" t="s">
        <v>250</v>
      </c>
      <c r="C1681" s="1">
        <v>30.0</v>
      </c>
      <c r="D1681" s="1" t="s">
        <v>92</v>
      </c>
      <c r="E1681" s="1" t="s">
        <v>93</v>
      </c>
      <c r="F1681" s="1" t="s">
        <v>92</v>
      </c>
      <c r="G1681" s="1">
        <v>1.0</v>
      </c>
      <c r="H1681" s="2">
        <v>0.11319444444444444</v>
      </c>
    </row>
    <row r="1682">
      <c r="A1682" s="1" t="s">
        <v>1462</v>
      </c>
      <c r="B1682" s="1" t="s">
        <v>250</v>
      </c>
      <c r="C1682" s="1">
        <v>31.0</v>
      </c>
      <c r="D1682" s="1" t="s">
        <v>107</v>
      </c>
      <c r="E1682" s="1" t="s">
        <v>81</v>
      </c>
      <c r="F1682" s="1" t="s">
        <v>82</v>
      </c>
      <c r="G1682" s="1">
        <v>0.0</v>
      </c>
      <c r="H1682" s="2">
        <v>0.14375</v>
      </c>
    </row>
    <row r="1683">
      <c r="A1683" s="1" t="s">
        <v>1462</v>
      </c>
      <c r="B1683" s="1" t="s">
        <v>250</v>
      </c>
      <c r="C1683" s="1">
        <v>32.0</v>
      </c>
      <c r="D1683" s="1" t="s">
        <v>124</v>
      </c>
      <c r="E1683" s="1" t="s">
        <v>125</v>
      </c>
      <c r="F1683" s="1" t="s">
        <v>126</v>
      </c>
      <c r="G1683" s="1">
        <v>1.0</v>
      </c>
      <c r="H1683" s="2">
        <v>0.15625</v>
      </c>
    </row>
    <row r="1684">
      <c r="A1684" s="1" t="s">
        <v>1462</v>
      </c>
      <c r="B1684" s="1" t="s">
        <v>250</v>
      </c>
      <c r="C1684" s="1">
        <v>33.0</v>
      </c>
      <c r="D1684" s="1" t="s">
        <v>83</v>
      </c>
      <c r="E1684" s="1" t="s">
        <v>84</v>
      </c>
      <c r="F1684" s="1" t="s">
        <v>85</v>
      </c>
      <c r="G1684" s="1">
        <v>1.0</v>
      </c>
      <c r="H1684" s="2">
        <v>0.16875</v>
      </c>
    </row>
    <row r="1685">
      <c r="A1685" s="1" t="s">
        <v>1462</v>
      </c>
      <c r="B1685" s="1" t="s">
        <v>250</v>
      </c>
      <c r="C1685" s="1">
        <v>34.0</v>
      </c>
      <c r="D1685" s="1" t="s">
        <v>96</v>
      </c>
      <c r="E1685" s="1" t="s">
        <v>97</v>
      </c>
      <c r="F1685" s="1" t="s">
        <v>98</v>
      </c>
      <c r="G1685" s="1">
        <v>1.0</v>
      </c>
      <c r="H1685" s="2">
        <v>0.12430555555555556</v>
      </c>
    </row>
    <row r="1686">
      <c r="A1686" s="1" t="s">
        <v>1462</v>
      </c>
      <c r="B1686" s="1" t="s">
        <v>250</v>
      </c>
      <c r="C1686" s="1">
        <v>35.0</v>
      </c>
      <c r="D1686" s="1" t="s">
        <v>99</v>
      </c>
      <c r="E1686" s="1" t="s">
        <v>100</v>
      </c>
      <c r="F1686" s="1" t="s">
        <v>99</v>
      </c>
      <c r="G1686" s="1">
        <v>0.0</v>
      </c>
      <c r="H1686" s="2">
        <v>0.11944444444444445</v>
      </c>
    </row>
    <row r="1687">
      <c r="A1687" s="1" t="s">
        <v>1462</v>
      </c>
      <c r="B1687" s="1" t="s">
        <v>250</v>
      </c>
      <c r="C1687" s="1">
        <v>36.0</v>
      </c>
      <c r="D1687" s="1" t="s">
        <v>233</v>
      </c>
      <c r="E1687" s="1" t="s">
        <v>234</v>
      </c>
      <c r="F1687" s="1" t="s">
        <v>233</v>
      </c>
      <c r="G1687" s="1">
        <v>1.0</v>
      </c>
      <c r="H1687" s="2">
        <v>0.16875</v>
      </c>
    </row>
    <row r="1688">
      <c r="A1688" s="1" t="s">
        <v>1462</v>
      </c>
      <c r="B1688" s="1" t="s">
        <v>250</v>
      </c>
      <c r="C1688" s="1">
        <v>37.0</v>
      </c>
      <c r="D1688" s="1" t="s">
        <v>312</v>
      </c>
      <c r="E1688" s="1" t="s">
        <v>119</v>
      </c>
      <c r="F1688" s="1" t="s">
        <v>312</v>
      </c>
      <c r="G1688" s="1">
        <v>0.0</v>
      </c>
      <c r="H1688" s="2">
        <v>0.1701388888888889</v>
      </c>
    </row>
    <row r="1689">
      <c r="A1689" s="1" t="s">
        <v>1462</v>
      </c>
      <c r="B1689" s="1" t="s">
        <v>250</v>
      </c>
      <c r="C1689" s="1">
        <v>38.0</v>
      </c>
      <c r="D1689" s="1" t="s">
        <v>50</v>
      </c>
      <c r="E1689" s="1" t="s">
        <v>51</v>
      </c>
      <c r="F1689" s="1" t="s">
        <v>52</v>
      </c>
      <c r="G1689" s="1">
        <v>0.0</v>
      </c>
      <c r="H1689" s="2">
        <v>0.14722222222222223</v>
      </c>
    </row>
    <row r="1690">
      <c r="A1690" s="1" t="s">
        <v>1462</v>
      </c>
      <c r="B1690" s="1" t="s">
        <v>250</v>
      </c>
      <c r="C1690" s="1">
        <v>39.0</v>
      </c>
      <c r="D1690" s="1" t="s">
        <v>76</v>
      </c>
      <c r="E1690" s="1" t="s">
        <v>77</v>
      </c>
      <c r="F1690" s="1" t="s">
        <v>76</v>
      </c>
      <c r="G1690" s="1">
        <v>1.0</v>
      </c>
      <c r="H1690" s="2">
        <v>0.14305555555555555</v>
      </c>
    </row>
    <row r="1691">
      <c r="A1691" s="1" t="s">
        <v>1462</v>
      </c>
      <c r="B1691" s="1" t="s">
        <v>250</v>
      </c>
      <c r="C1691" s="1">
        <v>40.0</v>
      </c>
      <c r="D1691" s="1" t="s">
        <v>94</v>
      </c>
      <c r="E1691" s="1" t="s">
        <v>84</v>
      </c>
      <c r="F1691" s="1" t="s">
        <v>95</v>
      </c>
      <c r="G1691" s="1">
        <v>1.0</v>
      </c>
      <c r="H1691" s="2">
        <v>0.21666666666666667</v>
      </c>
    </row>
    <row r="1692">
      <c r="A1692" s="1" t="s">
        <v>1462</v>
      </c>
      <c r="B1692" s="1" t="s">
        <v>250</v>
      </c>
      <c r="C1692" s="1">
        <v>41.0</v>
      </c>
      <c r="D1692" s="1" t="s">
        <v>118</v>
      </c>
      <c r="E1692" s="1" t="s">
        <v>119</v>
      </c>
      <c r="F1692" s="1" t="s">
        <v>120</v>
      </c>
      <c r="G1692" s="1">
        <v>0.0</v>
      </c>
      <c r="H1692" s="2">
        <v>0.13472222222222222</v>
      </c>
    </row>
    <row r="1693">
      <c r="A1693" s="1" t="s">
        <v>1462</v>
      </c>
      <c r="B1693" s="1" t="s">
        <v>250</v>
      </c>
      <c r="C1693" s="1">
        <v>42.0</v>
      </c>
      <c r="D1693" s="1" t="s">
        <v>462</v>
      </c>
      <c r="E1693" s="1" t="s">
        <v>463</v>
      </c>
      <c r="F1693" s="1" t="s">
        <v>464</v>
      </c>
      <c r="G1693" s="1">
        <v>1.0</v>
      </c>
      <c r="H1693" s="2">
        <v>0.14583333333333334</v>
      </c>
    </row>
    <row r="1694">
      <c r="A1694" s="1" t="s">
        <v>1462</v>
      </c>
      <c r="B1694" s="1" t="s">
        <v>250</v>
      </c>
      <c r="C1694" s="1">
        <v>43.0</v>
      </c>
      <c r="D1694" s="1" t="s">
        <v>687</v>
      </c>
      <c r="E1694" s="1" t="s">
        <v>688</v>
      </c>
      <c r="F1694" s="1" t="s">
        <v>687</v>
      </c>
      <c r="G1694" s="1">
        <v>0.0</v>
      </c>
      <c r="H1694" s="2">
        <v>0.19166666666666668</v>
      </c>
    </row>
    <row r="1695">
      <c r="A1695" s="1" t="s">
        <v>1462</v>
      </c>
      <c r="B1695" s="1" t="s">
        <v>250</v>
      </c>
      <c r="C1695" s="1">
        <v>44.0</v>
      </c>
      <c r="D1695" s="1" t="s">
        <v>308</v>
      </c>
      <c r="E1695" s="1" t="s">
        <v>309</v>
      </c>
      <c r="F1695" s="1" t="s">
        <v>308</v>
      </c>
      <c r="G1695" s="1">
        <v>1.0</v>
      </c>
      <c r="H1695" s="2">
        <v>0.07361111111111111</v>
      </c>
    </row>
    <row r="1696">
      <c r="A1696" s="1" t="s">
        <v>1462</v>
      </c>
      <c r="B1696" s="1" t="s">
        <v>250</v>
      </c>
      <c r="C1696" s="1">
        <v>45.0</v>
      </c>
      <c r="D1696" s="1" t="s">
        <v>242</v>
      </c>
      <c r="E1696" s="1" t="s">
        <v>243</v>
      </c>
      <c r="F1696" s="1" t="s">
        <v>242</v>
      </c>
      <c r="G1696" s="1">
        <v>0.0</v>
      </c>
      <c r="H1696" s="2">
        <v>0.12569444444444444</v>
      </c>
    </row>
    <row r="1697">
      <c r="A1697" s="1" t="s">
        <v>1462</v>
      </c>
      <c r="B1697" s="1" t="s">
        <v>250</v>
      </c>
      <c r="C1697" s="1">
        <v>46.0</v>
      </c>
      <c r="D1697" s="1" t="s">
        <v>231</v>
      </c>
      <c r="E1697" s="1" t="s">
        <v>232</v>
      </c>
      <c r="F1697" s="1" t="s">
        <v>231</v>
      </c>
      <c r="G1697" s="1">
        <v>0.0</v>
      </c>
      <c r="H1697" s="2">
        <v>0.10902777777777778</v>
      </c>
    </row>
    <row r="1698">
      <c r="A1698" s="1" t="s">
        <v>1462</v>
      </c>
      <c r="B1698" s="1" t="s">
        <v>250</v>
      </c>
      <c r="C1698" s="1">
        <v>47.0</v>
      </c>
      <c r="D1698" s="1" t="s">
        <v>265</v>
      </c>
      <c r="E1698" s="1" t="s">
        <v>266</v>
      </c>
      <c r="F1698" s="1" t="s">
        <v>265</v>
      </c>
      <c r="G1698" s="1">
        <v>0.0</v>
      </c>
      <c r="H1698" s="2">
        <v>0.125</v>
      </c>
    </row>
    <row r="1699">
      <c r="A1699" s="1" t="s">
        <v>1462</v>
      </c>
      <c r="B1699" s="1" t="s">
        <v>250</v>
      </c>
      <c r="C1699" s="1">
        <v>48.0</v>
      </c>
      <c r="D1699" s="1" t="s">
        <v>63</v>
      </c>
      <c r="E1699" s="1" t="s">
        <v>64</v>
      </c>
      <c r="F1699" s="1" t="s">
        <v>63</v>
      </c>
      <c r="G1699" s="1">
        <v>1.0</v>
      </c>
      <c r="H1699" s="2">
        <v>0.16805555555555557</v>
      </c>
    </row>
    <row r="1700">
      <c r="A1700" s="1" t="s">
        <v>1462</v>
      </c>
      <c r="B1700" s="1" t="s">
        <v>250</v>
      </c>
      <c r="C1700" s="1">
        <v>49.0</v>
      </c>
      <c r="D1700" s="1" t="s">
        <v>244</v>
      </c>
      <c r="E1700" s="1" t="s">
        <v>245</v>
      </c>
      <c r="F1700" s="1" t="s">
        <v>244</v>
      </c>
      <c r="G1700" s="1">
        <v>0.0</v>
      </c>
      <c r="H1700" s="2">
        <v>0.13819444444444445</v>
      </c>
    </row>
    <row r="1701">
      <c r="A1701" s="1" t="s">
        <v>1462</v>
      </c>
      <c r="B1701" s="1" t="s">
        <v>250</v>
      </c>
      <c r="C1701" s="1">
        <v>50.0</v>
      </c>
      <c r="D1701" s="1" t="s">
        <v>1463</v>
      </c>
      <c r="E1701" s="1" t="s">
        <v>1464</v>
      </c>
      <c r="F1701" s="1" t="s">
        <v>1463</v>
      </c>
      <c r="G1701" s="1">
        <v>0.0</v>
      </c>
      <c r="H1701" s="2">
        <v>0.12013888888888889</v>
      </c>
    </row>
    <row r="1702">
      <c r="A1702" s="1" t="s">
        <v>1465</v>
      </c>
      <c r="B1702" s="1" t="s">
        <v>250</v>
      </c>
      <c r="C1702" s="1">
        <v>1.0</v>
      </c>
      <c r="D1702" s="1" t="s">
        <v>11</v>
      </c>
      <c r="E1702" s="1" t="s">
        <v>12</v>
      </c>
      <c r="F1702" s="1" t="s">
        <v>13</v>
      </c>
      <c r="G1702" s="1">
        <v>0.0</v>
      </c>
      <c r="H1702" s="2">
        <v>0.1388888888888889</v>
      </c>
    </row>
    <row r="1703">
      <c r="A1703" s="1" t="s">
        <v>1465</v>
      </c>
      <c r="B1703" s="1" t="s">
        <v>250</v>
      </c>
      <c r="C1703" s="1">
        <v>2.0</v>
      </c>
      <c r="D1703" s="1" t="s">
        <v>17</v>
      </c>
      <c r="E1703" s="1" t="s">
        <v>18</v>
      </c>
      <c r="F1703" s="1" t="s">
        <v>19</v>
      </c>
      <c r="G1703" s="1">
        <v>1.0</v>
      </c>
      <c r="H1703" s="2">
        <v>0.12222222222222222</v>
      </c>
    </row>
    <row r="1704">
      <c r="A1704" s="1" t="s">
        <v>1465</v>
      </c>
      <c r="B1704" s="1" t="s">
        <v>250</v>
      </c>
      <c r="C1704" s="1">
        <v>3.0</v>
      </c>
      <c r="D1704" s="1" t="s">
        <v>9</v>
      </c>
      <c r="E1704" s="1" t="s">
        <v>10</v>
      </c>
      <c r="F1704" s="1" t="s">
        <v>9</v>
      </c>
      <c r="G1704" s="1">
        <v>0.0</v>
      </c>
      <c r="H1704" s="2">
        <v>0.12638888888888888</v>
      </c>
    </row>
    <row r="1705">
      <c r="A1705" s="1" t="s">
        <v>1465</v>
      </c>
      <c r="B1705" s="1" t="s">
        <v>250</v>
      </c>
      <c r="C1705" s="1">
        <v>4.0</v>
      </c>
      <c r="D1705" s="1" t="s">
        <v>14</v>
      </c>
      <c r="E1705" s="1" t="s">
        <v>15</v>
      </c>
      <c r="F1705" s="1" t="s">
        <v>16</v>
      </c>
      <c r="G1705" s="1">
        <v>1.0</v>
      </c>
      <c r="H1705" s="2">
        <v>0.12569444444444444</v>
      </c>
    </row>
    <row r="1706">
      <c r="A1706" s="1" t="s">
        <v>1465</v>
      </c>
      <c r="B1706" s="1" t="s">
        <v>250</v>
      </c>
      <c r="C1706" s="1">
        <v>5.0</v>
      </c>
      <c r="D1706" s="1" t="s">
        <v>25</v>
      </c>
      <c r="E1706" s="1" t="s">
        <v>26</v>
      </c>
      <c r="F1706" s="1" t="s">
        <v>25</v>
      </c>
      <c r="G1706" s="1">
        <v>1.0</v>
      </c>
      <c r="H1706" s="2">
        <v>0.11458333333333333</v>
      </c>
    </row>
    <row r="1707">
      <c r="A1707" s="1" t="s">
        <v>1465</v>
      </c>
      <c r="B1707" s="1" t="s">
        <v>250</v>
      </c>
      <c r="C1707" s="1">
        <v>6.0</v>
      </c>
      <c r="D1707" s="1" t="s">
        <v>44</v>
      </c>
      <c r="E1707" s="1" t="s">
        <v>45</v>
      </c>
      <c r="F1707" s="1" t="s">
        <v>44</v>
      </c>
      <c r="G1707" s="1">
        <v>0.0</v>
      </c>
      <c r="H1707" s="2">
        <v>0.12222222222222222</v>
      </c>
    </row>
    <row r="1708">
      <c r="A1708" s="1" t="s">
        <v>1465</v>
      </c>
      <c r="B1708" s="1" t="s">
        <v>250</v>
      </c>
      <c r="C1708" s="1">
        <v>7.0</v>
      </c>
      <c r="D1708" s="1" t="s">
        <v>53</v>
      </c>
      <c r="E1708" s="1" t="s">
        <v>12</v>
      </c>
      <c r="F1708" s="1" t="s">
        <v>13</v>
      </c>
      <c r="G1708" s="1">
        <v>1.0</v>
      </c>
      <c r="H1708" s="2">
        <v>0.16458333333333333</v>
      </c>
    </row>
    <row r="1709">
      <c r="A1709" s="1" t="s">
        <v>1465</v>
      </c>
      <c r="B1709" s="1" t="s">
        <v>250</v>
      </c>
      <c r="C1709" s="1">
        <v>8.0</v>
      </c>
      <c r="D1709" s="1" t="s">
        <v>20</v>
      </c>
      <c r="E1709" s="1" t="s">
        <v>21</v>
      </c>
      <c r="F1709" s="1" t="s">
        <v>22</v>
      </c>
      <c r="G1709" s="1">
        <v>1.0</v>
      </c>
      <c r="H1709" s="2">
        <v>0.17152777777777778</v>
      </c>
    </row>
    <row r="1710">
      <c r="A1710" s="1" t="s">
        <v>1465</v>
      </c>
      <c r="B1710" s="1" t="s">
        <v>250</v>
      </c>
      <c r="C1710" s="1">
        <v>9.0</v>
      </c>
      <c r="D1710" s="1" t="s">
        <v>46</v>
      </c>
      <c r="E1710" s="1" t="s">
        <v>28</v>
      </c>
      <c r="F1710" s="1" t="s">
        <v>29</v>
      </c>
      <c r="G1710" s="1">
        <v>0.0</v>
      </c>
      <c r="H1710" s="2">
        <v>0.15347222222222223</v>
      </c>
    </row>
    <row r="1711">
      <c r="A1711" s="1" t="s">
        <v>1465</v>
      </c>
      <c r="B1711" s="1" t="s">
        <v>250</v>
      </c>
      <c r="C1711" s="1">
        <v>10.0</v>
      </c>
      <c r="D1711" s="1" t="s">
        <v>27</v>
      </c>
      <c r="E1711" s="1" t="s">
        <v>28</v>
      </c>
      <c r="F1711" s="1" t="s">
        <v>29</v>
      </c>
      <c r="G1711" s="1">
        <v>0.0</v>
      </c>
      <c r="H1711" s="2">
        <v>0.12708333333333333</v>
      </c>
    </row>
    <row r="1712">
      <c r="A1712" s="1" t="s">
        <v>1465</v>
      </c>
      <c r="B1712" s="1" t="s">
        <v>250</v>
      </c>
      <c r="C1712" s="1">
        <v>11.0</v>
      </c>
      <c r="D1712" s="1" t="s">
        <v>80</v>
      </c>
      <c r="E1712" s="1" t="s">
        <v>81</v>
      </c>
      <c r="F1712" s="1" t="s">
        <v>82</v>
      </c>
      <c r="G1712" s="1">
        <v>0.0</v>
      </c>
      <c r="H1712" s="2">
        <v>0.12083333333333333</v>
      </c>
    </row>
    <row r="1713">
      <c r="A1713" s="1" t="s">
        <v>1465</v>
      </c>
      <c r="B1713" s="1" t="s">
        <v>250</v>
      </c>
      <c r="C1713" s="1">
        <v>12.0</v>
      </c>
      <c r="D1713" s="1" t="s">
        <v>23</v>
      </c>
      <c r="E1713" s="1" t="s">
        <v>24</v>
      </c>
      <c r="F1713" s="1" t="s">
        <v>23</v>
      </c>
      <c r="G1713" s="1">
        <v>0.0</v>
      </c>
      <c r="H1713" s="2">
        <v>0.12013888888888889</v>
      </c>
    </row>
    <row r="1714">
      <c r="A1714" s="1" t="s">
        <v>1465</v>
      </c>
      <c r="B1714" s="1" t="s">
        <v>250</v>
      </c>
      <c r="C1714" s="1">
        <v>13.0</v>
      </c>
      <c r="D1714" s="1" t="s">
        <v>47</v>
      </c>
      <c r="E1714" s="1" t="s">
        <v>48</v>
      </c>
      <c r="F1714" s="1" t="s">
        <v>49</v>
      </c>
      <c r="G1714" s="1">
        <v>1.0</v>
      </c>
      <c r="H1714" s="2">
        <v>0.15486111111111112</v>
      </c>
    </row>
    <row r="1715">
      <c r="A1715" s="1" t="s">
        <v>1465</v>
      </c>
      <c r="B1715" s="1" t="s">
        <v>250</v>
      </c>
      <c r="C1715" s="1">
        <v>14.0</v>
      </c>
      <c r="D1715" s="1" t="s">
        <v>105</v>
      </c>
      <c r="E1715" s="1" t="s">
        <v>106</v>
      </c>
      <c r="F1715" s="1" t="s">
        <v>105</v>
      </c>
      <c r="G1715" s="1">
        <v>0.0</v>
      </c>
      <c r="H1715" s="2">
        <v>0.11527777777777778</v>
      </c>
    </row>
    <row r="1716">
      <c r="A1716" s="1" t="s">
        <v>1465</v>
      </c>
      <c r="B1716" s="1" t="s">
        <v>250</v>
      </c>
      <c r="C1716" s="1">
        <v>15.0</v>
      </c>
      <c r="D1716" s="1" t="s">
        <v>30</v>
      </c>
      <c r="E1716" s="1" t="s">
        <v>31</v>
      </c>
      <c r="F1716" s="1" t="s">
        <v>32</v>
      </c>
      <c r="G1716" s="1">
        <v>0.0</v>
      </c>
      <c r="H1716" s="2">
        <v>0.15833333333333333</v>
      </c>
    </row>
    <row r="1717">
      <c r="A1717" s="1" t="s">
        <v>1465</v>
      </c>
      <c r="B1717" s="1" t="s">
        <v>250</v>
      </c>
      <c r="C1717" s="1">
        <v>16.0</v>
      </c>
      <c r="D1717" s="1" t="s">
        <v>36</v>
      </c>
      <c r="E1717" s="1" t="s">
        <v>37</v>
      </c>
      <c r="F1717" s="1" t="s">
        <v>36</v>
      </c>
      <c r="G1717" s="1">
        <v>1.0</v>
      </c>
      <c r="H1717" s="2">
        <v>0.09166666666666666</v>
      </c>
    </row>
    <row r="1718">
      <c r="A1718" s="1" t="s">
        <v>1465</v>
      </c>
      <c r="B1718" s="1" t="s">
        <v>250</v>
      </c>
      <c r="C1718" s="1">
        <v>17.0</v>
      </c>
      <c r="D1718" s="1" t="s">
        <v>41</v>
      </c>
      <c r="E1718" s="1" t="s">
        <v>42</v>
      </c>
      <c r="F1718" s="1" t="s">
        <v>43</v>
      </c>
      <c r="G1718" s="1">
        <v>1.0</v>
      </c>
      <c r="H1718" s="2">
        <v>0.1361111111111111</v>
      </c>
    </row>
    <row r="1719">
      <c r="A1719" s="1" t="s">
        <v>1465</v>
      </c>
      <c r="B1719" s="1" t="s">
        <v>250</v>
      </c>
      <c r="C1719" s="1">
        <v>18.0</v>
      </c>
      <c r="D1719" s="1" t="s">
        <v>38</v>
      </c>
      <c r="E1719" s="1" t="s">
        <v>39</v>
      </c>
      <c r="F1719" s="1" t="s">
        <v>40</v>
      </c>
      <c r="G1719" s="1">
        <v>1.0</v>
      </c>
      <c r="H1719" s="2">
        <v>0.1125</v>
      </c>
    </row>
    <row r="1720">
      <c r="A1720" s="1" t="s">
        <v>1465</v>
      </c>
      <c r="B1720" s="1" t="s">
        <v>250</v>
      </c>
      <c r="C1720" s="1">
        <v>19.0</v>
      </c>
      <c r="D1720" s="1" t="s">
        <v>54</v>
      </c>
      <c r="E1720" s="1" t="s">
        <v>55</v>
      </c>
      <c r="F1720" s="1" t="s">
        <v>56</v>
      </c>
      <c r="G1720" s="1">
        <v>0.0</v>
      </c>
      <c r="H1720" s="2">
        <v>0.10972222222222222</v>
      </c>
    </row>
    <row r="1721">
      <c r="A1721" s="1" t="s">
        <v>1465</v>
      </c>
      <c r="B1721" s="1" t="s">
        <v>250</v>
      </c>
      <c r="C1721" s="1">
        <v>20.0</v>
      </c>
      <c r="D1721" s="1" t="s">
        <v>91</v>
      </c>
      <c r="E1721" s="1" t="s">
        <v>58</v>
      </c>
      <c r="F1721" s="1" t="s">
        <v>91</v>
      </c>
      <c r="G1721" s="1">
        <v>0.0</v>
      </c>
      <c r="H1721" s="2">
        <v>0.09305555555555556</v>
      </c>
    </row>
    <row r="1722">
      <c r="A1722" s="1" t="s">
        <v>1465</v>
      </c>
      <c r="B1722" s="1" t="s">
        <v>250</v>
      </c>
      <c r="C1722" s="1">
        <v>21.0</v>
      </c>
      <c r="D1722" s="1" t="s">
        <v>88</v>
      </c>
      <c r="E1722" s="1" t="s">
        <v>89</v>
      </c>
      <c r="F1722" s="1" t="s">
        <v>90</v>
      </c>
      <c r="G1722" s="1">
        <v>1.0</v>
      </c>
      <c r="H1722" s="2">
        <v>0.09652777777777778</v>
      </c>
    </row>
    <row r="1723">
      <c r="A1723" s="1" t="s">
        <v>1465</v>
      </c>
      <c r="B1723" s="1" t="s">
        <v>250</v>
      </c>
      <c r="C1723" s="1">
        <v>22.0</v>
      </c>
      <c r="D1723" s="1" t="s">
        <v>1466</v>
      </c>
      <c r="E1723" s="1" t="s">
        <v>1467</v>
      </c>
      <c r="F1723" s="1" t="s">
        <v>1466</v>
      </c>
      <c r="G1723" s="1">
        <v>0.0</v>
      </c>
      <c r="H1723" s="2">
        <v>0.11805555555555555</v>
      </c>
    </row>
    <row r="1724">
      <c r="A1724" s="1" t="s">
        <v>1465</v>
      </c>
      <c r="B1724" s="1" t="s">
        <v>250</v>
      </c>
      <c r="C1724" s="1">
        <v>23.0</v>
      </c>
      <c r="D1724" s="1" t="s">
        <v>1468</v>
      </c>
      <c r="E1724" s="1" t="s">
        <v>1469</v>
      </c>
      <c r="F1724" s="1" t="s">
        <v>1468</v>
      </c>
      <c r="G1724" s="1">
        <v>0.0</v>
      </c>
      <c r="H1724" s="2">
        <v>0.12430555555555556</v>
      </c>
    </row>
    <row r="1725">
      <c r="A1725" s="1" t="s">
        <v>1465</v>
      </c>
      <c r="B1725" s="1" t="s">
        <v>250</v>
      </c>
      <c r="C1725" s="1">
        <v>24.0</v>
      </c>
      <c r="D1725" s="1" t="s">
        <v>60</v>
      </c>
      <c r="E1725" s="1" t="s">
        <v>61</v>
      </c>
      <c r="F1725" s="1" t="s">
        <v>62</v>
      </c>
      <c r="G1725" s="1">
        <v>0.0</v>
      </c>
      <c r="H1725" s="2">
        <v>0.11041666666666666</v>
      </c>
    </row>
    <row r="1726">
      <c r="A1726" s="1" t="s">
        <v>1465</v>
      </c>
      <c r="B1726" s="1" t="s">
        <v>250</v>
      </c>
      <c r="C1726" s="1">
        <v>25.0</v>
      </c>
      <c r="D1726" s="1" t="s">
        <v>33</v>
      </c>
      <c r="E1726" s="1" t="s">
        <v>34</v>
      </c>
      <c r="F1726" s="1" t="s">
        <v>35</v>
      </c>
      <c r="G1726" s="1">
        <v>0.0</v>
      </c>
      <c r="H1726" s="2">
        <v>0.1451388888888889</v>
      </c>
    </row>
    <row r="1727">
      <c r="A1727" s="1" t="s">
        <v>1465</v>
      </c>
      <c r="B1727" s="1" t="s">
        <v>250</v>
      </c>
      <c r="C1727" s="1">
        <v>26.0</v>
      </c>
      <c r="D1727" s="1" t="s">
        <v>99</v>
      </c>
      <c r="E1727" s="1" t="s">
        <v>100</v>
      </c>
      <c r="F1727" s="1" t="s">
        <v>99</v>
      </c>
      <c r="G1727" s="1">
        <v>0.0</v>
      </c>
      <c r="H1727" s="2">
        <v>0.11944444444444445</v>
      </c>
    </row>
    <row r="1728">
      <c r="A1728" s="1" t="s">
        <v>1465</v>
      </c>
      <c r="B1728" s="1" t="s">
        <v>250</v>
      </c>
      <c r="C1728" s="1">
        <v>27.0</v>
      </c>
      <c r="D1728" s="1" t="s">
        <v>73</v>
      </c>
      <c r="E1728" s="1" t="s">
        <v>74</v>
      </c>
      <c r="F1728" s="1" t="s">
        <v>75</v>
      </c>
      <c r="G1728" s="1">
        <v>0.0</v>
      </c>
      <c r="H1728" s="2">
        <v>0.14930555555555555</v>
      </c>
    </row>
    <row r="1729">
      <c r="A1729" s="1" t="s">
        <v>1465</v>
      </c>
      <c r="B1729" s="1" t="s">
        <v>250</v>
      </c>
      <c r="C1729" s="1">
        <v>28.0</v>
      </c>
      <c r="D1729" s="1" t="s">
        <v>76</v>
      </c>
      <c r="E1729" s="1" t="s">
        <v>77</v>
      </c>
      <c r="F1729" s="1" t="s">
        <v>76</v>
      </c>
      <c r="G1729" s="1">
        <v>1.0</v>
      </c>
      <c r="H1729" s="2">
        <v>0.14305555555555555</v>
      </c>
    </row>
    <row r="1730">
      <c r="A1730" s="1" t="s">
        <v>1465</v>
      </c>
      <c r="B1730" s="1" t="s">
        <v>250</v>
      </c>
      <c r="C1730" s="1">
        <v>29.0</v>
      </c>
      <c r="D1730" s="1" t="s">
        <v>101</v>
      </c>
      <c r="E1730" s="1" t="s">
        <v>102</v>
      </c>
      <c r="F1730" s="1" t="s">
        <v>103</v>
      </c>
      <c r="G1730" s="1">
        <v>1.0</v>
      </c>
      <c r="H1730" s="2">
        <v>0.16458333333333333</v>
      </c>
    </row>
    <row r="1731">
      <c r="A1731" s="1" t="s">
        <v>1465</v>
      </c>
      <c r="B1731" s="1" t="s">
        <v>250</v>
      </c>
      <c r="C1731" s="1">
        <v>30.0</v>
      </c>
      <c r="D1731" s="1" t="s">
        <v>57</v>
      </c>
      <c r="E1731" s="1" t="s">
        <v>58</v>
      </c>
      <c r="F1731" s="1" t="s">
        <v>59</v>
      </c>
      <c r="G1731" s="1">
        <v>1.0</v>
      </c>
      <c r="H1731" s="2">
        <v>0.16458333333333333</v>
      </c>
    </row>
    <row r="1732">
      <c r="A1732" s="1" t="s">
        <v>1465</v>
      </c>
      <c r="B1732" s="1" t="s">
        <v>250</v>
      </c>
      <c r="C1732" s="1">
        <v>31.0</v>
      </c>
      <c r="D1732" s="1" t="s">
        <v>1470</v>
      </c>
      <c r="E1732" s="1" t="s">
        <v>1471</v>
      </c>
      <c r="F1732" s="1" t="s">
        <v>1470</v>
      </c>
      <c r="G1732" s="1">
        <v>1.0</v>
      </c>
      <c r="H1732" s="2">
        <v>0.10416666666666667</v>
      </c>
    </row>
    <row r="1733">
      <c r="A1733" s="1" t="s">
        <v>1465</v>
      </c>
      <c r="B1733" s="1" t="s">
        <v>250</v>
      </c>
      <c r="C1733" s="1">
        <v>32.0</v>
      </c>
      <c r="D1733" s="1" t="s">
        <v>96</v>
      </c>
      <c r="E1733" s="1" t="s">
        <v>97</v>
      </c>
      <c r="F1733" s="1" t="s">
        <v>98</v>
      </c>
      <c r="G1733" s="1">
        <v>1.0</v>
      </c>
      <c r="H1733" s="2">
        <v>0.12430555555555556</v>
      </c>
    </row>
    <row r="1734">
      <c r="A1734" s="1" t="s">
        <v>1465</v>
      </c>
      <c r="B1734" s="1" t="s">
        <v>250</v>
      </c>
      <c r="C1734" s="1">
        <v>33.0</v>
      </c>
      <c r="D1734" s="1" t="s">
        <v>265</v>
      </c>
      <c r="E1734" s="1" t="s">
        <v>266</v>
      </c>
      <c r="F1734" s="1" t="s">
        <v>265</v>
      </c>
      <c r="G1734" s="1">
        <v>0.0</v>
      </c>
      <c r="H1734" s="2">
        <v>0.125</v>
      </c>
    </row>
    <row r="1735">
      <c r="A1735" s="1" t="s">
        <v>1465</v>
      </c>
      <c r="B1735" s="1" t="s">
        <v>250</v>
      </c>
      <c r="C1735" s="1">
        <v>34.0</v>
      </c>
      <c r="D1735" s="1" t="s">
        <v>63</v>
      </c>
      <c r="E1735" s="1" t="s">
        <v>64</v>
      </c>
      <c r="F1735" s="1" t="s">
        <v>63</v>
      </c>
      <c r="G1735" s="1">
        <v>1.0</v>
      </c>
      <c r="H1735" s="2">
        <v>0.16805555555555557</v>
      </c>
    </row>
    <row r="1736">
      <c r="A1736" s="1" t="s">
        <v>1465</v>
      </c>
      <c r="B1736" s="1" t="s">
        <v>250</v>
      </c>
      <c r="C1736" s="1">
        <v>35.0</v>
      </c>
      <c r="D1736" s="1" t="s">
        <v>107</v>
      </c>
      <c r="E1736" s="1" t="s">
        <v>81</v>
      </c>
      <c r="F1736" s="1" t="s">
        <v>82</v>
      </c>
      <c r="G1736" s="1">
        <v>0.0</v>
      </c>
      <c r="H1736" s="2">
        <v>0.14375</v>
      </c>
    </row>
    <row r="1737">
      <c r="A1737" s="1" t="s">
        <v>1465</v>
      </c>
      <c r="B1737" s="1" t="s">
        <v>250</v>
      </c>
      <c r="C1737" s="1">
        <v>36.0</v>
      </c>
      <c r="D1737" s="1" t="s">
        <v>50</v>
      </c>
      <c r="E1737" s="1" t="s">
        <v>51</v>
      </c>
      <c r="F1737" s="1" t="s">
        <v>52</v>
      </c>
      <c r="G1737" s="1">
        <v>0.0</v>
      </c>
      <c r="H1737" s="2">
        <v>0.14722222222222223</v>
      </c>
    </row>
    <row r="1738">
      <c r="A1738" s="1" t="s">
        <v>1465</v>
      </c>
      <c r="B1738" s="1" t="s">
        <v>250</v>
      </c>
      <c r="C1738" s="1">
        <v>37.0</v>
      </c>
      <c r="D1738" s="1" t="s">
        <v>78</v>
      </c>
      <c r="E1738" s="1" t="s">
        <v>79</v>
      </c>
      <c r="F1738" s="1" t="s">
        <v>78</v>
      </c>
      <c r="G1738" s="1">
        <v>0.0</v>
      </c>
      <c r="H1738" s="2">
        <v>0.10208333333333333</v>
      </c>
    </row>
    <row r="1739">
      <c r="A1739" s="1" t="s">
        <v>1465</v>
      </c>
      <c r="B1739" s="1" t="s">
        <v>250</v>
      </c>
      <c r="C1739" s="1">
        <v>38.0</v>
      </c>
      <c r="D1739" s="1" t="s">
        <v>242</v>
      </c>
      <c r="E1739" s="1" t="s">
        <v>243</v>
      </c>
      <c r="F1739" s="1" t="s">
        <v>242</v>
      </c>
      <c r="G1739" s="1">
        <v>0.0</v>
      </c>
      <c r="H1739" s="2">
        <v>0.12569444444444444</v>
      </c>
    </row>
    <row r="1740">
      <c r="A1740" s="1" t="s">
        <v>1465</v>
      </c>
      <c r="B1740" s="1" t="s">
        <v>250</v>
      </c>
      <c r="C1740" s="1">
        <v>39.0</v>
      </c>
      <c r="D1740" s="1" t="s">
        <v>92</v>
      </c>
      <c r="E1740" s="1" t="s">
        <v>93</v>
      </c>
      <c r="F1740" s="1" t="s">
        <v>92</v>
      </c>
      <c r="G1740" s="1">
        <v>1.0</v>
      </c>
      <c r="H1740" s="2">
        <v>0.11319444444444444</v>
      </c>
    </row>
    <row r="1741">
      <c r="A1741" s="1" t="s">
        <v>1465</v>
      </c>
      <c r="B1741" s="1" t="s">
        <v>250</v>
      </c>
      <c r="C1741" s="1">
        <v>40.0</v>
      </c>
      <c r="D1741" s="1" t="s">
        <v>244</v>
      </c>
      <c r="E1741" s="1" t="s">
        <v>245</v>
      </c>
      <c r="F1741" s="1" t="s">
        <v>244</v>
      </c>
      <c r="G1741" s="1">
        <v>0.0</v>
      </c>
      <c r="H1741" s="2">
        <v>0.13819444444444445</v>
      </c>
    </row>
    <row r="1742">
      <c r="A1742" s="1" t="s">
        <v>1465</v>
      </c>
      <c r="B1742" s="1" t="s">
        <v>250</v>
      </c>
      <c r="C1742" s="1">
        <v>41.0</v>
      </c>
      <c r="D1742" s="1" t="s">
        <v>124</v>
      </c>
      <c r="E1742" s="1" t="s">
        <v>125</v>
      </c>
      <c r="F1742" s="1" t="s">
        <v>126</v>
      </c>
      <c r="G1742" s="1">
        <v>1.0</v>
      </c>
      <c r="H1742" s="2">
        <v>0.15625</v>
      </c>
    </row>
    <row r="1743">
      <c r="A1743" s="1" t="s">
        <v>1465</v>
      </c>
      <c r="B1743" s="1" t="s">
        <v>250</v>
      </c>
      <c r="C1743" s="1">
        <v>42.0</v>
      </c>
      <c r="D1743" s="1" t="s">
        <v>115</v>
      </c>
      <c r="E1743" s="1" t="s">
        <v>116</v>
      </c>
      <c r="F1743" s="1" t="s">
        <v>117</v>
      </c>
      <c r="G1743" s="1">
        <v>1.0</v>
      </c>
      <c r="H1743" s="2">
        <v>0.11597222222222223</v>
      </c>
    </row>
    <row r="1744">
      <c r="A1744" s="1" t="s">
        <v>1465</v>
      </c>
      <c r="B1744" s="1" t="s">
        <v>250</v>
      </c>
      <c r="C1744" s="1">
        <v>43.0</v>
      </c>
      <c r="D1744" s="1" t="s">
        <v>118</v>
      </c>
      <c r="E1744" s="1" t="s">
        <v>119</v>
      </c>
      <c r="F1744" s="1" t="s">
        <v>120</v>
      </c>
      <c r="G1744" s="1">
        <v>0.0</v>
      </c>
      <c r="H1744" s="2">
        <v>0.13472222222222222</v>
      </c>
    </row>
    <row r="1745">
      <c r="A1745" s="1" t="s">
        <v>1465</v>
      </c>
      <c r="B1745" s="1" t="s">
        <v>250</v>
      </c>
      <c r="C1745" s="1">
        <v>44.0</v>
      </c>
      <c r="D1745" s="1" t="s">
        <v>104</v>
      </c>
      <c r="E1745" s="1" t="s">
        <v>84</v>
      </c>
      <c r="F1745" s="1" t="s">
        <v>104</v>
      </c>
      <c r="G1745" s="1">
        <v>1.0</v>
      </c>
      <c r="H1745" s="2">
        <v>0.12152777777777778</v>
      </c>
    </row>
    <row r="1746">
      <c r="A1746" s="1" t="s">
        <v>1465</v>
      </c>
      <c r="B1746" s="1" t="s">
        <v>250</v>
      </c>
      <c r="C1746" s="1">
        <v>45.0</v>
      </c>
      <c r="D1746" s="1" t="s">
        <v>304</v>
      </c>
      <c r="E1746" s="1" t="s">
        <v>28</v>
      </c>
      <c r="F1746" s="1" t="s">
        <v>29</v>
      </c>
      <c r="G1746" s="1">
        <v>0.0</v>
      </c>
      <c r="H1746" s="2">
        <v>0.13402777777777777</v>
      </c>
    </row>
    <row r="1747">
      <c r="A1747" s="1" t="s">
        <v>1465</v>
      </c>
      <c r="B1747" s="1" t="s">
        <v>250</v>
      </c>
      <c r="C1747" s="1">
        <v>46.0</v>
      </c>
      <c r="D1747" s="1" t="s">
        <v>312</v>
      </c>
      <c r="E1747" s="1" t="s">
        <v>119</v>
      </c>
      <c r="F1747" s="1" t="s">
        <v>312</v>
      </c>
      <c r="G1747" s="1">
        <v>0.0</v>
      </c>
      <c r="H1747" s="2">
        <v>0.1701388888888889</v>
      </c>
    </row>
    <row r="1748">
      <c r="A1748" s="1" t="s">
        <v>1465</v>
      </c>
      <c r="B1748" s="1" t="s">
        <v>250</v>
      </c>
      <c r="C1748" s="1">
        <v>47.0</v>
      </c>
      <c r="D1748" s="1" t="s">
        <v>1472</v>
      </c>
      <c r="E1748" s="1" t="s">
        <v>1473</v>
      </c>
      <c r="F1748" s="1" t="s">
        <v>1472</v>
      </c>
      <c r="G1748" s="1">
        <v>0.0</v>
      </c>
      <c r="H1748" s="2">
        <v>0.13194444444444445</v>
      </c>
    </row>
    <row r="1749">
      <c r="A1749" s="1" t="s">
        <v>1465</v>
      </c>
      <c r="B1749" s="1" t="s">
        <v>250</v>
      </c>
      <c r="C1749" s="1">
        <v>48.0</v>
      </c>
      <c r="D1749" s="1" t="s">
        <v>1463</v>
      </c>
      <c r="E1749" s="1" t="s">
        <v>1464</v>
      </c>
      <c r="F1749" s="1" t="s">
        <v>1463</v>
      </c>
      <c r="G1749" s="1">
        <v>0.0</v>
      </c>
      <c r="H1749" s="2">
        <v>0.12013888888888889</v>
      </c>
    </row>
    <row r="1750">
      <c r="A1750" s="1" t="s">
        <v>1465</v>
      </c>
      <c r="B1750" s="1" t="s">
        <v>250</v>
      </c>
      <c r="C1750" s="1">
        <v>49.0</v>
      </c>
      <c r="D1750" s="1" t="s">
        <v>238</v>
      </c>
      <c r="E1750" s="1" t="s">
        <v>239</v>
      </c>
      <c r="F1750" s="1" t="s">
        <v>238</v>
      </c>
      <c r="G1750" s="1">
        <v>0.0</v>
      </c>
      <c r="H1750" s="2">
        <v>0.11666666666666667</v>
      </c>
    </row>
    <row r="1751">
      <c r="A1751" s="1" t="s">
        <v>1465</v>
      </c>
      <c r="B1751" s="1" t="s">
        <v>250</v>
      </c>
      <c r="C1751" s="1">
        <v>50.0</v>
      </c>
      <c r="D1751" s="1" t="s">
        <v>1474</v>
      </c>
      <c r="E1751" s="1" t="s">
        <v>1475</v>
      </c>
      <c r="F1751" s="1" t="s">
        <v>1476</v>
      </c>
      <c r="G1751" s="1">
        <v>0.0</v>
      </c>
      <c r="H1751" s="2">
        <v>0.09791666666666667</v>
      </c>
    </row>
    <row r="1752">
      <c r="A1752" s="1" t="s">
        <v>1477</v>
      </c>
      <c r="B1752" s="1" t="s">
        <v>250</v>
      </c>
      <c r="C1752" s="1">
        <v>1.0</v>
      </c>
      <c r="D1752" s="1" t="s">
        <v>1478</v>
      </c>
      <c r="E1752" s="1" t="s">
        <v>119</v>
      </c>
      <c r="F1752" s="1" t="s">
        <v>1478</v>
      </c>
      <c r="G1752" s="1">
        <v>0.0</v>
      </c>
      <c r="H1752" s="2">
        <v>0.16805555555555557</v>
      </c>
    </row>
    <row r="1753">
      <c r="A1753" s="1" t="s">
        <v>1477</v>
      </c>
      <c r="B1753" s="1" t="s">
        <v>250</v>
      </c>
      <c r="C1753" s="1">
        <v>2.0</v>
      </c>
      <c r="D1753" s="1" t="s">
        <v>11</v>
      </c>
      <c r="E1753" s="1" t="s">
        <v>12</v>
      </c>
      <c r="F1753" s="1" t="s">
        <v>13</v>
      </c>
      <c r="G1753" s="1">
        <v>0.0</v>
      </c>
      <c r="H1753" s="2">
        <v>0.1388888888888889</v>
      </c>
    </row>
    <row r="1754">
      <c r="A1754" s="1" t="s">
        <v>1477</v>
      </c>
      <c r="B1754" s="1" t="s">
        <v>250</v>
      </c>
      <c r="C1754" s="1">
        <v>3.0</v>
      </c>
      <c r="D1754" s="1" t="s">
        <v>41</v>
      </c>
      <c r="E1754" s="1" t="s">
        <v>42</v>
      </c>
      <c r="F1754" s="1" t="s">
        <v>43</v>
      </c>
      <c r="G1754" s="1">
        <v>1.0</v>
      </c>
      <c r="H1754" s="2">
        <v>0.1361111111111111</v>
      </c>
    </row>
    <row r="1755">
      <c r="A1755" s="1" t="s">
        <v>1477</v>
      </c>
      <c r="B1755" s="1" t="s">
        <v>250</v>
      </c>
      <c r="C1755" s="1">
        <v>4.0</v>
      </c>
      <c r="D1755" s="1" t="s">
        <v>33</v>
      </c>
      <c r="E1755" s="1" t="s">
        <v>34</v>
      </c>
      <c r="F1755" s="1" t="s">
        <v>35</v>
      </c>
      <c r="G1755" s="1">
        <v>0.0</v>
      </c>
      <c r="H1755" s="2">
        <v>0.1451388888888889</v>
      </c>
    </row>
    <row r="1756">
      <c r="A1756" s="1" t="s">
        <v>1477</v>
      </c>
      <c r="B1756" s="1" t="s">
        <v>250</v>
      </c>
      <c r="C1756" s="1">
        <v>5.0</v>
      </c>
      <c r="D1756" s="1" t="s">
        <v>60</v>
      </c>
      <c r="E1756" s="1" t="s">
        <v>61</v>
      </c>
      <c r="F1756" s="1" t="s">
        <v>60</v>
      </c>
      <c r="G1756" s="1">
        <v>0.0</v>
      </c>
      <c r="H1756" s="2">
        <v>0.11041666666666666</v>
      </c>
    </row>
    <row r="1757">
      <c r="A1757" s="1" t="s">
        <v>1477</v>
      </c>
      <c r="B1757" s="1" t="s">
        <v>250</v>
      </c>
      <c r="C1757" s="1">
        <v>6.0</v>
      </c>
      <c r="D1757" s="1" t="s">
        <v>27</v>
      </c>
      <c r="E1757" s="1" t="s">
        <v>28</v>
      </c>
      <c r="F1757" s="1" t="s">
        <v>27</v>
      </c>
      <c r="G1757" s="1">
        <v>0.0</v>
      </c>
      <c r="H1757" s="2">
        <v>0.12708333333333333</v>
      </c>
    </row>
    <row r="1758">
      <c r="A1758" s="1" t="s">
        <v>1477</v>
      </c>
      <c r="B1758" s="1" t="s">
        <v>250</v>
      </c>
      <c r="C1758" s="1">
        <v>7.0</v>
      </c>
      <c r="D1758" s="1" t="s">
        <v>101</v>
      </c>
      <c r="E1758" s="1" t="s">
        <v>102</v>
      </c>
      <c r="F1758" s="1" t="s">
        <v>101</v>
      </c>
      <c r="G1758" s="1">
        <v>1.0</v>
      </c>
      <c r="H1758" s="2">
        <v>0.16458333333333333</v>
      </c>
    </row>
    <row r="1759">
      <c r="A1759" s="1" t="s">
        <v>1477</v>
      </c>
      <c r="B1759" s="1" t="s">
        <v>250</v>
      </c>
      <c r="C1759" s="1">
        <v>8.0</v>
      </c>
      <c r="D1759" s="1" t="s">
        <v>50</v>
      </c>
      <c r="E1759" s="1" t="s">
        <v>51</v>
      </c>
      <c r="F1759" s="1" t="s">
        <v>52</v>
      </c>
      <c r="G1759" s="1">
        <v>0.0</v>
      </c>
      <c r="H1759" s="2">
        <v>0.14722222222222223</v>
      </c>
    </row>
    <row r="1760">
      <c r="A1760" s="1" t="s">
        <v>1477</v>
      </c>
      <c r="B1760" s="1" t="s">
        <v>250</v>
      </c>
      <c r="C1760" s="1">
        <v>9.0</v>
      </c>
      <c r="D1760" s="1" t="s">
        <v>1479</v>
      </c>
      <c r="E1760" s="1" t="s">
        <v>276</v>
      </c>
      <c r="F1760" s="1" t="s">
        <v>1479</v>
      </c>
      <c r="G1760" s="1">
        <v>0.0</v>
      </c>
      <c r="H1760" s="2">
        <v>0.16111111111111112</v>
      </c>
    </row>
    <row r="1761">
      <c r="A1761" s="1" t="s">
        <v>1477</v>
      </c>
      <c r="B1761" s="1" t="s">
        <v>250</v>
      </c>
      <c r="C1761" s="1">
        <v>10.0</v>
      </c>
      <c r="D1761" s="1" t="s">
        <v>312</v>
      </c>
      <c r="E1761" s="1" t="s">
        <v>119</v>
      </c>
      <c r="F1761" s="1" t="s">
        <v>312</v>
      </c>
      <c r="G1761" s="1">
        <v>0.0</v>
      </c>
      <c r="H1761" s="2">
        <v>0.1701388888888889</v>
      </c>
    </row>
    <row r="1762">
      <c r="A1762" s="1" t="s">
        <v>1477</v>
      </c>
      <c r="B1762" s="1" t="s">
        <v>250</v>
      </c>
      <c r="C1762" s="1">
        <v>11.0</v>
      </c>
      <c r="D1762" s="1" t="s">
        <v>1126</v>
      </c>
      <c r="E1762" s="1" t="s">
        <v>1127</v>
      </c>
      <c r="F1762" s="1" t="s">
        <v>52</v>
      </c>
      <c r="G1762" s="1">
        <v>0.0</v>
      </c>
      <c r="H1762" s="2">
        <v>0.14444444444444443</v>
      </c>
    </row>
    <row r="1763">
      <c r="A1763" s="1" t="s">
        <v>1477</v>
      </c>
      <c r="B1763" s="1" t="s">
        <v>250</v>
      </c>
      <c r="C1763" s="1">
        <v>12.0</v>
      </c>
      <c r="D1763" s="1" t="s">
        <v>92</v>
      </c>
      <c r="E1763" s="1" t="s">
        <v>93</v>
      </c>
      <c r="F1763" s="1" t="s">
        <v>92</v>
      </c>
      <c r="G1763" s="1">
        <v>1.0</v>
      </c>
      <c r="H1763" s="2">
        <v>0.11319444444444444</v>
      </c>
    </row>
    <row r="1764">
      <c r="A1764" s="1" t="s">
        <v>1477</v>
      </c>
      <c r="B1764" s="1" t="s">
        <v>250</v>
      </c>
      <c r="C1764" s="1">
        <v>13.0</v>
      </c>
      <c r="D1764" s="1" t="s">
        <v>17</v>
      </c>
      <c r="E1764" s="1" t="s">
        <v>18</v>
      </c>
      <c r="F1764" s="1" t="s">
        <v>19</v>
      </c>
      <c r="G1764" s="1">
        <v>1.0</v>
      </c>
      <c r="H1764" s="2">
        <v>0.12222222222222222</v>
      </c>
    </row>
    <row r="1765">
      <c r="A1765" s="1" t="s">
        <v>1477</v>
      </c>
      <c r="B1765" s="1" t="s">
        <v>250</v>
      </c>
      <c r="C1765" s="1">
        <v>14.0</v>
      </c>
      <c r="D1765" s="1" t="s">
        <v>1480</v>
      </c>
      <c r="E1765" s="1" t="s">
        <v>1481</v>
      </c>
      <c r="F1765" s="1" t="s">
        <v>1480</v>
      </c>
      <c r="G1765" s="1">
        <v>1.0</v>
      </c>
      <c r="H1765" s="2">
        <v>0.15555555555555556</v>
      </c>
    </row>
    <row r="1766">
      <c r="A1766" s="1" t="s">
        <v>1477</v>
      </c>
      <c r="B1766" s="1" t="s">
        <v>250</v>
      </c>
      <c r="C1766" s="1">
        <v>15.0</v>
      </c>
      <c r="D1766" s="1" t="s">
        <v>1482</v>
      </c>
      <c r="E1766" s="1" t="s">
        <v>1483</v>
      </c>
      <c r="F1766" s="1" t="s">
        <v>1484</v>
      </c>
      <c r="G1766" s="1">
        <v>1.0</v>
      </c>
      <c r="H1766" s="2">
        <v>0.09444444444444444</v>
      </c>
    </row>
    <row r="1767">
      <c r="A1767" s="1" t="s">
        <v>1477</v>
      </c>
      <c r="B1767" s="1" t="s">
        <v>250</v>
      </c>
      <c r="C1767" s="1">
        <v>16.0</v>
      </c>
      <c r="D1767" s="1" t="s">
        <v>231</v>
      </c>
      <c r="E1767" s="1" t="s">
        <v>232</v>
      </c>
      <c r="F1767" s="1" t="s">
        <v>231</v>
      </c>
      <c r="G1767" s="1">
        <v>0.0</v>
      </c>
      <c r="H1767" s="2">
        <v>0.10902777777777778</v>
      </c>
    </row>
    <row r="1768">
      <c r="A1768" s="1" t="s">
        <v>1477</v>
      </c>
      <c r="B1768" s="1" t="s">
        <v>250</v>
      </c>
      <c r="C1768" s="1">
        <v>17.0</v>
      </c>
      <c r="D1768" s="1" t="s">
        <v>1485</v>
      </c>
      <c r="E1768" s="1" t="s">
        <v>1486</v>
      </c>
      <c r="F1768" s="1" t="s">
        <v>52</v>
      </c>
      <c r="G1768" s="1">
        <v>0.0</v>
      </c>
      <c r="H1768" s="2">
        <v>0.15208333333333332</v>
      </c>
    </row>
    <row r="1769">
      <c r="A1769" s="1" t="s">
        <v>1477</v>
      </c>
      <c r="B1769" s="1" t="s">
        <v>250</v>
      </c>
      <c r="C1769" s="1">
        <v>18.0</v>
      </c>
      <c r="D1769" s="1" t="s">
        <v>113</v>
      </c>
      <c r="E1769" s="1" t="s">
        <v>114</v>
      </c>
      <c r="F1769" s="1" t="s">
        <v>113</v>
      </c>
      <c r="G1769" s="1">
        <v>0.0</v>
      </c>
      <c r="H1769" s="2">
        <v>0.13125</v>
      </c>
    </row>
    <row r="1770">
      <c r="A1770" s="1" t="s">
        <v>1477</v>
      </c>
      <c r="B1770" s="1" t="s">
        <v>250</v>
      </c>
      <c r="C1770" s="1">
        <v>19.0</v>
      </c>
      <c r="D1770" s="1" t="s">
        <v>259</v>
      </c>
      <c r="E1770" s="1" t="s">
        <v>256</v>
      </c>
      <c r="F1770" s="1" t="s">
        <v>260</v>
      </c>
      <c r="G1770" s="1">
        <v>1.0</v>
      </c>
      <c r="H1770" s="2">
        <v>0.10902777777777778</v>
      </c>
    </row>
    <row r="1771">
      <c r="A1771" s="1" t="s">
        <v>1477</v>
      </c>
      <c r="B1771" s="1" t="s">
        <v>250</v>
      </c>
      <c r="C1771" s="1">
        <v>20.0</v>
      </c>
      <c r="D1771" s="1" t="s">
        <v>541</v>
      </c>
      <c r="E1771" s="1" t="s">
        <v>542</v>
      </c>
      <c r="F1771" s="1" t="s">
        <v>541</v>
      </c>
      <c r="G1771" s="1">
        <v>1.0</v>
      </c>
      <c r="H1771" s="2">
        <v>0.15347222222222223</v>
      </c>
    </row>
    <row r="1772">
      <c r="A1772" s="1" t="s">
        <v>1477</v>
      </c>
      <c r="B1772" s="1" t="s">
        <v>250</v>
      </c>
      <c r="C1772" s="1">
        <v>21.0</v>
      </c>
      <c r="D1772" s="1" t="s">
        <v>462</v>
      </c>
      <c r="E1772" s="1" t="s">
        <v>463</v>
      </c>
      <c r="F1772" s="1" t="s">
        <v>464</v>
      </c>
      <c r="G1772" s="1">
        <v>1.0</v>
      </c>
      <c r="H1772" s="2">
        <v>0.14583333333333334</v>
      </c>
    </row>
    <row r="1773">
      <c r="A1773" s="1" t="s">
        <v>1477</v>
      </c>
      <c r="B1773" s="1" t="s">
        <v>250</v>
      </c>
      <c r="C1773" s="1">
        <v>22.0</v>
      </c>
      <c r="D1773" s="1" t="s">
        <v>118</v>
      </c>
      <c r="E1773" s="1" t="s">
        <v>119</v>
      </c>
      <c r="F1773" s="1" t="s">
        <v>120</v>
      </c>
      <c r="G1773" s="1">
        <v>0.0</v>
      </c>
      <c r="H1773" s="2">
        <v>0.13472222222222222</v>
      </c>
    </row>
    <row r="1774">
      <c r="A1774" s="1" t="s">
        <v>1477</v>
      </c>
      <c r="B1774" s="1" t="s">
        <v>250</v>
      </c>
      <c r="C1774" s="1">
        <v>23.0</v>
      </c>
      <c r="D1774" s="1" t="s">
        <v>111</v>
      </c>
      <c r="E1774" s="1" t="s">
        <v>69</v>
      </c>
      <c r="F1774" s="1" t="s">
        <v>112</v>
      </c>
      <c r="G1774" s="1">
        <v>0.0</v>
      </c>
      <c r="H1774" s="2">
        <v>0.14930555555555555</v>
      </c>
    </row>
    <row r="1775">
      <c r="A1775" s="1" t="s">
        <v>1477</v>
      </c>
      <c r="B1775" s="1" t="s">
        <v>250</v>
      </c>
      <c r="C1775" s="1">
        <v>24.0</v>
      </c>
      <c r="D1775" s="1" t="s">
        <v>771</v>
      </c>
      <c r="E1775" s="1" t="s">
        <v>772</v>
      </c>
      <c r="F1775" s="1" t="s">
        <v>773</v>
      </c>
      <c r="G1775" s="1">
        <v>1.0</v>
      </c>
      <c r="H1775" s="2">
        <v>0.13055555555555556</v>
      </c>
    </row>
    <row r="1776">
      <c r="A1776" s="1" t="s">
        <v>1477</v>
      </c>
      <c r="B1776" s="1" t="s">
        <v>250</v>
      </c>
      <c r="C1776" s="1">
        <v>25.0</v>
      </c>
      <c r="D1776" s="1" t="s">
        <v>238</v>
      </c>
      <c r="E1776" s="1" t="s">
        <v>239</v>
      </c>
      <c r="F1776" s="1" t="s">
        <v>238</v>
      </c>
      <c r="G1776" s="1">
        <v>0.0</v>
      </c>
      <c r="H1776" s="2">
        <v>0.11666666666666667</v>
      </c>
    </row>
    <row r="1777">
      <c r="A1777" s="1" t="s">
        <v>1477</v>
      </c>
      <c r="B1777" s="1" t="s">
        <v>250</v>
      </c>
      <c r="C1777" s="1">
        <v>26.0</v>
      </c>
      <c r="D1777" s="1" t="s">
        <v>1487</v>
      </c>
      <c r="E1777" s="1" t="s">
        <v>1484</v>
      </c>
      <c r="F1777" s="1" t="s">
        <v>1484</v>
      </c>
      <c r="G1777" s="1">
        <v>1.0</v>
      </c>
      <c r="H1777" s="2">
        <v>0.1125</v>
      </c>
    </row>
    <row r="1778">
      <c r="A1778" s="1" t="s">
        <v>1477</v>
      </c>
      <c r="B1778" s="1" t="s">
        <v>250</v>
      </c>
      <c r="C1778" s="1">
        <v>27.0</v>
      </c>
      <c r="D1778" s="1" t="s">
        <v>73</v>
      </c>
      <c r="E1778" s="1" t="s">
        <v>74</v>
      </c>
      <c r="F1778" s="1" t="s">
        <v>75</v>
      </c>
      <c r="G1778" s="1">
        <v>0.0</v>
      </c>
      <c r="H1778" s="2">
        <v>0.14930555555555555</v>
      </c>
    </row>
    <row r="1779">
      <c r="A1779" s="1" t="s">
        <v>1477</v>
      </c>
      <c r="B1779" s="1" t="s">
        <v>250</v>
      </c>
      <c r="C1779" s="1">
        <v>28.0</v>
      </c>
      <c r="D1779" s="1" t="s">
        <v>86</v>
      </c>
      <c r="E1779" s="1" t="s">
        <v>87</v>
      </c>
      <c r="F1779" s="1" t="s">
        <v>86</v>
      </c>
      <c r="G1779" s="1">
        <v>0.0</v>
      </c>
      <c r="H1779" s="2">
        <v>0.1388888888888889</v>
      </c>
    </row>
    <row r="1780">
      <c r="A1780" s="1" t="s">
        <v>1477</v>
      </c>
      <c r="B1780" s="1" t="s">
        <v>250</v>
      </c>
      <c r="C1780" s="1">
        <v>29.0</v>
      </c>
      <c r="D1780" s="1" t="s">
        <v>1488</v>
      </c>
      <c r="E1780" s="1" t="s">
        <v>1489</v>
      </c>
      <c r="F1780" s="1" t="s">
        <v>1488</v>
      </c>
      <c r="G1780" s="1">
        <v>0.0</v>
      </c>
      <c r="H1780" s="2">
        <v>0.13402777777777777</v>
      </c>
    </row>
    <row r="1781">
      <c r="A1781" s="1" t="s">
        <v>1477</v>
      </c>
      <c r="B1781" s="1" t="s">
        <v>250</v>
      </c>
      <c r="C1781" s="1">
        <v>30.0</v>
      </c>
      <c r="D1781" s="1" t="s">
        <v>235</v>
      </c>
      <c r="E1781" s="1" t="s">
        <v>236</v>
      </c>
      <c r="F1781" s="1" t="s">
        <v>237</v>
      </c>
      <c r="G1781" s="1">
        <v>1.0</v>
      </c>
      <c r="H1781" s="2">
        <v>0.1423611111111111</v>
      </c>
    </row>
    <row r="1782">
      <c r="A1782" s="1" t="s">
        <v>1477</v>
      </c>
      <c r="B1782" s="1" t="s">
        <v>250</v>
      </c>
      <c r="C1782" s="1">
        <v>31.0</v>
      </c>
      <c r="D1782" s="1" t="s">
        <v>1490</v>
      </c>
      <c r="E1782" s="1" t="s">
        <v>1484</v>
      </c>
      <c r="F1782" s="1" t="s">
        <v>1484</v>
      </c>
      <c r="G1782" s="1">
        <v>1.0</v>
      </c>
      <c r="H1782" s="2">
        <v>0.10972222222222222</v>
      </c>
    </row>
    <row r="1783">
      <c r="A1783" s="1" t="s">
        <v>1477</v>
      </c>
      <c r="B1783" s="1" t="s">
        <v>250</v>
      </c>
      <c r="C1783" s="1">
        <v>32.0</v>
      </c>
      <c r="D1783" s="1" t="s">
        <v>68</v>
      </c>
      <c r="E1783" s="1" t="s">
        <v>69</v>
      </c>
      <c r="F1783" s="1" t="s">
        <v>70</v>
      </c>
      <c r="G1783" s="1">
        <v>0.0</v>
      </c>
      <c r="H1783" s="2">
        <v>0.12638888888888888</v>
      </c>
    </row>
    <row r="1784">
      <c r="A1784" s="1" t="s">
        <v>1477</v>
      </c>
      <c r="B1784" s="1" t="s">
        <v>250</v>
      </c>
      <c r="C1784" s="1">
        <v>33.0</v>
      </c>
      <c r="D1784" s="1" t="s">
        <v>121</v>
      </c>
      <c r="E1784" s="1" t="s">
        <v>122</v>
      </c>
      <c r="F1784" s="1" t="s">
        <v>123</v>
      </c>
      <c r="G1784" s="1">
        <v>0.0</v>
      </c>
      <c r="H1784" s="2">
        <v>0.13194444444444445</v>
      </c>
    </row>
    <row r="1785">
      <c r="A1785" s="1" t="s">
        <v>1477</v>
      </c>
      <c r="B1785" s="1" t="s">
        <v>250</v>
      </c>
      <c r="C1785" s="1">
        <v>34.0</v>
      </c>
      <c r="D1785" s="1" t="s">
        <v>107</v>
      </c>
      <c r="E1785" s="1" t="s">
        <v>81</v>
      </c>
      <c r="F1785" s="1" t="s">
        <v>82</v>
      </c>
      <c r="G1785" s="1">
        <v>0.0</v>
      </c>
      <c r="H1785" s="2">
        <v>0.14375</v>
      </c>
    </row>
    <row r="1786">
      <c r="A1786" s="1" t="s">
        <v>1477</v>
      </c>
      <c r="B1786" s="1" t="s">
        <v>250</v>
      </c>
      <c r="C1786" s="1">
        <v>35.0</v>
      </c>
      <c r="D1786" s="1" t="s">
        <v>1491</v>
      </c>
      <c r="E1786" s="1" t="s">
        <v>821</v>
      </c>
      <c r="F1786" s="1" t="s">
        <v>1491</v>
      </c>
      <c r="G1786" s="1">
        <v>0.0</v>
      </c>
      <c r="H1786" s="2">
        <v>0.1125</v>
      </c>
    </row>
    <row r="1787">
      <c r="A1787" s="1" t="s">
        <v>1477</v>
      </c>
      <c r="B1787" s="1" t="s">
        <v>250</v>
      </c>
      <c r="C1787" s="1">
        <v>36.0</v>
      </c>
      <c r="D1787" s="1" t="s">
        <v>319</v>
      </c>
      <c r="E1787" s="1" t="s">
        <v>320</v>
      </c>
      <c r="F1787" s="1" t="s">
        <v>319</v>
      </c>
      <c r="G1787" s="1">
        <v>0.0</v>
      </c>
      <c r="H1787" s="2">
        <v>0.125</v>
      </c>
    </row>
    <row r="1788">
      <c r="A1788" s="1" t="s">
        <v>1477</v>
      </c>
      <c r="B1788" s="1" t="s">
        <v>250</v>
      </c>
      <c r="C1788" s="1">
        <v>37.0</v>
      </c>
      <c r="D1788" s="1" t="s">
        <v>1492</v>
      </c>
      <c r="E1788" s="1" t="s">
        <v>1493</v>
      </c>
      <c r="F1788" s="1" t="s">
        <v>1494</v>
      </c>
      <c r="G1788" s="1">
        <v>1.0</v>
      </c>
      <c r="H1788" s="2">
        <v>0.15416666666666667</v>
      </c>
    </row>
    <row r="1789">
      <c r="A1789" s="1" t="s">
        <v>1477</v>
      </c>
      <c r="B1789" s="1" t="s">
        <v>250</v>
      </c>
      <c r="C1789" s="1">
        <v>38.0</v>
      </c>
      <c r="D1789" s="1" t="s">
        <v>1495</v>
      </c>
      <c r="E1789" s="1" t="s">
        <v>1496</v>
      </c>
      <c r="F1789" s="1" t="s">
        <v>1497</v>
      </c>
      <c r="G1789" s="1">
        <v>0.0</v>
      </c>
      <c r="H1789" s="2">
        <v>0.11805555555555555</v>
      </c>
    </row>
    <row r="1790">
      <c r="A1790" s="1" t="s">
        <v>1477</v>
      </c>
      <c r="B1790" s="1" t="s">
        <v>250</v>
      </c>
      <c r="C1790" s="1">
        <v>39.0</v>
      </c>
      <c r="D1790" s="1" t="s">
        <v>167</v>
      </c>
      <c r="E1790" s="1" t="s">
        <v>1484</v>
      </c>
      <c r="F1790" s="1" t="s">
        <v>1484</v>
      </c>
      <c r="G1790" s="1">
        <v>1.0</v>
      </c>
      <c r="H1790" s="2">
        <v>0.10277777777777777</v>
      </c>
    </row>
    <row r="1791">
      <c r="A1791" s="1" t="s">
        <v>1477</v>
      </c>
      <c r="B1791" s="1" t="s">
        <v>250</v>
      </c>
      <c r="C1791" s="1">
        <v>40.0</v>
      </c>
      <c r="D1791" s="1" t="s">
        <v>57</v>
      </c>
      <c r="E1791" s="1" t="s">
        <v>58</v>
      </c>
      <c r="F1791" s="1" t="s">
        <v>59</v>
      </c>
      <c r="G1791" s="1">
        <v>1.0</v>
      </c>
      <c r="H1791" s="2">
        <v>0.16458333333333333</v>
      </c>
    </row>
    <row r="1792">
      <c r="A1792" s="1" t="s">
        <v>1477</v>
      </c>
      <c r="B1792" s="1" t="s">
        <v>250</v>
      </c>
      <c r="C1792" s="1">
        <v>41.0</v>
      </c>
      <c r="D1792" s="1" t="s">
        <v>1498</v>
      </c>
      <c r="E1792" s="1" t="s">
        <v>1499</v>
      </c>
      <c r="F1792" s="1" t="s">
        <v>1484</v>
      </c>
      <c r="G1792" s="1">
        <v>1.0</v>
      </c>
      <c r="H1792" s="2">
        <v>0.10972222222222222</v>
      </c>
    </row>
    <row r="1793">
      <c r="A1793" s="1" t="s">
        <v>1477</v>
      </c>
      <c r="B1793" s="1" t="s">
        <v>250</v>
      </c>
      <c r="C1793" s="1">
        <v>42.0</v>
      </c>
      <c r="D1793" s="1" t="s">
        <v>1500</v>
      </c>
      <c r="E1793" s="1" t="s">
        <v>1484</v>
      </c>
      <c r="F1793" s="1" t="s">
        <v>1484</v>
      </c>
      <c r="G1793" s="1">
        <v>1.0</v>
      </c>
      <c r="H1793" s="2">
        <v>0.10625</v>
      </c>
    </row>
    <row r="1794">
      <c r="A1794" s="1" t="s">
        <v>1477</v>
      </c>
      <c r="B1794" s="1" t="s">
        <v>250</v>
      </c>
      <c r="C1794" s="1">
        <v>43.0</v>
      </c>
      <c r="D1794" s="1" t="s">
        <v>1501</v>
      </c>
      <c r="E1794" s="1" t="s">
        <v>1502</v>
      </c>
      <c r="F1794" s="1" t="s">
        <v>1501</v>
      </c>
      <c r="G1794" s="1">
        <v>1.0</v>
      </c>
      <c r="H1794" s="2">
        <v>0.12083333333333333</v>
      </c>
    </row>
    <row r="1795">
      <c r="A1795" s="1" t="s">
        <v>1477</v>
      </c>
      <c r="B1795" s="1" t="s">
        <v>250</v>
      </c>
      <c r="C1795" s="1">
        <v>44.0</v>
      </c>
      <c r="D1795" s="1" t="s">
        <v>304</v>
      </c>
      <c r="E1795" s="1" t="s">
        <v>28</v>
      </c>
      <c r="F1795" s="1" t="s">
        <v>304</v>
      </c>
      <c r="G1795" s="1">
        <v>0.0</v>
      </c>
      <c r="H1795" s="2">
        <v>0.13402777777777777</v>
      </c>
    </row>
    <row r="1796">
      <c r="A1796" s="1" t="s">
        <v>1477</v>
      </c>
      <c r="B1796" s="1" t="s">
        <v>250</v>
      </c>
      <c r="C1796" s="1">
        <v>45.0</v>
      </c>
      <c r="D1796" s="1" t="s">
        <v>1503</v>
      </c>
      <c r="E1796" s="1" t="s">
        <v>1504</v>
      </c>
      <c r="F1796" s="1" t="s">
        <v>1505</v>
      </c>
      <c r="G1796" s="1">
        <v>0.0</v>
      </c>
      <c r="H1796" s="2">
        <v>0.12777777777777777</v>
      </c>
    </row>
    <row r="1797">
      <c r="A1797" s="1" t="s">
        <v>1477</v>
      </c>
      <c r="B1797" s="1" t="s">
        <v>250</v>
      </c>
      <c r="C1797" s="1">
        <v>46.0</v>
      </c>
      <c r="D1797" s="1" t="s">
        <v>1506</v>
      </c>
      <c r="E1797" s="1" t="s">
        <v>1507</v>
      </c>
      <c r="F1797" s="1" t="s">
        <v>1506</v>
      </c>
      <c r="G1797" s="1">
        <v>1.0</v>
      </c>
      <c r="H1797" s="2">
        <v>0.1284722222222222</v>
      </c>
    </row>
    <row r="1798">
      <c r="A1798" s="1" t="s">
        <v>1477</v>
      </c>
      <c r="B1798" s="1" t="s">
        <v>250</v>
      </c>
      <c r="C1798" s="1">
        <v>47.0</v>
      </c>
      <c r="D1798" s="1" t="s">
        <v>1508</v>
      </c>
      <c r="E1798" s="1" t="s">
        <v>1509</v>
      </c>
      <c r="F1798" s="1" t="s">
        <v>1508</v>
      </c>
      <c r="G1798" s="1">
        <v>0.0</v>
      </c>
      <c r="H1798" s="2">
        <v>0.12638888888888888</v>
      </c>
    </row>
    <row r="1799">
      <c r="A1799" s="1" t="s">
        <v>1477</v>
      </c>
      <c r="B1799" s="1" t="s">
        <v>250</v>
      </c>
      <c r="C1799" s="1">
        <v>48.0</v>
      </c>
      <c r="D1799" s="1" t="s">
        <v>242</v>
      </c>
      <c r="E1799" s="1" t="s">
        <v>243</v>
      </c>
      <c r="F1799" s="1" t="s">
        <v>242</v>
      </c>
      <c r="G1799" s="1">
        <v>0.0</v>
      </c>
      <c r="H1799" s="2">
        <v>0.12569444444444444</v>
      </c>
    </row>
    <row r="1800">
      <c r="A1800" s="1" t="s">
        <v>1477</v>
      </c>
      <c r="B1800" s="1" t="s">
        <v>250</v>
      </c>
      <c r="C1800" s="1">
        <v>49.0</v>
      </c>
      <c r="D1800" s="1" t="s">
        <v>1510</v>
      </c>
      <c r="E1800" s="1" t="s">
        <v>1484</v>
      </c>
      <c r="F1800" s="1" t="s">
        <v>1484</v>
      </c>
      <c r="G1800" s="1">
        <v>1.0</v>
      </c>
      <c r="H1800" s="2">
        <v>0.10555555555555556</v>
      </c>
    </row>
    <row r="1801">
      <c r="A1801" s="1" t="s">
        <v>1477</v>
      </c>
      <c r="B1801" s="1" t="s">
        <v>250</v>
      </c>
      <c r="C1801" s="1">
        <v>50.0</v>
      </c>
      <c r="D1801" s="1" t="s">
        <v>1511</v>
      </c>
      <c r="E1801" s="1" t="s">
        <v>1484</v>
      </c>
      <c r="F1801" s="1" t="s">
        <v>1484</v>
      </c>
      <c r="G1801" s="1">
        <v>1.0</v>
      </c>
      <c r="H1801" s="2">
        <v>0.11041666666666666</v>
      </c>
    </row>
    <row r="1802">
      <c r="A1802" s="1" t="s">
        <v>1512</v>
      </c>
      <c r="B1802" s="1" t="s">
        <v>903</v>
      </c>
      <c r="C1802" s="1">
        <v>1.0</v>
      </c>
      <c r="D1802" s="1" t="s">
        <v>1513</v>
      </c>
      <c r="E1802" s="1" t="s">
        <v>1514</v>
      </c>
      <c r="F1802" s="1" t="s">
        <v>1513</v>
      </c>
      <c r="G1802" s="1">
        <v>0.0</v>
      </c>
      <c r="H1802" s="2">
        <v>0.13541666666666666</v>
      </c>
    </row>
    <row r="1803">
      <c r="A1803" s="1" t="s">
        <v>1512</v>
      </c>
      <c r="B1803" s="1" t="s">
        <v>903</v>
      </c>
      <c r="C1803" s="1">
        <v>2.0</v>
      </c>
      <c r="D1803" s="1" t="s">
        <v>1515</v>
      </c>
      <c r="E1803" s="1" t="s">
        <v>1516</v>
      </c>
      <c r="F1803" s="1" t="s">
        <v>1517</v>
      </c>
      <c r="G1803" s="1">
        <v>0.0</v>
      </c>
      <c r="H1803" s="2">
        <v>0.12361111111111112</v>
      </c>
    </row>
    <row r="1804">
      <c r="A1804" s="1" t="s">
        <v>1512</v>
      </c>
      <c r="B1804" s="1" t="s">
        <v>903</v>
      </c>
      <c r="C1804" s="1">
        <v>3.0</v>
      </c>
      <c r="D1804" s="1" t="s">
        <v>1518</v>
      </c>
      <c r="E1804" s="1" t="s">
        <v>1519</v>
      </c>
      <c r="F1804" s="1" t="s">
        <v>1520</v>
      </c>
      <c r="G1804" s="1">
        <v>0.0</v>
      </c>
      <c r="H1804" s="2">
        <v>0.09861111111111111</v>
      </c>
    </row>
    <row r="1805">
      <c r="A1805" s="1" t="s">
        <v>1512</v>
      </c>
      <c r="B1805" s="1" t="s">
        <v>903</v>
      </c>
      <c r="C1805" s="1">
        <v>4.0</v>
      </c>
      <c r="D1805" s="1" t="s">
        <v>1521</v>
      </c>
      <c r="E1805" s="1" t="s">
        <v>1522</v>
      </c>
      <c r="F1805" s="1" t="s">
        <v>1521</v>
      </c>
      <c r="G1805" s="1">
        <v>0.0</v>
      </c>
      <c r="H1805" s="2">
        <v>0.14652777777777778</v>
      </c>
    </row>
    <row r="1806">
      <c r="A1806" s="1" t="s">
        <v>1512</v>
      </c>
      <c r="B1806" s="1" t="s">
        <v>903</v>
      </c>
      <c r="C1806" s="1">
        <v>5.0</v>
      </c>
      <c r="D1806" s="1" t="s">
        <v>1523</v>
      </c>
      <c r="E1806" s="1" t="s">
        <v>1524</v>
      </c>
      <c r="F1806" s="1" t="s">
        <v>1523</v>
      </c>
      <c r="G1806" s="1">
        <v>0.0</v>
      </c>
      <c r="H1806" s="2">
        <v>0.10902777777777778</v>
      </c>
    </row>
    <row r="1807">
      <c r="A1807" s="1" t="s">
        <v>1512</v>
      </c>
      <c r="B1807" s="1" t="s">
        <v>903</v>
      </c>
      <c r="C1807" s="1">
        <v>6.0</v>
      </c>
      <c r="D1807" s="1" t="s">
        <v>1525</v>
      </c>
      <c r="E1807" s="1" t="s">
        <v>1526</v>
      </c>
      <c r="F1807" s="1" t="s">
        <v>1525</v>
      </c>
      <c r="G1807" s="1">
        <v>0.0</v>
      </c>
      <c r="H1807" s="2">
        <v>0.15138888888888888</v>
      </c>
    </row>
    <row r="1808">
      <c r="A1808" s="1" t="s">
        <v>1512</v>
      </c>
      <c r="B1808" s="1" t="s">
        <v>903</v>
      </c>
      <c r="C1808" s="1">
        <v>7.0</v>
      </c>
      <c r="D1808" s="1" t="s">
        <v>30</v>
      </c>
      <c r="E1808" s="1" t="s">
        <v>31</v>
      </c>
      <c r="F1808" s="1" t="s">
        <v>32</v>
      </c>
      <c r="G1808" s="1">
        <v>0.0</v>
      </c>
      <c r="H1808" s="2">
        <v>0.15833333333333333</v>
      </c>
    </row>
    <row r="1809">
      <c r="A1809" s="1" t="s">
        <v>1512</v>
      </c>
      <c r="B1809" s="1" t="s">
        <v>903</v>
      </c>
      <c r="C1809" s="1">
        <v>8.0</v>
      </c>
      <c r="D1809" s="1" t="s">
        <v>1527</v>
      </c>
      <c r="E1809" s="1" t="s">
        <v>1528</v>
      </c>
      <c r="F1809" s="1" t="s">
        <v>1529</v>
      </c>
      <c r="G1809" s="1">
        <v>0.0</v>
      </c>
      <c r="H1809" s="2">
        <v>0.16597222222222222</v>
      </c>
    </row>
    <row r="1810">
      <c r="A1810" s="1" t="s">
        <v>1512</v>
      </c>
      <c r="B1810" s="1" t="s">
        <v>903</v>
      </c>
      <c r="C1810" s="1">
        <v>9.0</v>
      </c>
      <c r="D1810" s="1" t="s">
        <v>1530</v>
      </c>
      <c r="E1810" s="1" t="s">
        <v>1526</v>
      </c>
      <c r="F1810" s="1" t="s">
        <v>1525</v>
      </c>
      <c r="G1810" s="1">
        <v>0.0</v>
      </c>
      <c r="H1810" s="2">
        <v>0.15902777777777777</v>
      </c>
    </row>
    <row r="1811">
      <c r="A1811" s="1" t="s">
        <v>1512</v>
      </c>
      <c r="B1811" s="1" t="s">
        <v>903</v>
      </c>
      <c r="C1811" s="1">
        <v>10.0</v>
      </c>
      <c r="D1811" s="1" t="s">
        <v>1531</v>
      </c>
      <c r="E1811" s="1" t="s">
        <v>1532</v>
      </c>
      <c r="F1811" s="1" t="s">
        <v>1531</v>
      </c>
      <c r="G1811" s="1">
        <v>0.0</v>
      </c>
      <c r="H1811" s="2">
        <v>0.14652777777777778</v>
      </c>
    </row>
    <row r="1812">
      <c r="A1812" s="1" t="s">
        <v>1512</v>
      </c>
      <c r="B1812" s="1" t="s">
        <v>903</v>
      </c>
      <c r="C1812" s="1">
        <v>11.0</v>
      </c>
      <c r="D1812" s="1" t="s">
        <v>1523</v>
      </c>
      <c r="E1812" s="1" t="s">
        <v>1533</v>
      </c>
      <c r="F1812" s="1" t="s">
        <v>1523</v>
      </c>
      <c r="G1812" s="1">
        <v>0.0</v>
      </c>
      <c r="H1812" s="2">
        <v>0.10555555555555556</v>
      </c>
    </row>
    <row r="1813">
      <c r="A1813" s="1" t="s">
        <v>1512</v>
      </c>
      <c r="B1813" s="1" t="s">
        <v>903</v>
      </c>
      <c r="C1813" s="1">
        <v>12.0</v>
      </c>
      <c r="D1813" s="1" t="s">
        <v>1534</v>
      </c>
      <c r="E1813" s="1" t="s">
        <v>1535</v>
      </c>
      <c r="F1813" s="1" t="s">
        <v>1517</v>
      </c>
      <c r="G1813" s="1">
        <v>0.0</v>
      </c>
      <c r="H1813" s="2">
        <v>0.13472222222222222</v>
      </c>
    </row>
    <row r="1814">
      <c r="A1814" s="1" t="s">
        <v>1512</v>
      </c>
      <c r="B1814" s="1" t="s">
        <v>903</v>
      </c>
      <c r="C1814" s="1">
        <v>13.0</v>
      </c>
      <c r="D1814" s="1" t="s">
        <v>1536</v>
      </c>
      <c r="E1814" s="1" t="s">
        <v>1537</v>
      </c>
      <c r="F1814" s="1" t="s">
        <v>1517</v>
      </c>
      <c r="G1814" s="1">
        <v>0.0</v>
      </c>
      <c r="H1814" s="2">
        <v>0.11944444444444445</v>
      </c>
    </row>
    <row r="1815">
      <c r="A1815" s="1" t="s">
        <v>1512</v>
      </c>
      <c r="B1815" s="1" t="s">
        <v>903</v>
      </c>
      <c r="C1815" s="1">
        <v>14.0</v>
      </c>
      <c r="D1815" s="1" t="s">
        <v>1538</v>
      </c>
      <c r="E1815" s="1" t="s">
        <v>1539</v>
      </c>
      <c r="F1815" s="1" t="s">
        <v>1517</v>
      </c>
      <c r="G1815" s="1">
        <v>0.0</v>
      </c>
      <c r="H1815" s="2">
        <v>0.13194444444444445</v>
      </c>
    </row>
    <row r="1816">
      <c r="A1816" s="1" t="s">
        <v>1512</v>
      </c>
      <c r="B1816" s="1" t="s">
        <v>903</v>
      </c>
      <c r="C1816" s="1">
        <v>15.0</v>
      </c>
      <c r="D1816" s="1" t="s">
        <v>1540</v>
      </c>
      <c r="E1816" s="1" t="s">
        <v>1541</v>
      </c>
      <c r="F1816" s="1" t="s">
        <v>1542</v>
      </c>
      <c r="G1816" s="1">
        <v>0.0</v>
      </c>
      <c r="H1816" s="2">
        <v>0.14375</v>
      </c>
    </row>
    <row r="1817">
      <c r="A1817" s="1" t="s">
        <v>1512</v>
      </c>
      <c r="B1817" s="1" t="s">
        <v>903</v>
      </c>
      <c r="C1817" s="1">
        <v>16.0</v>
      </c>
      <c r="D1817" s="1" t="s">
        <v>1543</v>
      </c>
      <c r="E1817" s="1" t="s">
        <v>1544</v>
      </c>
      <c r="F1817" s="1" t="s">
        <v>1543</v>
      </c>
      <c r="G1817" s="1">
        <v>0.0</v>
      </c>
      <c r="H1817" s="2">
        <v>0.044444444444444446</v>
      </c>
    </row>
    <row r="1818">
      <c r="A1818" s="1" t="s">
        <v>1512</v>
      </c>
      <c r="B1818" s="1" t="s">
        <v>903</v>
      </c>
      <c r="C1818" s="1">
        <v>17.0</v>
      </c>
      <c r="D1818" s="1" t="s">
        <v>23</v>
      </c>
      <c r="E1818" s="1" t="s">
        <v>24</v>
      </c>
      <c r="F1818" s="1" t="s">
        <v>23</v>
      </c>
      <c r="G1818" s="1">
        <v>0.0</v>
      </c>
      <c r="H1818" s="2">
        <v>0.12013888888888889</v>
      </c>
    </row>
    <row r="1819">
      <c r="A1819" s="1" t="s">
        <v>1512</v>
      </c>
      <c r="B1819" s="1" t="s">
        <v>903</v>
      </c>
      <c r="C1819" s="1">
        <v>18.0</v>
      </c>
      <c r="D1819" s="1" t="s">
        <v>96</v>
      </c>
      <c r="E1819" s="1" t="s">
        <v>97</v>
      </c>
      <c r="F1819" s="1" t="s">
        <v>98</v>
      </c>
      <c r="G1819" s="1">
        <v>1.0</v>
      </c>
      <c r="H1819" s="2">
        <v>0.12430555555555556</v>
      </c>
    </row>
    <row r="1820">
      <c r="A1820" s="1" t="s">
        <v>1512</v>
      </c>
      <c r="B1820" s="1" t="s">
        <v>903</v>
      </c>
      <c r="C1820" s="1">
        <v>19.0</v>
      </c>
      <c r="D1820" s="1" t="s">
        <v>1545</v>
      </c>
      <c r="E1820" s="1" t="s">
        <v>1546</v>
      </c>
      <c r="F1820" s="1" t="s">
        <v>1547</v>
      </c>
      <c r="G1820" s="1">
        <v>0.0</v>
      </c>
      <c r="H1820" s="2">
        <v>0.1111111111111111</v>
      </c>
    </row>
    <row r="1821">
      <c r="A1821" s="1" t="s">
        <v>1512</v>
      </c>
      <c r="B1821" s="1" t="s">
        <v>903</v>
      </c>
      <c r="C1821" s="1">
        <v>20.0</v>
      </c>
      <c r="D1821" s="1" t="s">
        <v>997</v>
      </c>
      <c r="E1821" s="1" t="s">
        <v>998</v>
      </c>
      <c r="F1821" s="1" t="s">
        <v>999</v>
      </c>
      <c r="G1821" s="1">
        <v>0.0</v>
      </c>
      <c r="H1821" s="2">
        <v>0.11597222222222223</v>
      </c>
    </row>
    <row r="1822">
      <c r="A1822" s="1" t="s">
        <v>1512</v>
      </c>
      <c r="B1822" s="1" t="s">
        <v>903</v>
      </c>
      <c r="C1822" s="1">
        <v>21.0</v>
      </c>
      <c r="D1822" s="1" t="s">
        <v>9</v>
      </c>
      <c r="E1822" s="1" t="s">
        <v>10</v>
      </c>
      <c r="F1822" s="1" t="s">
        <v>9</v>
      </c>
      <c r="G1822" s="1">
        <v>0.0</v>
      </c>
      <c r="H1822" s="2">
        <v>0.12638888888888888</v>
      </c>
    </row>
    <row r="1823">
      <c r="A1823" s="1" t="s">
        <v>1512</v>
      </c>
      <c r="B1823" s="1" t="s">
        <v>903</v>
      </c>
      <c r="C1823" s="1">
        <v>22.0</v>
      </c>
      <c r="D1823" s="1" t="s">
        <v>1548</v>
      </c>
      <c r="E1823" s="1" t="s">
        <v>1528</v>
      </c>
      <c r="F1823" s="1" t="s">
        <v>1529</v>
      </c>
      <c r="G1823" s="1">
        <v>0.0</v>
      </c>
      <c r="H1823" s="2">
        <v>0.23541666666666666</v>
      </c>
    </row>
    <row r="1824">
      <c r="A1824" s="1" t="s">
        <v>1512</v>
      </c>
      <c r="B1824" s="1" t="s">
        <v>903</v>
      </c>
      <c r="C1824" s="1">
        <v>23.0</v>
      </c>
      <c r="D1824" s="1" t="s">
        <v>1549</v>
      </c>
      <c r="E1824" s="1" t="s">
        <v>1550</v>
      </c>
      <c r="F1824" s="1" t="s">
        <v>1531</v>
      </c>
      <c r="G1824" s="1">
        <v>0.0</v>
      </c>
      <c r="H1824" s="2">
        <v>0.2</v>
      </c>
    </row>
    <row r="1825">
      <c r="A1825" s="1" t="s">
        <v>1512</v>
      </c>
      <c r="B1825" s="1" t="s">
        <v>903</v>
      </c>
      <c r="C1825" s="1">
        <v>24.0</v>
      </c>
      <c r="D1825" s="1" t="s">
        <v>1551</v>
      </c>
      <c r="E1825" s="1" t="s">
        <v>1552</v>
      </c>
      <c r="F1825" s="1" t="s">
        <v>1517</v>
      </c>
      <c r="G1825" s="1">
        <v>0.0</v>
      </c>
      <c r="H1825" s="2">
        <v>0.11180555555555556</v>
      </c>
    </row>
    <row r="1826">
      <c r="A1826" s="1" t="s">
        <v>1512</v>
      </c>
      <c r="B1826" s="1" t="s">
        <v>903</v>
      </c>
      <c r="C1826" s="1">
        <v>25.0</v>
      </c>
      <c r="D1826" s="1" t="s">
        <v>1553</v>
      </c>
      <c r="E1826" s="1" t="s">
        <v>1554</v>
      </c>
      <c r="F1826" s="1" t="s">
        <v>1555</v>
      </c>
      <c r="G1826" s="1">
        <v>0.0</v>
      </c>
      <c r="H1826" s="2">
        <v>0.15625</v>
      </c>
    </row>
    <row r="1827">
      <c r="A1827" s="1" t="s">
        <v>1512</v>
      </c>
      <c r="B1827" s="1" t="s">
        <v>903</v>
      </c>
      <c r="C1827" s="1">
        <v>26.0</v>
      </c>
      <c r="D1827" s="1" t="s">
        <v>1556</v>
      </c>
      <c r="E1827" s="1" t="s">
        <v>1557</v>
      </c>
      <c r="F1827" s="1" t="s">
        <v>1542</v>
      </c>
      <c r="G1827" s="1">
        <v>0.0</v>
      </c>
      <c r="H1827" s="2">
        <v>0.18958333333333333</v>
      </c>
    </row>
    <row r="1828">
      <c r="A1828" s="1" t="s">
        <v>1512</v>
      </c>
      <c r="B1828" s="1" t="s">
        <v>903</v>
      </c>
      <c r="C1828" s="1">
        <v>27.0</v>
      </c>
      <c r="D1828" s="1" t="s">
        <v>1523</v>
      </c>
      <c r="E1828" s="1" t="s">
        <v>1558</v>
      </c>
      <c r="F1828" s="1" t="s">
        <v>1523</v>
      </c>
      <c r="G1828" s="1">
        <v>0.0</v>
      </c>
      <c r="H1828" s="2">
        <v>0.1076388888888889</v>
      </c>
    </row>
    <row r="1829">
      <c r="A1829" s="1" t="s">
        <v>1512</v>
      </c>
      <c r="B1829" s="1" t="s">
        <v>903</v>
      </c>
      <c r="C1829" s="1">
        <v>28.0</v>
      </c>
      <c r="D1829" s="1" t="s">
        <v>124</v>
      </c>
      <c r="E1829" s="1" t="s">
        <v>125</v>
      </c>
      <c r="F1829" s="1" t="s">
        <v>126</v>
      </c>
      <c r="G1829" s="1">
        <v>1.0</v>
      </c>
      <c r="H1829" s="2">
        <v>0.15625</v>
      </c>
    </row>
    <row r="1830">
      <c r="A1830" s="1" t="s">
        <v>1512</v>
      </c>
      <c r="B1830" s="1" t="s">
        <v>903</v>
      </c>
      <c r="C1830" s="1">
        <v>29.0</v>
      </c>
      <c r="D1830" s="1" t="s">
        <v>50</v>
      </c>
      <c r="E1830" s="1" t="s">
        <v>51</v>
      </c>
      <c r="F1830" s="1" t="s">
        <v>52</v>
      </c>
      <c r="G1830" s="1">
        <v>0.0</v>
      </c>
      <c r="H1830" s="2">
        <v>0.14722222222222223</v>
      </c>
    </row>
    <row r="1831">
      <c r="A1831" s="1" t="s">
        <v>1512</v>
      </c>
      <c r="B1831" s="1" t="s">
        <v>903</v>
      </c>
      <c r="C1831" s="1">
        <v>30.0</v>
      </c>
      <c r="D1831" s="1" t="s">
        <v>47</v>
      </c>
      <c r="E1831" s="1" t="s">
        <v>48</v>
      </c>
      <c r="F1831" s="1" t="s">
        <v>49</v>
      </c>
      <c r="G1831" s="1">
        <v>1.0</v>
      </c>
      <c r="H1831" s="2">
        <v>0.15486111111111112</v>
      </c>
    </row>
    <row r="1832">
      <c r="A1832" s="1" t="s">
        <v>1512</v>
      </c>
      <c r="B1832" s="1" t="s">
        <v>903</v>
      </c>
      <c r="C1832" s="1">
        <v>31.0</v>
      </c>
      <c r="D1832" s="1" t="s">
        <v>11</v>
      </c>
      <c r="E1832" s="1" t="s">
        <v>12</v>
      </c>
      <c r="F1832" s="1" t="s">
        <v>13</v>
      </c>
      <c r="G1832" s="1">
        <v>0.0</v>
      </c>
      <c r="H1832" s="2">
        <v>0.1388888888888889</v>
      </c>
    </row>
    <row r="1833">
      <c r="A1833" s="1" t="s">
        <v>1512</v>
      </c>
      <c r="B1833" s="1" t="s">
        <v>903</v>
      </c>
      <c r="C1833" s="1">
        <v>32.0</v>
      </c>
      <c r="D1833" s="1" t="s">
        <v>68</v>
      </c>
      <c r="E1833" s="1" t="s">
        <v>69</v>
      </c>
      <c r="F1833" s="1" t="s">
        <v>70</v>
      </c>
      <c r="G1833" s="1">
        <v>0.0</v>
      </c>
      <c r="H1833" s="2">
        <v>0.12638888888888888</v>
      </c>
    </row>
    <row r="1834">
      <c r="A1834" s="1" t="s">
        <v>1512</v>
      </c>
      <c r="B1834" s="1" t="s">
        <v>903</v>
      </c>
      <c r="C1834" s="1">
        <v>33.0</v>
      </c>
      <c r="D1834" s="1" t="s">
        <v>20</v>
      </c>
      <c r="E1834" s="1" t="s">
        <v>21</v>
      </c>
      <c r="F1834" s="1" t="s">
        <v>22</v>
      </c>
      <c r="G1834" s="1">
        <v>1.0</v>
      </c>
      <c r="H1834" s="2">
        <v>0.17152777777777778</v>
      </c>
    </row>
    <row r="1835">
      <c r="A1835" s="1" t="s">
        <v>1512</v>
      </c>
      <c r="B1835" s="1" t="s">
        <v>903</v>
      </c>
      <c r="C1835" s="1">
        <v>34.0</v>
      </c>
      <c r="D1835" s="1" t="s">
        <v>1559</v>
      </c>
      <c r="E1835" s="1" t="s">
        <v>1560</v>
      </c>
      <c r="F1835" s="1" t="s">
        <v>1559</v>
      </c>
      <c r="G1835" s="1">
        <v>0.0</v>
      </c>
      <c r="H1835" s="2">
        <v>0.15486111111111112</v>
      </c>
    </row>
    <row r="1836">
      <c r="A1836" s="1" t="s">
        <v>1512</v>
      </c>
      <c r="B1836" s="1" t="s">
        <v>903</v>
      </c>
      <c r="C1836" s="1">
        <v>35.0</v>
      </c>
      <c r="D1836" s="1" t="s">
        <v>44</v>
      </c>
      <c r="E1836" s="1" t="s">
        <v>45</v>
      </c>
      <c r="F1836" s="1" t="s">
        <v>44</v>
      </c>
      <c r="G1836" s="1">
        <v>0.0</v>
      </c>
      <c r="H1836" s="2">
        <v>0.12222222222222222</v>
      </c>
    </row>
    <row r="1837">
      <c r="A1837" s="1" t="s">
        <v>1512</v>
      </c>
      <c r="B1837" s="1" t="s">
        <v>903</v>
      </c>
      <c r="C1837" s="1">
        <v>36.0</v>
      </c>
      <c r="D1837" s="1" t="s">
        <v>1561</v>
      </c>
      <c r="E1837" s="1" t="s">
        <v>1562</v>
      </c>
      <c r="F1837" s="1" t="s">
        <v>1561</v>
      </c>
      <c r="G1837" s="1">
        <v>0.0</v>
      </c>
      <c r="H1837" s="2">
        <v>0.1527777777777778</v>
      </c>
    </row>
    <row r="1838">
      <c r="A1838" s="1" t="s">
        <v>1512</v>
      </c>
      <c r="B1838" s="1" t="s">
        <v>903</v>
      </c>
      <c r="C1838" s="1">
        <v>37.0</v>
      </c>
      <c r="D1838" s="1" t="s">
        <v>99</v>
      </c>
      <c r="E1838" s="1" t="s">
        <v>100</v>
      </c>
      <c r="F1838" s="1" t="s">
        <v>99</v>
      </c>
      <c r="G1838" s="1">
        <v>0.0</v>
      </c>
      <c r="H1838" s="2">
        <v>0.11944444444444445</v>
      </c>
    </row>
    <row r="1839">
      <c r="A1839" s="1" t="s">
        <v>1512</v>
      </c>
      <c r="B1839" s="1" t="s">
        <v>903</v>
      </c>
      <c r="C1839" s="1">
        <v>38.0</v>
      </c>
      <c r="D1839" s="1" t="s">
        <v>17</v>
      </c>
      <c r="E1839" s="1" t="s">
        <v>18</v>
      </c>
      <c r="F1839" s="1" t="s">
        <v>19</v>
      </c>
      <c r="G1839" s="1">
        <v>1.0</v>
      </c>
      <c r="H1839" s="2">
        <v>0.12222222222222222</v>
      </c>
    </row>
    <row r="1840">
      <c r="A1840" s="1" t="s">
        <v>1512</v>
      </c>
      <c r="B1840" s="1" t="s">
        <v>903</v>
      </c>
      <c r="C1840" s="1">
        <v>39.0</v>
      </c>
      <c r="D1840" s="1" t="s">
        <v>1563</v>
      </c>
      <c r="E1840" s="1" t="s">
        <v>1562</v>
      </c>
      <c r="F1840" s="1" t="s">
        <v>1517</v>
      </c>
      <c r="G1840" s="1">
        <v>0.0</v>
      </c>
      <c r="H1840" s="2">
        <v>0.14652777777777778</v>
      </c>
    </row>
    <row r="1841">
      <c r="A1841" s="1" t="s">
        <v>1512</v>
      </c>
      <c r="B1841" s="1" t="s">
        <v>903</v>
      </c>
      <c r="C1841" s="1">
        <v>40.0</v>
      </c>
      <c r="D1841" s="1" t="s">
        <v>60</v>
      </c>
      <c r="E1841" s="1" t="s">
        <v>61</v>
      </c>
      <c r="F1841" s="1" t="s">
        <v>62</v>
      </c>
      <c r="G1841" s="1">
        <v>0.0</v>
      </c>
      <c r="H1841" s="2">
        <v>0.11041666666666666</v>
      </c>
    </row>
    <row r="1842">
      <c r="A1842" s="1" t="s">
        <v>1512</v>
      </c>
      <c r="B1842" s="1" t="s">
        <v>903</v>
      </c>
      <c r="C1842" s="1">
        <v>41.0</v>
      </c>
      <c r="D1842" s="1" t="s">
        <v>1564</v>
      </c>
      <c r="E1842" s="1" t="s">
        <v>1565</v>
      </c>
      <c r="F1842" s="1" t="s">
        <v>1564</v>
      </c>
      <c r="G1842" s="1">
        <v>0.0</v>
      </c>
      <c r="H1842" s="2">
        <v>0.11041666666666666</v>
      </c>
    </row>
    <row r="1843">
      <c r="A1843" s="1" t="s">
        <v>1512</v>
      </c>
      <c r="B1843" s="1" t="s">
        <v>903</v>
      </c>
      <c r="C1843" s="1">
        <v>42.0</v>
      </c>
      <c r="D1843" s="1" t="s">
        <v>27</v>
      </c>
      <c r="E1843" s="1" t="s">
        <v>28</v>
      </c>
      <c r="F1843" s="1" t="s">
        <v>29</v>
      </c>
      <c r="G1843" s="1">
        <v>0.0</v>
      </c>
      <c r="H1843" s="2">
        <v>0.12708333333333333</v>
      </c>
    </row>
    <row r="1844">
      <c r="A1844" s="1" t="s">
        <v>1512</v>
      </c>
      <c r="B1844" s="1" t="s">
        <v>903</v>
      </c>
      <c r="C1844" s="1">
        <v>43.0</v>
      </c>
      <c r="D1844" s="1" t="s">
        <v>111</v>
      </c>
      <c r="E1844" s="1" t="s">
        <v>69</v>
      </c>
      <c r="F1844" s="1" t="s">
        <v>112</v>
      </c>
      <c r="G1844" s="1">
        <v>0.0</v>
      </c>
      <c r="H1844" s="2">
        <v>0.14930555555555555</v>
      </c>
    </row>
    <row r="1845">
      <c r="A1845" s="1" t="s">
        <v>1512</v>
      </c>
      <c r="B1845" s="1" t="s">
        <v>903</v>
      </c>
      <c r="C1845" s="1">
        <v>44.0</v>
      </c>
      <c r="D1845" s="1" t="s">
        <v>54</v>
      </c>
      <c r="E1845" s="1" t="s">
        <v>55</v>
      </c>
      <c r="F1845" s="1" t="s">
        <v>56</v>
      </c>
      <c r="G1845" s="1">
        <v>0.0</v>
      </c>
      <c r="H1845" s="2">
        <v>0.10972222222222222</v>
      </c>
    </row>
    <row r="1846">
      <c r="A1846" s="1" t="s">
        <v>1512</v>
      </c>
      <c r="B1846" s="1" t="s">
        <v>903</v>
      </c>
      <c r="C1846" s="1">
        <v>45.0</v>
      </c>
      <c r="D1846" s="1" t="s">
        <v>73</v>
      </c>
      <c r="E1846" s="1" t="s">
        <v>74</v>
      </c>
      <c r="F1846" s="1" t="s">
        <v>75</v>
      </c>
      <c r="G1846" s="1">
        <v>0.0</v>
      </c>
      <c r="H1846" s="2">
        <v>0.14930555555555555</v>
      </c>
    </row>
    <row r="1847">
      <c r="A1847" s="1" t="s">
        <v>1512</v>
      </c>
      <c r="B1847" s="1" t="s">
        <v>903</v>
      </c>
      <c r="C1847" s="1">
        <v>46.0</v>
      </c>
      <c r="D1847" s="1" t="s">
        <v>1566</v>
      </c>
      <c r="E1847" s="1" t="s">
        <v>1528</v>
      </c>
      <c r="F1847" s="1" t="s">
        <v>1529</v>
      </c>
      <c r="G1847" s="1">
        <v>0.0</v>
      </c>
      <c r="H1847" s="2">
        <v>0.19652777777777777</v>
      </c>
    </row>
    <row r="1848">
      <c r="A1848" s="1" t="s">
        <v>1512</v>
      </c>
      <c r="B1848" s="1" t="s">
        <v>903</v>
      </c>
      <c r="C1848" s="1">
        <v>47.0</v>
      </c>
      <c r="D1848" s="1" t="s">
        <v>1567</v>
      </c>
      <c r="E1848" s="1" t="s">
        <v>1528</v>
      </c>
      <c r="F1848" s="1" t="s">
        <v>1529</v>
      </c>
      <c r="G1848" s="1">
        <v>0.0</v>
      </c>
      <c r="H1848" s="2">
        <v>0.21041666666666667</v>
      </c>
    </row>
    <row r="1849">
      <c r="A1849" s="1" t="s">
        <v>1512</v>
      </c>
      <c r="B1849" s="1" t="s">
        <v>903</v>
      </c>
      <c r="C1849" s="1">
        <v>48.0</v>
      </c>
      <c r="D1849" s="1" t="s">
        <v>1568</v>
      </c>
      <c r="E1849" s="1" t="s">
        <v>1569</v>
      </c>
      <c r="F1849" s="1" t="s">
        <v>1517</v>
      </c>
      <c r="G1849" s="1">
        <v>0.0</v>
      </c>
      <c r="H1849" s="2">
        <v>0.15347222222222223</v>
      </c>
    </row>
    <row r="1850">
      <c r="A1850" s="1" t="s">
        <v>1512</v>
      </c>
      <c r="B1850" s="1" t="s">
        <v>903</v>
      </c>
      <c r="C1850" s="1">
        <v>49.0</v>
      </c>
      <c r="D1850" s="1" t="s">
        <v>76</v>
      </c>
      <c r="E1850" s="1" t="s">
        <v>77</v>
      </c>
      <c r="F1850" s="1" t="s">
        <v>76</v>
      </c>
      <c r="G1850" s="1">
        <v>1.0</v>
      </c>
      <c r="H1850" s="2">
        <v>0.14305555555555555</v>
      </c>
    </row>
    <row r="1851">
      <c r="A1851" s="1" t="s">
        <v>1512</v>
      </c>
      <c r="B1851" s="1" t="s">
        <v>903</v>
      </c>
      <c r="C1851" s="1">
        <v>50.0</v>
      </c>
      <c r="D1851" s="1" t="s">
        <v>46</v>
      </c>
      <c r="E1851" s="1" t="s">
        <v>28</v>
      </c>
      <c r="F1851" s="1" t="s">
        <v>29</v>
      </c>
      <c r="G1851" s="1">
        <v>0.0</v>
      </c>
      <c r="H1851" s="2">
        <v>0.15347222222222223</v>
      </c>
    </row>
    <row r="1852">
      <c r="A1852" s="1" t="s">
        <v>1570</v>
      </c>
      <c r="B1852" s="1" t="s">
        <v>250</v>
      </c>
      <c r="C1852" s="1">
        <v>1.0</v>
      </c>
      <c r="D1852" s="1" t="s">
        <v>1571</v>
      </c>
      <c r="E1852" s="1" t="s">
        <v>1572</v>
      </c>
      <c r="F1852" s="1" t="s">
        <v>1573</v>
      </c>
      <c r="G1852" s="1">
        <v>0.0</v>
      </c>
      <c r="H1852" s="2">
        <v>0.1673611111111111</v>
      </c>
    </row>
    <row r="1853">
      <c r="A1853" s="1" t="s">
        <v>1570</v>
      </c>
      <c r="B1853" s="1" t="s">
        <v>250</v>
      </c>
      <c r="C1853" s="1">
        <v>2.0</v>
      </c>
      <c r="D1853" s="1" t="s">
        <v>1574</v>
      </c>
      <c r="E1853" s="1" t="s">
        <v>1575</v>
      </c>
      <c r="F1853" s="1" t="s">
        <v>1576</v>
      </c>
      <c r="G1853" s="1">
        <v>0.0</v>
      </c>
      <c r="H1853" s="2">
        <v>0.18194444444444444</v>
      </c>
    </row>
    <row r="1854">
      <c r="A1854" s="1" t="s">
        <v>1570</v>
      </c>
      <c r="B1854" s="1" t="s">
        <v>250</v>
      </c>
      <c r="C1854" s="1">
        <v>3.0</v>
      </c>
      <c r="D1854" s="1" t="s">
        <v>1577</v>
      </c>
      <c r="E1854" s="1" t="s">
        <v>1578</v>
      </c>
      <c r="F1854" s="1" t="s">
        <v>1579</v>
      </c>
      <c r="G1854" s="1">
        <v>0.0</v>
      </c>
      <c r="H1854" s="2">
        <v>0.10486111111111111</v>
      </c>
    </row>
    <row r="1855">
      <c r="A1855" s="1" t="s">
        <v>1570</v>
      </c>
      <c r="B1855" s="1" t="s">
        <v>250</v>
      </c>
      <c r="C1855" s="1">
        <v>4.0</v>
      </c>
      <c r="D1855" s="1" t="s">
        <v>1580</v>
      </c>
      <c r="E1855" s="1" t="s">
        <v>1581</v>
      </c>
      <c r="F1855" s="1" t="s">
        <v>1582</v>
      </c>
      <c r="G1855" s="1">
        <v>0.0</v>
      </c>
      <c r="H1855" s="2">
        <v>0.0875</v>
      </c>
    </row>
    <row r="1856">
      <c r="A1856" s="1" t="s">
        <v>1570</v>
      </c>
      <c r="B1856" s="1" t="s">
        <v>250</v>
      </c>
      <c r="C1856" s="1">
        <v>5.0</v>
      </c>
      <c r="D1856" s="1" t="s">
        <v>1583</v>
      </c>
      <c r="E1856" s="1" t="s">
        <v>1584</v>
      </c>
      <c r="F1856" s="1" t="s">
        <v>1585</v>
      </c>
      <c r="G1856" s="1">
        <v>0.0</v>
      </c>
      <c r="H1856" s="2">
        <v>0.09027777777777778</v>
      </c>
    </row>
    <row r="1857">
      <c r="A1857" s="1" t="s">
        <v>1570</v>
      </c>
      <c r="B1857" s="1" t="s">
        <v>250</v>
      </c>
      <c r="C1857" s="1">
        <v>6.0</v>
      </c>
      <c r="D1857" s="1" t="s">
        <v>1586</v>
      </c>
      <c r="E1857" s="1" t="s">
        <v>1587</v>
      </c>
      <c r="F1857" s="1" t="s">
        <v>1588</v>
      </c>
      <c r="G1857" s="1">
        <v>0.0</v>
      </c>
      <c r="H1857" s="2">
        <v>0.14375</v>
      </c>
    </row>
    <row r="1858">
      <c r="A1858" s="1" t="s">
        <v>1570</v>
      </c>
      <c r="B1858" s="1" t="s">
        <v>250</v>
      </c>
      <c r="C1858" s="1">
        <v>7.0</v>
      </c>
      <c r="D1858" s="1" t="s">
        <v>1589</v>
      </c>
      <c r="E1858" s="1" t="s">
        <v>1590</v>
      </c>
      <c r="F1858" s="1" t="s">
        <v>1591</v>
      </c>
      <c r="G1858" s="1">
        <v>0.0</v>
      </c>
      <c r="H1858" s="2">
        <v>0.12638888888888888</v>
      </c>
    </row>
    <row r="1859">
      <c r="A1859" s="1" t="s">
        <v>1570</v>
      </c>
      <c r="B1859" s="1" t="s">
        <v>250</v>
      </c>
      <c r="C1859" s="1">
        <v>8.0</v>
      </c>
      <c r="D1859" s="1" t="s">
        <v>1592</v>
      </c>
      <c r="E1859" s="1" t="s">
        <v>1593</v>
      </c>
      <c r="F1859" s="1" t="s">
        <v>1594</v>
      </c>
      <c r="G1859" s="1">
        <v>0.0</v>
      </c>
      <c r="H1859" s="2">
        <v>0.1076388888888889</v>
      </c>
    </row>
    <row r="1860">
      <c r="A1860" s="1" t="s">
        <v>1570</v>
      </c>
      <c r="B1860" s="1" t="s">
        <v>250</v>
      </c>
      <c r="C1860" s="1">
        <v>9.0</v>
      </c>
      <c r="D1860" s="1" t="s">
        <v>33</v>
      </c>
      <c r="E1860" s="1" t="s">
        <v>34</v>
      </c>
      <c r="F1860" s="1" t="s">
        <v>35</v>
      </c>
      <c r="G1860" s="1">
        <v>0.0</v>
      </c>
      <c r="H1860" s="2">
        <v>0.1451388888888889</v>
      </c>
    </row>
    <row r="1861">
      <c r="A1861" s="1" t="s">
        <v>1570</v>
      </c>
      <c r="B1861" s="1" t="s">
        <v>250</v>
      </c>
      <c r="C1861" s="1">
        <v>10.0</v>
      </c>
      <c r="D1861" s="1" t="s">
        <v>1595</v>
      </c>
      <c r="E1861" s="1" t="s">
        <v>1587</v>
      </c>
      <c r="F1861" s="1" t="s">
        <v>1588</v>
      </c>
      <c r="G1861" s="1">
        <v>0.0</v>
      </c>
      <c r="H1861" s="2">
        <v>0.08402777777777778</v>
      </c>
    </row>
    <row r="1862">
      <c r="A1862" s="1" t="s">
        <v>1570</v>
      </c>
      <c r="B1862" s="1" t="s">
        <v>250</v>
      </c>
      <c r="C1862" s="1">
        <v>11.0</v>
      </c>
      <c r="D1862" s="1" t="s">
        <v>1596</v>
      </c>
      <c r="E1862" s="1" t="s">
        <v>1597</v>
      </c>
      <c r="F1862" s="1" t="s">
        <v>1598</v>
      </c>
      <c r="G1862" s="1">
        <v>0.0</v>
      </c>
      <c r="H1862" s="2">
        <v>0.15416666666666667</v>
      </c>
    </row>
    <row r="1863">
      <c r="A1863" s="1" t="s">
        <v>1570</v>
      </c>
      <c r="B1863" s="1" t="s">
        <v>250</v>
      </c>
      <c r="C1863" s="1">
        <v>12.0</v>
      </c>
      <c r="D1863" s="1" t="s">
        <v>1599</v>
      </c>
      <c r="E1863" s="1" t="s">
        <v>1600</v>
      </c>
      <c r="F1863" s="1" t="s">
        <v>1599</v>
      </c>
      <c r="G1863" s="1">
        <v>0.0</v>
      </c>
      <c r="H1863" s="2">
        <v>0.14166666666666666</v>
      </c>
    </row>
    <row r="1864">
      <c r="A1864" s="1" t="s">
        <v>1570</v>
      </c>
      <c r="B1864" s="1" t="s">
        <v>250</v>
      </c>
      <c r="C1864" s="1">
        <v>13.0</v>
      </c>
      <c r="D1864" s="1" t="s">
        <v>1601</v>
      </c>
      <c r="E1864" s="1" t="s">
        <v>1602</v>
      </c>
      <c r="F1864" s="1" t="s">
        <v>1603</v>
      </c>
      <c r="G1864" s="1">
        <v>0.0</v>
      </c>
      <c r="H1864" s="2">
        <v>0.14791666666666667</v>
      </c>
    </row>
    <row r="1865">
      <c r="A1865" s="1" t="s">
        <v>1570</v>
      </c>
      <c r="B1865" s="1" t="s">
        <v>250</v>
      </c>
      <c r="C1865" s="1">
        <v>14.0</v>
      </c>
      <c r="D1865" s="1" t="s">
        <v>1604</v>
      </c>
      <c r="E1865" s="1" t="s">
        <v>1605</v>
      </c>
      <c r="F1865" s="1" t="s">
        <v>1606</v>
      </c>
      <c r="G1865" s="1">
        <v>0.0</v>
      </c>
      <c r="H1865" s="2">
        <v>0.1076388888888889</v>
      </c>
    </row>
    <row r="1866">
      <c r="A1866" s="1" t="s">
        <v>1570</v>
      </c>
      <c r="B1866" s="1" t="s">
        <v>250</v>
      </c>
      <c r="C1866" s="1">
        <v>15.0</v>
      </c>
      <c r="D1866" s="1" t="s">
        <v>1607</v>
      </c>
      <c r="E1866" s="1" t="s">
        <v>1608</v>
      </c>
      <c r="F1866" s="1" t="s">
        <v>1609</v>
      </c>
      <c r="G1866" s="1">
        <v>0.0</v>
      </c>
      <c r="H1866" s="2">
        <v>0.13333333333333333</v>
      </c>
    </row>
    <row r="1867">
      <c r="A1867" s="1" t="s">
        <v>1570</v>
      </c>
      <c r="B1867" s="1" t="s">
        <v>250</v>
      </c>
      <c r="C1867" s="1">
        <v>16.0</v>
      </c>
      <c r="D1867" s="1" t="s">
        <v>1610</v>
      </c>
      <c r="E1867" s="1" t="s">
        <v>1611</v>
      </c>
      <c r="F1867" s="1" t="s">
        <v>1612</v>
      </c>
      <c r="G1867" s="1">
        <v>0.0</v>
      </c>
      <c r="H1867" s="2">
        <v>0.11527777777777778</v>
      </c>
    </row>
    <row r="1868">
      <c r="A1868" s="1" t="s">
        <v>1570</v>
      </c>
      <c r="B1868" s="1" t="s">
        <v>250</v>
      </c>
      <c r="C1868" s="1">
        <v>17.0</v>
      </c>
      <c r="D1868" s="1" t="s">
        <v>1613</v>
      </c>
      <c r="E1868" s="1" t="s">
        <v>1614</v>
      </c>
      <c r="F1868" s="1" t="s">
        <v>1615</v>
      </c>
      <c r="G1868" s="1">
        <v>0.0</v>
      </c>
      <c r="H1868" s="2">
        <v>0.15902777777777777</v>
      </c>
    </row>
    <row r="1869">
      <c r="A1869" s="1" t="s">
        <v>1570</v>
      </c>
      <c r="B1869" s="1" t="s">
        <v>250</v>
      </c>
      <c r="C1869" s="1">
        <v>18.0</v>
      </c>
      <c r="D1869" s="1" t="s">
        <v>1616</v>
      </c>
      <c r="E1869" s="1" t="s">
        <v>1617</v>
      </c>
      <c r="F1869" s="1" t="s">
        <v>1618</v>
      </c>
      <c r="G1869" s="1">
        <v>0.0</v>
      </c>
      <c r="H1869" s="2">
        <v>0.09236111111111112</v>
      </c>
    </row>
    <row r="1870">
      <c r="A1870" s="1" t="s">
        <v>1570</v>
      </c>
      <c r="B1870" s="1" t="s">
        <v>250</v>
      </c>
      <c r="C1870" s="1">
        <v>19.0</v>
      </c>
      <c r="D1870" s="1" t="s">
        <v>1619</v>
      </c>
      <c r="E1870" s="1" t="s">
        <v>1620</v>
      </c>
      <c r="F1870" s="1" t="s">
        <v>1621</v>
      </c>
      <c r="G1870" s="1">
        <v>0.0</v>
      </c>
      <c r="H1870" s="2">
        <v>0.15763888888888888</v>
      </c>
    </row>
    <row r="1871">
      <c r="A1871" s="1" t="s">
        <v>1570</v>
      </c>
      <c r="B1871" s="1" t="s">
        <v>250</v>
      </c>
      <c r="C1871" s="1">
        <v>20.0</v>
      </c>
      <c r="D1871" s="1" t="s">
        <v>1622</v>
      </c>
      <c r="E1871" s="1" t="s">
        <v>1623</v>
      </c>
      <c r="F1871" s="1" t="s">
        <v>1624</v>
      </c>
      <c r="G1871" s="1">
        <v>0.0</v>
      </c>
      <c r="H1871" s="2">
        <v>0.12291666666666666</v>
      </c>
    </row>
    <row r="1872">
      <c r="A1872" s="1" t="s">
        <v>1570</v>
      </c>
      <c r="B1872" s="1" t="s">
        <v>250</v>
      </c>
      <c r="C1872" s="1">
        <v>21.0</v>
      </c>
      <c r="D1872" s="1" t="s">
        <v>1625</v>
      </c>
      <c r="E1872" s="1" t="s">
        <v>1127</v>
      </c>
      <c r="F1872" s="1" t="s">
        <v>1626</v>
      </c>
      <c r="G1872" s="1">
        <v>0.0</v>
      </c>
      <c r="H1872" s="2">
        <v>0.12638888888888888</v>
      </c>
    </row>
    <row r="1873">
      <c r="A1873" s="1" t="s">
        <v>1570</v>
      </c>
      <c r="B1873" s="1" t="s">
        <v>250</v>
      </c>
      <c r="C1873" s="1">
        <v>22.0</v>
      </c>
      <c r="D1873" s="1" t="s">
        <v>1627</v>
      </c>
      <c r="E1873" s="1" t="s">
        <v>1587</v>
      </c>
      <c r="F1873" s="1" t="s">
        <v>1588</v>
      </c>
      <c r="G1873" s="1">
        <v>0.0</v>
      </c>
      <c r="H1873" s="2">
        <v>0.11875</v>
      </c>
    </row>
    <row r="1874">
      <c r="A1874" s="1" t="s">
        <v>1570</v>
      </c>
      <c r="B1874" s="1" t="s">
        <v>250</v>
      </c>
      <c r="C1874" s="1">
        <v>23.0</v>
      </c>
      <c r="D1874" s="1" t="s">
        <v>1628</v>
      </c>
      <c r="E1874" s="1" t="s">
        <v>1629</v>
      </c>
      <c r="F1874" s="1" t="s">
        <v>1630</v>
      </c>
      <c r="G1874" s="1">
        <v>0.0</v>
      </c>
      <c r="H1874" s="2">
        <v>0.15486111111111112</v>
      </c>
    </row>
    <row r="1875">
      <c r="A1875" s="1" t="s">
        <v>1570</v>
      </c>
      <c r="B1875" s="1" t="s">
        <v>250</v>
      </c>
      <c r="C1875" s="1">
        <v>24.0</v>
      </c>
      <c r="D1875" s="1" t="s">
        <v>1631</v>
      </c>
      <c r="E1875" s="1" t="s">
        <v>1632</v>
      </c>
      <c r="F1875" s="1" t="s">
        <v>1633</v>
      </c>
      <c r="G1875" s="1">
        <v>0.0</v>
      </c>
      <c r="H1875" s="2">
        <v>0.08958333333333333</v>
      </c>
    </row>
    <row r="1876">
      <c r="A1876" s="1" t="s">
        <v>1570</v>
      </c>
      <c r="B1876" s="1" t="s">
        <v>250</v>
      </c>
      <c r="C1876" s="1">
        <v>25.0</v>
      </c>
      <c r="D1876" s="1" t="s">
        <v>1634</v>
      </c>
      <c r="E1876" s="1" t="s">
        <v>1635</v>
      </c>
      <c r="F1876" s="1" t="s">
        <v>1636</v>
      </c>
      <c r="G1876" s="1">
        <v>0.0</v>
      </c>
      <c r="H1876" s="2">
        <v>0.08125</v>
      </c>
    </row>
    <row r="1877">
      <c r="A1877" s="1" t="s">
        <v>1570</v>
      </c>
      <c r="B1877" s="1" t="s">
        <v>250</v>
      </c>
      <c r="C1877" s="1">
        <v>26.0</v>
      </c>
      <c r="D1877" s="1" t="s">
        <v>1637</v>
      </c>
      <c r="E1877" s="1" t="s">
        <v>1638</v>
      </c>
      <c r="F1877" s="1" t="s">
        <v>1612</v>
      </c>
      <c r="G1877" s="1">
        <v>0.0</v>
      </c>
      <c r="H1877" s="2">
        <v>0.12569444444444444</v>
      </c>
    </row>
    <row r="1878">
      <c r="A1878" s="1" t="s">
        <v>1570</v>
      </c>
      <c r="B1878" s="1" t="s">
        <v>250</v>
      </c>
      <c r="C1878" s="1">
        <v>27.0</v>
      </c>
      <c r="D1878" s="1" t="s">
        <v>1639</v>
      </c>
      <c r="E1878" s="1" t="s">
        <v>1640</v>
      </c>
      <c r="F1878" s="1" t="s">
        <v>1583</v>
      </c>
      <c r="G1878" s="1">
        <v>0.0</v>
      </c>
      <c r="H1878" s="2">
        <v>0.0875</v>
      </c>
    </row>
    <row r="1879">
      <c r="A1879" s="1" t="s">
        <v>1570</v>
      </c>
      <c r="B1879" s="1" t="s">
        <v>250</v>
      </c>
      <c r="C1879" s="1">
        <v>28.0</v>
      </c>
      <c r="D1879" s="1" t="s">
        <v>92</v>
      </c>
      <c r="E1879" s="1" t="s">
        <v>93</v>
      </c>
      <c r="F1879" s="1" t="s">
        <v>92</v>
      </c>
      <c r="G1879" s="1">
        <v>1.0</v>
      </c>
      <c r="H1879" s="2">
        <v>0.11319444444444444</v>
      </c>
    </row>
    <row r="1880">
      <c r="A1880" s="1" t="s">
        <v>1570</v>
      </c>
      <c r="B1880" s="1" t="s">
        <v>250</v>
      </c>
      <c r="C1880" s="1">
        <v>29.0</v>
      </c>
      <c r="D1880" s="1" t="s">
        <v>1641</v>
      </c>
      <c r="E1880" s="1" t="s">
        <v>1642</v>
      </c>
      <c r="F1880" s="1" t="s">
        <v>1643</v>
      </c>
      <c r="G1880" s="1">
        <v>0.0</v>
      </c>
      <c r="H1880" s="2">
        <v>0.1</v>
      </c>
    </row>
    <row r="1881">
      <c r="A1881" s="1" t="s">
        <v>1570</v>
      </c>
      <c r="B1881" s="1" t="s">
        <v>250</v>
      </c>
      <c r="C1881" s="1">
        <v>30.0</v>
      </c>
      <c r="D1881" s="1" t="s">
        <v>1644</v>
      </c>
      <c r="E1881" s="1" t="s">
        <v>1645</v>
      </c>
      <c r="F1881" s="1" t="s">
        <v>1646</v>
      </c>
      <c r="G1881" s="1">
        <v>0.0</v>
      </c>
      <c r="H1881" s="2">
        <v>0.1673611111111111</v>
      </c>
    </row>
    <row r="1882">
      <c r="A1882" s="1" t="s">
        <v>1570</v>
      </c>
      <c r="B1882" s="1" t="s">
        <v>250</v>
      </c>
      <c r="C1882" s="1">
        <v>31.0</v>
      </c>
      <c r="D1882" s="1" t="s">
        <v>1647</v>
      </c>
      <c r="E1882" s="1" t="s">
        <v>1648</v>
      </c>
      <c r="F1882" s="1" t="s">
        <v>1649</v>
      </c>
      <c r="G1882" s="1">
        <v>0.0</v>
      </c>
      <c r="H1882" s="2">
        <v>0.18541666666666667</v>
      </c>
    </row>
    <row r="1883">
      <c r="A1883" s="1" t="s">
        <v>1570</v>
      </c>
      <c r="B1883" s="1" t="s">
        <v>250</v>
      </c>
      <c r="C1883" s="1">
        <v>32.0</v>
      </c>
      <c r="D1883" s="1" t="s">
        <v>1610</v>
      </c>
      <c r="E1883" s="1" t="s">
        <v>1572</v>
      </c>
      <c r="F1883" s="1" t="s">
        <v>1573</v>
      </c>
      <c r="G1883" s="1">
        <v>0.0</v>
      </c>
      <c r="H1883" s="2">
        <v>0.10625</v>
      </c>
    </row>
    <row r="1884">
      <c r="A1884" s="1" t="s">
        <v>1570</v>
      </c>
      <c r="B1884" s="1" t="s">
        <v>250</v>
      </c>
      <c r="C1884" s="1">
        <v>33.0</v>
      </c>
      <c r="D1884" s="1" t="s">
        <v>60</v>
      </c>
      <c r="E1884" s="1" t="s">
        <v>61</v>
      </c>
      <c r="F1884" s="1" t="s">
        <v>60</v>
      </c>
      <c r="G1884" s="1">
        <v>0.0</v>
      </c>
      <c r="H1884" s="2">
        <v>0.11041666666666666</v>
      </c>
    </row>
    <row r="1885">
      <c r="A1885" s="1" t="s">
        <v>1570</v>
      </c>
      <c r="B1885" s="1" t="s">
        <v>250</v>
      </c>
      <c r="C1885" s="1">
        <v>34.0</v>
      </c>
      <c r="D1885" s="1" t="s">
        <v>1650</v>
      </c>
      <c r="E1885" s="1" t="s">
        <v>1651</v>
      </c>
      <c r="F1885" s="1" t="s">
        <v>1650</v>
      </c>
      <c r="G1885" s="1">
        <v>0.0</v>
      </c>
      <c r="H1885" s="2">
        <v>0.11805555555555555</v>
      </c>
    </row>
    <row r="1886">
      <c r="A1886" s="1" t="s">
        <v>1570</v>
      </c>
      <c r="B1886" s="1" t="s">
        <v>250</v>
      </c>
      <c r="C1886" s="1">
        <v>35.0</v>
      </c>
      <c r="D1886" s="1" t="s">
        <v>1652</v>
      </c>
      <c r="E1886" s="1" t="s">
        <v>1653</v>
      </c>
      <c r="F1886" s="1" t="s">
        <v>1612</v>
      </c>
      <c r="G1886" s="1">
        <v>0.0</v>
      </c>
      <c r="H1886" s="2">
        <v>0.17708333333333334</v>
      </c>
    </row>
    <row r="1887">
      <c r="A1887" s="1" t="s">
        <v>1570</v>
      </c>
      <c r="B1887" s="1" t="s">
        <v>250</v>
      </c>
      <c r="C1887" s="1">
        <v>36.0</v>
      </c>
      <c r="D1887" s="1" t="s">
        <v>1654</v>
      </c>
      <c r="E1887" s="1" t="s">
        <v>1655</v>
      </c>
      <c r="F1887" s="1" t="s">
        <v>1656</v>
      </c>
      <c r="G1887" s="1">
        <v>0.0</v>
      </c>
      <c r="H1887" s="2">
        <v>0.11458333333333333</v>
      </c>
    </row>
    <row r="1888">
      <c r="A1888" s="1" t="s">
        <v>1570</v>
      </c>
      <c r="B1888" s="1" t="s">
        <v>250</v>
      </c>
      <c r="C1888" s="1">
        <v>37.0</v>
      </c>
      <c r="D1888" s="1" t="s">
        <v>1657</v>
      </c>
      <c r="E1888" s="1" t="s">
        <v>1642</v>
      </c>
      <c r="F1888" s="1" t="s">
        <v>1643</v>
      </c>
      <c r="G1888" s="1">
        <v>0.0</v>
      </c>
      <c r="H1888" s="2">
        <v>0.12569444444444444</v>
      </c>
    </row>
    <row r="1889">
      <c r="A1889" s="1" t="s">
        <v>1570</v>
      </c>
      <c r="B1889" s="1" t="s">
        <v>250</v>
      </c>
      <c r="C1889" s="1">
        <v>38.0</v>
      </c>
      <c r="D1889" s="1" t="s">
        <v>1658</v>
      </c>
      <c r="E1889" s="1" t="s">
        <v>1587</v>
      </c>
      <c r="F1889" s="1" t="s">
        <v>1588</v>
      </c>
      <c r="G1889" s="1">
        <v>0.0</v>
      </c>
      <c r="H1889" s="2">
        <v>0.18541666666666667</v>
      </c>
    </row>
    <row r="1890">
      <c r="A1890" s="1" t="s">
        <v>1570</v>
      </c>
      <c r="B1890" s="1" t="s">
        <v>250</v>
      </c>
      <c r="C1890" s="1">
        <v>39.0</v>
      </c>
      <c r="D1890" s="1" t="s">
        <v>1659</v>
      </c>
      <c r="E1890" s="1" t="s">
        <v>1660</v>
      </c>
      <c r="F1890" s="1" t="s">
        <v>1661</v>
      </c>
      <c r="G1890" s="1">
        <v>0.0</v>
      </c>
      <c r="H1890" s="2">
        <v>0.09236111111111112</v>
      </c>
    </row>
    <row r="1891">
      <c r="A1891" s="1" t="s">
        <v>1570</v>
      </c>
      <c r="B1891" s="1" t="s">
        <v>250</v>
      </c>
      <c r="C1891" s="1">
        <v>40.0</v>
      </c>
      <c r="D1891" s="1" t="s">
        <v>1662</v>
      </c>
      <c r="E1891" s="1" t="s">
        <v>1663</v>
      </c>
      <c r="F1891" s="1" t="s">
        <v>1664</v>
      </c>
      <c r="G1891" s="1">
        <v>0.0</v>
      </c>
      <c r="H1891" s="2">
        <v>0.18888888888888888</v>
      </c>
    </row>
    <row r="1892">
      <c r="A1892" s="1" t="s">
        <v>1570</v>
      </c>
      <c r="B1892" s="1" t="s">
        <v>250</v>
      </c>
      <c r="C1892" s="1">
        <v>41.0</v>
      </c>
      <c r="D1892" s="1" t="s">
        <v>1665</v>
      </c>
      <c r="E1892" s="1" t="s">
        <v>1666</v>
      </c>
      <c r="F1892" s="1" t="s">
        <v>1667</v>
      </c>
      <c r="G1892" s="1">
        <v>0.0</v>
      </c>
      <c r="H1892" s="2">
        <v>0.16597222222222222</v>
      </c>
    </row>
    <row r="1893">
      <c r="A1893" s="1" t="s">
        <v>1570</v>
      </c>
      <c r="B1893" s="1" t="s">
        <v>250</v>
      </c>
      <c r="C1893" s="1">
        <v>42.0</v>
      </c>
      <c r="D1893" s="1" t="s">
        <v>1668</v>
      </c>
      <c r="E1893" s="1" t="s">
        <v>1635</v>
      </c>
      <c r="F1893" s="1" t="s">
        <v>1636</v>
      </c>
      <c r="G1893" s="1">
        <v>0.0</v>
      </c>
      <c r="H1893" s="2">
        <v>0.09930555555555555</v>
      </c>
    </row>
    <row r="1894">
      <c r="A1894" s="1" t="s">
        <v>1570</v>
      </c>
      <c r="B1894" s="1" t="s">
        <v>250</v>
      </c>
      <c r="C1894" s="1">
        <v>43.0</v>
      </c>
      <c r="D1894" s="1" t="s">
        <v>73</v>
      </c>
      <c r="E1894" s="1" t="s">
        <v>74</v>
      </c>
      <c r="F1894" s="1" t="s">
        <v>75</v>
      </c>
      <c r="G1894" s="1">
        <v>0.0</v>
      </c>
      <c r="H1894" s="2">
        <v>0.14930555555555555</v>
      </c>
    </row>
    <row r="1895">
      <c r="A1895" s="1" t="s">
        <v>1570</v>
      </c>
      <c r="B1895" s="1" t="s">
        <v>250</v>
      </c>
      <c r="C1895" s="1">
        <v>44.0</v>
      </c>
      <c r="D1895" s="1" t="s">
        <v>1669</v>
      </c>
      <c r="E1895" s="1" t="s">
        <v>1670</v>
      </c>
      <c r="F1895" s="1" t="s">
        <v>1671</v>
      </c>
      <c r="G1895" s="1">
        <v>0.0</v>
      </c>
      <c r="H1895" s="2">
        <v>0.09444444444444444</v>
      </c>
    </row>
    <row r="1896">
      <c r="A1896" s="1" t="s">
        <v>1570</v>
      </c>
      <c r="B1896" s="1" t="s">
        <v>250</v>
      </c>
      <c r="C1896" s="1">
        <v>45.0</v>
      </c>
      <c r="D1896" s="1" t="s">
        <v>1672</v>
      </c>
      <c r="E1896" s="1" t="s">
        <v>1673</v>
      </c>
      <c r="F1896" s="1" t="s">
        <v>1674</v>
      </c>
      <c r="G1896" s="1">
        <v>0.0</v>
      </c>
      <c r="H1896" s="2">
        <v>0.1763888888888889</v>
      </c>
    </row>
    <row r="1897">
      <c r="A1897" s="1" t="s">
        <v>1570</v>
      </c>
      <c r="B1897" s="1" t="s">
        <v>250</v>
      </c>
      <c r="C1897" s="1">
        <v>46.0</v>
      </c>
      <c r="D1897" s="1" t="s">
        <v>1675</v>
      </c>
      <c r="E1897" s="1" t="s">
        <v>1676</v>
      </c>
      <c r="F1897" s="1" t="s">
        <v>1677</v>
      </c>
      <c r="G1897" s="1">
        <v>0.0</v>
      </c>
      <c r="H1897" s="2">
        <v>0.11805555555555555</v>
      </c>
    </row>
    <row r="1898">
      <c r="A1898" s="1" t="s">
        <v>1570</v>
      </c>
      <c r="B1898" s="1" t="s">
        <v>250</v>
      </c>
      <c r="C1898" s="1">
        <v>47.0</v>
      </c>
      <c r="D1898" s="1" t="s">
        <v>1678</v>
      </c>
      <c r="E1898" s="1" t="s">
        <v>1679</v>
      </c>
      <c r="F1898" s="1" t="s">
        <v>1680</v>
      </c>
      <c r="G1898" s="1">
        <v>0.0</v>
      </c>
      <c r="H1898" s="2">
        <v>0.14305555555555555</v>
      </c>
    </row>
    <row r="1899">
      <c r="A1899" s="1" t="s">
        <v>1570</v>
      </c>
      <c r="B1899" s="1" t="s">
        <v>250</v>
      </c>
      <c r="C1899" s="1">
        <v>48.0</v>
      </c>
      <c r="D1899" s="1" t="s">
        <v>11</v>
      </c>
      <c r="E1899" s="1" t="s">
        <v>12</v>
      </c>
      <c r="F1899" s="1" t="s">
        <v>13</v>
      </c>
      <c r="G1899" s="1">
        <v>0.0</v>
      </c>
      <c r="H1899" s="2">
        <v>0.1388888888888889</v>
      </c>
    </row>
    <row r="1900">
      <c r="A1900" s="1" t="s">
        <v>1570</v>
      </c>
      <c r="B1900" s="1" t="s">
        <v>250</v>
      </c>
      <c r="C1900" s="1">
        <v>49.0</v>
      </c>
      <c r="D1900" s="1" t="s">
        <v>1681</v>
      </c>
      <c r="E1900" s="1" t="s">
        <v>1608</v>
      </c>
      <c r="F1900" s="1" t="s">
        <v>1609</v>
      </c>
      <c r="G1900" s="1">
        <v>0.0</v>
      </c>
      <c r="H1900" s="2">
        <v>0.058333333333333334</v>
      </c>
    </row>
    <row r="1901">
      <c r="A1901" s="1" t="s">
        <v>1570</v>
      </c>
      <c r="B1901" s="1" t="s">
        <v>250</v>
      </c>
      <c r="C1901" s="1">
        <v>50.0</v>
      </c>
      <c r="D1901" s="1" t="s">
        <v>27</v>
      </c>
      <c r="E1901" s="1" t="s">
        <v>28</v>
      </c>
      <c r="F1901" s="1" t="s">
        <v>27</v>
      </c>
      <c r="G1901" s="1">
        <v>0.0</v>
      </c>
      <c r="H1901" s="2">
        <v>0.12708333333333333</v>
      </c>
    </row>
    <row r="1902">
      <c r="A1902" s="1" t="s">
        <v>1682</v>
      </c>
      <c r="B1902" s="1" t="s">
        <v>484</v>
      </c>
      <c r="C1902" s="1">
        <v>1.0</v>
      </c>
      <c r="D1902" s="1" t="s">
        <v>65</v>
      </c>
      <c r="E1902" s="1" t="s">
        <v>66</v>
      </c>
      <c r="F1902" s="1" t="s">
        <v>67</v>
      </c>
      <c r="G1902" s="1">
        <v>1.0</v>
      </c>
      <c r="H1902" s="2">
        <v>0.2048611111111111</v>
      </c>
    </row>
    <row r="1903">
      <c r="A1903" s="1" t="s">
        <v>1682</v>
      </c>
      <c r="B1903" s="1" t="s">
        <v>484</v>
      </c>
      <c r="C1903" s="1">
        <v>2.0</v>
      </c>
      <c r="D1903" s="1" t="s">
        <v>71</v>
      </c>
      <c r="E1903" s="1" t="s">
        <v>72</v>
      </c>
      <c r="F1903" s="1" t="s">
        <v>67</v>
      </c>
      <c r="G1903" s="1">
        <v>0.0</v>
      </c>
      <c r="H1903" s="2">
        <v>0.11944444444444445</v>
      </c>
    </row>
    <row r="1904">
      <c r="A1904" s="1" t="s">
        <v>1682</v>
      </c>
      <c r="B1904" s="1" t="s">
        <v>484</v>
      </c>
      <c r="C1904" s="1">
        <v>3.0</v>
      </c>
      <c r="D1904" s="1" t="s">
        <v>11</v>
      </c>
      <c r="E1904" s="1" t="s">
        <v>12</v>
      </c>
      <c r="F1904" s="1" t="s">
        <v>13</v>
      </c>
      <c r="G1904" s="1">
        <v>0.0</v>
      </c>
      <c r="H1904" s="2">
        <v>0.1388888888888889</v>
      </c>
    </row>
    <row r="1905">
      <c r="A1905" s="1" t="s">
        <v>1682</v>
      </c>
      <c r="B1905" s="1" t="s">
        <v>484</v>
      </c>
      <c r="C1905" s="1">
        <v>4.0</v>
      </c>
      <c r="D1905" s="1" t="s">
        <v>108</v>
      </c>
      <c r="E1905" s="1" t="s">
        <v>109</v>
      </c>
      <c r="F1905" s="1" t="s">
        <v>110</v>
      </c>
      <c r="G1905" s="1">
        <v>0.0</v>
      </c>
      <c r="H1905" s="2">
        <v>0.10416666666666667</v>
      </c>
    </row>
    <row r="1906">
      <c r="A1906" s="1" t="s">
        <v>1682</v>
      </c>
      <c r="B1906" s="1" t="s">
        <v>484</v>
      </c>
      <c r="C1906" s="1">
        <v>5.0</v>
      </c>
      <c r="D1906" s="1" t="s">
        <v>129</v>
      </c>
      <c r="E1906" s="1" t="s">
        <v>130</v>
      </c>
      <c r="F1906" s="1" t="s">
        <v>131</v>
      </c>
      <c r="G1906" s="1">
        <v>0.0</v>
      </c>
      <c r="H1906" s="2">
        <v>0.1451388888888889</v>
      </c>
    </row>
    <row r="1907">
      <c r="A1907" s="1" t="s">
        <v>1682</v>
      </c>
      <c r="B1907" s="1" t="s">
        <v>484</v>
      </c>
      <c r="C1907" s="1">
        <v>6.0</v>
      </c>
      <c r="D1907" s="1" t="s">
        <v>326</v>
      </c>
      <c r="E1907" s="1" t="s">
        <v>327</v>
      </c>
      <c r="F1907" s="1" t="s">
        <v>328</v>
      </c>
      <c r="G1907" s="1">
        <v>0.0</v>
      </c>
      <c r="H1907" s="2">
        <v>0.1798611111111111</v>
      </c>
    </row>
    <row r="1908">
      <c r="A1908" s="1" t="s">
        <v>1682</v>
      </c>
      <c r="B1908" s="1" t="s">
        <v>484</v>
      </c>
      <c r="C1908" s="1">
        <v>7.0</v>
      </c>
      <c r="D1908" s="1" t="s">
        <v>160</v>
      </c>
      <c r="E1908" s="1" t="s">
        <v>109</v>
      </c>
      <c r="F1908" s="1" t="s">
        <v>110</v>
      </c>
      <c r="G1908" s="1">
        <v>0.0</v>
      </c>
      <c r="H1908" s="2">
        <v>0.1388888888888889</v>
      </c>
    </row>
    <row r="1909">
      <c r="A1909" s="1" t="s">
        <v>1682</v>
      </c>
      <c r="B1909" s="1" t="s">
        <v>484</v>
      </c>
      <c r="C1909" s="1">
        <v>8.0</v>
      </c>
      <c r="D1909" s="1" t="s">
        <v>329</v>
      </c>
      <c r="E1909" s="1" t="s">
        <v>109</v>
      </c>
      <c r="F1909" s="1" t="s">
        <v>110</v>
      </c>
      <c r="G1909" s="1">
        <v>0.0</v>
      </c>
      <c r="H1909" s="2">
        <v>0.1423611111111111</v>
      </c>
    </row>
    <row r="1910">
      <c r="A1910" s="1" t="s">
        <v>1682</v>
      </c>
      <c r="B1910" s="1" t="s">
        <v>484</v>
      </c>
      <c r="C1910" s="1">
        <v>9.0</v>
      </c>
      <c r="D1910" s="1" t="s">
        <v>143</v>
      </c>
      <c r="E1910" s="1" t="s">
        <v>144</v>
      </c>
      <c r="F1910" s="1" t="s">
        <v>143</v>
      </c>
      <c r="G1910" s="1">
        <v>0.0</v>
      </c>
      <c r="H1910" s="2">
        <v>0.14027777777777778</v>
      </c>
    </row>
    <row r="1911">
      <c r="A1911" s="1" t="s">
        <v>1682</v>
      </c>
      <c r="B1911" s="1" t="s">
        <v>484</v>
      </c>
      <c r="C1911" s="1">
        <v>10.0</v>
      </c>
      <c r="D1911" s="1" t="s">
        <v>9</v>
      </c>
      <c r="E1911" s="1" t="s">
        <v>10</v>
      </c>
      <c r="F1911" s="1" t="s">
        <v>9</v>
      </c>
      <c r="G1911" s="1">
        <v>0.0</v>
      </c>
      <c r="H1911" s="2">
        <v>0.12638888888888888</v>
      </c>
    </row>
    <row r="1912">
      <c r="A1912" s="1" t="s">
        <v>1682</v>
      </c>
      <c r="B1912" s="1" t="s">
        <v>484</v>
      </c>
      <c r="C1912" s="1">
        <v>11.0</v>
      </c>
      <c r="D1912" s="1" t="s">
        <v>330</v>
      </c>
      <c r="E1912" s="1" t="s">
        <v>72</v>
      </c>
      <c r="F1912" s="1" t="s">
        <v>67</v>
      </c>
      <c r="G1912" s="1">
        <v>0.0</v>
      </c>
      <c r="H1912" s="2">
        <v>0.11805555555555555</v>
      </c>
    </row>
    <row r="1913">
      <c r="A1913" s="1" t="s">
        <v>1682</v>
      </c>
      <c r="B1913" s="1" t="s">
        <v>484</v>
      </c>
      <c r="C1913" s="1">
        <v>12.0</v>
      </c>
      <c r="D1913" s="1" t="s">
        <v>663</v>
      </c>
      <c r="E1913" s="1" t="s">
        <v>664</v>
      </c>
      <c r="F1913" s="1" t="s">
        <v>663</v>
      </c>
      <c r="G1913" s="1">
        <v>0.0</v>
      </c>
      <c r="H1913" s="2">
        <v>0.14097222222222222</v>
      </c>
    </row>
    <row r="1914">
      <c r="A1914" s="1" t="s">
        <v>1682</v>
      </c>
      <c r="B1914" s="1" t="s">
        <v>484</v>
      </c>
      <c r="C1914" s="1">
        <v>13.0</v>
      </c>
      <c r="D1914" s="1" t="s">
        <v>86</v>
      </c>
      <c r="E1914" s="1" t="s">
        <v>87</v>
      </c>
      <c r="F1914" s="1" t="s">
        <v>86</v>
      </c>
      <c r="G1914" s="1">
        <v>0.0</v>
      </c>
      <c r="H1914" s="2">
        <v>0.1388888888888889</v>
      </c>
    </row>
    <row r="1915">
      <c r="A1915" s="1" t="s">
        <v>1682</v>
      </c>
      <c r="B1915" s="1" t="s">
        <v>484</v>
      </c>
      <c r="C1915" s="1">
        <v>14.0</v>
      </c>
      <c r="D1915" s="1" t="s">
        <v>141</v>
      </c>
      <c r="E1915" s="1" t="s">
        <v>142</v>
      </c>
      <c r="F1915" s="1" t="s">
        <v>141</v>
      </c>
      <c r="G1915" s="1">
        <v>0.0</v>
      </c>
      <c r="H1915" s="2">
        <v>0.13680555555555557</v>
      </c>
    </row>
    <row r="1916">
      <c r="A1916" s="1" t="s">
        <v>1682</v>
      </c>
      <c r="B1916" s="1" t="s">
        <v>484</v>
      </c>
      <c r="C1916" s="1">
        <v>15.0</v>
      </c>
      <c r="D1916" s="1" t="s">
        <v>172</v>
      </c>
      <c r="E1916" s="1" t="s">
        <v>72</v>
      </c>
      <c r="F1916" s="1" t="s">
        <v>67</v>
      </c>
      <c r="G1916" s="1">
        <v>1.0</v>
      </c>
      <c r="H1916" s="2">
        <v>0.11319444444444444</v>
      </c>
    </row>
    <row r="1917">
      <c r="A1917" s="1" t="s">
        <v>1682</v>
      </c>
      <c r="B1917" s="1" t="s">
        <v>484</v>
      </c>
      <c r="C1917" s="1">
        <v>16.0</v>
      </c>
      <c r="D1917" s="1" t="s">
        <v>27</v>
      </c>
      <c r="E1917" s="1" t="s">
        <v>28</v>
      </c>
      <c r="F1917" s="1" t="s">
        <v>29</v>
      </c>
      <c r="G1917" s="1">
        <v>0.0</v>
      </c>
      <c r="H1917" s="2">
        <v>0.12708333333333333</v>
      </c>
    </row>
    <row r="1918">
      <c r="A1918" s="1" t="s">
        <v>1682</v>
      </c>
      <c r="B1918" s="1" t="s">
        <v>484</v>
      </c>
      <c r="C1918" s="1">
        <v>17.0</v>
      </c>
      <c r="D1918" s="1" t="s">
        <v>334</v>
      </c>
      <c r="E1918" s="1" t="s">
        <v>335</v>
      </c>
      <c r="F1918" s="1" t="s">
        <v>334</v>
      </c>
      <c r="G1918" s="1">
        <v>0.0</v>
      </c>
      <c r="H1918" s="2">
        <v>0.15069444444444444</v>
      </c>
    </row>
    <row r="1919">
      <c r="A1919" s="1" t="s">
        <v>1682</v>
      </c>
      <c r="B1919" s="1" t="s">
        <v>484</v>
      </c>
      <c r="C1919" s="1">
        <v>18.0</v>
      </c>
      <c r="D1919" s="1" t="s">
        <v>177</v>
      </c>
      <c r="E1919" s="1" t="s">
        <v>178</v>
      </c>
      <c r="F1919" s="1" t="s">
        <v>67</v>
      </c>
      <c r="G1919" s="1">
        <v>1.0</v>
      </c>
      <c r="H1919" s="2">
        <v>0.14583333333333334</v>
      </c>
    </row>
    <row r="1920">
      <c r="A1920" s="1" t="s">
        <v>1682</v>
      </c>
      <c r="B1920" s="1" t="s">
        <v>484</v>
      </c>
      <c r="C1920" s="1">
        <v>19.0</v>
      </c>
      <c r="D1920" s="1" t="s">
        <v>507</v>
      </c>
      <c r="E1920" s="1" t="s">
        <v>508</v>
      </c>
      <c r="F1920" s="1" t="s">
        <v>207</v>
      </c>
      <c r="G1920" s="1">
        <v>1.0</v>
      </c>
      <c r="H1920" s="2">
        <v>0.13472222222222222</v>
      </c>
    </row>
    <row r="1921">
      <c r="A1921" s="1" t="s">
        <v>1682</v>
      </c>
      <c r="B1921" s="1" t="s">
        <v>484</v>
      </c>
      <c r="C1921" s="1">
        <v>20.0</v>
      </c>
      <c r="D1921" s="1" t="s">
        <v>173</v>
      </c>
      <c r="E1921" s="1" t="s">
        <v>109</v>
      </c>
      <c r="F1921" s="1" t="s">
        <v>110</v>
      </c>
      <c r="G1921" s="1">
        <v>0.0</v>
      </c>
      <c r="H1921" s="2">
        <v>0.10902777777777778</v>
      </c>
    </row>
    <row r="1922">
      <c r="A1922" s="1" t="s">
        <v>1682</v>
      </c>
      <c r="B1922" s="1" t="s">
        <v>484</v>
      </c>
      <c r="C1922" s="1">
        <v>21.0</v>
      </c>
      <c r="D1922" s="1" t="s">
        <v>151</v>
      </c>
      <c r="E1922" s="1" t="s">
        <v>152</v>
      </c>
      <c r="F1922" s="1" t="s">
        <v>153</v>
      </c>
      <c r="G1922" s="1">
        <v>1.0</v>
      </c>
      <c r="H1922" s="2">
        <v>0.1486111111111111</v>
      </c>
    </row>
    <row r="1923">
      <c r="A1923" s="1" t="s">
        <v>1682</v>
      </c>
      <c r="B1923" s="1" t="s">
        <v>484</v>
      </c>
      <c r="C1923" s="1">
        <v>22.0</v>
      </c>
      <c r="D1923" s="1" t="s">
        <v>161</v>
      </c>
      <c r="E1923" s="1" t="s">
        <v>162</v>
      </c>
      <c r="F1923" s="1" t="s">
        <v>161</v>
      </c>
      <c r="G1923" s="1">
        <v>0.0</v>
      </c>
      <c r="H1923" s="2">
        <v>0.15694444444444444</v>
      </c>
    </row>
    <row r="1924">
      <c r="A1924" s="1" t="s">
        <v>1682</v>
      </c>
      <c r="B1924" s="1" t="s">
        <v>484</v>
      </c>
      <c r="C1924" s="1">
        <v>23.0</v>
      </c>
      <c r="D1924" s="1" t="s">
        <v>895</v>
      </c>
      <c r="E1924" s="1" t="s">
        <v>896</v>
      </c>
      <c r="F1924" s="1" t="s">
        <v>895</v>
      </c>
      <c r="G1924" s="1">
        <v>0.0</v>
      </c>
      <c r="H1924" s="2">
        <v>0.11041666666666666</v>
      </c>
    </row>
    <row r="1925">
      <c r="A1925" s="1" t="s">
        <v>1682</v>
      </c>
      <c r="B1925" s="1" t="s">
        <v>484</v>
      </c>
      <c r="C1925" s="1">
        <v>24.0</v>
      </c>
      <c r="D1925" s="1" t="s">
        <v>33</v>
      </c>
      <c r="E1925" s="1" t="s">
        <v>34</v>
      </c>
      <c r="F1925" s="1" t="s">
        <v>35</v>
      </c>
      <c r="G1925" s="1">
        <v>0.0</v>
      </c>
      <c r="H1925" s="2">
        <v>0.1451388888888889</v>
      </c>
    </row>
    <row r="1926">
      <c r="A1926" s="1" t="s">
        <v>1682</v>
      </c>
      <c r="B1926" s="1" t="s">
        <v>484</v>
      </c>
      <c r="C1926" s="1">
        <v>25.0</v>
      </c>
      <c r="D1926" s="1" t="s">
        <v>147</v>
      </c>
      <c r="E1926" s="1" t="s">
        <v>148</v>
      </c>
      <c r="F1926" s="1" t="s">
        <v>149</v>
      </c>
      <c r="G1926" s="1">
        <v>0.0</v>
      </c>
      <c r="H1926" s="2">
        <v>0.17291666666666666</v>
      </c>
    </row>
    <row r="1927">
      <c r="A1927" s="1" t="s">
        <v>1682</v>
      </c>
      <c r="B1927" s="1" t="s">
        <v>484</v>
      </c>
      <c r="C1927" s="1">
        <v>26.0</v>
      </c>
      <c r="D1927" s="1" t="s">
        <v>46</v>
      </c>
      <c r="E1927" s="1" t="s">
        <v>28</v>
      </c>
      <c r="F1927" s="1" t="s">
        <v>29</v>
      </c>
      <c r="G1927" s="1">
        <v>0.0</v>
      </c>
      <c r="H1927" s="2">
        <v>0.15347222222222223</v>
      </c>
    </row>
    <row r="1928">
      <c r="A1928" s="1" t="s">
        <v>1682</v>
      </c>
      <c r="B1928" s="1" t="s">
        <v>484</v>
      </c>
      <c r="C1928" s="1">
        <v>27.0</v>
      </c>
      <c r="D1928" s="1" t="s">
        <v>206</v>
      </c>
      <c r="E1928" s="1" t="s">
        <v>72</v>
      </c>
      <c r="F1928" s="1" t="s">
        <v>207</v>
      </c>
      <c r="G1928" s="1">
        <v>1.0</v>
      </c>
      <c r="H1928" s="2">
        <v>0.12361111111111112</v>
      </c>
    </row>
    <row r="1929">
      <c r="A1929" s="1" t="s">
        <v>1682</v>
      </c>
      <c r="B1929" s="1" t="s">
        <v>484</v>
      </c>
      <c r="C1929" s="1">
        <v>28.0</v>
      </c>
      <c r="D1929" s="1" t="s">
        <v>505</v>
      </c>
      <c r="E1929" s="1" t="s">
        <v>506</v>
      </c>
      <c r="F1929" s="1" t="s">
        <v>67</v>
      </c>
      <c r="G1929" s="1">
        <v>1.0</v>
      </c>
      <c r="H1929" s="2">
        <v>0.14305555555555555</v>
      </c>
    </row>
    <row r="1930">
      <c r="A1930" s="1" t="s">
        <v>1682</v>
      </c>
      <c r="B1930" s="1" t="s">
        <v>484</v>
      </c>
      <c r="C1930" s="1">
        <v>29.0</v>
      </c>
      <c r="D1930" s="1" t="s">
        <v>17</v>
      </c>
      <c r="E1930" s="1" t="s">
        <v>18</v>
      </c>
      <c r="F1930" s="1" t="s">
        <v>19</v>
      </c>
      <c r="G1930" s="1">
        <v>1.0</v>
      </c>
      <c r="H1930" s="2">
        <v>0.12222222222222222</v>
      </c>
    </row>
    <row r="1931">
      <c r="A1931" s="1" t="s">
        <v>1682</v>
      </c>
      <c r="B1931" s="1" t="s">
        <v>484</v>
      </c>
      <c r="C1931" s="1">
        <v>30.0</v>
      </c>
      <c r="D1931" s="1" t="s">
        <v>136</v>
      </c>
      <c r="E1931" s="1" t="s">
        <v>137</v>
      </c>
      <c r="F1931" s="1" t="s">
        <v>138</v>
      </c>
      <c r="G1931" s="1">
        <v>0.0</v>
      </c>
      <c r="H1931" s="2">
        <v>0.16111111111111112</v>
      </c>
    </row>
    <row r="1932">
      <c r="A1932" s="1" t="s">
        <v>1682</v>
      </c>
      <c r="B1932" s="1" t="s">
        <v>484</v>
      </c>
      <c r="C1932" s="1">
        <v>31.0</v>
      </c>
      <c r="D1932" s="1" t="s">
        <v>1683</v>
      </c>
      <c r="E1932" s="1" t="s">
        <v>1684</v>
      </c>
      <c r="F1932" s="1" t="s">
        <v>1683</v>
      </c>
      <c r="G1932" s="1">
        <v>1.0</v>
      </c>
      <c r="H1932" s="2">
        <v>0.12083333333333333</v>
      </c>
    </row>
    <row r="1933">
      <c r="A1933" s="1" t="s">
        <v>1682</v>
      </c>
      <c r="B1933" s="1" t="s">
        <v>484</v>
      </c>
      <c r="C1933" s="1">
        <v>32.0</v>
      </c>
      <c r="D1933" s="1" t="s">
        <v>344</v>
      </c>
      <c r="E1933" s="1" t="s">
        <v>345</v>
      </c>
      <c r="F1933" s="1" t="s">
        <v>346</v>
      </c>
      <c r="G1933" s="1">
        <v>0.0</v>
      </c>
      <c r="H1933" s="2">
        <v>0.21458333333333332</v>
      </c>
    </row>
    <row r="1934">
      <c r="A1934" s="1" t="s">
        <v>1682</v>
      </c>
      <c r="B1934" s="1" t="s">
        <v>484</v>
      </c>
      <c r="C1934" s="1">
        <v>33.0</v>
      </c>
      <c r="D1934" s="1" t="s">
        <v>23</v>
      </c>
      <c r="E1934" s="1" t="s">
        <v>24</v>
      </c>
      <c r="F1934" s="1" t="s">
        <v>23</v>
      </c>
      <c r="G1934" s="1">
        <v>0.0</v>
      </c>
      <c r="H1934" s="2">
        <v>0.12013888888888889</v>
      </c>
    </row>
    <row r="1935">
      <c r="A1935" s="1" t="s">
        <v>1682</v>
      </c>
      <c r="B1935" s="1" t="s">
        <v>484</v>
      </c>
      <c r="C1935" s="1">
        <v>34.0</v>
      </c>
      <c r="D1935" s="1" t="s">
        <v>324</v>
      </c>
      <c r="E1935" s="1" t="s">
        <v>325</v>
      </c>
      <c r="F1935" s="1" t="s">
        <v>324</v>
      </c>
      <c r="G1935" s="1">
        <v>1.0</v>
      </c>
      <c r="H1935" s="2">
        <v>0.15763888888888888</v>
      </c>
    </row>
    <row r="1936">
      <c r="A1936" s="1" t="s">
        <v>1682</v>
      </c>
      <c r="B1936" s="1" t="s">
        <v>484</v>
      </c>
      <c r="C1936" s="1">
        <v>35.0</v>
      </c>
      <c r="D1936" s="1" t="s">
        <v>331</v>
      </c>
      <c r="E1936" s="1" t="s">
        <v>332</v>
      </c>
      <c r="F1936" s="1" t="s">
        <v>333</v>
      </c>
      <c r="G1936" s="1">
        <v>0.0</v>
      </c>
      <c r="H1936" s="2">
        <v>0.16805555555555557</v>
      </c>
    </row>
    <row r="1937">
      <c r="A1937" s="1" t="s">
        <v>1682</v>
      </c>
      <c r="B1937" s="1" t="s">
        <v>484</v>
      </c>
      <c r="C1937" s="1">
        <v>36.0</v>
      </c>
      <c r="D1937" s="1" t="s">
        <v>349</v>
      </c>
      <c r="E1937" s="1" t="s">
        <v>72</v>
      </c>
      <c r="F1937" s="1" t="s">
        <v>67</v>
      </c>
      <c r="G1937" s="1">
        <v>1.0</v>
      </c>
      <c r="H1937" s="2">
        <v>0.13333333333333333</v>
      </c>
    </row>
    <row r="1938">
      <c r="A1938" s="1" t="s">
        <v>1682</v>
      </c>
      <c r="B1938" s="1" t="s">
        <v>484</v>
      </c>
      <c r="C1938" s="1">
        <v>37.0</v>
      </c>
      <c r="D1938" s="1" t="s">
        <v>509</v>
      </c>
      <c r="E1938" s="1" t="s">
        <v>72</v>
      </c>
      <c r="F1938" s="1" t="s">
        <v>67</v>
      </c>
      <c r="G1938" s="1">
        <v>0.0</v>
      </c>
      <c r="H1938" s="2">
        <v>0.12152777777777778</v>
      </c>
    </row>
    <row r="1939">
      <c r="A1939" s="1" t="s">
        <v>1682</v>
      </c>
      <c r="B1939" s="1" t="s">
        <v>484</v>
      </c>
      <c r="C1939" s="1">
        <v>38.0</v>
      </c>
      <c r="D1939" s="1" t="s">
        <v>531</v>
      </c>
      <c r="E1939" s="1" t="s">
        <v>109</v>
      </c>
      <c r="F1939" s="1" t="s">
        <v>110</v>
      </c>
      <c r="G1939" s="1">
        <v>0.0</v>
      </c>
      <c r="H1939" s="2">
        <v>0.12638888888888888</v>
      </c>
    </row>
    <row r="1940">
      <c r="A1940" s="1" t="s">
        <v>1682</v>
      </c>
      <c r="B1940" s="1" t="s">
        <v>484</v>
      </c>
      <c r="C1940" s="1">
        <v>39.0</v>
      </c>
      <c r="D1940" s="1" t="s">
        <v>165</v>
      </c>
      <c r="E1940" s="1" t="s">
        <v>166</v>
      </c>
      <c r="F1940" s="1" t="s">
        <v>165</v>
      </c>
      <c r="G1940" s="1">
        <v>0.0</v>
      </c>
      <c r="H1940" s="2">
        <v>0.13819444444444445</v>
      </c>
    </row>
    <row r="1941">
      <c r="A1941" s="1" t="s">
        <v>1682</v>
      </c>
      <c r="B1941" s="1" t="s">
        <v>484</v>
      </c>
      <c r="C1941" s="1">
        <v>40.0</v>
      </c>
      <c r="D1941" s="1" t="s">
        <v>44</v>
      </c>
      <c r="E1941" s="1" t="s">
        <v>45</v>
      </c>
      <c r="F1941" s="1" t="s">
        <v>44</v>
      </c>
      <c r="G1941" s="1">
        <v>0.0</v>
      </c>
      <c r="H1941" s="2">
        <v>0.12222222222222222</v>
      </c>
    </row>
    <row r="1942">
      <c r="A1942" s="1" t="s">
        <v>1682</v>
      </c>
      <c r="B1942" s="1" t="s">
        <v>484</v>
      </c>
      <c r="C1942" s="1">
        <v>41.0</v>
      </c>
      <c r="D1942" s="1" t="s">
        <v>1685</v>
      </c>
      <c r="E1942" s="1" t="s">
        <v>1686</v>
      </c>
      <c r="F1942" s="1" t="s">
        <v>1687</v>
      </c>
      <c r="G1942" s="1">
        <v>0.0</v>
      </c>
      <c r="H1942" s="2">
        <v>0.1076388888888889</v>
      </c>
    </row>
    <row r="1943">
      <c r="A1943" s="1" t="s">
        <v>1682</v>
      </c>
      <c r="B1943" s="1" t="s">
        <v>484</v>
      </c>
      <c r="C1943" s="1">
        <v>42.0</v>
      </c>
      <c r="D1943" s="1" t="s">
        <v>57</v>
      </c>
      <c r="E1943" s="1" t="s">
        <v>58</v>
      </c>
      <c r="F1943" s="1" t="s">
        <v>59</v>
      </c>
      <c r="G1943" s="1">
        <v>1.0</v>
      </c>
      <c r="H1943" s="2">
        <v>0.16458333333333333</v>
      </c>
    </row>
    <row r="1944">
      <c r="A1944" s="1" t="s">
        <v>1682</v>
      </c>
      <c r="B1944" s="1" t="s">
        <v>484</v>
      </c>
      <c r="C1944" s="1">
        <v>43.0</v>
      </c>
      <c r="D1944" s="1" t="s">
        <v>1688</v>
      </c>
      <c r="E1944" s="1" t="s">
        <v>896</v>
      </c>
      <c r="F1944" s="1" t="s">
        <v>1688</v>
      </c>
      <c r="G1944" s="1">
        <v>0.0</v>
      </c>
      <c r="H1944" s="2">
        <v>0.09027777777777778</v>
      </c>
    </row>
    <row r="1945">
      <c r="A1945" s="1" t="s">
        <v>1682</v>
      </c>
      <c r="B1945" s="1" t="s">
        <v>484</v>
      </c>
      <c r="C1945" s="1">
        <v>44.0</v>
      </c>
      <c r="D1945" s="1" t="s">
        <v>352</v>
      </c>
      <c r="E1945" s="1" t="s">
        <v>353</v>
      </c>
      <c r="F1945" s="1" t="s">
        <v>207</v>
      </c>
      <c r="G1945" s="1">
        <v>1.0</v>
      </c>
      <c r="H1945" s="2">
        <v>0.1451388888888889</v>
      </c>
    </row>
    <row r="1946">
      <c r="A1946" s="1" t="s">
        <v>1682</v>
      </c>
      <c r="B1946" s="1" t="s">
        <v>484</v>
      </c>
      <c r="C1946" s="1">
        <v>45.0</v>
      </c>
      <c r="D1946" s="1" t="s">
        <v>543</v>
      </c>
      <c r="E1946" s="1" t="s">
        <v>544</v>
      </c>
      <c r="F1946" s="1" t="s">
        <v>543</v>
      </c>
      <c r="G1946" s="1">
        <v>1.0</v>
      </c>
      <c r="H1946" s="2">
        <v>0.1736111111111111</v>
      </c>
    </row>
    <row r="1947">
      <c r="A1947" s="1" t="s">
        <v>1682</v>
      </c>
      <c r="B1947" s="1" t="s">
        <v>484</v>
      </c>
      <c r="C1947" s="1">
        <v>46.0</v>
      </c>
      <c r="D1947" s="1" t="s">
        <v>1689</v>
      </c>
      <c r="E1947" s="1" t="s">
        <v>1690</v>
      </c>
      <c r="F1947" s="1" t="s">
        <v>1691</v>
      </c>
      <c r="G1947" s="1">
        <v>0.0</v>
      </c>
      <c r="H1947" s="2">
        <v>0.16666666666666666</v>
      </c>
    </row>
    <row r="1948">
      <c r="A1948" s="1" t="s">
        <v>1682</v>
      </c>
      <c r="B1948" s="1" t="s">
        <v>484</v>
      </c>
      <c r="C1948" s="1">
        <v>47.0</v>
      </c>
      <c r="D1948" s="1" t="s">
        <v>1692</v>
      </c>
      <c r="E1948" s="1" t="s">
        <v>1684</v>
      </c>
      <c r="F1948" s="1" t="s">
        <v>1693</v>
      </c>
      <c r="G1948" s="1">
        <v>0.0</v>
      </c>
      <c r="H1948" s="2">
        <v>0.15347222222222223</v>
      </c>
    </row>
    <row r="1949">
      <c r="A1949" s="1" t="s">
        <v>1682</v>
      </c>
      <c r="B1949" s="1" t="s">
        <v>484</v>
      </c>
      <c r="C1949" s="1">
        <v>48.0</v>
      </c>
      <c r="D1949" s="1" t="s">
        <v>530</v>
      </c>
      <c r="E1949" s="1" t="s">
        <v>109</v>
      </c>
      <c r="F1949" s="1" t="s">
        <v>110</v>
      </c>
      <c r="G1949" s="1">
        <v>0.0</v>
      </c>
      <c r="H1949" s="2">
        <v>0.10069444444444445</v>
      </c>
    </row>
    <row r="1950">
      <c r="A1950" s="1" t="s">
        <v>1682</v>
      </c>
      <c r="B1950" s="1" t="s">
        <v>484</v>
      </c>
      <c r="C1950" s="1">
        <v>49.0</v>
      </c>
      <c r="D1950" s="1" t="s">
        <v>498</v>
      </c>
      <c r="E1950" s="1" t="s">
        <v>499</v>
      </c>
      <c r="F1950" s="1" t="s">
        <v>500</v>
      </c>
      <c r="G1950" s="1">
        <v>1.0</v>
      </c>
      <c r="H1950" s="2">
        <v>0.15763888888888888</v>
      </c>
    </row>
    <row r="1951">
      <c r="A1951" s="1" t="s">
        <v>1682</v>
      </c>
      <c r="B1951" s="1" t="s">
        <v>484</v>
      </c>
      <c r="C1951" s="1">
        <v>50.0</v>
      </c>
      <c r="D1951" s="1" t="s">
        <v>47</v>
      </c>
      <c r="E1951" s="1" t="s">
        <v>48</v>
      </c>
      <c r="F1951" s="1" t="s">
        <v>49</v>
      </c>
      <c r="G1951" s="1">
        <v>1.0</v>
      </c>
      <c r="H1951" s="2">
        <v>0.15486111111111112</v>
      </c>
    </row>
    <row r="1952">
      <c r="A1952" s="1" t="s">
        <v>1694</v>
      </c>
      <c r="B1952" s="1" t="s">
        <v>250</v>
      </c>
      <c r="C1952" s="1">
        <v>1.0</v>
      </c>
      <c r="D1952" s="1" t="s">
        <v>1695</v>
      </c>
      <c r="E1952" s="1" t="s">
        <v>1696</v>
      </c>
      <c r="F1952" s="1" t="s">
        <v>1695</v>
      </c>
      <c r="G1952" s="1">
        <v>1.0</v>
      </c>
      <c r="H1952" s="2">
        <v>0.1076388888888889</v>
      </c>
    </row>
    <row r="1953">
      <c r="A1953" s="1" t="s">
        <v>1694</v>
      </c>
      <c r="B1953" s="1" t="s">
        <v>250</v>
      </c>
      <c r="C1953" s="1">
        <v>2.0</v>
      </c>
      <c r="D1953" s="1" t="s">
        <v>14</v>
      </c>
      <c r="E1953" s="1" t="s">
        <v>15</v>
      </c>
      <c r="F1953" s="1" t="s">
        <v>16</v>
      </c>
      <c r="G1953" s="1">
        <v>1.0</v>
      </c>
      <c r="H1953" s="2">
        <v>0.12569444444444444</v>
      </c>
    </row>
    <row r="1954">
      <c r="A1954" s="1" t="s">
        <v>1694</v>
      </c>
      <c r="B1954" s="1" t="s">
        <v>250</v>
      </c>
      <c r="C1954" s="1">
        <v>3.0</v>
      </c>
      <c r="D1954" s="1" t="s">
        <v>17</v>
      </c>
      <c r="E1954" s="1" t="s">
        <v>18</v>
      </c>
      <c r="F1954" s="1" t="s">
        <v>19</v>
      </c>
      <c r="G1954" s="1">
        <v>1.0</v>
      </c>
      <c r="H1954" s="2">
        <v>0.12222222222222222</v>
      </c>
    </row>
    <row r="1955">
      <c r="A1955" s="1" t="s">
        <v>1694</v>
      </c>
      <c r="B1955" s="1" t="s">
        <v>250</v>
      </c>
      <c r="C1955" s="1">
        <v>4.0</v>
      </c>
      <c r="D1955" s="1" t="s">
        <v>11</v>
      </c>
      <c r="E1955" s="1" t="s">
        <v>12</v>
      </c>
      <c r="F1955" s="1" t="s">
        <v>13</v>
      </c>
      <c r="G1955" s="1">
        <v>0.0</v>
      </c>
      <c r="H1955" s="2">
        <v>0.1388888888888889</v>
      </c>
    </row>
    <row r="1956">
      <c r="A1956" s="1" t="s">
        <v>1694</v>
      </c>
      <c r="B1956" s="1" t="s">
        <v>250</v>
      </c>
      <c r="C1956" s="1">
        <v>5.0</v>
      </c>
      <c r="D1956" s="1" t="s">
        <v>105</v>
      </c>
      <c r="E1956" s="1" t="s">
        <v>106</v>
      </c>
      <c r="F1956" s="1" t="s">
        <v>105</v>
      </c>
      <c r="G1956" s="1">
        <v>0.0</v>
      </c>
      <c r="H1956" s="2">
        <v>0.11527777777777778</v>
      </c>
    </row>
    <row r="1957">
      <c r="A1957" s="1" t="s">
        <v>1694</v>
      </c>
      <c r="B1957" s="1" t="s">
        <v>250</v>
      </c>
      <c r="C1957" s="1">
        <v>6.0</v>
      </c>
      <c r="D1957" s="1" t="s">
        <v>1697</v>
      </c>
      <c r="E1957" s="1" t="s">
        <v>1698</v>
      </c>
      <c r="F1957" s="1" t="s">
        <v>1697</v>
      </c>
      <c r="G1957" s="1">
        <v>1.0</v>
      </c>
      <c r="H1957" s="2">
        <v>0.1</v>
      </c>
    </row>
    <row r="1958">
      <c r="A1958" s="1" t="s">
        <v>1694</v>
      </c>
      <c r="B1958" s="1" t="s">
        <v>250</v>
      </c>
      <c r="C1958" s="1">
        <v>7.0</v>
      </c>
      <c r="D1958" s="1" t="s">
        <v>30</v>
      </c>
      <c r="E1958" s="1" t="s">
        <v>31</v>
      </c>
      <c r="F1958" s="1" t="s">
        <v>32</v>
      </c>
      <c r="G1958" s="1">
        <v>0.0</v>
      </c>
      <c r="H1958" s="2">
        <v>0.15833333333333333</v>
      </c>
    </row>
    <row r="1959">
      <c r="A1959" s="1" t="s">
        <v>1694</v>
      </c>
      <c r="B1959" s="1" t="s">
        <v>250</v>
      </c>
      <c r="C1959" s="1">
        <v>8.0</v>
      </c>
      <c r="D1959" s="1" t="s">
        <v>20</v>
      </c>
      <c r="E1959" s="1" t="s">
        <v>21</v>
      </c>
      <c r="F1959" s="1" t="s">
        <v>22</v>
      </c>
      <c r="G1959" s="1">
        <v>1.0</v>
      </c>
      <c r="H1959" s="2">
        <v>0.17152777777777778</v>
      </c>
    </row>
    <row r="1960">
      <c r="A1960" s="1" t="s">
        <v>1694</v>
      </c>
      <c r="B1960" s="1" t="s">
        <v>250</v>
      </c>
      <c r="C1960" s="1">
        <v>9.0</v>
      </c>
      <c r="D1960" s="1" t="s">
        <v>44</v>
      </c>
      <c r="E1960" s="1" t="s">
        <v>45</v>
      </c>
      <c r="F1960" s="1" t="s">
        <v>44</v>
      </c>
      <c r="G1960" s="1">
        <v>0.0</v>
      </c>
      <c r="H1960" s="2">
        <v>0.12222222222222222</v>
      </c>
    </row>
    <row r="1961">
      <c r="A1961" s="1" t="s">
        <v>1694</v>
      </c>
      <c r="B1961" s="1" t="s">
        <v>250</v>
      </c>
      <c r="C1961" s="1">
        <v>10.0</v>
      </c>
      <c r="D1961" s="1" t="s">
        <v>47</v>
      </c>
      <c r="E1961" s="1" t="s">
        <v>48</v>
      </c>
      <c r="F1961" s="1" t="s">
        <v>49</v>
      </c>
      <c r="G1961" s="1">
        <v>1.0</v>
      </c>
      <c r="H1961" s="2">
        <v>0.15486111111111112</v>
      </c>
    </row>
    <row r="1962">
      <c r="A1962" s="1" t="s">
        <v>1694</v>
      </c>
      <c r="B1962" s="1" t="s">
        <v>250</v>
      </c>
      <c r="C1962" s="1">
        <v>11.0</v>
      </c>
      <c r="D1962" s="1" t="s">
        <v>1699</v>
      </c>
      <c r="E1962" s="1" t="s">
        <v>1700</v>
      </c>
      <c r="F1962" s="1" t="s">
        <v>1701</v>
      </c>
      <c r="G1962" s="1">
        <v>0.0</v>
      </c>
      <c r="H1962" s="2">
        <v>0.07430555555555556</v>
      </c>
    </row>
    <row r="1963">
      <c r="A1963" s="1" t="s">
        <v>1694</v>
      </c>
      <c r="B1963" s="1" t="s">
        <v>250</v>
      </c>
      <c r="C1963" s="1">
        <v>12.0</v>
      </c>
      <c r="D1963" s="1" t="s">
        <v>9</v>
      </c>
      <c r="E1963" s="1" t="s">
        <v>10</v>
      </c>
      <c r="F1963" s="1" t="s">
        <v>9</v>
      </c>
      <c r="G1963" s="1">
        <v>0.0</v>
      </c>
      <c r="H1963" s="2">
        <v>0.12638888888888888</v>
      </c>
    </row>
    <row r="1964">
      <c r="A1964" s="1" t="s">
        <v>1694</v>
      </c>
      <c r="B1964" s="1" t="s">
        <v>250</v>
      </c>
      <c r="C1964" s="1">
        <v>13.0</v>
      </c>
      <c r="D1964" s="1" t="s">
        <v>23</v>
      </c>
      <c r="E1964" s="1" t="s">
        <v>24</v>
      </c>
      <c r="F1964" s="1" t="s">
        <v>23</v>
      </c>
      <c r="G1964" s="1">
        <v>0.0</v>
      </c>
      <c r="H1964" s="2">
        <v>0.12013888888888889</v>
      </c>
    </row>
    <row r="1965">
      <c r="A1965" s="1" t="s">
        <v>1694</v>
      </c>
      <c r="B1965" s="1" t="s">
        <v>250</v>
      </c>
      <c r="C1965" s="1">
        <v>14.0</v>
      </c>
      <c r="D1965" s="1" t="s">
        <v>46</v>
      </c>
      <c r="E1965" s="1" t="s">
        <v>28</v>
      </c>
      <c r="F1965" s="1" t="s">
        <v>29</v>
      </c>
      <c r="G1965" s="1">
        <v>0.0</v>
      </c>
      <c r="H1965" s="2">
        <v>0.15347222222222223</v>
      </c>
    </row>
    <row r="1966">
      <c r="A1966" s="1" t="s">
        <v>1694</v>
      </c>
      <c r="B1966" s="1" t="s">
        <v>250</v>
      </c>
      <c r="C1966" s="1">
        <v>15.0</v>
      </c>
      <c r="D1966" s="1" t="s">
        <v>1702</v>
      </c>
      <c r="E1966" s="1" t="s">
        <v>1703</v>
      </c>
      <c r="F1966" s="1" t="s">
        <v>1702</v>
      </c>
      <c r="G1966" s="1">
        <v>0.0</v>
      </c>
      <c r="H1966" s="2">
        <v>0.14444444444444443</v>
      </c>
    </row>
    <row r="1967">
      <c r="A1967" s="1" t="s">
        <v>1694</v>
      </c>
      <c r="B1967" s="1" t="s">
        <v>250</v>
      </c>
      <c r="C1967" s="1">
        <v>16.0</v>
      </c>
      <c r="D1967" s="1" t="s">
        <v>50</v>
      </c>
      <c r="E1967" s="1" t="s">
        <v>51</v>
      </c>
      <c r="F1967" s="1" t="s">
        <v>52</v>
      </c>
      <c r="G1967" s="1">
        <v>0.0</v>
      </c>
      <c r="H1967" s="2">
        <v>0.14722222222222223</v>
      </c>
    </row>
    <row r="1968">
      <c r="A1968" s="1" t="s">
        <v>1694</v>
      </c>
      <c r="B1968" s="1" t="s">
        <v>250</v>
      </c>
      <c r="C1968" s="1">
        <v>17.0</v>
      </c>
      <c r="D1968" s="1" t="s">
        <v>1704</v>
      </c>
      <c r="E1968" s="1" t="s">
        <v>1705</v>
      </c>
      <c r="F1968" s="1" t="s">
        <v>1704</v>
      </c>
      <c r="G1968" s="1">
        <v>0.0</v>
      </c>
      <c r="H1968" s="2">
        <v>0.10833333333333334</v>
      </c>
    </row>
    <row r="1969">
      <c r="A1969" s="1" t="s">
        <v>1694</v>
      </c>
      <c r="B1969" s="1" t="s">
        <v>250</v>
      </c>
      <c r="C1969" s="1">
        <v>18.0</v>
      </c>
      <c r="D1969" s="1" t="s">
        <v>53</v>
      </c>
      <c r="E1969" s="1" t="s">
        <v>12</v>
      </c>
      <c r="F1969" s="1" t="s">
        <v>13</v>
      </c>
      <c r="G1969" s="1">
        <v>1.0</v>
      </c>
      <c r="H1969" s="2">
        <v>0.16458333333333333</v>
      </c>
    </row>
    <row r="1970">
      <c r="A1970" s="1" t="s">
        <v>1694</v>
      </c>
      <c r="B1970" s="1" t="s">
        <v>250</v>
      </c>
      <c r="C1970" s="1">
        <v>19.0</v>
      </c>
      <c r="D1970" s="1" t="s">
        <v>1706</v>
      </c>
      <c r="E1970" s="1" t="s">
        <v>1707</v>
      </c>
      <c r="F1970" s="1" t="s">
        <v>1706</v>
      </c>
      <c r="G1970" s="1">
        <v>0.0</v>
      </c>
      <c r="H1970" s="2">
        <v>0.14375</v>
      </c>
    </row>
    <row r="1971">
      <c r="A1971" s="1" t="s">
        <v>1694</v>
      </c>
      <c r="B1971" s="1" t="s">
        <v>250</v>
      </c>
      <c r="C1971" s="1">
        <v>20.0</v>
      </c>
      <c r="D1971" s="1" t="s">
        <v>1708</v>
      </c>
      <c r="E1971" s="1" t="s">
        <v>1709</v>
      </c>
      <c r="F1971" s="1" t="s">
        <v>1708</v>
      </c>
      <c r="G1971" s="1">
        <v>0.0</v>
      </c>
      <c r="H1971" s="2">
        <v>0.1284722222222222</v>
      </c>
    </row>
    <row r="1972">
      <c r="A1972" s="1" t="s">
        <v>1694</v>
      </c>
      <c r="B1972" s="1" t="s">
        <v>250</v>
      </c>
      <c r="C1972" s="1">
        <v>21.0</v>
      </c>
      <c r="D1972" s="1" t="s">
        <v>1710</v>
      </c>
      <c r="E1972" s="1" t="s">
        <v>1711</v>
      </c>
      <c r="F1972" s="1" t="s">
        <v>1710</v>
      </c>
      <c r="G1972" s="1">
        <v>0.0</v>
      </c>
      <c r="H1972" s="2">
        <v>0.11875</v>
      </c>
    </row>
    <row r="1973">
      <c r="A1973" s="1" t="s">
        <v>1694</v>
      </c>
      <c r="B1973" s="1" t="s">
        <v>250</v>
      </c>
      <c r="C1973" s="1">
        <v>22.0</v>
      </c>
      <c r="D1973" s="1" t="s">
        <v>1712</v>
      </c>
      <c r="E1973" s="1" t="s">
        <v>1713</v>
      </c>
      <c r="F1973" s="1" t="s">
        <v>1712</v>
      </c>
      <c r="G1973" s="1">
        <v>0.0</v>
      </c>
      <c r="H1973" s="2">
        <v>0.10555555555555556</v>
      </c>
    </row>
    <row r="1974">
      <c r="A1974" s="1" t="s">
        <v>1694</v>
      </c>
      <c r="B1974" s="1" t="s">
        <v>250</v>
      </c>
      <c r="C1974" s="1">
        <v>23.0</v>
      </c>
      <c r="D1974" s="1" t="s">
        <v>270</v>
      </c>
      <c r="E1974" s="1" t="s">
        <v>271</v>
      </c>
      <c r="F1974" s="1" t="s">
        <v>270</v>
      </c>
      <c r="G1974" s="1">
        <v>0.0</v>
      </c>
      <c r="H1974" s="2">
        <v>0.14444444444444443</v>
      </c>
    </row>
    <row r="1975">
      <c r="A1975" s="1" t="s">
        <v>1694</v>
      </c>
      <c r="B1975" s="1" t="s">
        <v>250</v>
      </c>
      <c r="C1975" s="1">
        <v>24.0</v>
      </c>
      <c r="D1975" s="1" t="s">
        <v>1714</v>
      </c>
      <c r="E1975" s="1" t="s">
        <v>1715</v>
      </c>
      <c r="F1975" s="1" t="s">
        <v>1714</v>
      </c>
      <c r="G1975" s="1">
        <v>0.0</v>
      </c>
      <c r="H1975" s="2">
        <v>0.10902777777777778</v>
      </c>
    </row>
    <row r="1976">
      <c r="A1976" s="1" t="s">
        <v>1694</v>
      </c>
      <c r="B1976" s="1" t="s">
        <v>250</v>
      </c>
      <c r="C1976" s="1">
        <v>25.0</v>
      </c>
      <c r="D1976" s="1" t="s">
        <v>27</v>
      </c>
      <c r="E1976" s="1" t="s">
        <v>28</v>
      </c>
      <c r="F1976" s="1" t="s">
        <v>29</v>
      </c>
      <c r="G1976" s="1">
        <v>0.0</v>
      </c>
      <c r="H1976" s="2">
        <v>0.12708333333333333</v>
      </c>
    </row>
    <row r="1977">
      <c r="A1977" s="1" t="s">
        <v>1694</v>
      </c>
      <c r="B1977" s="1" t="s">
        <v>250</v>
      </c>
      <c r="C1977" s="1">
        <v>26.0</v>
      </c>
      <c r="D1977" s="1" t="s">
        <v>1716</v>
      </c>
      <c r="E1977" s="1" t="s">
        <v>1717</v>
      </c>
      <c r="F1977" s="1" t="s">
        <v>1718</v>
      </c>
      <c r="G1977" s="1">
        <v>0.0</v>
      </c>
      <c r="H1977" s="2">
        <v>0.13333333333333333</v>
      </c>
    </row>
    <row r="1978">
      <c r="A1978" s="1" t="s">
        <v>1694</v>
      </c>
      <c r="B1978" s="1" t="s">
        <v>250</v>
      </c>
      <c r="C1978" s="1">
        <v>27.0</v>
      </c>
      <c r="D1978" s="1" t="s">
        <v>1719</v>
      </c>
      <c r="E1978" s="1" t="s">
        <v>1720</v>
      </c>
      <c r="F1978" s="1" t="s">
        <v>1719</v>
      </c>
      <c r="G1978" s="1">
        <v>0.0</v>
      </c>
      <c r="H1978" s="2">
        <v>0.10138888888888889</v>
      </c>
    </row>
    <row r="1979">
      <c r="A1979" s="1" t="s">
        <v>1694</v>
      </c>
      <c r="B1979" s="1" t="s">
        <v>250</v>
      </c>
      <c r="C1979" s="1">
        <v>28.0</v>
      </c>
      <c r="D1979" s="1" t="s">
        <v>57</v>
      </c>
      <c r="E1979" s="1" t="s">
        <v>58</v>
      </c>
      <c r="F1979" s="1" t="s">
        <v>59</v>
      </c>
      <c r="G1979" s="1">
        <v>1.0</v>
      </c>
      <c r="H1979" s="2">
        <v>0.16458333333333333</v>
      </c>
    </row>
    <row r="1980">
      <c r="A1980" s="1" t="s">
        <v>1694</v>
      </c>
      <c r="B1980" s="1" t="s">
        <v>250</v>
      </c>
      <c r="C1980" s="1">
        <v>29.0</v>
      </c>
      <c r="D1980" s="1" t="s">
        <v>33</v>
      </c>
      <c r="E1980" s="1" t="s">
        <v>34</v>
      </c>
      <c r="F1980" s="1" t="s">
        <v>35</v>
      </c>
      <c r="G1980" s="1">
        <v>0.0</v>
      </c>
      <c r="H1980" s="2">
        <v>0.1451388888888889</v>
      </c>
    </row>
    <row r="1981">
      <c r="A1981" s="1" t="s">
        <v>1694</v>
      </c>
      <c r="B1981" s="1" t="s">
        <v>250</v>
      </c>
      <c r="C1981" s="1">
        <v>30.0</v>
      </c>
      <c r="D1981" s="1" t="s">
        <v>302</v>
      </c>
      <c r="E1981" s="1" t="s">
        <v>34</v>
      </c>
      <c r="F1981" s="1" t="s">
        <v>303</v>
      </c>
      <c r="G1981" s="1">
        <v>0.0</v>
      </c>
      <c r="H1981" s="2">
        <v>0.1388888888888889</v>
      </c>
    </row>
    <row r="1982">
      <c r="A1982" s="1" t="s">
        <v>1694</v>
      </c>
      <c r="B1982" s="1" t="s">
        <v>250</v>
      </c>
      <c r="C1982" s="1">
        <v>31.0</v>
      </c>
      <c r="D1982" s="1" t="s">
        <v>36</v>
      </c>
      <c r="E1982" s="1" t="s">
        <v>37</v>
      </c>
      <c r="F1982" s="1" t="s">
        <v>36</v>
      </c>
      <c r="G1982" s="1">
        <v>1.0</v>
      </c>
      <c r="H1982" s="2">
        <v>0.09166666666666666</v>
      </c>
    </row>
    <row r="1983">
      <c r="A1983" s="1" t="s">
        <v>1694</v>
      </c>
      <c r="B1983" s="1" t="s">
        <v>250</v>
      </c>
      <c r="C1983" s="1">
        <v>32.0</v>
      </c>
      <c r="D1983" s="1" t="s">
        <v>1721</v>
      </c>
      <c r="E1983" s="1" t="s">
        <v>1722</v>
      </c>
      <c r="F1983" s="1" t="s">
        <v>1723</v>
      </c>
      <c r="G1983" s="1">
        <v>0.0</v>
      </c>
      <c r="H1983" s="2">
        <v>0.18680555555555556</v>
      </c>
    </row>
    <row r="1984">
      <c r="A1984" s="1" t="s">
        <v>1694</v>
      </c>
      <c r="B1984" s="1" t="s">
        <v>250</v>
      </c>
      <c r="C1984" s="1">
        <v>33.0</v>
      </c>
      <c r="D1984" s="1" t="s">
        <v>310</v>
      </c>
      <c r="E1984" s="1" t="s">
        <v>311</v>
      </c>
      <c r="F1984" s="1" t="s">
        <v>310</v>
      </c>
      <c r="G1984" s="1">
        <v>0.0</v>
      </c>
      <c r="H1984" s="2">
        <v>0.12430555555555556</v>
      </c>
    </row>
    <row r="1985">
      <c r="A1985" s="1" t="s">
        <v>1694</v>
      </c>
      <c r="B1985" s="1" t="s">
        <v>250</v>
      </c>
      <c r="C1985" s="1">
        <v>34.0</v>
      </c>
      <c r="D1985" s="1" t="s">
        <v>111</v>
      </c>
      <c r="E1985" s="1" t="s">
        <v>69</v>
      </c>
      <c r="F1985" s="1" t="s">
        <v>112</v>
      </c>
      <c r="G1985" s="1">
        <v>0.0</v>
      </c>
      <c r="H1985" s="2">
        <v>0.14930555555555555</v>
      </c>
    </row>
    <row r="1986">
      <c r="A1986" s="1" t="s">
        <v>1694</v>
      </c>
      <c r="B1986" s="1" t="s">
        <v>250</v>
      </c>
      <c r="C1986" s="1">
        <v>35.0</v>
      </c>
      <c r="D1986" s="1" t="s">
        <v>99</v>
      </c>
      <c r="E1986" s="1" t="s">
        <v>100</v>
      </c>
      <c r="F1986" s="1" t="s">
        <v>99</v>
      </c>
      <c r="G1986" s="1">
        <v>0.0</v>
      </c>
      <c r="H1986" s="2">
        <v>0.11944444444444445</v>
      </c>
    </row>
    <row r="1987">
      <c r="A1987" s="1" t="s">
        <v>1694</v>
      </c>
      <c r="B1987" s="1" t="s">
        <v>250</v>
      </c>
      <c r="C1987" s="1">
        <v>36.0</v>
      </c>
      <c r="D1987" s="1" t="s">
        <v>1724</v>
      </c>
      <c r="E1987" s="1" t="s">
        <v>1725</v>
      </c>
      <c r="F1987" s="1" t="s">
        <v>1724</v>
      </c>
      <c r="G1987" s="1">
        <v>0.0</v>
      </c>
      <c r="H1987" s="2">
        <v>0.14097222222222222</v>
      </c>
    </row>
    <row r="1988">
      <c r="A1988" s="1" t="s">
        <v>1694</v>
      </c>
      <c r="B1988" s="1" t="s">
        <v>250</v>
      </c>
      <c r="C1988" s="1">
        <v>37.0</v>
      </c>
      <c r="D1988" s="1" t="s">
        <v>1726</v>
      </c>
      <c r="E1988" s="1" t="s">
        <v>1727</v>
      </c>
      <c r="F1988" s="1" t="s">
        <v>1726</v>
      </c>
      <c r="G1988" s="1">
        <v>0.0</v>
      </c>
      <c r="H1988" s="2">
        <v>0.12291666666666666</v>
      </c>
    </row>
    <row r="1989">
      <c r="A1989" s="1" t="s">
        <v>1694</v>
      </c>
      <c r="B1989" s="1" t="s">
        <v>250</v>
      </c>
      <c r="C1989" s="1">
        <v>38.0</v>
      </c>
      <c r="D1989" s="1" t="s">
        <v>38</v>
      </c>
      <c r="E1989" s="1" t="s">
        <v>39</v>
      </c>
      <c r="F1989" s="1" t="s">
        <v>40</v>
      </c>
      <c r="G1989" s="1">
        <v>1.0</v>
      </c>
      <c r="H1989" s="2">
        <v>0.1125</v>
      </c>
    </row>
    <row r="1990">
      <c r="A1990" s="1" t="s">
        <v>1694</v>
      </c>
      <c r="B1990" s="1" t="s">
        <v>250</v>
      </c>
      <c r="C1990" s="1">
        <v>39.0</v>
      </c>
      <c r="D1990" s="1" t="s">
        <v>1728</v>
      </c>
      <c r="E1990" s="1" t="s">
        <v>1729</v>
      </c>
      <c r="F1990" s="1" t="s">
        <v>1728</v>
      </c>
      <c r="G1990" s="1">
        <v>0.0</v>
      </c>
      <c r="H1990" s="2">
        <v>0.12083333333333333</v>
      </c>
    </row>
    <row r="1991">
      <c r="A1991" s="1" t="s">
        <v>1694</v>
      </c>
      <c r="B1991" s="1" t="s">
        <v>250</v>
      </c>
      <c r="C1991" s="1">
        <v>40.0</v>
      </c>
      <c r="D1991" s="1" t="s">
        <v>25</v>
      </c>
      <c r="E1991" s="1" t="s">
        <v>26</v>
      </c>
      <c r="F1991" s="1" t="s">
        <v>25</v>
      </c>
      <c r="G1991" s="1">
        <v>1.0</v>
      </c>
      <c r="H1991" s="2">
        <v>0.11458333333333333</v>
      </c>
    </row>
    <row r="1992">
      <c r="A1992" s="1" t="s">
        <v>1694</v>
      </c>
      <c r="B1992" s="1" t="s">
        <v>250</v>
      </c>
      <c r="C1992" s="1">
        <v>41.0</v>
      </c>
      <c r="D1992" s="1" t="s">
        <v>1730</v>
      </c>
      <c r="E1992" s="1" t="s">
        <v>1731</v>
      </c>
      <c r="F1992" s="1" t="s">
        <v>1730</v>
      </c>
      <c r="G1992" s="1">
        <v>0.0</v>
      </c>
      <c r="H1992" s="2">
        <v>0.14444444444444443</v>
      </c>
    </row>
    <row r="1993">
      <c r="A1993" s="1" t="s">
        <v>1694</v>
      </c>
      <c r="B1993" s="1" t="s">
        <v>250</v>
      </c>
      <c r="C1993" s="1">
        <v>42.0</v>
      </c>
      <c r="D1993" s="1" t="s">
        <v>1732</v>
      </c>
      <c r="E1993" s="1" t="s">
        <v>1733</v>
      </c>
      <c r="F1993" s="1" t="s">
        <v>1732</v>
      </c>
      <c r="G1993" s="1">
        <v>0.0</v>
      </c>
      <c r="H1993" s="2">
        <v>0.12430555555555556</v>
      </c>
    </row>
    <row r="1994">
      <c r="A1994" s="1" t="s">
        <v>1694</v>
      </c>
      <c r="B1994" s="1" t="s">
        <v>250</v>
      </c>
      <c r="C1994" s="1">
        <v>43.0</v>
      </c>
      <c r="D1994" s="1" t="s">
        <v>80</v>
      </c>
      <c r="E1994" s="1" t="s">
        <v>81</v>
      </c>
      <c r="F1994" s="1" t="s">
        <v>82</v>
      </c>
      <c r="G1994" s="1">
        <v>0.0</v>
      </c>
      <c r="H1994" s="2">
        <v>0.12083333333333333</v>
      </c>
    </row>
    <row r="1995">
      <c r="A1995" s="1" t="s">
        <v>1694</v>
      </c>
      <c r="B1995" s="1" t="s">
        <v>250</v>
      </c>
      <c r="C1995" s="1">
        <v>44.0</v>
      </c>
      <c r="D1995" s="1" t="s">
        <v>1734</v>
      </c>
      <c r="E1995" s="1" t="s">
        <v>1735</v>
      </c>
      <c r="F1995" s="1" t="s">
        <v>1736</v>
      </c>
      <c r="G1995" s="1">
        <v>0.0</v>
      </c>
      <c r="H1995" s="2">
        <v>0.1125</v>
      </c>
    </row>
    <row r="1996">
      <c r="A1996" s="1" t="s">
        <v>1694</v>
      </c>
      <c r="B1996" s="1" t="s">
        <v>250</v>
      </c>
      <c r="C1996" s="1">
        <v>45.0</v>
      </c>
      <c r="D1996" s="1" t="s">
        <v>1737</v>
      </c>
      <c r="E1996" s="1" t="s">
        <v>1738</v>
      </c>
      <c r="F1996" s="1" t="s">
        <v>1737</v>
      </c>
      <c r="G1996" s="1">
        <v>0.0</v>
      </c>
      <c r="H1996" s="2">
        <v>0.14375</v>
      </c>
    </row>
    <row r="1997">
      <c r="A1997" s="1" t="s">
        <v>1694</v>
      </c>
      <c r="B1997" s="1" t="s">
        <v>250</v>
      </c>
      <c r="C1997" s="1">
        <v>46.0</v>
      </c>
      <c r="D1997" s="1" t="s">
        <v>68</v>
      </c>
      <c r="E1997" s="1" t="s">
        <v>69</v>
      </c>
      <c r="F1997" s="1" t="s">
        <v>70</v>
      </c>
      <c r="G1997" s="1">
        <v>0.0</v>
      </c>
      <c r="H1997" s="2">
        <v>0.12638888888888888</v>
      </c>
    </row>
    <row r="1998">
      <c r="A1998" s="1" t="s">
        <v>1694</v>
      </c>
      <c r="B1998" s="1" t="s">
        <v>250</v>
      </c>
      <c r="C1998" s="1">
        <v>47.0</v>
      </c>
      <c r="D1998" s="1" t="s">
        <v>41</v>
      </c>
      <c r="E1998" s="1" t="s">
        <v>42</v>
      </c>
      <c r="F1998" s="1" t="s">
        <v>43</v>
      </c>
      <c r="G1998" s="1">
        <v>1.0</v>
      </c>
      <c r="H1998" s="2">
        <v>0.1361111111111111</v>
      </c>
    </row>
    <row r="1999">
      <c r="A1999" s="1" t="s">
        <v>1694</v>
      </c>
      <c r="B1999" s="1" t="s">
        <v>250</v>
      </c>
      <c r="C1999" s="1">
        <v>48.0</v>
      </c>
      <c r="D1999" s="1" t="s">
        <v>1739</v>
      </c>
      <c r="E1999" s="1" t="s">
        <v>1740</v>
      </c>
      <c r="F1999" s="1" t="s">
        <v>1739</v>
      </c>
      <c r="G1999" s="1">
        <v>0.0</v>
      </c>
      <c r="H1999" s="2">
        <v>0.12222222222222222</v>
      </c>
    </row>
    <row r="2000">
      <c r="A2000" s="1" t="s">
        <v>1694</v>
      </c>
      <c r="B2000" s="1" t="s">
        <v>250</v>
      </c>
      <c r="C2000" s="1">
        <v>49.0</v>
      </c>
      <c r="D2000" s="1" t="s">
        <v>231</v>
      </c>
      <c r="E2000" s="1" t="s">
        <v>232</v>
      </c>
      <c r="F2000" s="1" t="s">
        <v>231</v>
      </c>
      <c r="G2000" s="1">
        <v>0.0</v>
      </c>
      <c r="H2000" s="2">
        <v>0.10902777777777778</v>
      </c>
    </row>
    <row r="2001">
      <c r="A2001" s="1" t="s">
        <v>1694</v>
      </c>
      <c r="B2001" s="1" t="s">
        <v>250</v>
      </c>
      <c r="C2001" s="1">
        <v>50.0</v>
      </c>
      <c r="D2001" s="1" t="s">
        <v>1741</v>
      </c>
      <c r="E2001" s="1" t="s">
        <v>1742</v>
      </c>
      <c r="F2001" s="1" t="s">
        <v>1743</v>
      </c>
      <c r="G2001" s="1">
        <v>0.0</v>
      </c>
      <c r="H2001" s="2">
        <v>0.1388888888888889</v>
      </c>
    </row>
    <row r="2002">
      <c r="A2002" s="1" t="s">
        <v>1744</v>
      </c>
      <c r="B2002" s="1" t="s">
        <v>219</v>
      </c>
      <c r="C2002" s="1">
        <v>1.0</v>
      </c>
      <c r="D2002" s="1" t="s">
        <v>14</v>
      </c>
      <c r="E2002" s="1" t="s">
        <v>15</v>
      </c>
      <c r="F2002" s="1" t="s">
        <v>16</v>
      </c>
      <c r="G2002" s="1">
        <v>1.0</v>
      </c>
      <c r="H2002" s="2">
        <v>0.12569444444444444</v>
      </c>
    </row>
    <row r="2003">
      <c r="A2003" s="1" t="s">
        <v>1744</v>
      </c>
      <c r="B2003" s="1" t="s">
        <v>219</v>
      </c>
      <c r="C2003" s="1">
        <v>2.0</v>
      </c>
      <c r="D2003" s="1" t="s">
        <v>17</v>
      </c>
      <c r="E2003" s="1" t="s">
        <v>18</v>
      </c>
      <c r="F2003" s="1" t="s">
        <v>19</v>
      </c>
      <c r="G2003" s="1">
        <v>1.0</v>
      </c>
      <c r="H2003" s="2">
        <v>0.12222222222222222</v>
      </c>
    </row>
    <row r="2004">
      <c r="A2004" s="1" t="s">
        <v>1744</v>
      </c>
      <c r="B2004" s="1" t="s">
        <v>219</v>
      </c>
      <c r="C2004" s="1">
        <v>3.0</v>
      </c>
      <c r="D2004" s="1" t="s">
        <v>1745</v>
      </c>
      <c r="E2004" s="1" t="s">
        <v>1746</v>
      </c>
      <c r="F2004" s="1" t="s">
        <v>1747</v>
      </c>
      <c r="G2004" s="1">
        <v>0.0</v>
      </c>
      <c r="H2004" s="2">
        <v>0.175</v>
      </c>
    </row>
    <row r="2005">
      <c r="A2005" s="1" t="s">
        <v>1744</v>
      </c>
      <c r="B2005" s="1" t="s">
        <v>219</v>
      </c>
      <c r="C2005" s="1">
        <v>4.0</v>
      </c>
      <c r="D2005" s="1" t="s">
        <v>11</v>
      </c>
      <c r="E2005" s="1" t="s">
        <v>12</v>
      </c>
      <c r="F2005" s="1" t="s">
        <v>13</v>
      </c>
      <c r="G2005" s="1">
        <v>0.0</v>
      </c>
      <c r="H2005" s="2">
        <v>0.1388888888888889</v>
      </c>
    </row>
    <row r="2006">
      <c r="A2006" s="1" t="s">
        <v>1744</v>
      </c>
      <c r="B2006" s="1" t="s">
        <v>219</v>
      </c>
      <c r="C2006" s="1">
        <v>5.0</v>
      </c>
      <c r="D2006" s="1" t="s">
        <v>30</v>
      </c>
      <c r="E2006" s="1" t="s">
        <v>31</v>
      </c>
      <c r="F2006" s="1" t="s">
        <v>32</v>
      </c>
      <c r="G2006" s="1">
        <v>0.0</v>
      </c>
      <c r="H2006" s="2">
        <v>0.15833333333333333</v>
      </c>
    </row>
    <row r="2007">
      <c r="A2007" s="1" t="s">
        <v>1744</v>
      </c>
      <c r="B2007" s="1" t="s">
        <v>219</v>
      </c>
      <c r="C2007" s="1">
        <v>6.0</v>
      </c>
      <c r="D2007" s="1" t="s">
        <v>47</v>
      </c>
      <c r="E2007" s="1" t="s">
        <v>48</v>
      </c>
      <c r="F2007" s="1" t="s">
        <v>49</v>
      </c>
      <c r="G2007" s="1">
        <v>1.0</v>
      </c>
      <c r="H2007" s="2">
        <v>0.15486111111111112</v>
      </c>
    </row>
    <row r="2008">
      <c r="A2008" s="1" t="s">
        <v>1744</v>
      </c>
      <c r="B2008" s="1" t="s">
        <v>219</v>
      </c>
      <c r="C2008" s="1">
        <v>7.0</v>
      </c>
      <c r="D2008" s="1" t="s">
        <v>9</v>
      </c>
      <c r="E2008" s="1" t="s">
        <v>10</v>
      </c>
      <c r="F2008" s="1" t="s">
        <v>9</v>
      </c>
      <c r="G2008" s="1">
        <v>0.0</v>
      </c>
      <c r="H2008" s="2">
        <v>0.12638888888888888</v>
      </c>
    </row>
    <row r="2009">
      <c r="A2009" s="1" t="s">
        <v>1744</v>
      </c>
      <c r="B2009" s="1" t="s">
        <v>219</v>
      </c>
      <c r="C2009" s="1">
        <v>8.0</v>
      </c>
      <c r="D2009" s="1" t="s">
        <v>25</v>
      </c>
      <c r="E2009" s="1" t="s">
        <v>26</v>
      </c>
      <c r="F2009" s="1" t="s">
        <v>25</v>
      </c>
      <c r="G2009" s="1">
        <v>1.0</v>
      </c>
      <c r="H2009" s="2">
        <v>0.11458333333333333</v>
      </c>
    </row>
    <row r="2010">
      <c r="A2010" s="1" t="s">
        <v>1744</v>
      </c>
      <c r="B2010" s="1" t="s">
        <v>219</v>
      </c>
      <c r="C2010" s="1">
        <v>9.0</v>
      </c>
      <c r="D2010" s="1" t="s">
        <v>23</v>
      </c>
      <c r="E2010" s="1" t="s">
        <v>24</v>
      </c>
      <c r="F2010" s="1" t="s">
        <v>23</v>
      </c>
      <c r="G2010" s="1">
        <v>0.0</v>
      </c>
      <c r="H2010" s="2">
        <v>0.12013888888888889</v>
      </c>
    </row>
    <row r="2011">
      <c r="A2011" s="1" t="s">
        <v>1744</v>
      </c>
      <c r="B2011" s="1" t="s">
        <v>219</v>
      </c>
      <c r="C2011" s="1">
        <v>10.0</v>
      </c>
      <c r="D2011" s="1" t="s">
        <v>20</v>
      </c>
      <c r="E2011" s="1" t="s">
        <v>21</v>
      </c>
      <c r="F2011" s="1" t="s">
        <v>22</v>
      </c>
      <c r="G2011" s="1">
        <v>1.0</v>
      </c>
      <c r="H2011" s="2">
        <v>0.17152777777777778</v>
      </c>
    </row>
    <row r="2012">
      <c r="A2012" s="1" t="s">
        <v>1744</v>
      </c>
      <c r="B2012" s="1" t="s">
        <v>219</v>
      </c>
      <c r="C2012" s="1">
        <v>11.0</v>
      </c>
      <c r="D2012" s="1" t="s">
        <v>38</v>
      </c>
      <c r="E2012" s="1" t="s">
        <v>39</v>
      </c>
      <c r="F2012" s="1" t="s">
        <v>40</v>
      </c>
      <c r="G2012" s="1">
        <v>1.0</v>
      </c>
      <c r="H2012" s="2">
        <v>0.1125</v>
      </c>
    </row>
    <row r="2013">
      <c r="A2013" s="1" t="s">
        <v>1744</v>
      </c>
      <c r="B2013" s="1" t="s">
        <v>219</v>
      </c>
      <c r="C2013" s="1">
        <v>12.0</v>
      </c>
      <c r="D2013" s="1" t="s">
        <v>50</v>
      </c>
      <c r="E2013" s="1" t="s">
        <v>51</v>
      </c>
      <c r="F2013" s="1" t="s">
        <v>52</v>
      </c>
      <c r="G2013" s="1">
        <v>0.0</v>
      </c>
      <c r="H2013" s="2">
        <v>0.14722222222222223</v>
      </c>
    </row>
    <row r="2014">
      <c r="A2014" s="1" t="s">
        <v>1744</v>
      </c>
      <c r="B2014" s="1" t="s">
        <v>219</v>
      </c>
      <c r="C2014" s="1">
        <v>13.0</v>
      </c>
      <c r="D2014" s="1" t="s">
        <v>27</v>
      </c>
      <c r="E2014" s="1" t="s">
        <v>28</v>
      </c>
      <c r="F2014" s="1" t="s">
        <v>29</v>
      </c>
      <c r="G2014" s="1">
        <v>0.0</v>
      </c>
      <c r="H2014" s="2">
        <v>0.12708333333333333</v>
      </c>
    </row>
    <row r="2015">
      <c r="A2015" s="1" t="s">
        <v>1744</v>
      </c>
      <c r="B2015" s="1" t="s">
        <v>219</v>
      </c>
      <c r="C2015" s="1">
        <v>14.0</v>
      </c>
      <c r="D2015" s="1" t="s">
        <v>54</v>
      </c>
      <c r="E2015" s="1" t="s">
        <v>55</v>
      </c>
      <c r="F2015" s="1" t="s">
        <v>56</v>
      </c>
      <c r="G2015" s="1">
        <v>0.0</v>
      </c>
      <c r="H2015" s="2">
        <v>0.10972222222222222</v>
      </c>
    </row>
    <row r="2016">
      <c r="A2016" s="1" t="s">
        <v>1744</v>
      </c>
      <c r="B2016" s="1" t="s">
        <v>219</v>
      </c>
      <c r="C2016" s="1">
        <v>15.0</v>
      </c>
      <c r="D2016" s="1" t="s">
        <v>41</v>
      </c>
      <c r="E2016" s="1" t="s">
        <v>42</v>
      </c>
      <c r="F2016" s="1" t="s">
        <v>43</v>
      </c>
      <c r="G2016" s="1">
        <v>1.0</v>
      </c>
      <c r="H2016" s="2">
        <v>0.1361111111111111</v>
      </c>
    </row>
    <row r="2017">
      <c r="A2017" s="1" t="s">
        <v>1744</v>
      </c>
      <c r="B2017" s="1" t="s">
        <v>219</v>
      </c>
      <c r="C2017" s="1">
        <v>16.0</v>
      </c>
      <c r="D2017" s="1" t="s">
        <v>63</v>
      </c>
      <c r="E2017" s="1" t="s">
        <v>64</v>
      </c>
      <c r="F2017" s="1" t="s">
        <v>63</v>
      </c>
      <c r="G2017" s="1">
        <v>1.0</v>
      </c>
      <c r="H2017" s="2">
        <v>0.16805555555555557</v>
      </c>
    </row>
    <row r="2018">
      <c r="A2018" s="1" t="s">
        <v>1744</v>
      </c>
      <c r="B2018" s="1" t="s">
        <v>219</v>
      </c>
      <c r="C2018" s="1">
        <v>17.0</v>
      </c>
      <c r="D2018" s="1" t="s">
        <v>246</v>
      </c>
      <c r="E2018" s="1" t="s">
        <v>247</v>
      </c>
      <c r="F2018" s="1" t="s">
        <v>248</v>
      </c>
      <c r="G2018" s="1">
        <v>1.0</v>
      </c>
      <c r="H2018" s="2">
        <v>0.12222222222222222</v>
      </c>
    </row>
    <row r="2019">
      <c r="A2019" s="1" t="s">
        <v>1744</v>
      </c>
      <c r="B2019" s="1" t="s">
        <v>219</v>
      </c>
      <c r="C2019" s="1">
        <v>18.0</v>
      </c>
      <c r="D2019" s="1" t="s">
        <v>1748</v>
      </c>
      <c r="E2019" s="1" t="s">
        <v>1749</v>
      </c>
      <c r="F2019" s="1" t="s">
        <v>1749</v>
      </c>
      <c r="G2019" s="1">
        <v>1.0</v>
      </c>
      <c r="H2019" s="2">
        <v>0.12361111111111112</v>
      </c>
    </row>
    <row r="2020">
      <c r="A2020" s="1" t="s">
        <v>1744</v>
      </c>
      <c r="B2020" s="1" t="s">
        <v>219</v>
      </c>
      <c r="C2020" s="1">
        <v>19.0</v>
      </c>
      <c r="D2020" s="1" t="s">
        <v>36</v>
      </c>
      <c r="E2020" s="1" t="s">
        <v>37</v>
      </c>
      <c r="F2020" s="1" t="s">
        <v>36</v>
      </c>
      <c r="G2020" s="1">
        <v>1.0</v>
      </c>
      <c r="H2020" s="2">
        <v>0.09166666666666666</v>
      </c>
    </row>
    <row r="2021">
      <c r="A2021" s="1" t="s">
        <v>1744</v>
      </c>
      <c r="B2021" s="1" t="s">
        <v>219</v>
      </c>
      <c r="C2021" s="1">
        <v>20.0</v>
      </c>
      <c r="D2021" s="1" t="s">
        <v>33</v>
      </c>
      <c r="E2021" s="1" t="s">
        <v>34</v>
      </c>
      <c r="F2021" s="1" t="s">
        <v>35</v>
      </c>
      <c r="G2021" s="1">
        <v>0.0</v>
      </c>
      <c r="H2021" s="2">
        <v>0.1451388888888889</v>
      </c>
    </row>
    <row r="2022">
      <c r="A2022" s="1" t="s">
        <v>1744</v>
      </c>
      <c r="B2022" s="1" t="s">
        <v>219</v>
      </c>
      <c r="C2022" s="1">
        <v>21.0</v>
      </c>
      <c r="D2022" s="1" t="s">
        <v>80</v>
      </c>
      <c r="E2022" s="1" t="s">
        <v>81</v>
      </c>
      <c r="F2022" s="1" t="s">
        <v>82</v>
      </c>
      <c r="G2022" s="1">
        <v>0.0</v>
      </c>
      <c r="H2022" s="2">
        <v>0.12083333333333333</v>
      </c>
    </row>
    <row r="2023">
      <c r="A2023" s="1" t="s">
        <v>1744</v>
      </c>
      <c r="B2023" s="1" t="s">
        <v>219</v>
      </c>
      <c r="C2023" s="1">
        <v>22.0</v>
      </c>
      <c r="D2023" s="1" t="s">
        <v>44</v>
      </c>
      <c r="E2023" s="1" t="s">
        <v>45</v>
      </c>
      <c r="F2023" s="1" t="s">
        <v>44</v>
      </c>
      <c r="G2023" s="1">
        <v>0.0</v>
      </c>
      <c r="H2023" s="2">
        <v>0.12222222222222222</v>
      </c>
    </row>
    <row r="2024">
      <c r="A2024" s="1" t="s">
        <v>1744</v>
      </c>
      <c r="B2024" s="1" t="s">
        <v>219</v>
      </c>
      <c r="C2024" s="1">
        <v>23.0</v>
      </c>
      <c r="D2024" s="1" t="s">
        <v>1750</v>
      </c>
      <c r="E2024" s="1" t="s">
        <v>1751</v>
      </c>
      <c r="F2024" s="1" t="s">
        <v>1752</v>
      </c>
      <c r="G2024" s="1">
        <v>0.0</v>
      </c>
      <c r="H2024" s="2">
        <v>0.15138888888888888</v>
      </c>
    </row>
    <row r="2025">
      <c r="A2025" s="1" t="s">
        <v>1744</v>
      </c>
      <c r="B2025" s="1" t="s">
        <v>219</v>
      </c>
      <c r="C2025" s="1">
        <v>24.0</v>
      </c>
      <c r="D2025" s="1" t="s">
        <v>1753</v>
      </c>
      <c r="E2025" s="1" t="s">
        <v>1754</v>
      </c>
      <c r="F2025" s="1" t="s">
        <v>1755</v>
      </c>
      <c r="G2025" s="1">
        <v>0.0</v>
      </c>
      <c r="H2025" s="2">
        <v>0.125</v>
      </c>
    </row>
    <row r="2026">
      <c r="A2026" s="1" t="s">
        <v>1744</v>
      </c>
      <c r="B2026" s="1" t="s">
        <v>219</v>
      </c>
      <c r="C2026" s="1">
        <v>25.0</v>
      </c>
      <c r="D2026" s="1" t="s">
        <v>88</v>
      </c>
      <c r="E2026" s="1" t="s">
        <v>89</v>
      </c>
      <c r="F2026" s="1" t="s">
        <v>90</v>
      </c>
      <c r="G2026" s="1">
        <v>1.0</v>
      </c>
      <c r="H2026" s="2">
        <v>0.09652777777777778</v>
      </c>
    </row>
    <row r="2027">
      <c r="A2027" s="1" t="s">
        <v>1744</v>
      </c>
      <c r="B2027" s="1" t="s">
        <v>219</v>
      </c>
      <c r="C2027" s="1">
        <v>26.0</v>
      </c>
      <c r="D2027" s="1" t="s">
        <v>46</v>
      </c>
      <c r="E2027" s="1" t="s">
        <v>28</v>
      </c>
      <c r="F2027" s="1" t="s">
        <v>29</v>
      </c>
      <c r="G2027" s="1">
        <v>0.0</v>
      </c>
      <c r="H2027" s="2">
        <v>0.15347222222222223</v>
      </c>
    </row>
    <row r="2028">
      <c r="A2028" s="1" t="s">
        <v>1744</v>
      </c>
      <c r="B2028" s="1" t="s">
        <v>219</v>
      </c>
      <c r="C2028" s="1">
        <v>27.0</v>
      </c>
      <c r="D2028" s="1" t="s">
        <v>227</v>
      </c>
      <c r="E2028" s="1" t="s">
        <v>228</v>
      </c>
      <c r="F2028" s="1" t="s">
        <v>227</v>
      </c>
      <c r="G2028" s="1">
        <v>1.0</v>
      </c>
      <c r="H2028" s="2">
        <v>0.11597222222222223</v>
      </c>
    </row>
    <row r="2029">
      <c r="A2029" s="1" t="s">
        <v>1744</v>
      </c>
      <c r="B2029" s="1" t="s">
        <v>219</v>
      </c>
      <c r="C2029" s="1">
        <v>28.0</v>
      </c>
      <c r="D2029" s="1" t="s">
        <v>111</v>
      </c>
      <c r="E2029" s="1" t="s">
        <v>69</v>
      </c>
      <c r="F2029" s="1" t="s">
        <v>112</v>
      </c>
      <c r="G2029" s="1">
        <v>0.0</v>
      </c>
      <c r="H2029" s="2">
        <v>0.14930555555555555</v>
      </c>
    </row>
    <row r="2030">
      <c r="A2030" s="1" t="s">
        <v>1744</v>
      </c>
      <c r="B2030" s="1" t="s">
        <v>219</v>
      </c>
      <c r="C2030" s="1">
        <v>29.0</v>
      </c>
      <c r="D2030" s="1" t="s">
        <v>107</v>
      </c>
      <c r="E2030" s="1" t="s">
        <v>81</v>
      </c>
      <c r="F2030" s="1" t="s">
        <v>82</v>
      </c>
      <c r="G2030" s="1">
        <v>0.0</v>
      </c>
      <c r="H2030" s="2">
        <v>0.14375</v>
      </c>
    </row>
    <row r="2031">
      <c r="A2031" s="1" t="s">
        <v>1744</v>
      </c>
      <c r="B2031" s="1" t="s">
        <v>219</v>
      </c>
      <c r="C2031" s="1">
        <v>30.0</v>
      </c>
      <c r="D2031" s="1" t="s">
        <v>57</v>
      </c>
      <c r="E2031" s="1" t="s">
        <v>58</v>
      </c>
      <c r="F2031" s="1" t="s">
        <v>59</v>
      </c>
      <c r="G2031" s="1">
        <v>1.0</v>
      </c>
      <c r="H2031" s="2">
        <v>0.16458333333333333</v>
      </c>
    </row>
    <row r="2032">
      <c r="A2032" s="1" t="s">
        <v>1744</v>
      </c>
      <c r="B2032" s="1" t="s">
        <v>219</v>
      </c>
      <c r="C2032" s="1">
        <v>31.0</v>
      </c>
      <c r="D2032" s="1" t="s">
        <v>68</v>
      </c>
      <c r="E2032" s="1" t="s">
        <v>69</v>
      </c>
      <c r="F2032" s="1" t="s">
        <v>70</v>
      </c>
      <c r="G2032" s="1">
        <v>0.0</v>
      </c>
      <c r="H2032" s="2">
        <v>0.12638888888888888</v>
      </c>
    </row>
    <row r="2033">
      <c r="A2033" s="1" t="s">
        <v>1744</v>
      </c>
      <c r="B2033" s="1" t="s">
        <v>219</v>
      </c>
      <c r="C2033" s="1">
        <v>32.0</v>
      </c>
      <c r="D2033" s="1" t="s">
        <v>224</v>
      </c>
      <c r="E2033" s="1" t="s">
        <v>225</v>
      </c>
      <c r="F2033" s="1" t="s">
        <v>226</v>
      </c>
      <c r="G2033" s="1">
        <v>0.0</v>
      </c>
      <c r="H2033" s="2">
        <v>0.14444444444444443</v>
      </c>
    </row>
    <row r="2034">
      <c r="A2034" s="1" t="s">
        <v>1744</v>
      </c>
      <c r="B2034" s="1" t="s">
        <v>219</v>
      </c>
      <c r="C2034" s="1">
        <v>33.0</v>
      </c>
      <c r="D2034" s="1" t="s">
        <v>1756</v>
      </c>
      <c r="E2034" s="1" t="s">
        <v>1757</v>
      </c>
      <c r="F2034" s="1" t="s">
        <v>1758</v>
      </c>
      <c r="G2034" s="1">
        <v>1.0</v>
      </c>
      <c r="H2034" s="2">
        <v>0.12708333333333333</v>
      </c>
    </row>
    <row r="2035">
      <c r="A2035" s="1" t="s">
        <v>1744</v>
      </c>
      <c r="B2035" s="1" t="s">
        <v>219</v>
      </c>
      <c r="C2035" s="1">
        <v>34.0</v>
      </c>
      <c r="D2035" s="1" t="s">
        <v>73</v>
      </c>
      <c r="E2035" s="1" t="s">
        <v>74</v>
      </c>
      <c r="F2035" s="1" t="s">
        <v>75</v>
      </c>
      <c r="G2035" s="1">
        <v>0.0</v>
      </c>
      <c r="H2035" s="2">
        <v>0.14930555555555555</v>
      </c>
    </row>
    <row r="2036">
      <c r="A2036" s="1" t="s">
        <v>1744</v>
      </c>
      <c r="B2036" s="1" t="s">
        <v>219</v>
      </c>
      <c r="C2036" s="1">
        <v>35.0</v>
      </c>
      <c r="D2036" s="1" t="s">
        <v>115</v>
      </c>
      <c r="E2036" s="1" t="s">
        <v>116</v>
      </c>
      <c r="F2036" s="1" t="s">
        <v>117</v>
      </c>
      <c r="G2036" s="1">
        <v>1.0</v>
      </c>
      <c r="H2036" s="2">
        <v>0.11597222222222223</v>
      </c>
    </row>
    <row r="2037">
      <c r="A2037" s="1" t="s">
        <v>1744</v>
      </c>
      <c r="B2037" s="1" t="s">
        <v>219</v>
      </c>
      <c r="C2037" s="1">
        <v>36.0</v>
      </c>
      <c r="D2037" s="1" t="s">
        <v>53</v>
      </c>
      <c r="E2037" s="1" t="s">
        <v>12</v>
      </c>
      <c r="F2037" s="1" t="s">
        <v>13</v>
      </c>
      <c r="G2037" s="1">
        <v>1.0</v>
      </c>
      <c r="H2037" s="2">
        <v>0.16458333333333333</v>
      </c>
    </row>
    <row r="2038">
      <c r="A2038" s="1" t="s">
        <v>1744</v>
      </c>
      <c r="B2038" s="1" t="s">
        <v>219</v>
      </c>
      <c r="C2038" s="1">
        <v>37.0</v>
      </c>
      <c r="D2038" s="1" t="s">
        <v>76</v>
      </c>
      <c r="E2038" s="1" t="s">
        <v>77</v>
      </c>
      <c r="F2038" s="1" t="s">
        <v>76</v>
      </c>
      <c r="G2038" s="1">
        <v>1.0</v>
      </c>
      <c r="H2038" s="2">
        <v>0.14305555555555555</v>
      </c>
    </row>
    <row r="2039">
      <c r="A2039" s="1" t="s">
        <v>1744</v>
      </c>
      <c r="B2039" s="1" t="s">
        <v>219</v>
      </c>
      <c r="C2039" s="1">
        <v>38.0</v>
      </c>
      <c r="D2039" s="1" t="s">
        <v>92</v>
      </c>
      <c r="E2039" s="1" t="s">
        <v>93</v>
      </c>
      <c r="F2039" s="1" t="s">
        <v>92</v>
      </c>
      <c r="G2039" s="1">
        <v>1.0</v>
      </c>
      <c r="H2039" s="2">
        <v>0.11319444444444444</v>
      </c>
    </row>
    <row r="2040">
      <c r="A2040" s="1" t="s">
        <v>1744</v>
      </c>
      <c r="B2040" s="1" t="s">
        <v>219</v>
      </c>
      <c r="C2040" s="1">
        <v>39.0</v>
      </c>
      <c r="D2040" s="1" t="s">
        <v>91</v>
      </c>
      <c r="E2040" s="1" t="s">
        <v>58</v>
      </c>
      <c r="F2040" s="1" t="s">
        <v>91</v>
      </c>
      <c r="G2040" s="1">
        <v>0.0</v>
      </c>
      <c r="H2040" s="2">
        <v>0.09305555555555556</v>
      </c>
    </row>
    <row r="2041">
      <c r="A2041" s="1" t="s">
        <v>1744</v>
      </c>
      <c r="B2041" s="1" t="s">
        <v>219</v>
      </c>
      <c r="C2041" s="1">
        <v>40.0</v>
      </c>
      <c r="D2041" s="1" t="s">
        <v>78</v>
      </c>
      <c r="E2041" s="1" t="s">
        <v>79</v>
      </c>
      <c r="F2041" s="1" t="s">
        <v>78</v>
      </c>
      <c r="G2041" s="1">
        <v>0.0</v>
      </c>
      <c r="H2041" s="2">
        <v>0.10208333333333333</v>
      </c>
    </row>
    <row r="2042">
      <c r="A2042" s="1" t="s">
        <v>1744</v>
      </c>
      <c r="B2042" s="1" t="s">
        <v>219</v>
      </c>
      <c r="C2042" s="1">
        <v>41.0</v>
      </c>
      <c r="D2042" s="1" t="s">
        <v>113</v>
      </c>
      <c r="E2042" s="1" t="s">
        <v>114</v>
      </c>
      <c r="F2042" s="1" t="s">
        <v>113</v>
      </c>
      <c r="G2042" s="1">
        <v>0.0</v>
      </c>
      <c r="H2042" s="2">
        <v>0.13125</v>
      </c>
    </row>
    <row r="2043">
      <c r="A2043" s="1" t="s">
        <v>1744</v>
      </c>
      <c r="B2043" s="1" t="s">
        <v>219</v>
      </c>
      <c r="C2043" s="1">
        <v>42.0</v>
      </c>
      <c r="D2043" s="1" t="s">
        <v>60</v>
      </c>
      <c r="E2043" s="1" t="s">
        <v>61</v>
      </c>
      <c r="F2043" s="1" t="s">
        <v>62</v>
      </c>
      <c r="G2043" s="1">
        <v>0.0</v>
      </c>
      <c r="H2043" s="2">
        <v>0.11041666666666666</v>
      </c>
    </row>
    <row r="2044">
      <c r="A2044" s="1" t="s">
        <v>1744</v>
      </c>
      <c r="B2044" s="1" t="s">
        <v>219</v>
      </c>
      <c r="C2044" s="1">
        <v>43.0</v>
      </c>
      <c r="D2044" s="1" t="s">
        <v>222</v>
      </c>
      <c r="E2044" s="1" t="s">
        <v>223</v>
      </c>
      <c r="F2044" s="1" t="s">
        <v>222</v>
      </c>
      <c r="G2044" s="1">
        <v>0.0</v>
      </c>
      <c r="H2044" s="2">
        <v>0.13472222222222222</v>
      </c>
    </row>
    <row r="2045">
      <c r="A2045" s="1" t="s">
        <v>1744</v>
      </c>
      <c r="B2045" s="1" t="s">
        <v>219</v>
      </c>
      <c r="C2045" s="1">
        <v>44.0</v>
      </c>
      <c r="D2045" s="1" t="s">
        <v>99</v>
      </c>
      <c r="E2045" s="1" t="s">
        <v>100</v>
      </c>
      <c r="F2045" s="1" t="s">
        <v>99</v>
      </c>
      <c r="G2045" s="1">
        <v>0.0</v>
      </c>
      <c r="H2045" s="2">
        <v>0.11944444444444445</v>
      </c>
    </row>
    <row r="2046">
      <c r="A2046" s="1" t="s">
        <v>1744</v>
      </c>
      <c r="B2046" s="1" t="s">
        <v>219</v>
      </c>
      <c r="C2046" s="1">
        <v>45.0</v>
      </c>
      <c r="D2046" s="1" t="s">
        <v>101</v>
      </c>
      <c r="E2046" s="1" t="s">
        <v>102</v>
      </c>
      <c r="F2046" s="1" t="s">
        <v>103</v>
      </c>
      <c r="G2046" s="1">
        <v>1.0</v>
      </c>
      <c r="H2046" s="2">
        <v>0.16458333333333333</v>
      </c>
    </row>
    <row r="2047">
      <c r="A2047" s="1" t="s">
        <v>1744</v>
      </c>
      <c r="B2047" s="1" t="s">
        <v>219</v>
      </c>
      <c r="C2047" s="1">
        <v>46.0</v>
      </c>
      <c r="D2047" s="1" t="s">
        <v>1759</v>
      </c>
      <c r="E2047" s="1" t="s">
        <v>1749</v>
      </c>
      <c r="F2047" s="1" t="s">
        <v>1749</v>
      </c>
      <c r="G2047" s="1">
        <v>0.0</v>
      </c>
      <c r="H2047" s="2">
        <v>0.11805555555555555</v>
      </c>
    </row>
    <row r="2048">
      <c r="A2048" s="1" t="s">
        <v>1744</v>
      </c>
      <c r="B2048" s="1" t="s">
        <v>219</v>
      </c>
      <c r="C2048" s="1">
        <v>47.0</v>
      </c>
      <c r="D2048" s="1" t="s">
        <v>83</v>
      </c>
      <c r="E2048" s="1" t="s">
        <v>84</v>
      </c>
      <c r="F2048" s="1" t="s">
        <v>85</v>
      </c>
      <c r="G2048" s="1">
        <v>1.0</v>
      </c>
      <c r="H2048" s="2">
        <v>0.16875</v>
      </c>
    </row>
    <row r="2049">
      <c r="A2049" s="1" t="s">
        <v>1744</v>
      </c>
      <c r="B2049" s="1" t="s">
        <v>219</v>
      </c>
      <c r="C2049" s="1">
        <v>48.0</v>
      </c>
      <c r="D2049" s="1" t="s">
        <v>1760</v>
      </c>
      <c r="E2049" s="1" t="s">
        <v>1746</v>
      </c>
      <c r="F2049" s="1" t="s">
        <v>1746</v>
      </c>
      <c r="G2049" s="1">
        <v>0.0</v>
      </c>
      <c r="H2049" s="2">
        <v>0.1909722222222222</v>
      </c>
    </row>
    <row r="2050">
      <c r="A2050" s="1" t="s">
        <v>1744</v>
      </c>
      <c r="B2050" s="1" t="s">
        <v>219</v>
      </c>
      <c r="C2050" s="1">
        <v>49.0</v>
      </c>
      <c r="D2050" s="1" t="s">
        <v>1761</v>
      </c>
      <c r="E2050" s="1" t="s">
        <v>1762</v>
      </c>
      <c r="F2050" s="1" t="s">
        <v>1761</v>
      </c>
      <c r="G2050" s="1">
        <v>1.0</v>
      </c>
      <c r="H2050" s="2">
        <v>0.10833333333333334</v>
      </c>
    </row>
    <row r="2051">
      <c r="A2051" s="1" t="s">
        <v>1744</v>
      </c>
      <c r="B2051" s="1" t="s">
        <v>219</v>
      </c>
      <c r="C2051" s="1">
        <v>50.0</v>
      </c>
      <c r="D2051" s="1" t="s">
        <v>94</v>
      </c>
      <c r="E2051" s="1" t="s">
        <v>84</v>
      </c>
      <c r="F2051" s="1" t="s">
        <v>95</v>
      </c>
      <c r="G2051" s="1">
        <v>1.0</v>
      </c>
      <c r="H2051" s="2">
        <v>0.21666666666666667</v>
      </c>
    </row>
    <row r="2052">
      <c r="A2052" s="1" t="s">
        <v>1763</v>
      </c>
      <c r="B2052" s="1" t="s">
        <v>484</v>
      </c>
      <c r="C2052" s="1">
        <v>1.0</v>
      </c>
      <c r="D2052" s="1" t="s">
        <v>65</v>
      </c>
      <c r="E2052" s="1" t="s">
        <v>66</v>
      </c>
      <c r="F2052" s="1" t="s">
        <v>67</v>
      </c>
      <c r="G2052" s="1">
        <v>1.0</v>
      </c>
      <c r="H2052" s="2">
        <v>0.2048611111111111</v>
      </c>
    </row>
    <row r="2053">
      <c r="A2053" s="1" t="s">
        <v>1763</v>
      </c>
      <c r="B2053" s="1" t="s">
        <v>484</v>
      </c>
      <c r="C2053" s="1">
        <v>2.0</v>
      </c>
      <c r="D2053" s="1" t="s">
        <v>71</v>
      </c>
      <c r="E2053" s="1" t="s">
        <v>72</v>
      </c>
      <c r="F2053" s="1" t="s">
        <v>67</v>
      </c>
      <c r="G2053" s="1">
        <v>0.0</v>
      </c>
      <c r="H2053" s="2">
        <v>0.11944444444444445</v>
      </c>
    </row>
    <row r="2054">
      <c r="A2054" s="1" t="s">
        <v>1763</v>
      </c>
      <c r="B2054" s="1" t="s">
        <v>484</v>
      </c>
      <c r="C2054" s="1">
        <v>3.0</v>
      </c>
      <c r="D2054" s="1" t="s">
        <v>108</v>
      </c>
      <c r="E2054" s="1" t="s">
        <v>109</v>
      </c>
      <c r="F2054" s="1" t="s">
        <v>110</v>
      </c>
      <c r="G2054" s="1">
        <v>0.0</v>
      </c>
      <c r="H2054" s="2">
        <v>0.10416666666666667</v>
      </c>
    </row>
    <row r="2055">
      <c r="A2055" s="1" t="s">
        <v>1763</v>
      </c>
      <c r="B2055" s="1" t="s">
        <v>484</v>
      </c>
      <c r="C2055" s="1">
        <v>4.0</v>
      </c>
      <c r="D2055" s="1" t="s">
        <v>143</v>
      </c>
      <c r="E2055" s="1" t="s">
        <v>144</v>
      </c>
      <c r="F2055" s="1" t="s">
        <v>143</v>
      </c>
      <c r="G2055" s="1">
        <v>0.0</v>
      </c>
      <c r="H2055" s="2">
        <v>0.14027777777777778</v>
      </c>
    </row>
    <row r="2056">
      <c r="A2056" s="1" t="s">
        <v>1763</v>
      </c>
      <c r="B2056" s="1" t="s">
        <v>484</v>
      </c>
      <c r="C2056" s="1">
        <v>5.0</v>
      </c>
      <c r="D2056" s="1" t="s">
        <v>330</v>
      </c>
      <c r="E2056" s="1" t="s">
        <v>72</v>
      </c>
      <c r="F2056" s="1" t="s">
        <v>67</v>
      </c>
      <c r="G2056" s="1">
        <v>0.0</v>
      </c>
      <c r="H2056" s="2">
        <v>0.11805555555555555</v>
      </c>
    </row>
    <row r="2057">
      <c r="A2057" s="1" t="s">
        <v>1763</v>
      </c>
      <c r="B2057" s="1" t="s">
        <v>484</v>
      </c>
      <c r="C2057" s="1">
        <v>6.0</v>
      </c>
      <c r="D2057" s="1" t="s">
        <v>129</v>
      </c>
      <c r="E2057" s="1" t="s">
        <v>130</v>
      </c>
      <c r="F2057" s="1" t="s">
        <v>131</v>
      </c>
      <c r="G2057" s="1">
        <v>0.0</v>
      </c>
      <c r="H2057" s="2">
        <v>0.1451388888888889</v>
      </c>
    </row>
    <row r="2058">
      <c r="A2058" s="1" t="s">
        <v>1763</v>
      </c>
      <c r="B2058" s="1" t="s">
        <v>484</v>
      </c>
      <c r="C2058" s="1">
        <v>7.0</v>
      </c>
      <c r="D2058" s="1" t="s">
        <v>11</v>
      </c>
      <c r="E2058" s="1" t="s">
        <v>12</v>
      </c>
      <c r="F2058" s="1" t="s">
        <v>13</v>
      </c>
      <c r="G2058" s="1">
        <v>0.0</v>
      </c>
      <c r="H2058" s="2">
        <v>0.1388888888888889</v>
      </c>
    </row>
    <row r="2059">
      <c r="A2059" s="1" t="s">
        <v>1763</v>
      </c>
      <c r="B2059" s="1" t="s">
        <v>484</v>
      </c>
      <c r="C2059" s="1">
        <v>8.0</v>
      </c>
      <c r="D2059" s="1" t="s">
        <v>177</v>
      </c>
      <c r="E2059" s="1" t="s">
        <v>178</v>
      </c>
      <c r="F2059" s="1" t="s">
        <v>67</v>
      </c>
      <c r="G2059" s="1">
        <v>1.0</v>
      </c>
      <c r="H2059" s="2">
        <v>0.14583333333333334</v>
      </c>
    </row>
    <row r="2060">
      <c r="A2060" s="1" t="s">
        <v>1763</v>
      </c>
      <c r="B2060" s="1" t="s">
        <v>484</v>
      </c>
      <c r="C2060" s="1">
        <v>9.0</v>
      </c>
      <c r="D2060" s="1" t="s">
        <v>151</v>
      </c>
      <c r="E2060" s="1" t="s">
        <v>152</v>
      </c>
      <c r="F2060" s="1" t="s">
        <v>153</v>
      </c>
      <c r="G2060" s="1">
        <v>1.0</v>
      </c>
      <c r="H2060" s="2">
        <v>0.1486111111111111</v>
      </c>
    </row>
    <row r="2061">
      <c r="A2061" s="1" t="s">
        <v>1763</v>
      </c>
      <c r="B2061" s="1" t="s">
        <v>484</v>
      </c>
      <c r="C2061" s="1">
        <v>10.0</v>
      </c>
      <c r="D2061" s="1" t="s">
        <v>206</v>
      </c>
      <c r="E2061" s="1" t="s">
        <v>72</v>
      </c>
      <c r="F2061" s="1" t="s">
        <v>207</v>
      </c>
      <c r="G2061" s="1">
        <v>1.0</v>
      </c>
      <c r="H2061" s="2">
        <v>0.12361111111111112</v>
      </c>
    </row>
    <row r="2062">
      <c r="A2062" s="1" t="s">
        <v>1763</v>
      </c>
      <c r="B2062" s="1" t="s">
        <v>484</v>
      </c>
      <c r="C2062" s="1">
        <v>11.0</v>
      </c>
      <c r="D2062" s="1" t="s">
        <v>509</v>
      </c>
      <c r="E2062" s="1" t="s">
        <v>72</v>
      </c>
      <c r="F2062" s="1" t="s">
        <v>67</v>
      </c>
      <c r="G2062" s="1">
        <v>0.0</v>
      </c>
      <c r="H2062" s="2">
        <v>0.12152777777777778</v>
      </c>
    </row>
    <row r="2063">
      <c r="A2063" s="1" t="s">
        <v>1763</v>
      </c>
      <c r="B2063" s="1" t="s">
        <v>484</v>
      </c>
      <c r="C2063" s="1">
        <v>12.0</v>
      </c>
      <c r="D2063" s="1" t="s">
        <v>172</v>
      </c>
      <c r="E2063" s="1" t="s">
        <v>72</v>
      </c>
      <c r="F2063" s="1" t="s">
        <v>67</v>
      </c>
      <c r="G2063" s="1">
        <v>1.0</v>
      </c>
      <c r="H2063" s="2">
        <v>0.11319444444444444</v>
      </c>
    </row>
    <row r="2064">
      <c r="A2064" s="1" t="s">
        <v>1763</v>
      </c>
      <c r="B2064" s="1" t="s">
        <v>484</v>
      </c>
      <c r="C2064" s="1">
        <v>13.0</v>
      </c>
      <c r="D2064" s="1" t="s">
        <v>505</v>
      </c>
      <c r="E2064" s="1" t="s">
        <v>506</v>
      </c>
      <c r="F2064" s="1" t="s">
        <v>67</v>
      </c>
      <c r="G2064" s="1">
        <v>1.0</v>
      </c>
      <c r="H2064" s="2">
        <v>0.14305555555555555</v>
      </c>
    </row>
    <row r="2065">
      <c r="A2065" s="1" t="s">
        <v>1763</v>
      </c>
      <c r="B2065" s="1" t="s">
        <v>484</v>
      </c>
      <c r="C2065" s="1">
        <v>14.0</v>
      </c>
      <c r="D2065" s="1" t="s">
        <v>9</v>
      </c>
      <c r="E2065" s="1" t="s">
        <v>10</v>
      </c>
      <c r="F2065" s="1" t="s">
        <v>9</v>
      </c>
      <c r="G2065" s="1">
        <v>0.0</v>
      </c>
      <c r="H2065" s="2">
        <v>0.12638888888888888</v>
      </c>
    </row>
    <row r="2066">
      <c r="A2066" s="1" t="s">
        <v>1763</v>
      </c>
      <c r="B2066" s="1" t="s">
        <v>484</v>
      </c>
      <c r="C2066" s="1">
        <v>15.0</v>
      </c>
      <c r="D2066" s="1" t="s">
        <v>498</v>
      </c>
      <c r="E2066" s="1" t="s">
        <v>499</v>
      </c>
      <c r="F2066" s="1" t="s">
        <v>500</v>
      </c>
      <c r="G2066" s="1">
        <v>1.0</v>
      </c>
      <c r="H2066" s="2">
        <v>0.15763888888888888</v>
      </c>
    </row>
    <row r="2067">
      <c r="A2067" s="1" t="s">
        <v>1763</v>
      </c>
      <c r="B2067" s="1" t="s">
        <v>484</v>
      </c>
      <c r="C2067" s="1">
        <v>16.0</v>
      </c>
      <c r="D2067" s="1" t="s">
        <v>349</v>
      </c>
      <c r="E2067" s="1" t="s">
        <v>72</v>
      </c>
      <c r="F2067" s="1" t="s">
        <v>67</v>
      </c>
      <c r="G2067" s="1">
        <v>1.0</v>
      </c>
      <c r="H2067" s="2">
        <v>0.13333333333333333</v>
      </c>
    </row>
    <row r="2068">
      <c r="A2068" s="1" t="s">
        <v>1763</v>
      </c>
      <c r="B2068" s="1" t="s">
        <v>484</v>
      </c>
      <c r="C2068" s="1">
        <v>17.0</v>
      </c>
      <c r="D2068" s="1" t="s">
        <v>86</v>
      </c>
      <c r="E2068" s="1" t="s">
        <v>87</v>
      </c>
      <c r="F2068" s="1" t="s">
        <v>86</v>
      </c>
      <c r="G2068" s="1">
        <v>0.0</v>
      </c>
      <c r="H2068" s="2">
        <v>0.1388888888888889</v>
      </c>
    </row>
    <row r="2069">
      <c r="A2069" s="1" t="s">
        <v>1763</v>
      </c>
      <c r="B2069" s="1" t="s">
        <v>484</v>
      </c>
      <c r="C2069" s="1">
        <v>18.0</v>
      </c>
      <c r="D2069" s="1" t="s">
        <v>331</v>
      </c>
      <c r="E2069" s="1" t="s">
        <v>332</v>
      </c>
      <c r="F2069" s="1" t="s">
        <v>333</v>
      </c>
      <c r="G2069" s="1">
        <v>0.0</v>
      </c>
      <c r="H2069" s="2">
        <v>0.16805555555555557</v>
      </c>
    </row>
    <row r="2070">
      <c r="A2070" s="1" t="s">
        <v>1763</v>
      </c>
      <c r="B2070" s="1" t="s">
        <v>484</v>
      </c>
      <c r="C2070" s="1">
        <v>19.0</v>
      </c>
      <c r="D2070" s="1" t="s">
        <v>165</v>
      </c>
      <c r="E2070" s="1" t="s">
        <v>166</v>
      </c>
      <c r="F2070" s="1" t="s">
        <v>165</v>
      </c>
      <c r="G2070" s="1">
        <v>0.0</v>
      </c>
      <c r="H2070" s="2">
        <v>0.13819444444444445</v>
      </c>
    </row>
    <row r="2071">
      <c r="A2071" s="1" t="s">
        <v>1763</v>
      </c>
      <c r="B2071" s="1" t="s">
        <v>484</v>
      </c>
      <c r="C2071" s="1">
        <v>20.0</v>
      </c>
      <c r="D2071" s="1" t="s">
        <v>352</v>
      </c>
      <c r="E2071" s="1" t="s">
        <v>353</v>
      </c>
      <c r="F2071" s="1" t="s">
        <v>207</v>
      </c>
      <c r="G2071" s="1">
        <v>1.0</v>
      </c>
      <c r="H2071" s="2">
        <v>0.1451388888888889</v>
      </c>
    </row>
    <row r="2072">
      <c r="A2072" s="1" t="s">
        <v>1763</v>
      </c>
      <c r="B2072" s="1" t="s">
        <v>484</v>
      </c>
      <c r="C2072" s="1">
        <v>21.0</v>
      </c>
      <c r="D2072" s="1" t="s">
        <v>173</v>
      </c>
      <c r="E2072" s="1" t="s">
        <v>109</v>
      </c>
      <c r="F2072" s="1" t="s">
        <v>110</v>
      </c>
      <c r="G2072" s="1">
        <v>0.0</v>
      </c>
      <c r="H2072" s="2">
        <v>0.10902777777777778</v>
      </c>
    </row>
    <row r="2073">
      <c r="A2073" s="1" t="s">
        <v>1763</v>
      </c>
      <c r="B2073" s="1" t="s">
        <v>484</v>
      </c>
      <c r="C2073" s="1">
        <v>22.0</v>
      </c>
      <c r="D2073" s="1" t="s">
        <v>344</v>
      </c>
      <c r="E2073" s="1" t="s">
        <v>345</v>
      </c>
      <c r="F2073" s="1" t="s">
        <v>346</v>
      </c>
      <c r="G2073" s="1">
        <v>0.0</v>
      </c>
      <c r="H2073" s="2">
        <v>0.21458333333333332</v>
      </c>
    </row>
    <row r="2074">
      <c r="A2074" s="1" t="s">
        <v>1763</v>
      </c>
      <c r="B2074" s="1" t="s">
        <v>484</v>
      </c>
      <c r="C2074" s="1">
        <v>23.0</v>
      </c>
      <c r="D2074" s="1" t="s">
        <v>507</v>
      </c>
      <c r="E2074" s="1" t="s">
        <v>508</v>
      </c>
      <c r="F2074" s="1" t="s">
        <v>207</v>
      </c>
      <c r="G2074" s="1">
        <v>1.0</v>
      </c>
      <c r="H2074" s="2">
        <v>0.13472222222222222</v>
      </c>
    </row>
    <row r="2075">
      <c r="A2075" s="1" t="s">
        <v>1763</v>
      </c>
      <c r="B2075" s="1" t="s">
        <v>484</v>
      </c>
      <c r="C2075" s="1">
        <v>24.0</v>
      </c>
      <c r="D2075" s="1" t="s">
        <v>324</v>
      </c>
      <c r="E2075" s="1" t="s">
        <v>325</v>
      </c>
      <c r="F2075" s="1" t="s">
        <v>324</v>
      </c>
      <c r="G2075" s="1">
        <v>1.0</v>
      </c>
      <c r="H2075" s="2">
        <v>0.15763888888888888</v>
      </c>
    </row>
    <row r="2076">
      <c r="A2076" s="1" t="s">
        <v>1763</v>
      </c>
      <c r="B2076" s="1" t="s">
        <v>484</v>
      </c>
      <c r="C2076" s="1">
        <v>25.0</v>
      </c>
      <c r="D2076" s="1" t="s">
        <v>161</v>
      </c>
      <c r="E2076" s="1" t="s">
        <v>162</v>
      </c>
      <c r="F2076" s="1" t="s">
        <v>161</v>
      </c>
      <c r="G2076" s="1">
        <v>0.0</v>
      </c>
      <c r="H2076" s="2">
        <v>0.15694444444444444</v>
      </c>
    </row>
    <row r="2077">
      <c r="A2077" s="1" t="s">
        <v>1763</v>
      </c>
      <c r="B2077" s="1" t="s">
        <v>484</v>
      </c>
      <c r="C2077" s="1">
        <v>26.0</v>
      </c>
      <c r="D2077" s="1" t="s">
        <v>27</v>
      </c>
      <c r="E2077" s="1" t="s">
        <v>28</v>
      </c>
      <c r="F2077" s="1" t="s">
        <v>29</v>
      </c>
      <c r="G2077" s="1">
        <v>0.0</v>
      </c>
      <c r="H2077" s="2">
        <v>0.12708333333333333</v>
      </c>
    </row>
    <row r="2078">
      <c r="A2078" s="1" t="s">
        <v>1763</v>
      </c>
      <c r="B2078" s="1" t="s">
        <v>484</v>
      </c>
      <c r="C2078" s="1">
        <v>27.0</v>
      </c>
      <c r="D2078" s="1" t="s">
        <v>147</v>
      </c>
      <c r="E2078" s="1" t="s">
        <v>148</v>
      </c>
      <c r="F2078" s="1" t="s">
        <v>149</v>
      </c>
      <c r="G2078" s="1">
        <v>0.0</v>
      </c>
      <c r="H2078" s="2">
        <v>0.17291666666666666</v>
      </c>
    </row>
    <row r="2079">
      <c r="A2079" s="1" t="s">
        <v>1763</v>
      </c>
      <c r="B2079" s="1" t="s">
        <v>484</v>
      </c>
      <c r="C2079" s="1">
        <v>28.0</v>
      </c>
      <c r="D2079" s="1" t="s">
        <v>160</v>
      </c>
      <c r="E2079" s="1" t="s">
        <v>109</v>
      </c>
      <c r="F2079" s="1" t="s">
        <v>110</v>
      </c>
      <c r="G2079" s="1">
        <v>0.0</v>
      </c>
      <c r="H2079" s="2">
        <v>0.1388888888888889</v>
      </c>
    </row>
    <row r="2080">
      <c r="A2080" s="1" t="s">
        <v>1763</v>
      </c>
      <c r="B2080" s="1" t="s">
        <v>484</v>
      </c>
      <c r="C2080" s="1">
        <v>29.0</v>
      </c>
      <c r="D2080" s="1" t="s">
        <v>543</v>
      </c>
      <c r="E2080" s="1" t="s">
        <v>544</v>
      </c>
      <c r="F2080" s="1" t="s">
        <v>543</v>
      </c>
      <c r="G2080" s="1">
        <v>1.0</v>
      </c>
      <c r="H2080" s="2">
        <v>0.1736111111111111</v>
      </c>
    </row>
    <row r="2081">
      <c r="A2081" s="1" t="s">
        <v>1763</v>
      </c>
      <c r="B2081" s="1" t="s">
        <v>484</v>
      </c>
      <c r="C2081" s="1">
        <v>30.0</v>
      </c>
      <c r="D2081" s="1" t="s">
        <v>33</v>
      </c>
      <c r="E2081" s="1" t="s">
        <v>34</v>
      </c>
      <c r="F2081" s="1" t="s">
        <v>35</v>
      </c>
      <c r="G2081" s="1">
        <v>0.0</v>
      </c>
      <c r="H2081" s="2">
        <v>0.1451388888888889</v>
      </c>
    </row>
    <row r="2082">
      <c r="A2082" s="1" t="s">
        <v>1763</v>
      </c>
      <c r="B2082" s="1" t="s">
        <v>484</v>
      </c>
      <c r="C2082" s="1">
        <v>31.0</v>
      </c>
      <c r="D2082" s="1" t="s">
        <v>503</v>
      </c>
      <c r="E2082" s="1" t="s">
        <v>504</v>
      </c>
      <c r="F2082" s="1" t="s">
        <v>207</v>
      </c>
      <c r="G2082" s="1">
        <v>1.0</v>
      </c>
      <c r="H2082" s="2">
        <v>0.14027777777777778</v>
      </c>
    </row>
    <row r="2083">
      <c r="A2083" s="1" t="s">
        <v>1763</v>
      </c>
      <c r="B2083" s="1" t="s">
        <v>484</v>
      </c>
      <c r="C2083" s="1">
        <v>32.0</v>
      </c>
      <c r="D2083" s="1" t="s">
        <v>501</v>
      </c>
      <c r="E2083" s="1" t="s">
        <v>502</v>
      </c>
      <c r="F2083" s="1" t="s">
        <v>207</v>
      </c>
      <c r="G2083" s="1">
        <v>1.0</v>
      </c>
      <c r="H2083" s="2">
        <v>0.12708333333333333</v>
      </c>
    </row>
    <row r="2084">
      <c r="A2084" s="1" t="s">
        <v>1763</v>
      </c>
      <c r="B2084" s="1" t="s">
        <v>484</v>
      </c>
      <c r="C2084" s="1">
        <v>33.0</v>
      </c>
      <c r="D2084" s="1" t="s">
        <v>23</v>
      </c>
      <c r="E2084" s="1" t="s">
        <v>24</v>
      </c>
      <c r="F2084" s="1" t="s">
        <v>23</v>
      </c>
      <c r="G2084" s="1">
        <v>0.0</v>
      </c>
      <c r="H2084" s="2">
        <v>0.12013888888888889</v>
      </c>
    </row>
    <row r="2085">
      <c r="A2085" s="1" t="s">
        <v>1763</v>
      </c>
      <c r="B2085" s="1" t="s">
        <v>484</v>
      </c>
      <c r="C2085" s="1">
        <v>34.0</v>
      </c>
      <c r="D2085" s="1" t="s">
        <v>326</v>
      </c>
      <c r="E2085" s="1" t="s">
        <v>327</v>
      </c>
      <c r="F2085" s="1" t="s">
        <v>328</v>
      </c>
      <c r="G2085" s="1">
        <v>0.0</v>
      </c>
      <c r="H2085" s="2">
        <v>0.1798611111111111</v>
      </c>
    </row>
    <row r="2086">
      <c r="A2086" s="1" t="s">
        <v>1763</v>
      </c>
      <c r="B2086" s="1" t="s">
        <v>484</v>
      </c>
      <c r="C2086" s="1">
        <v>35.0</v>
      </c>
      <c r="D2086" s="1" t="s">
        <v>341</v>
      </c>
      <c r="E2086" s="1" t="s">
        <v>342</v>
      </c>
      <c r="F2086" s="1" t="s">
        <v>343</v>
      </c>
      <c r="G2086" s="1">
        <v>0.0</v>
      </c>
      <c r="H2086" s="2">
        <v>0.11875</v>
      </c>
    </row>
    <row r="2087">
      <c r="A2087" s="1" t="s">
        <v>1763</v>
      </c>
      <c r="B2087" s="1" t="s">
        <v>484</v>
      </c>
      <c r="C2087" s="1">
        <v>36.0</v>
      </c>
      <c r="D2087" s="1" t="s">
        <v>360</v>
      </c>
      <c r="E2087" s="1" t="s">
        <v>361</v>
      </c>
      <c r="F2087" s="1" t="s">
        <v>360</v>
      </c>
      <c r="G2087" s="1">
        <v>0.0</v>
      </c>
      <c r="H2087" s="2">
        <v>0.20902777777777778</v>
      </c>
    </row>
    <row r="2088">
      <c r="A2088" s="1" t="s">
        <v>1763</v>
      </c>
      <c r="B2088" s="1" t="s">
        <v>484</v>
      </c>
      <c r="C2088" s="1">
        <v>37.0</v>
      </c>
      <c r="D2088" s="1" t="s">
        <v>651</v>
      </c>
      <c r="E2088" s="1" t="s">
        <v>652</v>
      </c>
      <c r="F2088" s="1" t="s">
        <v>651</v>
      </c>
      <c r="G2088" s="1">
        <v>1.0</v>
      </c>
      <c r="H2088" s="2">
        <v>0.21180555555555555</v>
      </c>
    </row>
    <row r="2089">
      <c r="A2089" s="1" t="s">
        <v>1763</v>
      </c>
      <c r="B2089" s="1" t="s">
        <v>484</v>
      </c>
      <c r="C2089" s="1">
        <v>38.0</v>
      </c>
      <c r="D2089" s="1" t="s">
        <v>515</v>
      </c>
      <c r="E2089" s="1" t="s">
        <v>72</v>
      </c>
      <c r="F2089" s="1" t="s">
        <v>207</v>
      </c>
      <c r="G2089" s="1">
        <v>0.0</v>
      </c>
      <c r="H2089" s="2">
        <v>0.1076388888888889</v>
      </c>
    </row>
    <row r="2090">
      <c r="A2090" s="1" t="s">
        <v>1763</v>
      </c>
      <c r="B2090" s="1" t="s">
        <v>484</v>
      </c>
      <c r="C2090" s="1">
        <v>39.0</v>
      </c>
      <c r="D2090" s="1" t="s">
        <v>212</v>
      </c>
      <c r="E2090" s="1" t="s">
        <v>213</v>
      </c>
      <c r="F2090" s="1" t="s">
        <v>214</v>
      </c>
      <c r="G2090" s="1">
        <v>1.0</v>
      </c>
      <c r="H2090" s="2">
        <v>0.2111111111111111</v>
      </c>
    </row>
    <row r="2091">
      <c r="A2091" s="1" t="s">
        <v>1763</v>
      </c>
      <c r="B2091" s="1" t="s">
        <v>484</v>
      </c>
      <c r="C2091" s="1">
        <v>40.0</v>
      </c>
      <c r="D2091" s="1" t="s">
        <v>141</v>
      </c>
      <c r="E2091" s="1" t="s">
        <v>142</v>
      </c>
      <c r="F2091" s="1" t="s">
        <v>141</v>
      </c>
      <c r="G2091" s="1">
        <v>0.0</v>
      </c>
      <c r="H2091" s="2">
        <v>0.13680555555555557</v>
      </c>
    </row>
    <row r="2092">
      <c r="A2092" s="1" t="s">
        <v>1763</v>
      </c>
      <c r="B2092" s="1" t="s">
        <v>484</v>
      </c>
      <c r="C2092" s="1">
        <v>41.0</v>
      </c>
      <c r="D2092" s="1" t="s">
        <v>541</v>
      </c>
      <c r="E2092" s="1" t="s">
        <v>542</v>
      </c>
      <c r="F2092" s="1" t="s">
        <v>541</v>
      </c>
      <c r="G2092" s="1">
        <v>1.0</v>
      </c>
      <c r="H2092" s="2">
        <v>0.15347222222222223</v>
      </c>
    </row>
    <row r="2093">
      <c r="A2093" s="1" t="s">
        <v>1763</v>
      </c>
      <c r="B2093" s="1" t="s">
        <v>484</v>
      </c>
      <c r="C2093" s="1">
        <v>42.0</v>
      </c>
      <c r="D2093" s="1" t="s">
        <v>901</v>
      </c>
      <c r="E2093" s="1" t="s">
        <v>72</v>
      </c>
      <c r="F2093" s="1" t="s">
        <v>67</v>
      </c>
      <c r="G2093" s="1">
        <v>0.0</v>
      </c>
      <c r="H2093" s="2">
        <v>0.1111111111111111</v>
      </c>
    </row>
    <row r="2094">
      <c r="A2094" s="1" t="s">
        <v>1763</v>
      </c>
      <c r="B2094" s="1" t="s">
        <v>484</v>
      </c>
      <c r="C2094" s="1">
        <v>43.0</v>
      </c>
      <c r="D2094" s="1" t="s">
        <v>322</v>
      </c>
      <c r="E2094" s="1" t="s">
        <v>323</v>
      </c>
      <c r="F2094" s="1" t="s">
        <v>322</v>
      </c>
      <c r="G2094" s="1">
        <v>0.0</v>
      </c>
      <c r="H2094" s="2">
        <v>0.10902777777777778</v>
      </c>
    </row>
    <row r="2095">
      <c r="A2095" s="1" t="s">
        <v>1763</v>
      </c>
      <c r="B2095" s="1" t="s">
        <v>484</v>
      </c>
      <c r="C2095" s="1">
        <v>44.0</v>
      </c>
      <c r="D2095" s="1" t="s">
        <v>514</v>
      </c>
      <c r="E2095" s="1" t="s">
        <v>152</v>
      </c>
      <c r="F2095" s="1" t="s">
        <v>153</v>
      </c>
      <c r="G2095" s="1">
        <v>1.0</v>
      </c>
      <c r="H2095" s="2">
        <v>0.12916666666666668</v>
      </c>
    </row>
    <row r="2096">
      <c r="A2096" s="1" t="s">
        <v>1763</v>
      </c>
      <c r="B2096" s="1" t="s">
        <v>484</v>
      </c>
      <c r="C2096" s="1">
        <v>45.0</v>
      </c>
      <c r="D2096" s="1" t="s">
        <v>1764</v>
      </c>
      <c r="E2096" s="1" t="s">
        <v>1765</v>
      </c>
      <c r="F2096" s="1" t="s">
        <v>67</v>
      </c>
      <c r="G2096" s="1">
        <v>1.0</v>
      </c>
      <c r="H2096" s="2">
        <v>0.1361111111111111</v>
      </c>
    </row>
    <row r="2097">
      <c r="A2097" s="1" t="s">
        <v>1763</v>
      </c>
      <c r="B2097" s="1" t="s">
        <v>484</v>
      </c>
      <c r="C2097" s="1">
        <v>46.0</v>
      </c>
      <c r="D2097" s="1" t="s">
        <v>192</v>
      </c>
      <c r="E2097" s="1" t="s">
        <v>193</v>
      </c>
      <c r="F2097" s="1" t="s">
        <v>131</v>
      </c>
      <c r="G2097" s="1">
        <v>0.0</v>
      </c>
      <c r="H2097" s="2">
        <v>0.12430555555555556</v>
      </c>
    </row>
    <row r="2098">
      <c r="A2098" s="1" t="s">
        <v>1763</v>
      </c>
      <c r="B2098" s="1" t="s">
        <v>484</v>
      </c>
      <c r="C2098" s="1">
        <v>47.0</v>
      </c>
      <c r="D2098" s="1" t="s">
        <v>131</v>
      </c>
      <c r="E2098" s="1" t="s">
        <v>150</v>
      </c>
      <c r="F2098" s="1" t="s">
        <v>131</v>
      </c>
      <c r="G2098" s="1">
        <v>0.0</v>
      </c>
      <c r="H2098" s="2">
        <v>0.12638888888888888</v>
      </c>
    </row>
    <row r="2099">
      <c r="A2099" s="1" t="s">
        <v>1763</v>
      </c>
      <c r="B2099" s="1" t="s">
        <v>484</v>
      </c>
      <c r="C2099" s="1">
        <v>48.0</v>
      </c>
      <c r="D2099" s="1" t="s">
        <v>329</v>
      </c>
      <c r="E2099" s="1" t="s">
        <v>109</v>
      </c>
      <c r="F2099" s="1" t="s">
        <v>110</v>
      </c>
      <c r="G2099" s="1">
        <v>0.0</v>
      </c>
      <c r="H2099" s="2">
        <v>0.1423611111111111</v>
      </c>
    </row>
    <row r="2100">
      <c r="A2100" s="1" t="s">
        <v>1763</v>
      </c>
      <c r="B2100" s="1" t="s">
        <v>484</v>
      </c>
      <c r="C2100" s="1">
        <v>49.0</v>
      </c>
      <c r="D2100" s="1" t="s">
        <v>124</v>
      </c>
      <c r="E2100" s="1" t="s">
        <v>125</v>
      </c>
      <c r="F2100" s="1" t="s">
        <v>126</v>
      </c>
      <c r="G2100" s="1">
        <v>1.0</v>
      </c>
      <c r="H2100" s="2">
        <v>0.15625</v>
      </c>
    </row>
    <row r="2101">
      <c r="A2101" s="1" t="s">
        <v>1763</v>
      </c>
      <c r="B2101" s="1" t="s">
        <v>484</v>
      </c>
      <c r="C2101" s="1">
        <v>50.0</v>
      </c>
      <c r="D2101" s="1" t="s">
        <v>523</v>
      </c>
      <c r="E2101" s="1" t="s">
        <v>524</v>
      </c>
      <c r="F2101" s="1" t="s">
        <v>523</v>
      </c>
      <c r="G2101" s="1">
        <v>0.0</v>
      </c>
      <c r="H2101" s="2">
        <v>0.1875</v>
      </c>
    </row>
    <row r="2102">
      <c r="A2102" s="1" t="s">
        <v>1766</v>
      </c>
      <c r="B2102" s="1" t="s">
        <v>250</v>
      </c>
      <c r="C2102" s="1">
        <v>1.0</v>
      </c>
      <c r="D2102" s="1" t="s">
        <v>1767</v>
      </c>
      <c r="E2102" s="1" t="s">
        <v>1768</v>
      </c>
      <c r="F2102" s="1" t="s">
        <v>1767</v>
      </c>
      <c r="G2102" s="1">
        <v>0.0</v>
      </c>
      <c r="H2102" s="2">
        <v>0.1326388888888889</v>
      </c>
    </row>
    <row r="2103">
      <c r="A2103" s="1" t="s">
        <v>1766</v>
      </c>
      <c r="B2103" s="1" t="s">
        <v>250</v>
      </c>
      <c r="C2103" s="1">
        <v>2.0</v>
      </c>
      <c r="D2103" s="1" t="s">
        <v>14</v>
      </c>
      <c r="E2103" s="1" t="s">
        <v>15</v>
      </c>
      <c r="F2103" s="1" t="s">
        <v>16</v>
      </c>
      <c r="G2103" s="1">
        <v>1.0</v>
      </c>
      <c r="H2103" s="2">
        <v>0.12569444444444444</v>
      </c>
    </row>
    <row r="2104">
      <c r="A2104" s="1" t="s">
        <v>1766</v>
      </c>
      <c r="B2104" s="1" t="s">
        <v>250</v>
      </c>
      <c r="C2104" s="1">
        <v>3.0</v>
      </c>
      <c r="D2104" s="1" t="s">
        <v>11</v>
      </c>
      <c r="E2104" s="1" t="s">
        <v>12</v>
      </c>
      <c r="F2104" s="1" t="s">
        <v>13</v>
      </c>
      <c r="G2104" s="1">
        <v>0.0</v>
      </c>
      <c r="H2104" s="2">
        <v>0.1388888888888889</v>
      </c>
    </row>
    <row r="2105">
      <c r="A2105" s="1" t="s">
        <v>1766</v>
      </c>
      <c r="B2105" s="1" t="s">
        <v>250</v>
      </c>
      <c r="C2105" s="1">
        <v>4.0</v>
      </c>
      <c r="D2105" s="1" t="s">
        <v>1769</v>
      </c>
      <c r="E2105" s="1" t="s">
        <v>1770</v>
      </c>
      <c r="F2105" s="1" t="s">
        <v>1769</v>
      </c>
      <c r="G2105" s="1">
        <v>0.0</v>
      </c>
      <c r="H2105" s="2">
        <v>0.12638888888888888</v>
      </c>
    </row>
    <row r="2106">
      <c r="A2106" s="1" t="s">
        <v>1766</v>
      </c>
      <c r="B2106" s="1" t="s">
        <v>250</v>
      </c>
      <c r="C2106" s="1">
        <v>5.0</v>
      </c>
      <c r="D2106" s="1" t="s">
        <v>17</v>
      </c>
      <c r="E2106" s="1" t="s">
        <v>18</v>
      </c>
      <c r="F2106" s="1" t="s">
        <v>19</v>
      </c>
      <c r="G2106" s="1">
        <v>1.0</v>
      </c>
      <c r="H2106" s="2">
        <v>0.12222222222222222</v>
      </c>
    </row>
    <row r="2107">
      <c r="A2107" s="1" t="s">
        <v>1766</v>
      </c>
      <c r="B2107" s="1" t="s">
        <v>250</v>
      </c>
      <c r="C2107" s="1">
        <v>6.0</v>
      </c>
      <c r="D2107" s="1" t="s">
        <v>53</v>
      </c>
      <c r="E2107" s="1" t="s">
        <v>12</v>
      </c>
      <c r="F2107" s="1" t="s">
        <v>13</v>
      </c>
      <c r="G2107" s="1">
        <v>1.0</v>
      </c>
      <c r="H2107" s="2">
        <v>0.16458333333333333</v>
      </c>
    </row>
    <row r="2108">
      <c r="A2108" s="1" t="s">
        <v>1766</v>
      </c>
      <c r="B2108" s="1" t="s">
        <v>250</v>
      </c>
      <c r="C2108" s="1">
        <v>7.0</v>
      </c>
      <c r="D2108" s="1" t="s">
        <v>36</v>
      </c>
      <c r="E2108" s="1" t="s">
        <v>37</v>
      </c>
      <c r="F2108" s="1" t="s">
        <v>36</v>
      </c>
      <c r="G2108" s="1">
        <v>1.0</v>
      </c>
      <c r="H2108" s="2">
        <v>0.09166666666666666</v>
      </c>
    </row>
    <row r="2109">
      <c r="A2109" s="1" t="s">
        <v>1766</v>
      </c>
      <c r="B2109" s="1" t="s">
        <v>250</v>
      </c>
      <c r="C2109" s="1">
        <v>8.0</v>
      </c>
      <c r="D2109" s="1" t="s">
        <v>244</v>
      </c>
      <c r="E2109" s="1" t="s">
        <v>245</v>
      </c>
      <c r="F2109" s="1" t="s">
        <v>244</v>
      </c>
      <c r="G2109" s="1">
        <v>0.0</v>
      </c>
      <c r="H2109" s="2">
        <v>0.13819444444444445</v>
      </c>
    </row>
    <row r="2110">
      <c r="A2110" s="1" t="s">
        <v>1766</v>
      </c>
      <c r="B2110" s="1" t="s">
        <v>250</v>
      </c>
      <c r="C2110" s="1">
        <v>9.0</v>
      </c>
      <c r="D2110" s="1" t="s">
        <v>1771</v>
      </c>
      <c r="E2110" s="1" t="s">
        <v>1772</v>
      </c>
      <c r="F2110" s="1" t="s">
        <v>1771</v>
      </c>
      <c r="G2110" s="1">
        <v>0.0</v>
      </c>
      <c r="H2110" s="2">
        <v>0.09166666666666666</v>
      </c>
    </row>
    <row r="2111">
      <c r="A2111" s="1" t="s">
        <v>1766</v>
      </c>
      <c r="B2111" s="1" t="s">
        <v>250</v>
      </c>
      <c r="C2111" s="1">
        <v>10.0</v>
      </c>
      <c r="D2111" s="1" t="s">
        <v>1773</v>
      </c>
      <c r="E2111" s="1" t="s">
        <v>1772</v>
      </c>
      <c r="F2111" s="1" t="s">
        <v>1773</v>
      </c>
      <c r="G2111" s="1">
        <v>1.0</v>
      </c>
      <c r="H2111" s="2">
        <v>0.09027777777777778</v>
      </c>
    </row>
    <row r="2112">
      <c r="A2112" s="1" t="s">
        <v>1766</v>
      </c>
      <c r="B2112" s="1" t="s">
        <v>250</v>
      </c>
      <c r="C2112" s="1">
        <v>11.0</v>
      </c>
      <c r="D2112" s="1" t="s">
        <v>1774</v>
      </c>
      <c r="E2112" s="1" t="s">
        <v>1772</v>
      </c>
      <c r="F2112" s="1" t="s">
        <v>1774</v>
      </c>
      <c r="G2112" s="1">
        <v>0.0</v>
      </c>
      <c r="H2112" s="2">
        <v>0.13958333333333334</v>
      </c>
    </row>
    <row r="2113">
      <c r="A2113" s="1" t="s">
        <v>1766</v>
      </c>
      <c r="B2113" s="1" t="s">
        <v>250</v>
      </c>
      <c r="C2113" s="1">
        <v>12.0</v>
      </c>
      <c r="D2113" s="1" t="s">
        <v>30</v>
      </c>
      <c r="E2113" s="1" t="s">
        <v>31</v>
      </c>
      <c r="F2113" s="1" t="s">
        <v>32</v>
      </c>
      <c r="G2113" s="1">
        <v>0.0</v>
      </c>
      <c r="H2113" s="2">
        <v>0.15833333333333333</v>
      </c>
    </row>
    <row r="2114">
      <c r="A2114" s="1" t="s">
        <v>1766</v>
      </c>
      <c r="B2114" s="1" t="s">
        <v>250</v>
      </c>
      <c r="C2114" s="1">
        <v>13.0</v>
      </c>
      <c r="D2114" s="1" t="s">
        <v>9</v>
      </c>
      <c r="E2114" s="1" t="s">
        <v>10</v>
      </c>
      <c r="F2114" s="1" t="s">
        <v>9</v>
      </c>
      <c r="G2114" s="1">
        <v>0.0</v>
      </c>
      <c r="H2114" s="2">
        <v>0.12638888888888888</v>
      </c>
    </row>
    <row r="2115">
      <c r="A2115" s="1" t="s">
        <v>1766</v>
      </c>
      <c r="B2115" s="1" t="s">
        <v>250</v>
      </c>
      <c r="C2115" s="1">
        <v>14.0</v>
      </c>
      <c r="D2115" s="1" t="s">
        <v>1775</v>
      </c>
      <c r="E2115" s="1" t="s">
        <v>1776</v>
      </c>
      <c r="F2115" s="1" t="s">
        <v>1775</v>
      </c>
      <c r="G2115" s="1">
        <v>0.0</v>
      </c>
      <c r="H2115" s="2">
        <v>0.13472222222222222</v>
      </c>
    </row>
    <row r="2116">
      <c r="A2116" s="1" t="s">
        <v>1766</v>
      </c>
      <c r="B2116" s="1" t="s">
        <v>250</v>
      </c>
      <c r="C2116" s="1">
        <v>15.0</v>
      </c>
      <c r="D2116" s="1" t="s">
        <v>25</v>
      </c>
      <c r="E2116" s="1" t="s">
        <v>26</v>
      </c>
      <c r="F2116" s="1" t="s">
        <v>25</v>
      </c>
      <c r="G2116" s="1">
        <v>1.0</v>
      </c>
      <c r="H2116" s="2">
        <v>0.11458333333333333</v>
      </c>
    </row>
    <row r="2117">
      <c r="A2117" s="1" t="s">
        <v>1766</v>
      </c>
      <c r="B2117" s="1" t="s">
        <v>250</v>
      </c>
      <c r="C2117" s="1">
        <v>16.0</v>
      </c>
      <c r="D2117" s="1" t="s">
        <v>274</v>
      </c>
      <c r="E2117" s="1" t="s">
        <v>266</v>
      </c>
      <c r="F2117" s="1" t="s">
        <v>274</v>
      </c>
      <c r="G2117" s="1">
        <v>0.0</v>
      </c>
      <c r="H2117" s="2">
        <v>0.1125</v>
      </c>
    </row>
    <row r="2118">
      <c r="A2118" s="1" t="s">
        <v>1766</v>
      </c>
      <c r="B2118" s="1" t="s">
        <v>250</v>
      </c>
      <c r="C2118" s="1">
        <v>17.0</v>
      </c>
      <c r="D2118" s="1" t="s">
        <v>1777</v>
      </c>
      <c r="E2118" s="1" t="s">
        <v>1778</v>
      </c>
      <c r="F2118" s="1" t="s">
        <v>1777</v>
      </c>
      <c r="G2118" s="1">
        <v>1.0</v>
      </c>
      <c r="H2118" s="2">
        <v>0.11805555555555555</v>
      </c>
    </row>
    <row r="2119">
      <c r="A2119" s="1" t="s">
        <v>1766</v>
      </c>
      <c r="B2119" s="1" t="s">
        <v>250</v>
      </c>
      <c r="C2119" s="1">
        <v>18.0</v>
      </c>
      <c r="D2119" s="1" t="s">
        <v>33</v>
      </c>
      <c r="E2119" s="1" t="s">
        <v>34</v>
      </c>
      <c r="F2119" s="1" t="s">
        <v>35</v>
      </c>
      <c r="G2119" s="1">
        <v>0.0</v>
      </c>
      <c r="H2119" s="2">
        <v>0.1451388888888889</v>
      </c>
    </row>
    <row r="2120">
      <c r="A2120" s="1" t="s">
        <v>1766</v>
      </c>
      <c r="B2120" s="1" t="s">
        <v>250</v>
      </c>
      <c r="C2120" s="1">
        <v>19.0</v>
      </c>
      <c r="D2120" s="1" t="s">
        <v>1779</v>
      </c>
      <c r="E2120" s="1" t="s">
        <v>1780</v>
      </c>
      <c r="F2120" s="1" t="s">
        <v>1779</v>
      </c>
      <c r="G2120" s="1">
        <v>0.0</v>
      </c>
      <c r="H2120" s="2">
        <v>0.15486111111111112</v>
      </c>
    </row>
    <row r="2121">
      <c r="A2121" s="1" t="s">
        <v>1766</v>
      </c>
      <c r="B2121" s="1" t="s">
        <v>250</v>
      </c>
      <c r="C2121" s="1">
        <v>20.0</v>
      </c>
      <c r="D2121" s="1" t="s">
        <v>1781</v>
      </c>
      <c r="E2121" s="1" t="s">
        <v>1782</v>
      </c>
      <c r="F2121" s="1" t="s">
        <v>1781</v>
      </c>
      <c r="G2121" s="1">
        <v>0.0</v>
      </c>
      <c r="H2121" s="2">
        <v>0.12986111111111112</v>
      </c>
    </row>
    <row r="2122">
      <c r="A2122" s="1" t="s">
        <v>1766</v>
      </c>
      <c r="B2122" s="1" t="s">
        <v>250</v>
      </c>
      <c r="C2122" s="1">
        <v>21.0</v>
      </c>
      <c r="D2122" s="1" t="s">
        <v>265</v>
      </c>
      <c r="E2122" s="1" t="s">
        <v>266</v>
      </c>
      <c r="F2122" s="1" t="s">
        <v>265</v>
      </c>
      <c r="G2122" s="1">
        <v>0.0</v>
      </c>
      <c r="H2122" s="2">
        <v>0.125</v>
      </c>
    </row>
    <row r="2123">
      <c r="A2123" s="1" t="s">
        <v>1766</v>
      </c>
      <c r="B2123" s="1" t="s">
        <v>250</v>
      </c>
      <c r="C2123" s="1">
        <v>22.0</v>
      </c>
      <c r="D2123" s="1" t="s">
        <v>20</v>
      </c>
      <c r="E2123" s="1" t="s">
        <v>21</v>
      </c>
      <c r="F2123" s="1" t="s">
        <v>22</v>
      </c>
      <c r="G2123" s="1">
        <v>1.0</v>
      </c>
      <c r="H2123" s="2">
        <v>0.17152777777777778</v>
      </c>
    </row>
    <row r="2124">
      <c r="A2124" s="1" t="s">
        <v>1766</v>
      </c>
      <c r="B2124" s="1" t="s">
        <v>250</v>
      </c>
      <c r="C2124" s="1">
        <v>23.0</v>
      </c>
      <c r="D2124" s="1" t="s">
        <v>23</v>
      </c>
      <c r="E2124" s="1" t="s">
        <v>24</v>
      </c>
      <c r="F2124" s="1" t="s">
        <v>23</v>
      </c>
      <c r="G2124" s="1">
        <v>0.0</v>
      </c>
      <c r="H2124" s="2">
        <v>0.12013888888888889</v>
      </c>
    </row>
    <row r="2125">
      <c r="A2125" s="1" t="s">
        <v>1766</v>
      </c>
      <c r="B2125" s="1" t="s">
        <v>250</v>
      </c>
      <c r="C2125" s="1">
        <v>24.0</v>
      </c>
      <c r="D2125" s="1" t="s">
        <v>96</v>
      </c>
      <c r="E2125" s="1" t="s">
        <v>97</v>
      </c>
      <c r="F2125" s="1" t="s">
        <v>98</v>
      </c>
      <c r="G2125" s="1">
        <v>1.0</v>
      </c>
      <c r="H2125" s="2">
        <v>0.12430555555555556</v>
      </c>
    </row>
    <row r="2126">
      <c r="A2126" s="1" t="s">
        <v>1766</v>
      </c>
      <c r="B2126" s="1" t="s">
        <v>250</v>
      </c>
      <c r="C2126" s="1">
        <v>25.0</v>
      </c>
      <c r="D2126" s="1" t="s">
        <v>240</v>
      </c>
      <c r="E2126" s="1" t="s">
        <v>34</v>
      </c>
      <c r="F2126" s="1" t="s">
        <v>241</v>
      </c>
      <c r="G2126" s="1">
        <v>1.0</v>
      </c>
      <c r="H2126" s="2">
        <v>0.15347222222222223</v>
      </c>
    </row>
    <row r="2127">
      <c r="A2127" s="1" t="s">
        <v>1766</v>
      </c>
      <c r="B2127" s="1" t="s">
        <v>250</v>
      </c>
      <c r="C2127" s="1">
        <v>26.0</v>
      </c>
      <c r="D2127" s="1" t="s">
        <v>1783</v>
      </c>
      <c r="E2127" s="1" t="s">
        <v>1784</v>
      </c>
      <c r="F2127" s="1" t="s">
        <v>1783</v>
      </c>
      <c r="G2127" s="1">
        <v>0.0</v>
      </c>
      <c r="H2127" s="2">
        <v>0.14375</v>
      </c>
    </row>
    <row r="2128">
      <c r="A2128" s="1" t="s">
        <v>1766</v>
      </c>
      <c r="B2128" s="1" t="s">
        <v>250</v>
      </c>
      <c r="C2128" s="1">
        <v>27.0</v>
      </c>
      <c r="D2128" s="1" t="s">
        <v>44</v>
      </c>
      <c r="E2128" s="1" t="s">
        <v>45</v>
      </c>
      <c r="F2128" s="1" t="s">
        <v>44</v>
      </c>
      <c r="G2128" s="1">
        <v>0.0</v>
      </c>
      <c r="H2128" s="2">
        <v>0.12222222222222222</v>
      </c>
    </row>
    <row r="2129">
      <c r="A2129" s="1" t="s">
        <v>1766</v>
      </c>
      <c r="B2129" s="1" t="s">
        <v>250</v>
      </c>
      <c r="C2129" s="1">
        <v>28.0</v>
      </c>
      <c r="D2129" s="1" t="s">
        <v>224</v>
      </c>
      <c r="E2129" s="1" t="s">
        <v>225</v>
      </c>
      <c r="F2129" s="1" t="s">
        <v>226</v>
      </c>
      <c r="G2129" s="1">
        <v>0.0</v>
      </c>
      <c r="H2129" s="2">
        <v>0.14444444444444443</v>
      </c>
    </row>
    <row r="2130">
      <c r="A2130" s="1" t="s">
        <v>1766</v>
      </c>
      <c r="B2130" s="1" t="s">
        <v>250</v>
      </c>
      <c r="C2130" s="1">
        <v>29.0</v>
      </c>
      <c r="D2130" s="1" t="s">
        <v>68</v>
      </c>
      <c r="E2130" s="1" t="s">
        <v>69</v>
      </c>
      <c r="F2130" s="1" t="s">
        <v>70</v>
      </c>
      <c r="G2130" s="1">
        <v>0.0</v>
      </c>
      <c r="H2130" s="2">
        <v>0.12638888888888888</v>
      </c>
    </row>
    <row r="2131">
      <c r="A2131" s="1" t="s">
        <v>1766</v>
      </c>
      <c r="B2131" s="1" t="s">
        <v>250</v>
      </c>
      <c r="C2131" s="1">
        <v>30.0</v>
      </c>
      <c r="D2131" s="1" t="s">
        <v>1785</v>
      </c>
      <c r="E2131" s="1" t="s">
        <v>1786</v>
      </c>
      <c r="F2131" s="1" t="s">
        <v>1785</v>
      </c>
      <c r="G2131" s="1">
        <v>0.0</v>
      </c>
      <c r="H2131" s="2">
        <v>0.13402777777777777</v>
      </c>
    </row>
    <row r="2132">
      <c r="A2132" s="1" t="s">
        <v>1766</v>
      </c>
      <c r="B2132" s="1" t="s">
        <v>250</v>
      </c>
      <c r="C2132" s="1">
        <v>31.0</v>
      </c>
      <c r="D2132" s="1" t="s">
        <v>1787</v>
      </c>
      <c r="E2132" s="1" t="s">
        <v>1788</v>
      </c>
      <c r="F2132" s="1" t="s">
        <v>1787</v>
      </c>
      <c r="G2132" s="1">
        <v>0.0</v>
      </c>
      <c r="H2132" s="2">
        <v>0.12708333333333333</v>
      </c>
    </row>
    <row r="2133">
      <c r="A2133" s="1" t="s">
        <v>1766</v>
      </c>
      <c r="B2133" s="1" t="s">
        <v>250</v>
      </c>
      <c r="C2133" s="1">
        <v>32.0</v>
      </c>
      <c r="D2133" s="1" t="s">
        <v>47</v>
      </c>
      <c r="E2133" s="1" t="s">
        <v>48</v>
      </c>
      <c r="F2133" s="1" t="s">
        <v>49</v>
      </c>
      <c r="G2133" s="1">
        <v>1.0</v>
      </c>
      <c r="H2133" s="2">
        <v>0.15486111111111112</v>
      </c>
    </row>
    <row r="2134">
      <c r="A2134" s="1" t="s">
        <v>1766</v>
      </c>
      <c r="B2134" s="1" t="s">
        <v>250</v>
      </c>
      <c r="C2134" s="1">
        <v>33.0</v>
      </c>
      <c r="D2134" s="1" t="s">
        <v>105</v>
      </c>
      <c r="E2134" s="1" t="s">
        <v>106</v>
      </c>
      <c r="F2134" s="1" t="s">
        <v>105</v>
      </c>
      <c r="G2134" s="1">
        <v>0.0</v>
      </c>
      <c r="H2134" s="2">
        <v>0.11527777777777778</v>
      </c>
    </row>
    <row r="2135">
      <c r="A2135" s="1" t="s">
        <v>1766</v>
      </c>
      <c r="B2135" s="1" t="s">
        <v>250</v>
      </c>
      <c r="C2135" s="1">
        <v>34.0</v>
      </c>
      <c r="D2135" s="1" t="s">
        <v>27</v>
      </c>
      <c r="E2135" s="1" t="s">
        <v>28</v>
      </c>
      <c r="F2135" s="1" t="s">
        <v>29</v>
      </c>
      <c r="G2135" s="1">
        <v>0.0</v>
      </c>
      <c r="H2135" s="2">
        <v>0.12708333333333333</v>
      </c>
    </row>
    <row r="2136">
      <c r="A2136" s="1" t="s">
        <v>1766</v>
      </c>
      <c r="B2136" s="1" t="s">
        <v>250</v>
      </c>
      <c r="C2136" s="1">
        <v>35.0</v>
      </c>
      <c r="D2136" s="1" t="s">
        <v>38</v>
      </c>
      <c r="E2136" s="1" t="s">
        <v>39</v>
      </c>
      <c r="F2136" s="1" t="s">
        <v>40</v>
      </c>
      <c r="G2136" s="1">
        <v>1.0</v>
      </c>
      <c r="H2136" s="2">
        <v>0.1125</v>
      </c>
    </row>
    <row r="2137">
      <c r="A2137" s="1" t="s">
        <v>1766</v>
      </c>
      <c r="B2137" s="1" t="s">
        <v>250</v>
      </c>
      <c r="C2137" s="1">
        <v>36.0</v>
      </c>
      <c r="D2137" s="1" t="s">
        <v>46</v>
      </c>
      <c r="E2137" s="1" t="s">
        <v>28</v>
      </c>
      <c r="F2137" s="1" t="s">
        <v>29</v>
      </c>
      <c r="G2137" s="1">
        <v>0.0</v>
      </c>
      <c r="H2137" s="2">
        <v>0.15347222222222223</v>
      </c>
    </row>
    <row r="2138">
      <c r="A2138" s="1" t="s">
        <v>1766</v>
      </c>
      <c r="B2138" s="1" t="s">
        <v>250</v>
      </c>
      <c r="C2138" s="1">
        <v>37.0</v>
      </c>
      <c r="D2138" s="1" t="s">
        <v>1789</v>
      </c>
      <c r="E2138" s="1" t="s">
        <v>1790</v>
      </c>
      <c r="F2138" s="1" t="s">
        <v>1789</v>
      </c>
      <c r="G2138" s="1">
        <v>0.0</v>
      </c>
      <c r="H2138" s="2">
        <v>0.14652777777777778</v>
      </c>
    </row>
    <row r="2139">
      <c r="A2139" s="1" t="s">
        <v>1766</v>
      </c>
      <c r="B2139" s="1" t="s">
        <v>250</v>
      </c>
      <c r="C2139" s="1">
        <v>38.0</v>
      </c>
      <c r="D2139" s="1" t="s">
        <v>111</v>
      </c>
      <c r="E2139" s="1" t="s">
        <v>69</v>
      </c>
      <c r="F2139" s="1" t="s">
        <v>112</v>
      </c>
      <c r="G2139" s="1">
        <v>0.0</v>
      </c>
      <c r="H2139" s="2">
        <v>0.14930555555555555</v>
      </c>
    </row>
    <row r="2140">
      <c r="A2140" s="1" t="s">
        <v>1766</v>
      </c>
      <c r="B2140" s="1" t="s">
        <v>250</v>
      </c>
      <c r="C2140" s="1">
        <v>39.0</v>
      </c>
      <c r="D2140" s="1" t="s">
        <v>91</v>
      </c>
      <c r="E2140" s="1" t="s">
        <v>58</v>
      </c>
      <c r="F2140" s="1" t="s">
        <v>91</v>
      </c>
      <c r="G2140" s="1">
        <v>0.0</v>
      </c>
      <c r="H2140" s="2">
        <v>0.09305555555555556</v>
      </c>
    </row>
    <row r="2141">
      <c r="A2141" s="1" t="s">
        <v>1766</v>
      </c>
      <c r="B2141" s="1" t="s">
        <v>250</v>
      </c>
      <c r="C2141" s="1">
        <v>40.0</v>
      </c>
      <c r="D2141" s="1" t="s">
        <v>1791</v>
      </c>
      <c r="E2141" s="1" t="s">
        <v>1792</v>
      </c>
      <c r="F2141" s="1" t="s">
        <v>1791</v>
      </c>
      <c r="G2141" s="1">
        <v>0.0</v>
      </c>
      <c r="H2141" s="2">
        <v>0.12083333333333333</v>
      </c>
    </row>
    <row r="2142">
      <c r="A2142" s="1" t="s">
        <v>1766</v>
      </c>
      <c r="B2142" s="1" t="s">
        <v>250</v>
      </c>
      <c r="C2142" s="1">
        <v>41.0</v>
      </c>
      <c r="D2142" s="1" t="s">
        <v>1793</v>
      </c>
      <c r="E2142" s="1" t="s">
        <v>1794</v>
      </c>
      <c r="F2142" s="1" t="s">
        <v>1793</v>
      </c>
      <c r="G2142" s="1">
        <v>1.0</v>
      </c>
      <c r="H2142" s="2">
        <v>0.10347222222222222</v>
      </c>
    </row>
    <row r="2143">
      <c r="A2143" s="1" t="s">
        <v>1766</v>
      </c>
      <c r="B2143" s="1" t="s">
        <v>250</v>
      </c>
      <c r="C2143" s="1">
        <v>42.0</v>
      </c>
      <c r="D2143" s="1" t="s">
        <v>1795</v>
      </c>
      <c r="E2143" s="1" t="s">
        <v>1796</v>
      </c>
      <c r="F2143" s="1" t="s">
        <v>1795</v>
      </c>
      <c r="G2143" s="1">
        <v>0.0</v>
      </c>
      <c r="H2143" s="2">
        <v>0.12777777777777777</v>
      </c>
    </row>
    <row r="2144">
      <c r="A2144" s="1" t="s">
        <v>1766</v>
      </c>
      <c r="B2144" s="1" t="s">
        <v>250</v>
      </c>
      <c r="C2144" s="1">
        <v>43.0</v>
      </c>
      <c r="D2144" s="1" t="s">
        <v>99</v>
      </c>
      <c r="E2144" s="1" t="s">
        <v>100</v>
      </c>
      <c r="F2144" s="1" t="s">
        <v>99</v>
      </c>
      <c r="G2144" s="1">
        <v>0.0</v>
      </c>
      <c r="H2144" s="2">
        <v>0.11944444444444445</v>
      </c>
    </row>
    <row r="2145">
      <c r="A2145" s="1" t="s">
        <v>1766</v>
      </c>
      <c r="B2145" s="1" t="s">
        <v>250</v>
      </c>
      <c r="C2145" s="1">
        <v>44.0</v>
      </c>
      <c r="D2145" s="1" t="s">
        <v>270</v>
      </c>
      <c r="E2145" s="1" t="s">
        <v>271</v>
      </c>
      <c r="F2145" s="1" t="s">
        <v>270</v>
      </c>
      <c r="G2145" s="1">
        <v>0.0</v>
      </c>
      <c r="H2145" s="2">
        <v>0.14444444444444443</v>
      </c>
    </row>
    <row r="2146">
      <c r="A2146" s="1" t="s">
        <v>1766</v>
      </c>
      <c r="B2146" s="1" t="s">
        <v>250</v>
      </c>
      <c r="C2146" s="1">
        <v>45.0</v>
      </c>
      <c r="D2146" s="1" t="s">
        <v>1797</v>
      </c>
      <c r="E2146" s="1" t="s">
        <v>1772</v>
      </c>
      <c r="F2146" s="1" t="s">
        <v>1797</v>
      </c>
      <c r="G2146" s="1">
        <v>1.0</v>
      </c>
      <c r="H2146" s="2">
        <v>0.09513888888888888</v>
      </c>
    </row>
    <row r="2147">
      <c r="A2147" s="1" t="s">
        <v>1766</v>
      </c>
      <c r="B2147" s="1" t="s">
        <v>250</v>
      </c>
      <c r="C2147" s="1">
        <v>46.0</v>
      </c>
      <c r="D2147" s="1" t="s">
        <v>88</v>
      </c>
      <c r="E2147" s="1" t="s">
        <v>89</v>
      </c>
      <c r="F2147" s="1" t="s">
        <v>90</v>
      </c>
      <c r="G2147" s="1">
        <v>1.0</v>
      </c>
      <c r="H2147" s="2">
        <v>0.09652777777777778</v>
      </c>
    </row>
    <row r="2148">
      <c r="A2148" s="1" t="s">
        <v>1766</v>
      </c>
      <c r="B2148" s="1" t="s">
        <v>250</v>
      </c>
      <c r="C2148" s="1">
        <v>47.0</v>
      </c>
      <c r="D2148" s="1" t="s">
        <v>1798</v>
      </c>
      <c r="E2148" s="1" t="s">
        <v>1794</v>
      </c>
      <c r="F2148" s="1" t="s">
        <v>1798</v>
      </c>
      <c r="G2148" s="1">
        <v>0.0</v>
      </c>
      <c r="H2148" s="2">
        <v>0.11805555555555555</v>
      </c>
    </row>
    <row r="2149">
      <c r="A2149" s="1" t="s">
        <v>1766</v>
      </c>
      <c r="B2149" s="1" t="s">
        <v>250</v>
      </c>
      <c r="C2149" s="1">
        <v>48.0</v>
      </c>
      <c r="D2149" s="1" t="s">
        <v>1799</v>
      </c>
      <c r="E2149" s="1" t="s">
        <v>1800</v>
      </c>
      <c r="F2149" s="1" t="s">
        <v>1799</v>
      </c>
      <c r="G2149" s="1">
        <v>0.0</v>
      </c>
      <c r="H2149" s="2">
        <v>0.125</v>
      </c>
    </row>
    <row r="2150">
      <c r="A2150" s="1" t="s">
        <v>1766</v>
      </c>
      <c r="B2150" s="1" t="s">
        <v>250</v>
      </c>
      <c r="C2150" s="1">
        <v>49.0</v>
      </c>
      <c r="D2150" s="1" t="s">
        <v>41</v>
      </c>
      <c r="E2150" s="1" t="s">
        <v>42</v>
      </c>
      <c r="F2150" s="1" t="s">
        <v>43</v>
      </c>
      <c r="G2150" s="1">
        <v>1.0</v>
      </c>
      <c r="H2150" s="2">
        <v>0.1361111111111111</v>
      </c>
    </row>
    <row r="2151">
      <c r="A2151" s="1" t="s">
        <v>1766</v>
      </c>
      <c r="B2151" s="1" t="s">
        <v>250</v>
      </c>
      <c r="C2151" s="1">
        <v>50.0</v>
      </c>
      <c r="D2151" s="1" t="s">
        <v>1801</v>
      </c>
      <c r="E2151" s="1" t="s">
        <v>1802</v>
      </c>
      <c r="F2151" s="1" t="s">
        <v>1801</v>
      </c>
      <c r="G2151" s="1">
        <v>0.0</v>
      </c>
      <c r="H2151" s="2">
        <v>0.12083333333333333</v>
      </c>
    </row>
    <row r="2152">
      <c r="A2152" s="1" t="s">
        <v>1803</v>
      </c>
      <c r="B2152" s="1" t="s">
        <v>484</v>
      </c>
      <c r="C2152" s="1">
        <v>1.0</v>
      </c>
      <c r="D2152" s="1" t="s">
        <v>157</v>
      </c>
      <c r="E2152" s="1" t="s">
        <v>158</v>
      </c>
      <c r="F2152" s="1" t="s">
        <v>159</v>
      </c>
      <c r="G2152" s="1">
        <v>0.0</v>
      </c>
      <c r="H2152" s="2">
        <v>0.12777777777777777</v>
      </c>
    </row>
    <row r="2153">
      <c r="A2153" s="1" t="s">
        <v>1803</v>
      </c>
      <c r="B2153" s="1" t="s">
        <v>484</v>
      </c>
      <c r="C2153" s="1">
        <v>2.0</v>
      </c>
      <c r="D2153" s="1" t="s">
        <v>510</v>
      </c>
      <c r="E2153" s="1" t="s">
        <v>511</v>
      </c>
      <c r="F2153" s="1" t="s">
        <v>159</v>
      </c>
      <c r="G2153" s="1">
        <v>0.0</v>
      </c>
      <c r="H2153" s="2">
        <v>0.14027777777777778</v>
      </c>
    </row>
    <row r="2154">
      <c r="A2154" s="1" t="s">
        <v>1803</v>
      </c>
      <c r="B2154" s="1" t="s">
        <v>484</v>
      </c>
      <c r="C2154" s="1">
        <v>3.0</v>
      </c>
      <c r="D2154" s="1" t="s">
        <v>108</v>
      </c>
      <c r="E2154" s="1" t="s">
        <v>109</v>
      </c>
      <c r="F2154" s="1" t="s">
        <v>110</v>
      </c>
      <c r="G2154" s="1">
        <v>0.0</v>
      </c>
      <c r="H2154" s="2">
        <v>0.10416666666666667</v>
      </c>
    </row>
    <row r="2155">
      <c r="A2155" s="1" t="s">
        <v>1803</v>
      </c>
      <c r="B2155" s="1" t="s">
        <v>484</v>
      </c>
      <c r="C2155" s="1">
        <v>4.0</v>
      </c>
      <c r="D2155" s="1" t="s">
        <v>65</v>
      </c>
      <c r="E2155" s="1" t="s">
        <v>66</v>
      </c>
      <c r="F2155" s="1" t="s">
        <v>67</v>
      </c>
      <c r="G2155" s="1">
        <v>1.0</v>
      </c>
      <c r="H2155" s="2">
        <v>0.2048611111111111</v>
      </c>
    </row>
    <row r="2156">
      <c r="A2156" s="1" t="s">
        <v>1803</v>
      </c>
      <c r="B2156" s="1" t="s">
        <v>484</v>
      </c>
      <c r="C2156" s="1">
        <v>5.0</v>
      </c>
      <c r="D2156" s="1" t="s">
        <v>1804</v>
      </c>
      <c r="E2156" s="1" t="s">
        <v>1805</v>
      </c>
      <c r="F2156" s="1" t="s">
        <v>159</v>
      </c>
      <c r="G2156" s="1">
        <v>1.0</v>
      </c>
      <c r="H2156" s="2">
        <v>0.13055555555555556</v>
      </c>
    </row>
    <row r="2157">
      <c r="A2157" s="1" t="s">
        <v>1803</v>
      </c>
      <c r="B2157" s="1" t="s">
        <v>484</v>
      </c>
      <c r="C2157" s="1">
        <v>6.0</v>
      </c>
      <c r="D2157" s="1" t="s">
        <v>71</v>
      </c>
      <c r="E2157" s="1" t="s">
        <v>72</v>
      </c>
      <c r="F2157" s="1" t="s">
        <v>67</v>
      </c>
      <c r="G2157" s="1">
        <v>0.0</v>
      </c>
      <c r="H2157" s="2">
        <v>0.11944444444444445</v>
      </c>
    </row>
    <row r="2158">
      <c r="A2158" s="1" t="s">
        <v>1803</v>
      </c>
      <c r="B2158" s="1" t="s">
        <v>484</v>
      </c>
      <c r="C2158" s="1">
        <v>7.0</v>
      </c>
      <c r="D2158" s="1" t="s">
        <v>1806</v>
      </c>
      <c r="E2158" s="1" t="s">
        <v>158</v>
      </c>
      <c r="F2158" s="1" t="s">
        <v>159</v>
      </c>
      <c r="G2158" s="1">
        <v>0.0</v>
      </c>
      <c r="H2158" s="2">
        <v>0.10902777777777778</v>
      </c>
    </row>
    <row r="2159">
      <c r="A2159" s="1" t="s">
        <v>1803</v>
      </c>
      <c r="B2159" s="1" t="s">
        <v>484</v>
      </c>
      <c r="C2159" s="1">
        <v>8.0</v>
      </c>
      <c r="D2159" s="1" t="s">
        <v>177</v>
      </c>
      <c r="E2159" s="1" t="s">
        <v>178</v>
      </c>
      <c r="F2159" s="1" t="s">
        <v>67</v>
      </c>
      <c r="G2159" s="1">
        <v>1.0</v>
      </c>
      <c r="H2159" s="2">
        <v>0.14583333333333334</v>
      </c>
    </row>
    <row r="2160">
      <c r="A2160" s="1" t="s">
        <v>1803</v>
      </c>
      <c r="B2160" s="1" t="s">
        <v>484</v>
      </c>
      <c r="C2160" s="1">
        <v>9.0</v>
      </c>
      <c r="D2160" s="1" t="s">
        <v>129</v>
      </c>
      <c r="E2160" s="1" t="s">
        <v>130</v>
      </c>
      <c r="F2160" s="1" t="s">
        <v>131</v>
      </c>
      <c r="G2160" s="1">
        <v>0.0</v>
      </c>
      <c r="H2160" s="2">
        <v>0.1451388888888889</v>
      </c>
    </row>
    <row r="2161">
      <c r="A2161" s="1" t="s">
        <v>1803</v>
      </c>
      <c r="B2161" s="1" t="s">
        <v>484</v>
      </c>
      <c r="C2161" s="1">
        <v>10.0</v>
      </c>
      <c r="D2161" s="1" t="s">
        <v>1807</v>
      </c>
      <c r="E2161" s="1" t="s">
        <v>158</v>
      </c>
      <c r="F2161" s="1" t="s">
        <v>159</v>
      </c>
      <c r="G2161" s="1">
        <v>0.0</v>
      </c>
      <c r="H2161" s="2">
        <v>0.12569444444444444</v>
      </c>
    </row>
    <row r="2162">
      <c r="A2162" s="1" t="s">
        <v>1803</v>
      </c>
      <c r="B2162" s="1" t="s">
        <v>484</v>
      </c>
      <c r="C2162" s="1">
        <v>11.0</v>
      </c>
      <c r="D2162" s="1" t="s">
        <v>151</v>
      </c>
      <c r="E2162" s="1" t="s">
        <v>152</v>
      </c>
      <c r="F2162" s="1" t="s">
        <v>153</v>
      </c>
      <c r="G2162" s="1">
        <v>1.0</v>
      </c>
      <c r="H2162" s="2">
        <v>0.1486111111111111</v>
      </c>
    </row>
    <row r="2163">
      <c r="A2163" s="1" t="s">
        <v>1803</v>
      </c>
      <c r="B2163" s="1" t="s">
        <v>484</v>
      </c>
      <c r="C2163" s="1">
        <v>12.0</v>
      </c>
      <c r="D2163" s="1" t="s">
        <v>206</v>
      </c>
      <c r="E2163" s="1" t="s">
        <v>72</v>
      </c>
      <c r="F2163" s="1" t="s">
        <v>207</v>
      </c>
      <c r="G2163" s="1">
        <v>1.0</v>
      </c>
      <c r="H2163" s="2">
        <v>0.12361111111111112</v>
      </c>
    </row>
    <row r="2164">
      <c r="A2164" s="1" t="s">
        <v>1803</v>
      </c>
      <c r="B2164" s="1" t="s">
        <v>484</v>
      </c>
      <c r="C2164" s="1">
        <v>13.0</v>
      </c>
      <c r="D2164" s="1" t="s">
        <v>143</v>
      </c>
      <c r="E2164" s="1" t="s">
        <v>144</v>
      </c>
      <c r="F2164" s="1" t="s">
        <v>143</v>
      </c>
      <c r="G2164" s="1">
        <v>0.0</v>
      </c>
      <c r="H2164" s="2">
        <v>0.14027777777777778</v>
      </c>
    </row>
    <row r="2165">
      <c r="A2165" s="1" t="s">
        <v>1803</v>
      </c>
      <c r="B2165" s="1" t="s">
        <v>484</v>
      </c>
      <c r="C2165" s="1">
        <v>14.0</v>
      </c>
      <c r="D2165" s="1" t="s">
        <v>9</v>
      </c>
      <c r="E2165" s="1" t="s">
        <v>10</v>
      </c>
      <c r="F2165" s="1" t="s">
        <v>9</v>
      </c>
      <c r="G2165" s="1">
        <v>0.0</v>
      </c>
      <c r="H2165" s="2">
        <v>0.12638888888888888</v>
      </c>
    </row>
    <row r="2166">
      <c r="A2166" s="1" t="s">
        <v>1803</v>
      </c>
      <c r="B2166" s="1" t="s">
        <v>484</v>
      </c>
      <c r="C2166" s="1">
        <v>15.0</v>
      </c>
      <c r="D2166" s="1" t="s">
        <v>136</v>
      </c>
      <c r="E2166" s="1" t="s">
        <v>137</v>
      </c>
      <c r="F2166" s="1" t="s">
        <v>138</v>
      </c>
      <c r="G2166" s="1">
        <v>0.0</v>
      </c>
      <c r="H2166" s="2">
        <v>0.16111111111111112</v>
      </c>
    </row>
    <row r="2167">
      <c r="A2167" s="1" t="s">
        <v>1803</v>
      </c>
      <c r="B2167" s="1" t="s">
        <v>484</v>
      </c>
      <c r="C2167" s="1">
        <v>16.0</v>
      </c>
      <c r="D2167" s="1" t="s">
        <v>141</v>
      </c>
      <c r="E2167" s="1" t="s">
        <v>142</v>
      </c>
      <c r="F2167" s="1" t="s">
        <v>141</v>
      </c>
      <c r="G2167" s="1">
        <v>0.0</v>
      </c>
      <c r="H2167" s="2">
        <v>0.13680555555555557</v>
      </c>
    </row>
    <row r="2168">
      <c r="A2168" s="1" t="s">
        <v>1803</v>
      </c>
      <c r="B2168" s="1" t="s">
        <v>484</v>
      </c>
      <c r="C2168" s="1">
        <v>17.0</v>
      </c>
      <c r="D2168" s="1" t="s">
        <v>1808</v>
      </c>
      <c r="E2168" s="1" t="s">
        <v>1809</v>
      </c>
      <c r="F2168" s="1" t="s">
        <v>159</v>
      </c>
      <c r="G2168" s="1">
        <v>1.0</v>
      </c>
      <c r="H2168" s="2">
        <v>0.13680555555555557</v>
      </c>
    </row>
    <row r="2169">
      <c r="A2169" s="1" t="s">
        <v>1803</v>
      </c>
      <c r="B2169" s="1" t="s">
        <v>484</v>
      </c>
      <c r="C2169" s="1">
        <v>18.0</v>
      </c>
      <c r="D2169" s="1" t="s">
        <v>546</v>
      </c>
      <c r="E2169" s="1" t="s">
        <v>547</v>
      </c>
      <c r="F2169" s="1" t="s">
        <v>159</v>
      </c>
      <c r="G2169" s="1">
        <v>0.0</v>
      </c>
      <c r="H2169" s="2">
        <v>0.14166666666666666</v>
      </c>
    </row>
    <row r="2170">
      <c r="A2170" s="1" t="s">
        <v>1803</v>
      </c>
      <c r="B2170" s="1" t="s">
        <v>484</v>
      </c>
      <c r="C2170" s="1">
        <v>19.0</v>
      </c>
      <c r="D2170" s="1" t="s">
        <v>1810</v>
      </c>
      <c r="E2170" s="1" t="s">
        <v>1811</v>
      </c>
      <c r="F2170" s="1" t="s">
        <v>1812</v>
      </c>
      <c r="G2170" s="1">
        <v>0.0</v>
      </c>
      <c r="H2170" s="2">
        <v>0.10902777777777778</v>
      </c>
    </row>
    <row r="2171">
      <c r="A2171" s="1" t="s">
        <v>1803</v>
      </c>
      <c r="B2171" s="1" t="s">
        <v>484</v>
      </c>
      <c r="C2171" s="1">
        <v>20.0</v>
      </c>
      <c r="D2171" s="1" t="s">
        <v>1813</v>
      </c>
      <c r="E2171" s="1" t="s">
        <v>1814</v>
      </c>
      <c r="F2171" s="1" t="s">
        <v>159</v>
      </c>
      <c r="G2171" s="1">
        <v>0.0</v>
      </c>
      <c r="H2171" s="2">
        <v>0.10347222222222222</v>
      </c>
    </row>
    <row r="2172">
      <c r="A2172" s="1" t="s">
        <v>1803</v>
      </c>
      <c r="B2172" s="1" t="s">
        <v>484</v>
      </c>
      <c r="C2172" s="1">
        <v>21.0</v>
      </c>
      <c r="D2172" s="1" t="s">
        <v>147</v>
      </c>
      <c r="E2172" s="1" t="s">
        <v>148</v>
      </c>
      <c r="F2172" s="1" t="s">
        <v>149</v>
      </c>
      <c r="G2172" s="1">
        <v>0.0</v>
      </c>
      <c r="H2172" s="2">
        <v>0.17291666666666666</v>
      </c>
    </row>
    <row r="2173">
      <c r="A2173" s="1" t="s">
        <v>1803</v>
      </c>
      <c r="B2173" s="1" t="s">
        <v>484</v>
      </c>
      <c r="C2173" s="1">
        <v>22.0</v>
      </c>
      <c r="D2173" s="1" t="s">
        <v>86</v>
      </c>
      <c r="E2173" s="1" t="s">
        <v>87</v>
      </c>
      <c r="F2173" s="1" t="s">
        <v>86</v>
      </c>
      <c r="G2173" s="1">
        <v>0.0</v>
      </c>
      <c r="H2173" s="2">
        <v>0.1388888888888889</v>
      </c>
    </row>
    <row r="2174">
      <c r="A2174" s="1" t="s">
        <v>1803</v>
      </c>
      <c r="B2174" s="1" t="s">
        <v>484</v>
      </c>
      <c r="C2174" s="1">
        <v>23.0</v>
      </c>
      <c r="D2174" s="1" t="s">
        <v>1815</v>
      </c>
      <c r="E2174" s="1" t="s">
        <v>158</v>
      </c>
      <c r="F2174" s="1" t="s">
        <v>159</v>
      </c>
      <c r="G2174" s="1">
        <v>0.0</v>
      </c>
      <c r="H2174" s="2">
        <v>0.14305555555555555</v>
      </c>
    </row>
    <row r="2175">
      <c r="A2175" s="1" t="s">
        <v>1803</v>
      </c>
      <c r="B2175" s="1" t="s">
        <v>484</v>
      </c>
      <c r="C2175" s="1">
        <v>24.0</v>
      </c>
      <c r="D2175" s="1" t="s">
        <v>498</v>
      </c>
      <c r="E2175" s="1" t="s">
        <v>499</v>
      </c>
      <c r="F2175" s="1" t="s">
        <v>500</v>
      </c>
      <c r="G2175" s="1">
        <v>1.0</v>
      </c>
      <c r="H2175" s="2">
        <v>0.15763888888888888</v>
      </c>
    </row>
    <row r="2176">
      <c r="A2176" s="1" t="s">
        <v>1803</v>
      </c>
      <c r="B2176" s="1" t="s">
        <v>484</v>
      </c>
      <c r="C2176" s="1">
        <v>25.0</v>
      </c>
      <c r="D2176" s="1" t="s">
        <v>161</v>
      </c>
      <c r="E2176" s="1" t="s">
        <v>162</v>
      </c>
      <c r="F2176" s="1" t="s">
        <v>161</v>
      </c>
      <c r="G2176" s="1">
        <v>0.0</v>
      </c>
      <c r="H2176" s="2">
        <v>0.15694444444444444</v>
      </c>
    </row>
    <row r="2177">
      <c r="A2177" s="1" t="s">
        <v>1803</v>
      </c>
      <c r="B2177" s="1" t="s">
        <v>484</v>
      </c>
      <c r="C2177" s="1">
        <v>26.0</v>
      </c>
      <c r="D2177" s="1" t="s">
        <v>172</v>
      </c>
      <c r="E2177" s="1" t="s">
        <v>72</v>
      </c>
      <c r="F2177" s="1" t="s">
        <v>67</v>
      </c>
      <c r="G2177" s="1">
        <v>1.0</v>
      </c>
      <c r="H2177" s="2">
        <v>0.11319444444444444</v>
      </c>
    </row>
    <row r="2178">
      <c r="A2178" s="1" t="s">
        <v>1803</v>
      </c>
      <c r="B2178" s="1" t="s">
        <v>484</v>
      </c>
      <c r="C2178" s="1">
        <v>27.0</v>
      </c>
      <c r="D2178" s="1" t="s">
        <v>338</v>
      </c>
      <c r="E2178" s="1" t="s">
        <v>339</v>
      </c>
      <c r="F2178" s="1" t="s">
        <v>340</v>
      </c>
      <c r="G2178" s="1">
        <v>0.0</v>
      </c>
      <c r="H2178" s="2">
        <v>0.13125</v>
      </c>
    </row>
    <row r="2179">
      <c r="A2179" s="1" t="s">
        <v>1803</v>
      </c>
      <c r="B2179" s="1" t="s">
        <v>484</v>
      </c>
      <c r="C2179" s="1">
        <v>28.0</v>
      </c>
      <c r="D2179" s="1" t="s">
        <v>656</v>
      </c>
      <c r="E2179" s="1" t="s">
        <v>657</v>
      </c>
      <c r="F2179" s="1" t="s">
        <v>656</v>
      </c>
      <c r="G2179" s="1">
        <v>0.0</v>
      </c>
      <c r="H2179" s="2">
        <v>0.14097222222222222</v>
      </c>
    </row>
    <row r="2180">
      <c r="A2180" s="1" t="s">
        <v>1803</v>
      </c>
      <c r="B2180" s="1" t="s">
        <v>484</v>
      </c>
      <c r="C2180" s="1">
        <v>29.0</v>
      </c>
      <c r="D2180" s="1" t="s">
        <v>11</v>
      </c>
      <c r="E2180" s="1" t="s">
        <v>12</v>
      </c>
      <c r="F2180" s="1" t="s">
        <v>13</v>
      </c>
      <c r="G2180" s="1">
        <v>0.0</v>
      </c>
      <c r="H2180" s="2">
        <v>0.1388888888888889</v>
      </c>
    </row>
    <row r="2181">
      <c r="A2181" s="1" t="s">
        <v>1803</v>
      </c>
      <c r="B2181" s="1" t="s">
        <v>484</v>
      </c>
      <c r="C2181" s="1">
        <v>30.0</v>
      </c>
      <c r="D2181" s="1" t="s">
        <v>165</v>
      </c>
      <c r="E2181" s="1" t="s">
        <v>166</v>
      </c>
      <c r="F2181" s="1" t="s">
        <v>165</v>
      </c>
      <c r="G2181" s="1">
        <v>0.0</v>
      </c>
      <c r="H2181" s="2">
        <v>0.13819444444444445</v>
      </c>
    </row>
    <row r="2182">
      <c r="A2182" s="1" t="s">
        <v>1803</v>
      </c>
      <c r="B2182" s="1" t="s">
        <v>484</v>
      </c>
      <c r="C2182" s="1">
        <v>31.0</v>
      </c>
      <c r="D2182" s="1" t="s">
        <v>349</v>
      </c>
      <c r="E2182" s="1" t="s">
        <v>72</v>
      </c>
      <c r="F2182" s="1" t="s">
        <v>67</v>
      </c>
      <c r="G2182" s="1">
        <v>1.0</v>
      </c>
      <c r="H2182" s="2">
        <v>0.13333333333333333</v>
      </c>
    </row>
    <row r="2183">
      <c r="A2183" s="1" t="s">
        <v>1803</v>
      </c>
      <c r="B2183" s="1" t="s">
        <v>484</v>
      </c>
      <c r="C2183" s="1">
        <v>32.0</v>
      </c>
      <c r="D2183" s="1" t="s">
        <v>322</v>
      </c>
      <c r="E2183" s="1" t="s">
        <v>323</v>
      </c>
      <c r="F2183" s="1" t="s">
        <v>322</v>
      </c>
      <c r="G2183" s="1">
        <v>0.0</v>
      </c>
      <c r="H2183" s="2">
        <v>0.10902777777777778</v>
      </c>
    </row>
    <row r="2184">
      <c r="A2184" s="1" t="s">
        <v>1803</v>
      </c>
      <c r="B2184" s="1" t="s">
        <v>484</v>
      </c>
      <c r="C2184" s="1">
        <v>33.0</v>
      </c>
      <c r="D2184" s="1" t="s">
        <v>1816</v>
      </c>
      <c r="E2184" s="1" t="s">
        <v>158</v>
      </c>
      <c r="F2184" s="1" t="s">
        <v>159</v>
      </c>
      <c r="G2184" s="1">
        <v>0.0</v>
      </c>
      <c r="H2184" s="2">
        <v>0.12916666666666668</v>
      </c>
    </row>
    <row r="2185">
      <c r="A2185" s="1" t="s">
        <v>1803</v>
      </c>
      <c r="B2185" s="1" t="s">
        <v>484</v>
      </c>
      <c r="C2185" s="1">
        <v>34.0</v>
      </c>
      <c r="D2185" s="1" t="s">
        <v>1817</v>
      </c>
      <c r="E2185" s="1" t="s">
        <v>1818</v>
      </c>
      <c r="F2185" s="1" t="s">
        <v>159</v>
      </c>
      <c r="G2185" s="1">
        <v>1.0</v>
      </c>
      <c r="H2185" s="2">
        <v>0.1125</v>
      </c>
    </row>
    <row r="2186">
      <c r="A2186" s="1" t="s">
        <v>1803</v>
      </c>
      <c r="B2186" s="1" t="s">
        <v>484</v>
      </c>
      <c r="C2186" s="1">
        <v>35.0</v>
      </c>
      <c r="D2186" s="1" t="s">
        <v>1819</v>
      </c>
      <c r="E2186" s="1" t="s">
        <v>158</v>
      </c>
      <c r="F2186" s="1" t="s">
        <v>159</v>
      </c>
      <c r="G2186" s="1">
        <v>1.0</v>
      </c>
      <c r="H2186" s="2">
        <v>0.11944444444444445</v>
      </c>
    </row>
    <row r="2187">
      <c r="A2187" s="1" t="s">
        <v>1803</v>
      </c>
      <c r="B2187" s="1" t="s">
        <v>484</v>
      </c>
      <c r="C2187" s="1">
        <v>36.0</v>
      </c>
      <c r="D2187" s="1" t="s">
        <v>173</v>
      </c>
      <c r="E2187" s="1" t="s">
        <v>109</v>
      </c>
      <c r="F2187" s="1" t="s">
        <v>110</v>
      </c>
      <c r="G2187" s="1">
        <v>0.0</v>
      </c>
      <c r="H2187" s="2">
        <v>0.10902777777777778</v>
      </c>
    </row>
    <row r="2188">
      <c r="A2188" s="1" t="s">
        <v>1803</v>
      </c>
      <c r="B2188" s="1" t="s">
        <v>484</v>
      </c>
      <c r="C2188" s="1">
        <v>37.0</v>
      </c>
      <c r="D2188" s="1" t="s">
        <v>330</v>
      </c>
      <c r="E2188" s="1" t="s">
        <v>72</v>
      </c>
      <c r="F2188" s="1" t="s">
        <v>67</v>
      </c>
      <c r="G2188" s="1">
        <v>0.0</v>
      </c>
      <c r="H2188" s="2">
        <v>0.11805555555555555</v>
      </c>
    </row>
    <row r="2189">
      <c r="A2189" s="1" t="s">
        <v>1803</v>
      </c>
      <c r="B2189" s="1" t="s">
        <v>484</v>
      </c>
      <c r="C2189" s="1">
        <v>38.0</v>
      </c>
      <c r="D2189" s="1" t="s">
        <v>525</v>
      </c>
      <c r="E2189" s="1" t="s">
        <v>526</v>
      </c>
      <c r="F2189" s="1" t="s">
        <v>525</v>
      </c>
      <c r="G2189" s="1">
        <v>0.0</v>
      </c>
      <c r="H2189" s="2">
        <v>0.15069444444444444</v>
      </c>
    </row>
    <row r="2190">
      <c r="A2190" s="1" t="s">
        <v>1803</v>
      </c>
      <c r="B2190" s="1" t="s">
        <v>484</v>
      </c>
      <c r="C2190" s="1">
        <v>39.0</v>
      </c>
      <c r="D2190" s="1" t="s">
        <v>352</v>
      </c>
      <c r="E2190" s="1" t="s">
        <v>353</v>
      </c>
      <c r="F2190" s="1" t="s">
        <v>207</v>
      </c>
      <c r="G2190" s="1">
        <v>1.0</v>
      </c>
      <c r="H2190" s="2">
        <v>0.1451388888888889</v>
      </c>
    </row>
    <row r="2191">
      <c r="A2191" s="1" t="s">
        <v>1803</v>
      </c>
      <c r="B2191" s="1" t="s">
        <v>484</v>
      </c>
      <c r="C2191" s="1">
        <v>40.0</v>
      </c>
      <c r="D2191" s="1" t="s">
        <v>1820</v>
      </c>
      <c r="E2191" s="1" t="s">
        <v>1821</v>
      </c>
      <c r="F2191" s="1" t="s">
        <v>159</v>
      </c>
      <c r="G2191" s="1">
        <v>1.0</v>
      </c>
      <c r="H2191" s="2">
        <v>0.15694444444444444</v>
      </c>
    </row>
    <row r="2192">
      <c r="A2192" s="1" t="s">
        <v>1803</v>
      </c>
      <c r="B2192" s="1" t="s">
        <v>484</v>
      </c>
      <c r="C2192" s="1">
        <v>41.0</v>
      </c>
      <c r="D2192" s="1" t="s">
        <v>1822</v>
      </c>
      <c r="E2192" s="1" t="s">
        <v>158</v>
      </c>
      <c r="F2192" s="1" t="s">
        <v>159</v>
      </c>
      <c r="G2192" s="1">
        <v>0.0</v>
      </c>
      <c r="H2192" s="2">
        <v>0.09791666666666667</v>
      </c>
    </row>
    <row r="2193">
      <c r="A2193" s="1" t="s">
        <v>1803</v>
      </c>
      <c r="B2193" s="1" t="s">
        <v>484</v>
      </c>
      <c r="C2193" s="1">
        <v>42.0</v>
      </c>
      <c r="D2193" s="1" t="s">
        <v>505</v>
      </c>
      <c r="E2193" s="1" t="s">
        <v>506</v>
      </c>
      <c r="F2193" s="1" t="s">
        <v>67</v>
      </c>
      <c r="G2193" s="1">
        <v>1.0</v>
      </c>
      <c r="H2193" s="2">
        <v>0.14305555555555555</v>
      </c>
    </row>
    <row r="2194">
      <c r="A2194" s="1" t="s">
        <v>1803</v>
      </c>
      <c r="B2194" s="1" t="s">
        <v>484</v>
      </c>
      <c r="C2194" s="1">
        <v>43.0</v>
      </c>
      <c r="D2194" s="1" t="s">
        <v>131</v>
      </c>
      <c r="E2194" s="1" t="s">
        <v>150</v>
      </c>
      <c r="F2194" s="1" t="s">
        <v>131</v>
      </c>
      <c r="G2194" s="1">
        <v>0.0</v>
      </c>
      <c r="H2194" s="2">
        <v>0.12638888888888888</v>
      </c>
    </row>
    <row r="2195">
      <c r="A2195" s="1" t="s">
        <v>1803</v>
      </c>
      <c r="B2195" s="1" t="s">
        <v>484</v>
      </c>
      <c r="C2195" s="1">
        <v>44.0</v>
      </c>
      <c r="D2195" s="1" t="s">
        <v>1823</v>
      </c>
      <c r="E2195" s="1" t="s">
        <v>158</v>
      </c>
      <c r="F2195" s="1" t="s">
        <v>159</v>
      </c>
      <c r="G2195" s="1">
        <v>0.0</v>
      </c>
      <c r="H2195" s="2">
        <v>0.10347222222222222</v>
      </c>
    </row>
    <row r="2196">
      <c r="A2196" s="1" t="s">
        <v>1803</v>
      </c>
      <c r="B2196" s="1" t="s">
        <v>484</v>
      </c>
      <c r="C2196" s="1">
        <v>45.0</v>
      </c>
      <c r="D2196" s="1" t="s">
        <v>1824</v>
      </c>
      <c r="E2196" s="1" t="s">
        <v>1825</v>
      </c>
      <c r="F2196" s="1" t="s">
        <v>159</v>
      </c>
      <c r="G2196" s="1">
        <v>0.0</v>
      </c>
      <c r="H2196" s="2">
        <v>0.1388888888888889</v>
      </c>
    </row>
    <row r="2197">
      <c r="A2197" s="1" t="s">
        <v>1803</v>
      </c>
      <c r="B2197" s="1" t="s">
        <v>484</v>
      </c>
      <c r="C2197" s="1">
        <v>46.0</v>
      </c>
      <c r="D2197" s="1" t="s">
        <v>160</v>
      </c>
      <c r="E2197" s="1" t="s">
        <v>109</v>
      </c>
      <c r="F2197" s="1" t="s">
        <v>110</v>
      </c>
      <c r="G2197" s="1">
        <v>0.0</v>
      </c>
      <c r="H2197" s="2">
        <v>0.1388888888888889</v>
      </c>
    </row>
    <row r="2198">
      <c r="A2198" s="1" t="s">
        <v>1803</v>
      </c>
      <c r="B2198" s="1" t="s">
        <v>484</v>
      </c>
      <c r="C2198" s="1">
        <v>47.0</v>
      </c>
      <c r="D2198" s="1" t="s">
        <v>548</v>
      </c>
      <c r="E2198" s="1" t="s">
        <v>549</v>
      </c>
      <c r="F2198" s="1" t="s">
        <v>214</v>
      </c>
      <c r="G2198" s="1">
        <v>1.0</v>
      </c>
      <c r="H2198" s="2">
        <v>0.13958333333333334</v>
      </c>
    </row>
    <row r="2199">
      <c r="A2199" s="1" t="s">
        <v>1803</v>
      </c>
      <c r="B2199" s="1" t="s">
        <v>484</v>
      </c>
      <c r="C2199" s="1">
        <v>48.0</v>
      </c>
      <c r="D2199" s="1" t="s">
        <v>512</v>
      </c>
      <c r="E2199" s="1" t="s">
        <v>513</v>
      </c>
      <c r="F2199" s="1" t="s">
        <v>512</v>
      </c>
      <c r="G2199" s="1">
        <v>0.0</v>
      </c>
      <c r="H2199" s="2">
        <v>0.14583333333333334</v>
      </c>
    </row>
    <row r="2200">
      <c r="A2200" s="1" t="s">
        <v>1803</v>
      </c>
      <c r="B2200" s="1" t="s">
        <v>484</v>
      </c>
      <c r="C2200" s="1">
        <v>49.0</v>
      </c>
      <c r="D2200" s="1" t="s">
        <v>1683</v>
      </c>
      <c r="E2200" s="1" t="s">
        <v>1826</v>
      </c>
      <c r="F2200" s="1" t="s">
        <v>159</v>
      </c>
      <c r="G2200" s="1">
        <v>1.0</v>
      </c>
      <c r="H2200" s="2">
        <v>0.13194444444444445</v>
      </c>
    </row>
    <row r="2201">
      <c r="A2201" s="1" t="s">
        <v>1803</v>
      </c>
      <c r="B2201" s="1" t="s">
        <v>484</v>
      </c>
      <c r="C2201" s="1">
        <v>50.0</v>
      </c>
      <c r="D2201" s="1" t="s">
        <v>507</v>
      </c>
      <c r="E2201" s="1" t="s">
        <v>508</v>
      </c>
      <c r="F2201" s="1" t="s">
        <v>207</v>
      </c>
      <c r="G2201" s="1">
        <v>1.0</v>
      </c>
      <c r="H2201" s="2">
        <v>0.13472222222222222</v>
      </c>
    </row>
    <row r="2202">
      <c r="A2202" s="1" t="s">
        <v>1827</v>
      </c>
      <c r="B2202" s="1" t="s">
        <v>133</v>
      </c>
      <c r="C2202" s="1">
        <v>1.0</v>
      </c>
      <c r="D2202" s="1" t="s">
        <v>108</v>
      </c>
      <c r="E2202" s="1" t="s">
        <v>109</v>
      </c>
      <c r="F2202" s="1" t="s">
        <v>110</v>
      </c>
      <c r="G2202" s="1">
        <v>0.0</v>
      </c>
      <c r="H2202" s="2">
        <v>0.10416666666666667</v>
      </c>
    </row>
    <row r="2203">
      <c r="A2203" s="1" t="s">
        <v>1827</v>
      </c>
      <c r="B2203" s="1" t="s">
        <v>133</v>
      </c>
      <c r="C2203" s="1">
        <v>2.0</v>
      </c>
      <c r="D2203" s="1" t="s">
        <v>141</v>
      </c>
      <c r="E2203" s="1" t="s">
        <v>142</v>
      </c>
      <c r="F2203" s="1" t="s">
        <v>141</v>
      </c>
      <c r="G2203" s="1">
        <v>0.0</v>
      </c>
      <c r="H2203" s="2">
        <v>0.13680555555555557</v>
      </c>
    </row>
    <row r="2204">
      <c r="A2204" s="1" t="s">
        <v>1827</v>
      </c>
      <c r="B2204" s="1" t="s">
        <v>133</v>
      </c>
      <c r="C2204" s="1">
        <v>3.0</v>
      </c>
      <c r="D2204" s="1" t="s">
        <v>352</v>
      </c>
      <c r="E2204" s="1" t="s">
        <v>353</v>
      </c>
      <c r="F2204" s="1" t="s">
        <v>207</v>
      </c>
      <c r="G2204" s="1">
        <v>1.0</v>
      </c>
      <c r="H2204" s="2">
        <v>0.1451388888888889</v>
      </c>
    </row>
    <row r="2205">
      <c r="A2205" s="1" t="s">
        <v>1827</v>
      </c>
      <c r="B2205" s="1" t="s">
        <v>133</v>
      </c>
      <c r="C2205" s="1">
        <v>4.0</v>
      </c>
      <c r="D2205" s="1" t="s">
        <v>145</v>
      </c>
      <c r="E2205" s="1" t="s">
        <v>146</v>
      </c>
      <c r="F2205" s="1" t="s">
        <v>145</v>
      </c>
      <c r="G2205" s="1">
        <v>0.0</v>
      </c>
      <c r="H2205" s="2">
        <v>0.15625</v>
      </c>
    </row>
    <row r="2206">
      <c r="A2206" s="1" t="s">
        <v>1827</v>
      </c>
      <c r="B2206" s="1" t="s">
        <v>133</v>
      </c>
      <c r="C2206" s="1">
        <v>5.0</v>
      </c>
      <c r="D2206" s="1" t="s">
        <v>136</v>
      </c>
      <c r="E2206" s="1" t="s">
        <v>137</v>
      </c>
      <c r="F2206" s="1" t="s">
        <v>138</v>
      </c>
      <c r="G2206" s="1">
        <v>0.0</v>
      </c>
      <c r="H2206" s="2">
        <v>0.16111111111111112</v>
      </c>
    </row>
    <row r="2207">
      <c r="A2207" s="1" t="s">
        <v>1827</v>
      </c>
      <c r="B2207" s="1" t="s">
        <v>133</v>
      </c>
      <c r="C2207" s="1">
        <v>6.0</v>
      </c>
      <c r="D2207" s="1" t="s">
        <v>143</v>
      </c>
      <c r="E2207" s="1" t="s">
        <v>144</v>
      </c>
      <c r="F2207" s="1" t="s">
        <v>143</v>
      </c>
      <c r="G2207" s="1">
        <v>0.0</v>
      </c>
      <c r="H2207" s="2">
        <v>0.14027777777777778</v>
      </c>
    </row>
    <row r="2208">
      <c r="A2208" s="1" t="s">
        <v>1827</v>
      </c>
      <c r="B2208" s="1" t="s">
        <v>133</v>
      </c>
      <c r="C2208" s="1">
        <v>7.0</v>
      </c>
      <c r="D2208" s="1" t="s">
        <v>177</v>
      </c>
      <c r="E2208" s="1" t="s">
        <v>178</v>
      </c>
      <c r="F2208" s="1" t="s">
        <v>67</v>
      </c>
      <c r="G2208" s="1">
        <v>1.0</v>
      </c>
      <c r="H2208" s="2">
        <v>0.14583333333333334</v>
      </c>
    </row>
    <row r="2209">
      <c r="A2209" s="1" t="s">
        <v>1827</v>
      </c>
      <c r="B2209" s="1" t="s">
        <v>133</v>
      </c>
      <c r="C2209" s="1">
        <v>8.0</v>
      </c>
      <c r="D2209" s="1" t="s">
        <v>65</v>
      </c>
      <c r="E2209" s="1" t="s">
        <v>66</v>
      </c>
      <c r="F2209" s="1" t="s">
        <v>67</v>
      </c>
      <c r="G2209" s="1">
        <v>1.0</v>
      </c>
      <c r="H2209" s="2">
        <v>0.2048611111111111</v>
      </c>
    </row>
    <row r="2210">
      <c r="A2210" s="1" t="s">
        <v>1827</v>
      </c>
      <c r="B2210" s="1" t="s">
        <v>133</v>
      </c>
      <c r="C2210" s="1">
        <v>9.0</v>
      </c>
      <c r="D2210" s="1" t="s">
        <v>71</v>
      </c>
      <c r="E2210" s="1" t="s">
        <v>72</v>
      </c>
      <c r="F2210" s="1" t="s">
        <v>67</v>
      </c>
      <c r="G2210" s="1">
        <v>0.0</v>
      </c>
      <c r="H2210" s="2">
        <v>0.11944444444444445</v>
      </c>
    </row>
    <row r="2211">
      <c r="A2211" s="1" t="s">
        <v>1827</v>
      </c>
      <c r="B2211" s="1" t="s">
        <v>133</v>
      </c>
      <c r="C2211" s="1">
        <v>10.0</v>
      </c>
      <c r="D2211" s="1" t="s">
        <v>206</v>
      </c>
      <c r="E2211" s="1" t="s">
        <v>72</v>
      </c>
      <c r="F2211" s="1" t="s">
        <v>207</v>
      </c>
      <c r="G2211" s="1">
        <v>1.0</v>
      </c>
      <c r="H2211" s="2">
        <v>0.12361111111111112</v>
      </c>
    </row>
    <row r="2212">
      <c r="A2212" s="1" t="s">
        <v>1827</v>
      </c>
      <c r="B2212" s="1" t="s">
        <v>133</v>
      </c>
      <c r="C2212" s="1">
        <v>11.0</v>
      </c>
      <c r="D2212" s="1" t="s">
        <v>151</v>
      </c>
      <c r="E2212" s="1" t="s">
        <v>152</v>
      </c>
      <c r="F2212" s="1" t="s">
        <v>153</v>
      </c>
      <c r="G2212" s="1">
        <v>1.0</v>
      </c>
      <c r="H2212" s="2">
        <v>0.1486111111111111</v>
      </c>
    </row>
    <row r="2213">
      <c r="A2213" s="1" t="s">
        <v>1827</v>
      </c>
      <c r="B2213" s="1" t="s">
        <v>133</v>
      </c>
      <c r="C2213" s="1">
        <v>12.0</v>
      </c>
      <c r="D2213" s="1" t="s">
        <v>129</v>
      </c>
      <c r="E2213" s="1" t="s">
        <v>130</v>
      </c>
      <c r="F2213" s="1" t="s">
        <v>131</v>
      </c>
      <c r="G2213" s="1">
        <v>0.0</v>
      </c>
      <c r="H2213" s="2">
        <v>0.1451388888888889</v>
      </c>
    </row>
    <row r="2214">
      <c r="A2214" s="1" t="s">
        <v>1827</v>
      </c>
      <c r="B2214" s="1" t="s">
        <v>133</v>
      </c>
      <c r="C2214" s="1">
        <v>13.0</v>
      </c>
      <c r="D2214" s="1" t="s">
        <v>147</v>
      </c>
      <c r="E2214" s="1" t="s">
        <v>148</v>
      </c>
      <c r="F2214" s="1" t="s">
        <v>149</v>
      </c>
      <c r="G2214" s="1">
        <v>0.0</v>
      </c>
      <c r="H2214" s="2">
        <v>0.17291666666666666</v>
      </c>
    </row>
    <row r="2215">
      <c r="A2215" s="1" t="s">
        <v>1827</v>
      </c>
      <c r="B2215" s="1" t="s">
        <v>133</v>
      </c>
      <c r="C2215" s="1">
        <v>14.0</v>
      </c>
      <c r="D2215" s="1" t="s">
        <v>157</v>
      </c>
      <c r="E2215" s="1" t="s">
        <v>158</v>
      </c>
      <c r="F2215" s="1" t="s">
        <v>159</v>
      </c>
      <c r="G2215" s="1">
        <v>0.0</v>
      </c>
      <c r="H2215" s="2">
        <v>0.12777777777777777</v>
      </c>
    </row>
    <row r="2216">
      <c r="A2216" s="1" t="s">
        <v>1827</v>
      </c>
      <c r="B2216" s="1" t="s">
        <v>133</v>
      </c>
      <c r="C2216" s="1">
        <v>15.0</v>
      </c>
      <c r="D2216" s="1" t="s">
        <v>172</v>
      </c>
      <c r="E2216" s="1" t="s">
        <v>72</v>
      </c>
      <c r="F2216" s="1" t="s">
        <v>67</v>
      </c>
      <c r="G2216" s="1">
        <v>1.0</v>
      </c>
      <c r="H2216" s="2">
        <v>0.11319444444444444</v>
      </c>
    </row>
    <row r="2217">
      <c r="A2217" s="1" t="s">
        <v>1827</v>
      </c>
      <c r="B2217" s="1" t="s">
        <v>133</v>
      </c>
      <c r="C2217" s="1">
        <v>16.0</v>
      </c>
      <c r="D2217" s="1" t="s">
        <v>161</v>
      </c>
      <c r="E2217" s="1" t="s">
        <v>162</v>
      </c>
      <c r="F2217" s="1" t="s">
        <v>161</v>
      </c>
      <c r="G2217" s="1">
        <v>0.0</v>
      </c>
      <c r="H2217" s="2">
        <v>0.15694444444444444</v>
      </c>
    </row>
    <row r="2218">
      <c r="A2218" s="1" t="s">
        <v>1827</v>
      </c>
      <c r="B2218" s="1" t="s">
        <v>133</v>
      </c>
      <c r="C2218" s="1">
        <v>17.0</v>
      </c>
      <c r="D2218" s="1" t="s">
        <v>330</v>
      </c>
      <c r="E2218" s="1" t="s">
        <v>72</v>
      </c>
      <c r="F2218" s="1" t="s">
        <v>67</v>
      </c>
      <c r="G2218" s="1">
        <v>0.0</v>
      </c>
      <c r="H2218" s="2">
        <v>0.11805555555555555</v>
      </c>
    </row>
    <row r="2219">
      <c r="A2219" s="1" t="s">
        <v>1827</v>
      </c>
      <c r="B2219" s="1" t="s">
        <v>133</v>
      </c>
      <c r="C2219" s="1">
        <v>18.0</v>
      </c>
      <c r="D2219" s="1" t="s">
        <v>548</v>
      </c>
      <c r="E2219" s="1" t="s">
        <v>549</v>
      </c>
      <c r="F2219" s="1" t="s">
        <v>214</v>
      </c>
      <c r="G2219" s="1">
        <v>1.0</v>
      </c>
      <c r="H2219" s="2">
        <v>0.13958333333333334</v>
      </c>
    </row>
    <row r="2220">
      <c r="A2220" s="1" t="s">
        <v>1827</v>
      </c>
      <c r="B2220" s="1" t="s">
        <v>133</v>
      </c>
      <c r="C2220" s="1">
        <v>19.0</v>
      </c>
      <c r="D2220" s="1" t="s">
        <v>212</v>
      </c>
      <c r="E2220" s="1" t="s">
        <v>213</v>
      </c>
      <c r="F2220" s="1" t="s">
        <v>214</v>
      </c>
      <c r="G2220" s="1">
        <v>1.0</v>
      </c>
      <c r="H2220" s="2">
        <v>0.2111111111111111</v>
      </c>
    </row>
    <row r="2221">
      <c r="A2221" s="1" t="s">
        <v>1827</v>
      </c>
      <c r="B2221" s="1" t="s">
        <v>133</v>
      </c>
      <c r="C2221" s="1">
        <v>20.0</v>
      </c>
      <c r="D2221" s="1" t="s">
        <v>308</v>
      </c>
      <c r="E2221" s="1" t="s">
        <v>309</v>
      </c>
      <c r="F2221" s="1" t="s">
        <v>308</v>
      </c>
      <c r="G2221" s="1">
        <v>1.0</v>
      </c>
      <c r="H2221" s="2">
        <v>0.07361111111111111</v>
      </c>
    </row>
    <row r="2222">
      <c r="A2222" s="1" t="s">
        <v>1827</v>
      </c>
      <c r="B2222" s="1" t="s">
        <v>133</v>
      </c>
      <c r="C2222" s="1">
        <v>21.0</v>
      </c>
      <c r="D2222" s="1" t="s">
        <v>179</v>
      </c>
      <c r="E2222" s="1" t="s">
        <v>180</v>
      </c>
      <c r="F2222" s="1" t="s">
        <v>181</v>
      </c>
      <c r="G2222" s="1">
        <v>1.0</v>
      </c>
      <c r="H2222" s="2">
        <v>0.20069444444444445</v>
      </c>
    </row>
    <row r="2223">
      <c r="A2223" s="1" t="s">
        <v>1827</v>
      </c>
      <c r="B2223" s="1" t="s">
        <v>133</v>
      </c>
      <c r="C2223" s="1">
        <v>22.0</v>
      </c>
      <c r="D2223" s="1" t="s">
        <v>338</v>
      </c>
      <c r="E2223" s="1" t="s">
        <v>339</v>
      </c>
      <c r="F2223" s="1" t="s">
        <v>340</v>
      </c>
      <c r="G2223" s="1">
        <v>0.0</v>
      </c>
      <c r="H2223" s="2">
        <v>0.13125</v>
      </c>
    </row>
    <row r="2224">
      <c r="A2224" s="1" t="s">
        <v>1827</v>
      </c>
      <c r="B2224" s="1" t="s">
        <v>133</v>
      </c>
      <c r="C2224" s="1">
        <v>23.0</v>
      </c>
      <c r="D2224" s="1" t="s">
        <v>498</v>
      </c>
      <c r="E2224" s="1" t="s">
        <v>499</v>
      </c>
      <c r="F2224" s="1" t="s">
        <v>500</v>
      </c>
      <c r="G2224" s="1">
        <v>1.0</v>
      </c>
      <c r="H2224" s="2">
        <v>0.15763888888888888</v>
      </c>
    </row>
    <row r="2225">
      <c r="A2225" s="1" t="s">
        <v>1827</v>
      </c>
      <c r="B2225" s="1" t="s">
        <v>133</v>
      </c>
      <c r="C2225" s="1">
        <v>24.0</v>
      </c>
      <c r="D2225" s="1" t="s">
        <v>326</v>
      </c>
      <c r="E2225" s="1" t="s">
        <v>327</v>
      </c>
      <c r="F2225" s="1" t="s">
        <v>328</v>
      </c>
      <c r="G2225" s="1">
        <v>0.0</v>
      </c>
      <c r="H2225" s="2">
        <v>0.1798611111111111</v>
      </c>
    </row>
    <row r="2226">
      <c r="A2226" s="1" t="s">
        <v>1827</v>
      </c>
      <c r="B2226" s="1" t="s">
        <v>133</v>
      </c>
      <c r="C2226" s="1">
        <v>25.0</v>
      </c>
      <c r="D2226" s="1" t="s">
        <v>501</v>
      </c>
      <c r="E2226" s="1" t="s">
        <v>502</v>
      </c>
      <c r="F2226" s="1" t="s">
        <v>207</v>
      </c>
      <c r="G2226" s="1">
        <v>1.0</v>
      </c>
      <c r="H2226" s="2">
        <v>0.12708333333333333</v>
      </c>
    </row>
    <row r="2227">
      <c r="A2227" s="1" t="s">
        <v>1827</v>
      </c>
      <c r="B2227" s="1" t="s">
        <v>133</v>
      </c>
      <c r="C2227" s="1">
        <v>26.0</v>
      </c>
      <c r="D2227" s="1" t="s">
        <v>169</v>
      </c>
      <c r="E2227" s="1" t="s">
        <v>170</v>
      </c>
      <c r="F2227" s="1" t="s">
        <v>171</v>
      </c>
      <c r="G2227" s="1">
        <v>0.0</v>
      </c>
      <c r="H2227" s="2">
        <v>0.1451388888888889</v>
      </c>
    </row>
    <row r="2228">
      <c r="A2228" s="1" t="s">
        <v>1827</v>
      </c>
      <c r="B2228" s="1" t="s">
        <v>133</v>
      </c>
      <c r="C2228" s="1">
        <v>27.0</v>
      </c>
      <c r="D2228" s="1" t="s">
        <v>165</v>
      </c>
      <c r="E2228" s="1" t="s">
        <v>166</v>
      </c>
      <c r="F2228" s="1" t="s">
        <v>165</v>
      </c>
      <c r="G2228" s="1">
        <v>0.0</v>
      </c>
      <c r="H2228" s="2">
        <v>0.13819444444444445</v>
      </c>
    </row>
    <row r="2229">
      <c r="A2229" s="1" t="s">
        <v>1827</v>
      </c>
      <c r="B2229" s="1" t="s">
        <v>133</v>
      </c>
      <c r="C2229" s="1">
        <v>28.0</v>
      </c>
      <c r="D2229" s="1" t="s">
        <v>656</v>
      </c>
      <c r="E2229" s="1" t="s">
        <v>657</v>
      </c>
      <c r="F2229" s="1" t="s">
        <v>656</v>
      </c>
      <c r="G2229" s="1">
        <v>0.0</v>
      </c>
      <c r="H2229" s="2">
        <v>0.14097222222222222</v>
      </c>
    </row>
    <row r="2230">
      <c r="A2230" s="1" t="s">
        <v>1827</v>
      </c>
      <c r="B2230" s="1" t="s">
        <v>133</v>
      </c>
      <c r="C2230" s="1">
        <v>29.0</v>
      </c>
      <c r="D2230" s="1" t="s">
        <v>86</v>
      </c>
      <c r="E2230" s="1" t="s">
        <v>87</v>
      </c>
      <c r="F2230" s="1" t="s">
        <v>86</v>
      </c>
      <c r="G2230" s="1">
        <v>0.0</v>
      </c>
      <c r="H2230" s="2">
        <v>0.1388888888888889</v>
      </c>
    </row>
    <row r="2231">
      <c r="A2231" s="1" t="s">
        <v>1827</v>
      </c>
      <c r="B2231" s="1" t="s">
        <v>133</v>
      </c>
      <c r="C2231" s="1">
        <v>30.0</v>
      </c>
      <c r="D2231" s="1" t="s">
        <v>336</v>
      </c>
      <c r="E2231" s="1" t="s">
        <v>337</v>
      </c>
      <c r="F2231" s="1" t="s">
        <v>336</v>
      </c>
      <c r="G2231" s="1">
        <v>0.0</v>
      </c>
      <c r="H2231" s="2">
        <v>0.1326388888888889</v>
      </c>
    </row>
    <row r="2232">
      <c r="A2232" s="1" t="s">
        <v>1827</v>
      </c>
      <c r="B2232" s="1" t="s">
        <v>133</v>
      </c>
      <c r="C2232" s="1">
        <v>31.0</v>
      </c>
      <c r="D2232" s="1" t="s">
        <v>349</v>
      </c>
      <c r="E2232" s="1" t="s">
        <v>72</v>
      </c>
      <c r="F2232" s="1" t="s">
        <v>67</v>
      </c>
      <c r="G2232" s="1">
        <v>1.0</v>
      </c>
      <c r="H2232" s="2">
        <v>0.13333333333333333</v>
      </c>
    </row>
    <row r="2233">
      <c r="A2233" s="1" t="s">
        <v>1827</v>
      </c>
      <c r="B2233" s="1" t="s">
        <v>133</v>
      </c>
      <c r="C2233" s="1">
        <v>32.0</v>
      </c>
      <c r="D2233" s="1" t="s">
        <v>11</v>
      </c>
      <c r="E2233" s="1" t="s">
        <v>12</v>
      </c>
      <c r="F2233" s="1" t="s">
        <v>13</v>
      </c>
      <c r="G2233" s="1">
        <v>0.0</v>
      </c>
      <c r="H2233" s="2">
        <v>0.1388888888888889</v>
      </c>
    </row>
    <row r="2234">
      <c r="A2234" s="1" t="s">
        <v>1827</v>
      </c>
      <c r="B2234" s="1" t="s">
        <v>133</v>
      </c>
      <c r="C2234" s="1">
        <v>33.0</v>
      </c>
      <c r="D2234" s="1" t="s">
        <v>23</v>
      </c>
      <c r="E2234" s="1" t="s">
        <v>24</v>
      </c>
      <c r="F2234" s="1" t="s">
        <v>23</v>
      </c>
      <c r="G2234" s="1">
        <v>0.0</v>
      </c>
      <c r="H2234" s="2">
        <v>0.12013888888888889</v>
      </c>
    </row>
    <row r="2235">
      <c r="A2235" s="1" t="s">
        <v>1827</v>
      </c>
      <c r="B2235" s="1" t="s">
        <v>133</v>
      </c>
      <c r="C2235" s="1">
        <v>34.0</v>
      </c>
      <c r="D2235" s="1" t="s">
        <v>173</v>
      </c>
      <c r="E2235" s="1" t="s">
        <v>109</v>
      </c>
      <c r="F2235" s="1" t="s">
        <v>110</v>
      </c>
      <c r="G2235" s="1">
        <v>0.0</v>
      </c>
      <c r="H2235" s="2">
        <v>0.10902777777777778</v>
      </c>
    </row>
    <row r="2236">
      <c r="A2236" s="1" t="s">
        <v>1827</v>
      </c>
      <c r="B2236" s="1" t="s">
        <v>133</v>
      </c>
      <c r="C2236" s="1">
        <v>35.0</v>
      </c>
      <c r="D2236" s="1" t="s">
        <v>535</v>
      </c>
      <c r="E2236" s="1" t="s">
        <v>536</v>
      </c>
      <c r="F2236" s="1" t="s">
        <v>537</v>
      </c>
      <c r="G2236" s="1">
        <v>0.0</v>
      </c>
      <c r="H2236" s="2">
        <v>0.17222222222222222</v>
      </c>
    </row>
    <row r="2237">
      <c r="A2237" s="1" t="s">
        <v>1827</v>
      </c>
      <c r="B2237" s="1" t="s">
        <v>133</v>
      </c>
      <c r="C2237" s="1">
        <v>36.0</v>
      </c>
      <c r="D2237" s="1" t="s">
        <v>512</v>
      </c>
      <c r="E2237" s="1" t="s">
        <v>513</v>
      </c>
      <c r="F2237" s="1" t="s">
        <v>512</v>
      </c>
      <c r="G2237" s="1">
        <v>0.0</v>
      </c>
      <c r="H2237" s="2">
        <v>0.14583333333333334</v>
      </c>
    </row>
    <row r="2238">
      <c r="A2238" s="1" t="s">
        <v>1827</v>
      </c>
      <c r="B2238" s="1" t="s">
        <v>133</v>
      </c>
      <c r="C2238" s="1">
        <v>37.0</v>
      </c>
      <c r="D2238" s="1" t="s">
        <v>514</v>
      </c>
      <c r="E2238" s="1" t="s">
        <v>152</v>
      </c>
      <c r="F2238" s="1" t="s">
        <v>153</v>
      </c>
      <c r="G2238" s="1">
        <v>1.0</v>
      </c>
      <c r="H2238" s="2">
        <v>0.12916666666666668</v>
      </c>
    </row>
    <row r="2239">
      <c r="A2239" s="1" t="s">
        <v>1827</v>
      </c>
      <c r="B2239" s="1" t="s">
        <v>133</v>
      </c>
      <c r="C2239" s="1">
        <v>38.0</v>
      </c>
      <c r="D2239" s="1" t="s">
        <v>160</v>
      </c>
      <c r="E2239" s="1" t="s">
        <v>109</v>
      </c>
      <c r="F2239" s="1" t="s">
        <v>110</v>
      </c>
      <c r="G2239" s="1">
        <v>0.0</v>
      </c>
      <c r="H2239" s="2">
        <v>0.1388888888888889</v>
      </c>
    </row>
    <row r="2240">
      <c r="A2240" s="1" t="s">
        <v>1827</v>
      </c>
      <c r="B2240" s="1" t="s">
        <v>133</v>
      </c>
      <c r="C2240" s="1">
        <v>39.0</v>
      </c>
      <c r="D2240" s="1" t="s">
        <v>505</v>
      </c>
      <c r="E2240" s="1" t="s">
        <v>506</v>
      </c>
      <c r="F2240" s="1" t="s">
        <v>67</v>
      </c>
      <c r="G2240" s="1">
        <v>1.0</v>
      </c>
      <c r="H2240" s="2">
        <v>0.14305555555555555</v>
      </c>
    </row>
    <row r="2241">
      <c r="A2241" s="1" t="s">
        <v>1827</v>
      </c>
      <c r="B2241" s="1" t="s">
        <v>133</v>
      </c>
      <c r="C2241" s="1">
        <v>40.0</v>
      </c>
      <c r="D2241" s="1" t="s">
        <v>322</v>
      </c>
      <c r="E2241" s="1" t="s">
        <v>323</v>
      </c>
      <c r="F2241" s="1" t="s">
        <v>322</v>
      </c>
      <c r="G2241" s="1">
        <v>0.0</v>
      </c>
      <c r="H2241" s="2">
        <v>0.10902777777777778</v>
      </c>
    </row>
    <row r="2242">
      <c r="A2242" s="1" t="s">
        <v>1827</v>
      </c>
      <c r="B2242" s="1" t="s">
        <v>133</v>
      </c>
      <c r="C2242" s="1">
        <v>41.0</v>
      </c>
      <c r="D2242" s="1" t="s">
        <v>538</v>
      </c>
      <c r="E2242" s="1" t="s">
        <v>539</v>
      </c>
      <c r="F2242" s="1" t="s">
        <v>540</v>
      </c>
      <c r="G2242" s="1">
        <v>1.0</v>
      </c>
      <c r="H2242" s="2">
        <v>0.15</v>
      </c>
    </row>
    <row r="2243">
      <c r="A2243" s="1" t="s">
        <v>1827</v>
      </c>
      <c r="B2243" s="1" t="s">
        <v>133</v>
      </c>
      <c r="C2243" s="1">
        <v>42.0</v>
      </c>
      <c r="D2243" s="1" t="s">
        <v>523</v>
      </c>
      <c r="E2243" s="1" t="s">
        <v>524</v>
      </c>
      <c r="F2243" s="1" t="s">
        <v>523</v>
      </c>
      <c r="G2243" s="1">
        <v>0.0</v>
      </c>
      <c r="H2243" s="2">
        <v>0.1875</v>
      </c>
    </row>
    <row r="2244">
      <c r="A2244" s="1" t="s">
        <v>1827</v>
      </c>
      <c r="B2244" s="1" t="s">
        <v>133</v>
      </c>
      <c r="C2244" s="1">
        <v>43.0</v>
      </c>
      <c r="D2244" s="1" t="s">
        <v>1828</v>
      </c>
      <c r="E2244" s="1" t="s">
        <v>1829</v>
      </c>
      <c r="F2244" s="1" t="s">
        <v>1830</v>
      </c>
      <c r="G2244" s="1">
        <v>1.0</v>
      </c>
      <c r="H2244" s="2">
        <v>0.21875</v>
      </c>
    </row>
    <row r="2245">
      <c r="A2245" s="1" t="s">
        <v>1827</v>
      </c>
      <c r="B2245" s="1" t="s">
        <v>133</v>
      </c>
      <c r="C2245" s="1">
        <v>44.0</v>
      </c>
      <c r="D2245" s="1" t="s">
        <v>503</v>
      </c>
      <c r="E2245" s="1" t="s">
        <v>504</v>
      </c>
      <c r="F2245" s="1" t="s">
        <v>207</v>
      </c>
      <c r="G2245" s="1">
        <v>1.0</v>
      </c>
      <c r="H2245" s="2">
        <v>0.14027777777777778</v>
      </c>
    </row>
    <row r="2246">
      <c r="A2246" s="1" t="s">
        <v>1827</v>
      </c>
      <c r="B2246" s="1" t="s">
        <v>133</v>
      </c>
      <c r="C2246" s="1">
        <v>45.0</v>
      </c>
      <c r="D2246" s="1" t="s">
        <v>9</v>
      </c>
      <c r="E2246" s="1" t="s">
        <v>10</v>
      </c>
      <c r="F2246" s="1" t="s">
        <v>9</v>
      </c>
      <c r="G2246" s="1">
        <v>0.0</v>
      </c>
      <c r="H2246" s="2">
        <v>0.12638888888888888</v>
      </c>
    </row>
    <row r="2247">
      <c r="A2247" s="1" t="s">
        <v>1827</v>
      </c>
      <c r="B2247" s="1" t="s">
        <v>133</v>
      </c>
      <c r="C2247" s="1">
        <v>46.0</v>
      </c>
      <c r="D2247" s="1" t="s">
        <v>331</v>
      </c>
      <c r="E2247" s="1" t="s">
        <v>332</v>
      </c>
      <c r="F2247" s="1" t="s">
        <v>333</v>
      </c>
      <c r="G2247" s="1">
        <v>0.0</v>
      </c>
      <c r="H2247" s="2">
        <v>0.16805555555555557</v>
      </c>
    </row>
    <row r="2248">
      <c r="A2248" s="1" t="s">
        <v>1827</v>
      </c>
      <c r="B2248" s="1" t="s">
        <v>133</v>
      </c>
      <c r="C2248" s="1">
        <v>47.0</v>
      </c>
      <c r="D2248" s="1" t="s">
        <v>131</v>
      </c>
      <c r="E2248" s="1" t="s">
        <v>150</v>
      </c>
      <c r="F2248" s="1" t="s">
        <v>131</v>
      </c>
      <c r="G2248" s="1">
        <v>0.0</v>
      </c>
      <c r="H2248" s="2">
        <v>0.12638888888888888</v>
      </c>
    </row>
    <row r="2249">
      <c r="A2249" s="1" t="s">
        <v>1827</v>
      </c>
      <c r="B2249" s="1" t="s">
        <v>133</v>
      </c>
      <c r="C2249" s="1">
        <v>48.0</v>
      </c>
      <c r="D2249" s="1" t="s">
        <v>507</v>
      </c>
      <c r="E2249" s="1" t="s">
        <v>508</v>
      </c>
      <c r="F2249" s="1" t="s">
        <v>207</v>
      </c>
      <c r="G2249" s="1">
        <v>1.0</v>
      </c>
      <c r="H2249" s="2">
        <v>0.13472222222222222</v>
      </c>
    </row>
    <row r="2250">
      <c r="A2250" s="1" t="s">
        <v>1827</v>
      </c>
      <c r="B2250" s="1" t="s">
        <v>133</v>
      </c>
      <c r="C2250" s="1">
        <v>49.0</v>
      </c>
      <c r="D2250" s="1" t="s">
        <v>203</v>
      </c>
      <c r="E2250" s="1" t="s">
        <v>204</v>
      </c>
      <c r="F2250" s="1" t="s">
        <v>205</v>
      </c>
      <c r="G2250" s="1">
        <v>0.0</v>
      </c>
      <c r="H2250" s="2">
        <v>0.22916666666666666</v>
      </c>
    </row>
    <row r="2251">
      <c r="A2251" s="1" t="s">
        <v>1827</v>
      </c>
      <c r="B2251" s="1" t="s">
        <v>133</v>
      </c>
      <c r="C2251" s="1">
        <v>50.0</v>
      </c>
      <c r="D2251" s="1" t="s">
        <v>324</v>
      </c>
      <c r="E2251" s="1" t="s">
        <v>325</v>
      </c>
      <c r="F2251" s="1" t="s">
        <v>324</v>
      </c>
      <c r="G2251" s="1">
        <v>1.0</v>
      </c>
      <c r="H2251" s="2">
        <v>0.15763888888888888</v>
      </c>
    </row>
    <row r="2252">
      <c r="A2252" s="1" t="s">
        <v>1831</v>
      </c>
      <c r="B2252" s="1" t="s">
        <v>133</v>
      </c>
      <c r="C2252" s="1">
        <v>1.0</v>
      </c>
      <c r="D2252" s="1" t="s">
        <v>129</v>
      </c>
      <c r="E2252" s="1" t="s">
        <v>130</v>
      </c>
      <c r="F2252" s="1" t="s">
        <v>131</v>
      </c>
      <c r="G2252" s="1">
        <v>0.0</v>
      </c>
      <c r="H2252" s="2">
        <v>0.1451388888888889</v>
      </c>
    </row>
    <row r="2253">
      <c r="A2253" s="1" t="s">
        <v>1831</v>
      </c>
      <c r="B2253" s="1" t="s">
        <v>133</v>
      </c>
      <c r="C2253" s="1">
        <v>2.0</v>
      </c>
      <c r="D2253" s="1" t="s">
        <v>65</v>
      </c>
      <c r="E2253" s="1" t="s">
        <v>66</v>
      </c>
      <c r="F2253" s="1" t="s">
        <v>67</v>
      </c>
      <c r="G2253" s="1">
        <v>1.0</v>
      </c>
      <c r="H2253" s="2">
        <v>0.2048611111111111</v>
      </c>
    </row>
    <row r="2254">
      <c r="A2254" s="1" t="s">
        <v>1831</v>
      </c>
      <c r="B2254" s="1" t="s">
        <v>133</v>
      </c>
      <c r="C2254" s="1">
        <v>3.0</v>
      </c>
      <c r="D2254" s="1" t="s">
        <v>71</v>
      </c>
      <c r="E2254" s="1" t="s">
        <v>72</v>
      </c>
      <c r="F2254" s="1" t="s">
        <v>67</v>
      </c>
      <c r="G2254" s="1">
        <v>0.0</v>
      </c>
      <c r="H2254" s="2">
        <v>0.11944444444444445</v>
      </c>
    </row>
    <row r="2255">
      <c r="A2255" s="1" t="s">
        <v>1831</v>
      </c>
      <c r="B2255" s="1" t="s">
        <v>133</v>
      </c>
      <c r="C2255" s="1">
        <v>4.0</v>
      </c>
      <c r="D2255" s="1" t="s">
        <v>141</v>
      </c>
      <c r="E2255" s="1" t="s">
        <v>142</v>
      </c>
      <c r="F2255" s="1" t="s">
        <v>141</v>
      </c>
      <c r="G2255" s="1">
        <v>0.0</v>
      </c>
      <c r="H2255" s="2">
        <v>0.13680555555555557</v>
      </c>
    </row>
    <row r="2256">
      <c r="A2256" s="1" t="s">
        <v>1831</v>
      </c>
      <c r="B2256" s="1" t="s">
        <v>133</v>
      </c>
      <c r="C2256" s="1">
        <v>5.0</v>
      </c>
      <c r="D2256" s="1" t="s">
        <v>143</v>
      </c>
      <c r="E2256" s="1" t="s">
        <v>144</v>
      </c>
      <c r="F2256" s="1" t="s">
        <v>143</v>
      </c>
      <c r="G2256" s="1">
        <v>0.0</v>
      </c>
      <c r="H2256" s="2">
        <v>0.14027777777777778</v>
      </c>
    </row>
    <row r="2257">
      <c r="A2257" s="1" t="s">
        <v>1831</v>
      </c>
      <c r="B2257" s="1" t="s">
        <v>133</v>
      </c>
      <c r="C2257" s="1">
        <v>6.0</v>
      </c>
      <c r="D2257" s="1" t="s">
        <v>131</v>
      </c>
      <c r="E2257" s="1" t="s">
        <v>150</v>
      </c>
      <c r="F2257" s="1" t="s">
        <v>131</v>
      </c>
      <c r="G2257" s="1">
        <v>0.0</v>
      </c>
      <c r="H2257" s="2">
        <v>0.12638888888888888</v>
      </c>
    </row>
    <row r="2258">
      <c r="A2258" s="1" t="s">
        <v>1831</v>
      </c>
      <c r="B2258" s="1" t="s">
        <v>133</v>
      </c>
      <c r="C2258" s="1">
        <v>7.0</v>
      </c>
      <c r="D2258" s="1" t="s">
        <v>11</v>
      </c>
      <c r="E2258" s="1" t="s">
        <v>12</v>
      </c>
      <c r="F2258" s="1" t="s">
        <v>13</v>
      </c>
      <c r="G2258" s="1">
        <v>0.0</v>
      </c>
      <c r="H2258" s="2">
        <v>0.1388888888888889</v>
      </c>
    </row>
    <row r="2259">
      <c r="A2259" s="1" t="s">
        <v>1831</v>
      </c>
      <c r="B2259" s="1" t="s">
        <v>133</v>
      </c>
      <c r="C2259" s="1">
        <v>8.0</v>
      </c>
      <c r="D2259" s="1" t="s">
        <v>147</v>
      </c>
      <c r="E2259" s="1" t="s">
        <v>148</v>
      </c>
      <c r="F2259" s="1" t="s">
        <v>149</v>
      </c>
      <c r="G2259" s="1">
        <v>0.0</v>
      </c>
      <c r="H2259" s="2">
        <v>0.17291666666666666</v>
      </c>
    </row>
    <row r="2260">
      <c r="A2260" s="1" t="s">
        <v>1831</v>
      </c>
      <c r="B2260" s="1" t="s">
        <v>133</v>
      </c>
      <c r="C2260" s="1">
        <v>9.0</v>
      </c>
      <c r="D2260" s="1" t="s">
        <v>136</v>
      </c>
      <c r="E2260" s="1" t="s">
        <v>137</v>
      </c>
      <c r="F2260" s="1" t="s">
        <v>138</v>
      </c>
      <c r="G2260" s="1">
        <v>0.0</v>
      </c>
      <c r="H2260" s="2">
        <v>0.16111111111111112</v>
      </c>
    </row>
    <row r="2261">
      <c r="A2261" s="1" t="s">
        <v>1831</v>
      </c>
      <c r="B2261" s="1" t="s">
        <v>133</v>
      </c>
      <c r="C2261" s="1">
        <v>10.0</v>
      </c>
      <c r="D2261" s="1" t="s">
        <v>151</v>
      </c>
      <c r="E2261" s="1" t="s">
        <v>152</v>
      </c>
      <c r="F2261" s="1" t="s">
        <v>153</v>
      </c>
      <c r="G2261" s="1">
        <v>1.0</v>
      </c>
      <c r="H2261" s="2">
        <v>0.1486111111111111</v>
      </c>
    </row>
    <row r="2262">
      <c r="A2262" s="1" t="s">
        <v>1831</v>
      </c>
      <c r="B2262" s="1" t="s">
        <v>133</v>
      </c>
      <c r="C2262" s="1">
        <v>11.0</v>
      </c>
      <c r="D2262" s="1" t="s">
        <v>179</v>
      </c>
      <c r="E2262" s="1" t="s">
        <v>180</v>
      </c>
      <c r="F2262" s="1" t="s">
        <v>181</v>
      </c>
      <c r="G2262" s="1">
        <v>1.0</v>
      </c>
      <c r="H2262" s="2">
        <v>0.20069444444444445</v>
      </c>
    </row>
    <row r="2263">
      <c r="A2263" s="1" t="s">
        <v>1831</v>
      </c>
      <c r="B2263" s="1" t="s">
        <v>133</v>
      </c>
      <c r="C2263" s="1">
        <v>12.0</v>
      </c>
      <c r="D2263" s="1" t="s">
        <v>108</v>
      </c>
      <c r="E2263" s="1" t="s">
        <v>109</v>
      </c>
      <c r="F2263" s="1" t="s">
        <v>110</v>
      </c>
      <c r="G2263" s="1">
        <v>0.0</v>
      </c>
      <c r="H2263" s="2">
        <v>0.10416666666666667</v>
      </c>
    </row>
    <row r="2264">
      <c r="A2264" s="1" t="s">
        <v>1831</v>
      </c>
      <c r="B2264" s="1" t="s">
        <v>133</v>
      </c>
      <c r="C2264" s="1">
        <v>13.0</v>
      </c>
      <c r="D2264" s="1" t="s">
        <v>157</v>
      </c>
      <c r="E2264" s="1" t="s">
        <v>158</v>
      </c>
      <c r="F2264" s="1" t="s">
        <v>159</v>
      </c>
      <c r="G2264" s="1">
        <v>0.0</v>
      </c>
      <c r="H2264" s="2">
        <v>0.12777777777777777</v>
      </c>
    </row>
    <row r="2265">
      <c r="A2265" s="1" t="s">
        <v>1831</v>
      </c>
      <c r="B2265" s="1" t="s">
        <v>133</v>
      </c>
      <c r="C2265" s="1">
        <v>14.0</v>
      </c>
      <c r="D2265" s="1" t="s">
        <v>169</v>
      </c>
      <c r="E2265" s="1" t="s">
        <v>170</v>
      </c>
      <c r="F2265" s="1" t="s">
        <v>171</v>
      </c>
      <c r="G2265" s="1">
        <v>0.0</v>
      </c>
      <c r="H2265" s="2">
        <v>0.1451388888888889</v>
      </c>
    </row>
    <row r="2266">
      <c r="A2266" s="1" t="s">
        <v>1831</v>
      </c>
      <c r="B2266" s="1" t="s">
        <v>133</v>
      </c>
      <c r="C2266" s="1">
        <v>15.0</v>
      </c>
      <c r="D2266" s="1" t="s">
        <v>341</v>
      </c>
      <c r="E2266" s="1" t="s">
        <v>342</v>
      </c>
      <c r="F2266" s="1" t="s">
        <v>343</v>
      </c>
      <c r="G2266" s="1">
        <v>0.0</v>
      </c>
      <c r="H2266" s="2">
        <v>0.11875</v>
      </c>
    </row>
    <row r="2267">
      <c r="A2267" s="1" t="s">
        <v>1831</v>
      </c>
      <c r="B2267" s="1" t="s">
        <v>133</v>
      </c>
      <c r="C2267" s="1">
        <v>16.0</v>
      </c>
      <c r="D2267" s="1" t="s">
        <v>86</v>
      </c>
      <c r="E2267" s="1" t="s">
        <v>87</v>
      </c>
      <c r="F2267" s="1" t="s">
        <v>86</v>
      </c>
      <c r="G2267" s="1">
        <v>0.0</v>
      </c>
      <c r="H2267" s="2">
        <v>0.1388888888888889</v>
      </c>
    </row>
    <row r="2268">
      <c r="A2268" s="1" t="s">
        <v>1831</v>
      </c>
      <c r="B2268" s="1" t="s">
        <v>133</v>
      </c>
      <c r="C2268" s="1">
        <v>17.0</v>
      </c>
      <c r="D2268" s="1" t="s">
        <v>338</v>
      </c>
      <c r="E2268" s="1" t="s">
        <v>339</v>
      </c>
      <c r="F2268" s="1" t="s">
        <v>340</v>
      </c>
      <c r="G2268" s="1">
        <v>0.0</v>
      </c>
      <c r="H2268" s="2">
        <v>0.13125</v>
      </c>
    </row>
    <row r="2269">
      <c r="A2269" s="1" t="s">
        <v>1831</v>
      </c>
      <c r="B2269" s="1" t="s">
        <v>133</v>
      </c>
      <c r="C2269" s="1">
        <v>18.0</v>
      </c>
      <c r="D2269" s="1" t="s">
        <v>27</v>
      </c>
      <c r="E2269" s="1" t="s">
        <v>28</v>
      </c>
      <c r="F2269" s="1" t="s">
        <v>29</v>
      </c>
      <c r="G2269" s="1">
        <v>0.0</v>
      </c>
      <c r="H2269" s="2">
        <v>0.12708333333333333</v>
      </c>
    </row>
    <row r="2270">
      <c r="A2270" s="1" t="s">
        <v>1831</v>
      </c>
      <c r="B2270" s="1" t="s">
        <v>133</v>
      </c>
      <c r="C2270" s="1">
        <v>19.0</v>
      </c>
      <c r="D2270" s="1" t="s">
        <v>322</v>
      </c>
      <c r="E2270" s="1" t="s">
        <v>323</v>
      </c>
      <c r="F2270" s="1" t="s">
        <v>322</v>
      </c>
      <c r="G2270" s="1">
        <v>0.0</v>
      </c>
      <c r="H2270" s="2">
        <v>0.10902777777777778</v>
      </c>
    </row>
    <row r="2271">
      <c r="A2271" s="1" t="s">
        <v>1831</v>
      </c>
      <c r="B2271" s="1" t="s">
        <v>133</v>
      </c>
      <c r="C2271" s="1">
        <v>20.0</v>
      </c>
      <c r="D2271" s="1" t="s">
        <v>160</v>
      </c>
      <c r="E2271" s="1" t="s">
        <v>109</v>
      </c>
      <c r="F2271" s="1" t="s">
        <v>110</v>
      </c>
      <c r="G2271" s="1">
        <v>0.0</v>
      </c>
      <c r="H2271" s="2">
        <v>0.1388888888888889</v>
      </c>
    </row>
    <row r="2272">
      <c r="A2272" s="1" t="s">
        <v>1831</v>
      </c>
      <c r="B2272" s="1" t="s">
        <v>133</v>
      </c>
      <c r="C2272" s="1">
        <v>21.0</v>
      </c>
      <c r="D2272" s="1" t="s">
        <v>23</v>
      </c>
      <c r="E2272" s="1" t="s">
        <v>24</v>
      </c>
      <c r="F2272" s="1" t="s">
        <v>23</v>
      </c>
      <c r="G2272" s="1">
        <v>0.0</v>
      </c>
      <c r="H2272" s="2">
        <v>0.12013888888888889</v>
      </c>
    </row>
    <row r="2273">
      <c r="A2273" s="1" t="s">
        <v>1831</v>
      </c>
      <c r="B2273" s="1" t="s">
        <v>133</v>
      </c>
      <c r="C2273" s="1">
        <v>22.0</v>
      </c>
      <c r="D2273" s="1" t="s">
        <v>161</v>
      </c>
      <c r="E2273" s="1" t="s">
        <v>162</v>
      </c>
      <c r="F2273" s="1" t="s">
        <v>161</v>
      </c>
      <c r="G2273" s="1">
        <v>0.0</v>
      </c>
      <c r="H2273" s="2">
        <v>0.15694444444444444</v>
      </c>
    </row>
    <row r="2274">
      <c r="A2274" s="1" t="s">
        <v>1831</v>
      </c>
      <c r="B2274" s="1" t="s">
        <v>133</v>
      </c>
      <c r="C2274" s="1">
        <v>23.0</v>
      </c>
      <c r="D2274" s="1" t="s">
        <v>330</v>
      </c>
      <c r="E2274" s="1" t="s">
        <v>72</v>
      </c>
      <c r="F2274" s="1" t="s">
        <v>67</v>
      </c>
      <c r="G2274" s="1">
        <v>0.0</v>
      </c>
      <c r="H2274" s="2">
        <v>0.11805555555555555</v>
      </c>
    </row>
    <row r="2275">
      <c r="A2275" s="1" t="s">
        <v>1831</v>
      </c>
      <c r="B2275" s="1" t="s">
        <v>133</v>
      </c>
      <c r="C2275" s="1">
        <v>24.0</v>
      </c>
      <c r="D2275" s="1" t="s">
        <v>165</v>
      </c>
      <c r="E2275" s="1" t="s">
        <v>166</v>
      </c>
      <c r="F2275" s="1" t="s">
        <v>165</v>
      </c>
      <c r="G2275" s="1">
        <v>0.0</v>
      </c>
      <c r="H2275" s="2">
        <v>0.13819444444444445</v>
      </c>
    </row>
    <row r="2276">
      <c r="A2276" s="1" t="s">
        <v>1831</v>
      </c>
      <c r="B2276" s="1" t="s">
        <v>133</v>
      </c>
      <c r="C2276" s="1">
        <v>25.0</v>
      </c>
      <c r="D2276" s="1" t="s">
        <v>326</v>
      </c>
      <c r="E2276" s="1" t="s">
        <v>327</v>
      </c>
      <c r="F2276" s="1" t="s">
        <v>328</v>
      </c>
      <c r="G2276" s="1">
        <v>0.0</v>
      </c>
      <c r="H2276" s="2">
        <v>0.1798611111111111</v>
      </c>
    </row>
    <row r="2277">
      <c r="A2277" s="1" t="s">
        <v>1831</v>
      </c>
      <c r="B2277" s="1" t="s">
        <v>133</v>
      </c>
      <c r="C2277" s="1">
        <v>26.0</v>
      </c>
      <c r="D2277" s="1" t="s">
        <v>212</v>
      </c>
      <c r="E2277" s="1" t="s">
        <v>213</v>
      </c>
      <c r="F2277" s="1" t="s">
        <v>214</v>
      </c>
      <c r="G2277" s="1">
        <v>1.0</v>
      </c>
      <c r="H2277" s="2">
        <v>0.2111111111111111</v>
      </c>
    </row>
    <row r="2278">
      <c r="A2278" s="1" t="s">
        <v>1831</v>
      </c>
      <c r="B2278" s="1" t="s">
        <v>133</v>
      </c>
      <c r="C2278" s="1">
        <v>27.0</v>
      </c>
      <c r="D2278" s="1" t="s">
        <v>33</v>
      </c>
      <c r="E2278" s="1" t="s">
        <v>34</v>
      </c>
      <c r="F2278" s="1" t="s">
        <v>35</v>
      </c>
      <c r="G2278" s="1">
        <v>0.0</v>
      </c>
      <c r="H2278" s="2">
        <v>0.1451388888888889</v>
      </c>
    </row>
    <row r="2279">
      <c r="A2279" s="1" t="s">
        <v>1831</v>
      </c>
      <c r="B2279" s="1" t="s">
        <v>133</v>
      </c>
      <c r="C2279" s="1">
        <v>28.0</v>
      </c>
      <c r="D2279" s="1" t="s">
        <v>177</v>
      </c>
      <c r="E2279" s="1" t="s">
        <v>178</v>
      </c>
      <c r="F2279" s="1" t="s">
        <v>67</v>
      </c>
      <c r="G2279" s="1">
        <v>1.0</v>
      </c>
      <c r="H2279" s="2">
        <v>0.14583333333333334</v>
      </c>
    </row>
    <row r="2280">
      <c r="A2280" s="1" t="s">
        <v>1831</v>
      </c>
      <c r="B2280" s="1" t="s">
        <v>133</v>
      </c>
      <c r="C2280" s="1">
        <v>29.0</v>
      </c>
      <c r="D2280" s="1" t="s">
        <v>172</v>
      </c>
      <c r="E2280" s="1" t="s">
        <v>72</v>
      </c>
      <c r="F2280" s="1" t="s">
        <v>67</v>
      </c>
      <c r="G2280" s="1">
        <v>1.0</v>
      </c>
      <c r="H2280" s="2">
        <v>0.11319444444444444</v>
      </c>
    </row>
    <row r="2281">
      <c r="A2281" s="1" t="s">
        <v>1831</v>
      </c>
      <c r="B2281" s="1" t="s">
        <v>133</v>
      </c>
      <c r="C2281" s="1">
        <v>30.0</v>
      </c>
      <c r="D2281" s="1" t="s">
        <v>173</v>
      </c>
      <c r="E2281" s="1" t="s">
        <v>109</v>
      </c>
      <c r="F2281" s="1" t="s">
        <v>110</v>
      </c>
      <c r="G2281" s="1">
        <v>0.0</v>
      </c>
      <c r="H2281" s="2">
        <v>0.10902777777777778</v>
      </c>
    </row>
    <row r="2282">
      <c r="A2282" s="1" t="s">
        <v>1831</v>
      </c>
      <c r="B2282" s="1" t="s">
        <v>133</v>
      </c>
      <c r="C2282" s="1">
        <v>31.0</v>
      </c>
      <c r="D2282" s="1" t="s">
        <v>206</v>
      </c>
      <c r="E2282" s="1" t="s">
        <v>72</v>
      </c>
      <c r="F2282" s="1" t="s">
        <v>207</v>
      </c>
      <c r="G2282" s="1">
        <v>1.0</v>
      </c>
      <c r="H2282" s="2">
        <v>0.12361111111111112</v>
      </c>
    </row>
    <row r="2283">
      <c r="A2283" s="1" t="s">
        <v>1831</v>
      </c>
      <c r="B2283" s="1" t="s">
        <v>133</v>
      </c>
      <c r="C2283" s="1">
        <v>32.0</v>
      </c>
      <c r="D2283" s="1" t="s">
        <v>190</v>
      </c>
      <c r="E2283" s="1" t="s">
        <v>191</v>
      </c>
      <c r="F2283" s="1" t="s">
        <v>190</v>
      </c>
      <c r="G2283" s="1">
        <v>0.0</v>
      </c>
      <c r="H2283" s="2">
        <v>0.14652777777777778</v>
      </c>
    </row>
    <row r="2284">
      <c r="A2284" s="1" t="s">
        <v>1831</v>
      </c>
      <c r="B2284" s="1" t="s">
        <v>133</v>
      </c>
      <c r="C2284" s="1">
        <v>33.0</v>
      </c>
      <c r="D2284" s="1" t="s">
        <v>334</v>
      </c>
      <c r="E2284" s="1" t="s">
        <v>335</v>
      </c>
      <c r="F2284" s="1" t="s">
        <v>334</v>
      </c>
      <c r="G2284" s="1">
        <v>0.0</v>
      </c>
      <c r="H2284" s="2">
        <v>0.15069444444444444</v>
      </c>
    </row>
    <row r="2285">
      <c r="A2285" s="1" t="s">
        <v>1831</v>
      </c>
      <c r="B2285" s="1" t="s">
        <v>133</v>
      </c>
      <c r="C2285" s="1">
        <v>34.0</v>
      </c>
      <c r="D2285" s="1" t="s">
        <v>528</v>
      </c>
      <c r="E2285" s="1" t="s">
        <v>529</v>
      </c>
      <c r="F2285" s="1" t="s">
        <v>528</v>
      </c>
      <c r="G2285" s="1">
        <v>0.0</v>
      </c>
      <c r="H2285" s="2">
        <v>0.14027777777777778</v>
      </c>
    </row>
    <row r="2286">
      <c r="A2286" s="1" t="s">
        <v>1831</v>
      </c>
      <c r="B2286" s="1" t="s">
        <v>133</v>
      </c>
      <c r="C2286" s="1">
        <v>35.0</v>
      </c>
      <c r="D2286" s="1" t="s">
        <v>535</v>
      </c>
      <c r="E2286" s="1" t="s">
        <v>536</v>
      </c>
      <c r="F2286" s="1" t="s">
        <v>537</v>
      </c>
      <c r="G2286" s="1">
        <v>0.0</v>
      </c>
      <c r="H2286" s="2">
        <v>0.17222222222222222</v>
      </c>
    </row>
    <row r="2287">
      <c r="A2287" s="1" t="s">
        <v>1831</v>
      </c>
      <c r="B2287" s="1" t="s">
        <v>133</v>
      </c>
      <c r="C2287" s="1">
        <v>36.0</v>
      </c>
      <c r="D2287" s="1" t="s">
        <v>192</v>
      </c>
      <c r="E2287" s="1" t="s">
        <v>193</v>
      </c>
      <c r="F2287" s="1" t="s">
        <v>131</v>
      </c>
      <c r="G2287" s="1">
        <v>0.0</v>
      </c>
      <c r="H2287" s="2">
        <v>0.12430555555555556</v>
      </c>
    </row>
    <row r="2288">
      <c r="A2288" s="1" t="s">
        <v>1831</v>
      </c>
      <c r="B2288" s="1" t="s">
        <v>133</v>
      </c>
      <c r="C2288" s="1">
        <v>37.0</v>
      </c>
      <c r="D2288" s="1" t="s">
        <v>354</v>
      </c>
      <c r="E2288" s="1" t="s">
        <v>355</v>
      </c>
      <c r="F2288" s="1" t="s">
        <v>356</v>
      </c>
      <c r="G2288" s="1">
        <v>0.0</v>
      </c>
      <c r="H2288" s="2">
        <v>0.12569444444444444</v>
      </c>
    </row>
    <row r="2289">
      <c r="A2289" s="1" t="s">
        <v>1831</v>
      </c>
      <c r="B2289" s="1" t="s">
        <v>133</v>
      </c>
      <c r="C2289" s="1">
        <v>38.0</v>
      </c>
      <c r="D2289" s="1" t="s">
        <v>172</v>
      </c>
      <c r="E2289" s="1" t="s">
        <v>130</v>
      </c>
      <c r="F2289" s="1" t="s">
        <v>131</v>
      </c>
      <c r="G2289" s="1">
        <v>0.0</v>
      </c>
      <c r="H2289" s="2">
        <v>0.10972222222222222</v>
      </c>
    </row>
    <row r="2290">
      <c r="A2290" s="1" t="s">
        <v>1831</v>
      </c>
      <c r="B2290" s="1" t="s">
        <v>133</v>
      </c>
      <c r="C2290" s="1">
        <v>39.0</v>
      </c>
      <c r="D2290" s="1" t="s">
        <v>520</v>
      </c>
      <c r="E2290" s="1" t="s">
        <v>521</v>
      </c>
      <c r="F2290" s="1" t="s">
        <v>522</v>
      </c>
      <c r="G2290" s="1">
        <v>0.0</v>
      </c>
      <c r="H2290" s="2">
        <v>0.18541666666666667</v>
      </c>
    </row>
    <row r="2291">
      <c r="A2291" s="1" t="s">
        <v>1831</v>
      </c>
      <c r="B2291" s="1" t="s">
        <v>133</v>
      </c>
      <c r="C2291" s="1">
        <v>40.0</v>
      </c>
      <c r="D2291" s="1" t="s">
        <v>9</v>
      </c>
      <c r="E2291" s="1" t="s">
        <v>10</v>
      </c>
      <c r="F2291" s="1" t="s">
        <v>9</v>
      </c>
      <c r="G2291" s="1">
        <v>0.0</v>
      </c>
      <c r="H2291" s="2">
        <v>0.12638888888888888</v>
      </c>
    </row>
    <row r="2292">
      <c r="A2292" s="1" t="s">
        <v>1831</v>
      </c>
      <c r="B2292" s="1" t="s">
        <v>133</v>
      </c>
      <c r="C2292" s="1">
        <v>41.0</v>
      </c>
      <c r="D2292" s="1" t="s">
        <v>503</v>
      </c>
      <c r="E2292" s="1" t="s">
        <v>504</v>
      </c>
      <c r="F2292" s="1" t="s">
        <v>207</v>
      </c>
      <c r="G2292" s="1">
        <v>1.0</v>
      </c>
      <c r="H2292" s="2">
        <v>0.14027777777777778</v>
      </c>
    </row>
    <row r="2293">
      <c r="A2293" s="1" t="s">
        <v>1831</v>
      </c>
      <c r="B2293" s="1" t="s">
        <v>133</v>
      </c>
      <c r="C2293" s="1">
        <v>42.0</v>
      </c>
      <c r="D2293" s="1" t="s">
        <v>360</v>
      </c>
      <c r="E2293" s="1" t="s">
        <v>361</v>
      </c>
      <c r="F2293" s="1" t="s">
        <v>360</v>
      </c>
      <c r="G2293" s="1">
        <v>0.0</v>
      </c>
      <c r="H2293" s="2">
        <v>0.20902777777777778</v>
      </c>
    </row>
    <row r="2294">
      <c r="A2294" s="1" t="s">
        <v>1831</v>
      </c>
      <c r="B2294" s="1" t="s">
        <v>133</v>
      </c>
      <c r="C2294" s="1">
        <v>43.0</v>
      </c>
      <c r="D2294" s="1" t="s">
        <v>1832</v>
      </c>
      <c r="E2294" s="1" t="s">
        <v>1833</v>
      </c>
      <c r="F2294" s="1" t="s">
        <v>1834</v>
      </c>
      <c r="G2294" s="1">
        <v>0.0</v>
      </c>
      <c r="H2294" s="2">
        <v>0.17916666666666667</v>
      </c>
    </row>
    <row r="2295">
      <c r="A2295" s="1" t="s">
        <v>1831</v>
      </c>
      <c r="B2295" s="1" t="s">
        <v>133</v>
      </c>
      <c r="C2295" s="1">
        <v>44.0</v>
      </c>
      <c r="D2295" s="1" t="s">
        <v>1835</v>
      </c>
      <c r="E2295" s="1" t="s">
        <v>1836</v>
      </c>
      <c r="F2295" s="1" t="s">
        <v>1837</v>
      </c>
      <c r="G2295" s="1">
        <v>1.0</v>
      </c>
      <c r="H2295" s="2">
        <v>0.13333333333333333</v>
      </c>
    </row>
    <row r="2296">
      <c r="A2296" s="1" t="s">
        <v>1831</v>
      </c>
      <c r="B2296" s="1" t="s">
        <v>133</v>
      </c>
      <c r="C2296" s="1">
        <v>45.0</v>
      </c>
      <c r="D2296" s="1" t="s">
        <v>357</v>
      </c>
      <c r="E2296" s="1" t="s">
        <v>358</v>
      </c>
      <c r="F2296" s="1" t="s">
        <v>359</v>
      </c>
      <c r="G2296" s="1">
        <v>1.0</v>
      </c>
      <c r="H2296" s="2">
        <v>0.14166666666666666</v>
      </c>
    </row>
    <row r="2297">
      <c r="A2297" s="1" t="s">
        <v>1831</v>
      </c>
      <c r="B2297" s="1" t="s">
        <v>133</v>
      </c>
      <c r="C2297" s="1">
        <v>46.0</v>
      </c>
      <c r="D2297" s="1" t="s">
        <v>514</v>
      </c>
      <c r="E2297" s="1" t="s">
        <v>152</v>
      </c>
      <c r="F2297" s="1" t="s">
        <v>153</v>
      </c>
      <c r="G2297" s="1">
        <v>1.0</v>
      </c>
      <c r="H2297" s="2">
        <v>0.12916666666666668</v>
      </c>
    </row>
    <row r="2298">
      <c r="A2298" s="1" t="s">
        <v>1831</v>
      </c>
      <c r="B2298" s="1" t="s">
        <v>133</v>
      </c>
      <c r="C2298" s="1">
        <v>47.0</v>
      </c>
      <c r="D2298" s="1" t="s">
        <v>17</v>
      </c>
      <c r="E2298" s="1" t="s">
        <v>18</v>
      </c>
      <c r="F2298" s="1" t="s">
        <v>19</v>
      </c>
      <c r="G2298" s="1">
        <v>1.0</v>
      </c>
      <c r="H2298" s="2">
        <v>0.12222222222222222</v>
      </c>
    </row>
    <row r="2299">
      <c r="A2299" s="1" t="s">
        <v>1831</v>
      </c>
      <c r="B2299" s="1" t="s">
        <v>133</v>
      </c>
      <c r="C2299" s="1">
        <v>48.0</v>
      </c>
      <c r="D2299" s="1" t="s">
        <v>1838</v>
      </c>
      <c r="E2299" s="1" t="s">
        <v>1839</v>
      </c>
      <c r="F2299" s="1" t="s">
        <v>1838</v>
      </c>
      <c r="G2299" s="1">
        <v>0.0</v>
      </c>
      <c r="H2299" s="2">
        <v>0.16041666666666668</v>
      </c>
    </row>
    <row r="2300">
      <c r="A2300" s="1" t="s">
        <v>1831</v>
      </c>
      <c r="B2300" s="1" t="s">
        <v>133</v>
      </c>
      <c r="C2300" s="1">
        <v>49.0</v>
      </c>
      <c r="D2300" s="1" t="s">
        <v>336</v>
      </c>
      <c r="E2300" s="1" t="s">
        <v>337</v>
      </c>
      <c r="F2300" s="1" t="s">
        <v>336</v>
      </c>
      <c r="G2300" s="1">
        <v>0.0</v>
      </c>
      <c r="H2300" s="2">
        <v>0.1326388888888889</v>
      </c>
    </row>
    <row r="2301">
      <c r="A2301" s="1" t="s">
        <v>1831</v>
      </c>
      <c r="B2301" s="1" t="s">
        <v>133</v>
      </c>
      <c r="C2301" s="1">
        <v>50.0</v>
      </c>
      <c r="D2301" s="1" t="s">
        <v>344</v>
      </c>
      <c r="E2301" s="1" t="s">
        <v>345</v>
      </c>
      <c r="F2301" s="1" t="s">
        <v>346</v>
      </c>
      <c r="G2301" s="1">
        <v>0.0</v>
      </c>
      <c r="H2301" s="2">
        <v>0.21458333333333332</v>
      </c>
    </row>
    <row r="2302">
      <c r="A2302" s="1" t="s">
        <v>1840</v>
      </c>
      <c r="B2302" s="1" t="s">
        <v>903</v>
      </c>
      <c r="C2302" s="1">
        <v>1.0</v>
      </c>
      <c r="D2302" s="1" t="s">
        <v>9</v>
      </c>
      <c r="E2302" s="1" t="s">
        <v>10</v>
      </c>
      <c r="F2302" s="1" t="s">
        <v>9</v>
      </c>
      <c r="G2302" s="1">
        <v>0.0</v>
      </c>
      <c r="H2302" s="2">
        <v>0.12638888888888888</v>
      </c>
    </row>
    <row r="2303">
      <c r="A2303" s="1" t="s">
        <v>1840</v>
      </c>
      <c r="B2303" s="1" t="s">
        <v>903</v>
      </c>
      <c r="C2303" s="1">
        <v>2.0</v>
      </c>
      <c r="D2303" s="1" t="s">
        <v>1841</v>
      </c>
      <c r="E2303" s="1" t="s">
        <v>1842</v>
      </c>
      <c r="F2303" s="1" t="s">
        <v>1841</v>
      </c>
      <c r="G2303" s="1">
        <v>0.0</v>
      </c>
      <c r="H2303" s="2">
        <v>0.1361111111111111</v>
      </c>
    </row>
    <row r="2304">
      <c r="A2304" s="1" t="s">
        <v>1840</v>
      </c>
      <c r="B2304" s="1" t="s">
        <v>903</v>
      </c>
      <c r="C2304" s="1">
        <v>3.0</v>
      </c>
      <c r="D2304" s="1" t="s">
        <v>30</v>
      </c>
      <c r="E2304" s="1" t="s">
        <v>31</v>
      </c>
      <c r="F2304" s="1" t="s">
        <v>32</v>
      </c>
      <c r="G2304" s="1">
        <v>0.0</v>
      </c>
      <c r="H2304" s="2">
        <v>0.15833333333333333</v>
      </c>
    </row>
    <row r="2305">
      <c r="A2305" s="1" t="s">
        <v>1840</v>
      </c>
      <c r="B2305" s="1" t="s">
        <v>903</v>
      </c>
      <c r="C2305" s="1">
        <v>4.0</v>
      </c>
      <c r="D2305" s="1" t="s">
        <v>50</v>
      </c>
      <c r="E2305" s="1" t="s">
        <v>51</v>
      </c>
      <c r="F2305" s="1" t="s">
        <v>52</v>
      </c>
      <c r="G2305" s="1">
        <v>0.0</v>
      </c>
      <c r="H2305" s="2">
        <v>0.14722222222222223</v>
      </c>
    </row>
    <row r="2306">
      <c r="A2306" s="1" t="s">
        <v>1840</v>
      </c>
      <c r="B2306" s="1" t="s">
        <v>903</v>
      </c>
      <c r="C2306" s="1">
        <v>5.0</v>
      </c>
      <c r="D2306" s="1" t="s">
        <v>27</v>
      </c>
      <c r="E2306" s="1" t="s">
        <v>28</v>
      </c>
      <c r="F2306" s="1" t="s">
        <v>29</v>
      </c>
      <c r="G2306" s="1">
        <v>0.0</v>
      </c>
      <c r="H2306" s="2">
        <v>0.12708333333333333</v>
      </c>
    </row>
    <row r="2307">
      <c r="A2307" s="1" t="s">
        <v>1840</v>
      </c>
      <c r="B2307" s="1" t="s">
        <v>903</v>
      </c>
      <c r="C2307" s="1">
        <v>6.0</v>
      </c>
      <c r="D2307" s="1" t="s">
        <v>54</v>
      </c>
      <c r="E2307" s="1" t="s">
        <v>55</v>
      </c>
      <c r="F2307" s="1" t="s">
        <v>56</v>
      </c>
      <c r="G2307" s="1">
        <v>0.0</v>
      </c>
      <c r="H2307" s="2">
        <v>0.10972222222222222</v>
      </c>
    </row>
    <row r="2308">
      <c r="A2308" s="1" t="s">
        <v>1840</v>
      </c>
      <c r="B2308" s="1" t="s">
        <v>903</v>
      </c>
      <c r="C2308" s="1">
        <v>7.0</v>
      </c>
      <c r="D2308" s="1" t="s">
        <v>23</v>
      </c>
      <c r="E2308" s="1" t="s">
        <v>24</v>
      </c>
      <c r="F2308" s="1" t="s">
        <v>23</v>
      </c>
      <c r="G2308" s="1">
        <v>0.0</v>
      </c>
      <c r="H2308" s="2">
        <v>0.12013888888888889</v>
      </c>
    </row>
    <row r="2309">
      <c r="A2309" s="1" t="s">
        <v>1840</v>
      </c>
      <c r="B2309" s="1" t="s">
        <v>903</v>
      </c>
      <c r="C2309" s="1">
        <v>8.0</v>
      </c>
      <c r="D2309" s="1" t="s">
        <v>47</v>
      </c>
      <c r="E2309" s="1" t="s">
        <v>48</v>
      </c>
      <c r="F2309" s="1" t="s">
        <v>49</v>
      </c>
      <c r="G2309" s="1">
        <v>1.0</v>
      </c>
      <c r="H2309" s="2">
        <v>0.15486111111111112</v>
      </c>
    </row>
    <row r="2310">
      <c r="A2310" s="1" t="s">
        <v>1840</v>
      </c>
      <c r="B2310" s="1" t="s">
        <v>903</v>
      </c>
      <c r="C2310" s="1">
        <v>9.0</v>
      </c>
      <c r="D2310" s="1" t="s">
        <v>1843</v>
      </c>
      <c r="E2310" s="1" t="s">
        <v>1844</v>
      </c>
      <c r="F2310" s="1" t="s">
        <v>1843</v>
      </c>
      <c r="G2310" s="1">
        <v>0.0</v>
      </c>
      <c r="H2310" s="2">
        <v>0.22291666666666668</v>
      </c>
    </row>
    <row r="2311">
      <c r="A2311" s="1" t="s">
        <v>1840</v>
      </c>
      <c r="B2311" s="1" t="s">
        <v>903</v>
      </c>
      <c r="C2311" s="1">
        <v>10.0</v>
      </c>
      <c r="D2311" s="1" t="s">
        <v>1845</v>
      </c>
      <c r="E2311" s="1" t="s">
        <v>1846</v>
      </c>
      <c r="F2311" s="1" t="s">
        <v>1845</v>
      </c>
      <c r="G2311" s="1">
        <v>0.0</v>
      </c>
      <c r="H2311" s="2">
        <v>0.13472222222222222</v>
      </c>
    </row>
    <row r="2312">
      <c r="A2312" s="1" t="s">
        <v>1840</v>
      </c>
      <c r="B2312" s="1" t="s">
        <v>903</v>
      </c>
      <c r="C2312" s="1">
        <v>11.0</v>
      </c>
      <c r="D2312" s="1" t="s">
        <v>68</v>
      </c>
      <c r="E2312" s="1" t="s">
        <v>69</v>
      </c>
      <c r="F2312" s="1" t="s">
        <v>70</v>
      </c>
      <c r="G2312" s="1">
        <v>0.0</v>
      </c>
      <c r="H2312" s="2">
        <v>0.12638888888888888</v>
      </c>
    </row>
    <row r="2313">
      <c r="A2313" s="1" t="s">
        <v>1840</v>
      </c>
      <c r="B2313" s="1" t="s">
        <v>903</v>
      </c>
      <c r="C2313" s="1">
        <v>12.0</v>
      </c>
      <c r="D2313" s="1" t="s">
        <v>1847</v>
      </c>
      <c r="E2313" s="1" t="s">
        <v>1848</v>
      </c>
      <c r="F2313" s="1" t="s">
        <v>1847</v>
      </c>
      <c r="G2313" s="1">
        <v>0.0</v>
      </c>
      <c r="H2313" s="2">
        <v>0.1763888888888889</v>
      </c>
    </row>
    <row r="2314">
      <c r="A2314" s="1" t="s">
        <v>1840</v>
      </c>
      <c r="B2314" s="1" t="s">
        <v>903</v>
      </c>
      <c r="C2314" s="1">
        <v>13.0</v>
      </c>
      <c r="D2314" s="1" t="s">
        <v>20</v>
      </c>
      <c r="E2314" s="1" t="s">
        <v>21</v>
      </c>
      <c r="F2314" s="1" t="s">
        <v>22</v>
      </c>
      <c r="G2314" s="1">
        <v>1.0</v>
      </c>
      <c r="H2314" s="2">
        <v>0.17152777777777778</v>
      </c>
    </row>
    <row r="2315">
      <c r="A2315" s="1" t="s">
        <v>1840</v>
      </c>
      <c r="B2315" s="1" t="s">
        <v>903</v>
      </c>
      <c r="C2315" s="1">
        <v>14.0</v>
      </c>
      <c r="D2315" s="1" t="s">
        <v>1174</v>
      </c>
      <c r="E2315" s="1" t="s">
        <v>1175</v>
      </c>
      <c r="F2315" s="1" t="s">
        <v>59</v>
      </c>
      <c r="G2315" s="1">
        <v>1.0</v>
      </c>
      <c r="H2315" s="2">
        <v>0.11319444444444444</v>
      </c>
    </row>
    <row r="2316">
      <c r="A2316" s="1" t="s">
        <v>1840</v>
      </c>
      <c r="B2316" s="1" t="s">
        <v>903</v>
      </c>
      <c r="C2316" s="1">
        <v>15.0</v>
      </c>
      <c r="D2316" s="1" t="s">
        <v>76</v>
      </c>
      <c r="E2316" s="1" t="s">
        <v>77</v>
      </c>
      <c r="F2316" s="1" t="s">
        <v>76</v>
      </c>
      <c r="G2316" s="1">
        <v>1.0</v>
      </c>
      <c r="H2316" s="2">
        <v>0.14305555555555555</v>
      </c>
    </row>
    <row r="2317">
      <c r="A2317" s="1" t="s">
        <v>1840</v>
      </c>
      <c r="B2317" s="1" t="s">
        <v>903</v>
      </c>
      <c r="C2317" s="1">
        <v>16.0</v>
      </c>
      <c r="D2317" s="1" t="s">
        <v>1849</v>
      </c>
      <c r="E2317" s="1" t="s">
        <v>1850</v>
      </c>
      <c r="F2317" s="1" t="s">
        <v>1849</v>
      </c>
      <c r="G2317" s="1">
        <v>0.0</v>
      </c>
      <c r="H2317" s="2">
        <v>0.1451388888888889</v>
      </c>
    </row>
    <row r="2318">
      <c r="A2318" s="1" t="s">
        <v>1840</v>
      </c>
      <c r="B2318" s="1" t="s">
        <v>903</v>
      </c>
      <c r="C2318" s="1">
        <v>17.0</v>
      </c>
      <c r="D2318" s="1" t="s">
        <v>46</v>
      </c>
      <c r="E2318" s="1" t="s">
        <v>28</v>
      </c>
      <c r="F2318" s="1" t="s">
        <v>29</v>
      </c>
      <c r="G2318" s="1">
        <v>0.0</v>
      </c>
      <c r="H2318" s="2">
        <v>0.15347222222222223</v>
      </c>
    </row>
    <row r="2319">
      <c r="A2319" s="1" t="s">
        <v>1840</v>
      </c>
      <c r="B2319" s="1" t="s">
        <v>903</v>
      </c>
      <c r="C2319" s="1">
        <v>18.0</v>
      </c>
      <c r="D2319" s="1" t="s">
        <v>1851</v>
      </c>
      <c r="E2319" s="1" t="s">
        <v>1852</v>
      </c>
      <c r="F2319" s="1" t="s">
        <v>1851</v>
      </c>
      <c r="G2319" s="1">
        <v>0.0</v>
      </c>
      <c r="H2319" s="2">
        <v>0.11597222222222223</v>
      </c>
    </row>
    <row r="2320">
      <c r="A2320" s="1" t="s">
        <v>1840</v>
      </c>
      <c r="B2320" s="1" t="s">
        <v>903</v>
      </c>
      <c r="C2320" s="1">
        <v>19.0</v>
      </c>
      <c r="D2320" s="1" t="s">
        <v>997</v>
      </c>
      <c r="E2320" s="1" t="s">
        <v>998</v>
      </c>
      <c r="F2320" s="1" t="s">
        <v>999</v>
      </c>
      <c r="G2320" s="1">
        <v>0.0</v>
      </c>
      <c r="H2320" s="2">
        <v>0.11597222222222223</v>
      </c>
    </row>
    <row r="2321">
      <c r="A2321" s="1" t="s">
        <v>1840</v>
      </c>
      <c r="B2321" s="1" t="s">
        <v>903</v>
      </c>
      <c r="C2321" s="1">
        <v>20.0</v>
      </c>
      <c r="D2321" s="1" t="s">
        <v>63</v>
      </c>
      <c r="E2321" s="1" t="s">
        <v>64</v>
      </c>
      <c r="F2321" s="1" t="s">
        <v>63</v>
      </c>
      <c r="G2321" s="1">
        <v>1.0</v>
      </c>
      <c r="H2321" s="2">
        <v>0.16805555555555557</v>
      </c>
    </row>
    <row r="2322">
      <c r="A2322" s="1" t="s">
        <v>1840</v>
      </c>
      <c r="B2322" s="1" t="s">
        <v>903</v>
      </c>
      <c r="C2322" s="1">
        <v>21.0</v>
      </c>
      <c r="D2322" s="1" t="s">
        <v>33</v>
      </c>
      <c r="E2322" s="1" t="s">
        <v>34</v>
      </c>
      <c r="F2322" s="1" t="s">
        <v>35</v>
      </c>
      <c r="G2322" s="1">
        <v>0.0</v>
      </c>
      <c r="H2322" s="2">
        <v>0.1451388888888889</v>
      </c>
    </row>
    <row r="2323">
      <c r="A2323" s="1" t="s">
        <v>1840</v>
      </c>
      <c r="B2323" s="1" t="s">
        <v>903</v>
      </c>
      <c r="C2323" s="1">
        <v>22.0</v>
      </c>
      <c r="D2323" s="1" t="s">
        <v>1853</v>
      </c>
      <c r="E2323" s="1" t="s">
        <v>1850</v>
      </c>
      <c r="F2323" s="1" t="s">
        <v>1853</v>
      </c>
      <c r="G2323" s="1">
        <v>0.0</v>
      </c>
      <c r="H2323" s="2">
        <v>0.2</v>
      </c>
    </row>
    <row r="2324">
      <c r="A2324" s="1" t="s">
        <v>1840</v>
      </c>
      <c r="B2324" s="1" t="s">
        <v>903</v>
      </c>
      <c r="C2324" s="1">
        <v>23.0</v>
      </c>
      <c r="D2324" s="1" t="s">
        <v>73</v>
      </c>
      <c r="E2324" s="1" t="s">
        <v>74</v>
      </c>
      <c r="F2324" s="1" t="s">
        <v>75</v>
      </c>
      <c r="G2324" s="1">
        <v>0.0</v>
      </c>
      <c r="H2324" s="2">
        <v>0.14930555555555555</v>
      </c>
    </row>
    <row r="2325">
      <c r="A2325" s="1" t="s">
        <v>1840</v>
      </c>
      <c r="B2325" s="1" t="s">
        <v>903</v>
      </c>
      <c r="C2325" s="1">
        <v>24.0</v>
      </c>
      <c r="D2325" s="1" t="s">
        <v>1146</v>
      </c>
      <c r="E2325" s="1" t="s">
        <v>1147</v>
      </c>
      <c r="F2325" s="1" t="s">
        <v>1146</v>
      </c>
      <c r="G2325" s="1">
        <v>0.0</v>
      </c>
      <c r="H2325" s="2">
        <v>0.16111111111111112</v>
      </c>
    </row>
    <row r="2326">
      <c r="A2326" s="1" t="s">
        <v>1840</v>
      </c>
      <c r="B2326" s="1" t="s">
        <v>903</v>
      </c>
      <c r="C2326" s="1">
        <v>25.0</v>
      </c>
      <c r="D2326" s="1" t="s">
        <v>11</v>
      </c>
      <c r="E2326" s="1" t="s">
        <v>12</v>
      </c>
      <c r="F2326" s="1" t="s">
        <v>13</v>
      </c>
      <c r="G2326" s="1">
        <v>0.0</v>
      </c>
      <c r="H2326" s="2">
        <v>0.1388888888888889</v>
      </c>
    </row>
    <row r="2327">
      <c r="A2327" s="1" t="s">
        <v>1840</v>
      </c>
      <c r="B2327" s="1" t="s">
        <v>903</v>
      </c>
      <c r="C2327" s="1">
        <v>26.0</v>
      </c>
      <c r="D2327" s="1" t="s">
        <v>1854</v>
      </c>
      <c r="E2327" s="1" t="s">
        <v>1855</v>
      </c>
      <c r="F2327" s="1" t="s">
        <v>1856</v>
      </c>
      <c r="G2327" s="1">
        <v>0.0</v>
      </c>
      <c r="H2327" s="2">
        <v>0.21041666666666667</v>
      </c>
    </row>
    <row r="2328">
      <c r="A2328" s="1" t="s">
        <v>1840</v>
      </c>
      <c r="B2328" s="1" t="s">
        <v>903</v>
      </c>
      <c r="C2328" s="1">
        <v>27.0</v>
      </c>
      <c r="D2328" s="1" t="s">
        <v>44</v>
      </c>
      <c r="E2328" s="1" t="s">
        <v>45</v>
      </c>
      <c r="F2328" s="1" t="s">
        <v>44</v>
      </c>
      <c r="G2328" s="1">
        <v>0.0</v>
      </c>
      <c r="H2328" s="2">
        <v>0.12222222222222222</v>
      </c>
    </row>
    <row r="2329">
      <c r="A2329" s="1" t="s">
        <v>1840</v>
      </c>
      <c r="B2329" s="1" t="s">
        <v>903</v>
      </c>
      <c r="C2329" s="1">
        <v>28.0</v>
      </c>
      <c r="D2329" s="1" t="s">
        <v>1857</v>
      </c>
      <c r="E2329" s="1" t="s">
        <v>1850</v>
      </c>
      <c r="F2329" s="1" t="s">
        <v>1857</v>
      </c>
      <c r="G2329" s="1">
        <v>0.0</v>
      </c>
      <c r="H2329" s="2">
        <v>0.22083333333333333</v>
      </c>
    </row>
    <row r="2330">
      <c r="A2330" s="1" t="s">
        <v>1840</v>
      </c>
      <c r="B2330" s="1" t="s">
        <v>903</v>
      </c>
      <c r="C2330" s="1">
        <v>29.0</v>
      </c>
      <c r="D2330" s="1" t="s">
        <v>1858</v>
      </c>
      <c r="E2330" s="1" t="s">
        <v>1859</v>
      </c>
      <c r="F2330" s="1" t="s">
        <v>1858</v>
      </c>
      <c r="G2330" s="1">
        <v>1.0</v>
      </c>
      <c r="H2330" s="2">
        <v>0.09652777777777778</v>
      </c>
    </row>
    <row r="2331">
      <c r="A2331" s="1" t="s">
        <v>1840</v>
      </c>
      <c r="B2331" s="1" t="s">
        <v>903</v>
      </c>
      <c r="C2331" s="1">
        <v>30.0</v>
      </c>
      <c r="D2331" s="1" t="s">
        <v>1860</v>
      </c>
      <c r="E2331" s="1" t="s">
        <v>1861</v>
      </c>
      <c r="F2331" s="1" t="s">
        <v>1860</v>
      </c>
      <c r="G2331" s="1">
        <v>0.0</v>
      </c>
      <c r="H2331" s="2">
        <v>0.14652777777777778</v>
      </c>
    </row>
    <row r="2332">
      <c r="A2332" s="1" t="s">
        <v>1840</v>
      </c>
      <c r="B2332" s="1" t="s">
        <v>903</v>
      </c>
      <c r="C2332" s="1">
        <v>31.0</v>
      </c>
      <c r="D2332" s="1" t="s">
        <v>1862</v>
      </c>
      <c r="E2332" s="1" t="s">
        <v>1863</v>
      </c>
      <c r="F2332" s="1" t="s">
        <v>1862</v>
      </c>
      <c r="G2332" s="1">
        <v>0.0</v>
      </c>
      <c r="H2332" s="2">
        <v>0.09513888888888888</v>
      </c>
    </row>
    <row r="2333">
      <c r="A2333" s="1" t="s">
        <v>1840</v>
      </c>
      <c r="B2333" s="1" t="s">
        <v>903</v>
      </c>
      <c r="C2333" s="1">
        <v>32.0</v>
      </c>
      <c r="D2333" s="1" t="s">
        <v>224</v>
      </c>
      <c r="E2333" s="1" t="s">
        <v>225</v>
      </c>
      <c r="F2333" s="1" t="s">
        <v>226</v>
      </c>
      <c r="G2333" s="1">
        <v>0.0</v>
      </c>
      <c r="H2333" s="2">
        <v>0.14444444444444443</v>
      </c>
    </row>
    <row r="2334">
      <c r="A2334" s="1" t="s">
        <v>1840</v>
      </c>
      <c r="B2334" s="1" t="s">
        <v>903</v>
      </c>
      <c r="C2334" s="1">
        <v>33.0</v>
      </c>
      <c r="D2334" s="1" t="s">
        <v>1864</v>
      </c>
      <c r="E2334" s="1" t="s">
        <v>1850</v>
      </c>
      <c r="F2334" s="1" t="s">
        <v>1864</v>
      </c>
      <c r="G2334" s="1">
        <v>0.0</v>
      </c>
      <c r="H2334" s="2">
        <v>0.15069444444444444</v>
      </c>
    </row>
    <row r="2335">
      <c r="A2335" s="1" t="s">
        <v>1840</v>
      </c>
      <c r="B2335" s="1" t="s">
        <v>903</v>
      </c>
      <c r="C2335" s="1">
        <v>34.0</v>
      </c>
      <c r="D2335" s="1" t="s">
        <v>99</v>
      </c>
      <c r="E2335" s="1" t="s">
        <v>100</v>
      </c>
      <c r="F2335" s="1" t="s">
        <v>99</v>
      </c>
      <c r="G2335" s="1">
        <v>0.0</v>
      </c>
      <c r="H2335" s="2">
        <v>0.11944444444444445</v>
      </c>
    </row>
    <row r="2336">
      <c r="A2336" s="1" t="s">
        <v>1840</v>
      </c>
      <c r="B2336" s="1" t="s">
        <v>903</v>
      </c>
      <c r="C2336" s="1">
        <v>35.0</v>
      </c>
      <c r="D2336" s="1" t="s">
        <v>60</v>
      </c>
      <c r="E2336" s="1" t="s">
        <v>61</v>
      </c>
      <c r="F2336" s="1" t="s">
        <v>62</v>
      </c>
      <c r="G2336" s="1">
        <v>0.0</v>
      </c>
      <c r="H2336" s="2">
        <v>0.11041666666666666</v>
      </c>
    </row>
    <row r="2337">
      <c r="A2337" s="1" t="s">
        <v>1840</v>
      </c>
      <c r="B2337" s="1" t="s">
        <v>903</v>
      </c>
      <c r="C2337" s="1">
        <v>36.0</v>
      </c>
      <c r="D2337" s="1" t="s">
        <v>1865</v>
      </c>
      <c r="E2337" s="1" t="s">
        <v>1866</v>
      </c>
      <c r="F2337" s="1" t="s">
        <v>1865</v>
      </c>
      <c r="G2337" s="1">
        <v>0.0</v>
      </c>
      <c r="H2337" s="2">
        <v>0.15555555555555556</v>
      </c>
    </row>
    <row r="2338">
      <c r="A2338" s="1" t="s">
        <v>1840</v>
      </c>
      <c r="B2338" s="1" t="s">
        <v>903</v>
      </c>
      <c r="C2338" s="1">
        <v>37.0</v>
      </c>
      <c r="D2338" s="1" t="s">
        <v>113</v>
      </c>
      <c r="E2338" s="1" t="s">
        <v>114</v>
      </c>
      <c r="F2338" s="1" t="s">
        <v>113</v>
      </c>
      <c r="G2338" s="1">
        <v>0.0</v>
      </c>
      <c r="H2338" s="2">
        <v>0.13125</v>
      </c>
    </row>
    <row r="2339">
      <c r="A2339" s="1" t="s">
        <v>1840</v>
      </c>
      <c r="B2339" s="1" t="s">
        <v>903</v>
      </c>
      <c r="C2339" s="1">
        <v>38.0</v>
      </c>
      <c r="D2339" s="1" t="s">
        <v>1867</v>
      </c>
      <c r="E2339" s="1" t="s">
        <v>1850</v>
      </c>
      <c r="F2339" s="1" t="s">
        <v>1868</v>
      </c>
      <c r="G2339" s="1">
        <v>0.0</v>
      </c>
      <c r="H2339" s="2">
        <v>0.15763888888888888</v>
      </c>
    </row>
    <row r="2340">
      <c r="A2340" s="1" t="s">
        <v>1840</v>
      </c>
      <c r="B2340" s="1" t="s">
        <v>903</v>
      </c>
      <c r="C2340" s="1">
        <v>39.0</v>
      </c>
      <c r="D2340" s="1" t="s">
        <v>92</v>
      </c>
      <c r="E2340" s="1" t="s">
        <v>93</v>
      </c>
      <c r="F2340" s="1" t="s">
        <v>92</v>
      </c>
      <c r="G2340" s="1">
        <v>1.0</v>
      </c>
      <c r="H2340" s="2">
        <v>0.11319444444444444</v>
      </c>
    </row>
    <row r="2341">
      <c r="A2341" s="1" t="s">
        <v>1840</v>
      </c>
      <c r="B2341" s="1" t="s">
        <v>903</v>
      </c>
      <c r="C2341" s="1">
        <v>40.0</v>
      </c>
      <c r="D2341" s="1" t="s">
        <v>124</v>
      </c>
      <c r="E2341" s="1" t="s">
        <v>125</v>
      </c>
      <c r="F2341" s="1" t="s">
        <v>126</v>
      </c>
      <c r="G2341" s="1">
        <v>1.0</v>
      </c>
      <c r="H2341" s="2">
        <v>0.15625</v>
      </c>
    </row>
    <row r="2342">
      <c r="A2342" s="1" t="s">
        <v>1840</v>
      </c>
      <c r="B2342" s="1" t="s">
        <v>903</v>
      </c>
      <c r="C2342" s="1">
        <v>41.0</v>
      </c>
      <c r="D2342" s="1" t="s">
        <v>1869</v>
      </c>
      <c r="E2342" s="1" t="s">
        <v>1870</v>
      </c>
      <c r="F2342" s="1" t="s">
        <v>1869</v>
      </c>
      <c r="G2342" s="1">
        <v>1.0</v>
      </c>
      <c r="H2342" s="2">
        <v>0.17083333333333334</v>
      </c>
    </row>
    <row r="2343">
      <c r="A2343" s="1" t="s">
        <v>1840</v>
      </c>
      <c r="B2343" s="1" t="s">
        <v>903</v>
      </c>
      <c r="C2343" s="1">
        <v>42.0</v>
      </c>
      <c r="D2343" s="1" t="s">
        <v>1871</v>
      </c>
      <c r="E2343" s="1" t="s">
        <v>1872</v>
      </c>
      <c r="F2343" s="1" t="s">
        <v>1873</v>
      </c>
      <c r="G2343" s="1">
        <v>0.0</v>
      </c>
      <c r="H2343" s="2">
        <v>0.16111111111111112</v>
      </c>
    </row>
    <row r="2344">
      <c r="A2344" s="1" t="s">
        <v>1840</v>
      </c>
      <c r="B2344" s="1" t="s">
        <v>903</v>
      </c>
      <c r="C2344" s="1">
        <v>43.0</v>
      </c>
      <c r="D2344" s="1" t="s">
        <v>1874</v>
      </c>
      <c r="E2344" s="1" t="s">
        <v>1875</v>
      </c>
      <c r="F2344" s="1" t="s">
        <v>1874</v>
      </c>
      <c r="G2344" s="1">
        <v>0.0</v>
      </c>
      <c r="H2344" s="2">
        <v>0.1798611111111111</v>
      </c>
    </row>
    <row r="2345">
      <c r="A2345" s="1" t="s">
        <v>1840</v>
      </c>
      <c r="B2345" s="1" t="s">
        <v>903</v>
      </c>
      <c r="C2345" s="1">
        <v>44.0</v>
      </c>
      <c r="D2345" s="1" t="s">
        <v>1463</v>
      </c>
      <c r="E2345" s="1" t="s">
        <v>1464</v>
      </c>
      <c r="F2345" s="1" t="s">
        <v>1463</v>
      </c>
      <c r="G2345" s="1">
        <v>0.0</v>
      </c>
      <c r="H2345" s="2">
        <v>0.12013888888888889</v>
      </c>
    </row>
    <row r="2346">
      <c r="A2346" s="1" t="s">
        <v>1840</v>
      </c>
      <c r="B2346" s="1" t="s">
        <v>903</v>
      </c>
      <c r="C2346" s="1">
        <v>45.0</v>
      </c>
      <c r="D2346" s="1" t="s">
        <v>244</v>
      </c>
      <c r="E2346" s="1" t="s">
        <v>245</v>
      </c>
      <c r="F2346" s="1" t="s">
        <v>244</v>
      </c>
      <c r="G2346" s="1">
        <v>0.0</v>
      </c>
      <c r="H2346" s="2">
        <v>0.13819444444444445</v>
      </c>
    </row>
    <row r="2347">
      <c r="A2347" s="1" t="s">
        <v>1840</v>
      </c>
      <c r="B2347" s="1" t="s">
        <v>903</v>
      </c>
      <c r="C2347" s="1">
        <v>46.0</v>
      </c>
      <c r="D2347" s="1" t="s">
        <v>1876</v>
      </c>
      <c r="E2347" s="1" t="s">
        <v>1877</v>
      </c>
      <c r="F2347" s="1" t="s">
        <v>1876</v>
      </c>
      <c r="G2347" s="1">
        <v>0.0</v>
      </c>
      <c r="H2347" s="2">
        <v>0.15486111111111112</v>
      </c>
    </row>
    <row r="2348">
      <c r="A2348" s="1" t="s">
        <v>1840</v>
      </c>
      <c r="B2348" s="1" t="s">
        <v>903</v>
      </c>
      <c r="C2348" s="1">
        <v>47.0</v>
      </c>
      <c r="D2348" s="1" t="s">
        <v>1878</v>
      </c>
      <c r="E2348" s="1" t="s">
        <v>1879</v>
      </c>
      <c r="F2348" s="1" t="s">
        <v>1878</v>
      </c>
      <c r="G2348" s="1">
        <v>0.0</v>
      </c>
      <c r="H2348" s="2">
        <v>0.19236111111111112</v>
      </c>
    </row>
    <row r="2349">
      <c r="A2349" s="1" t="s">
        <v>1840</v>
      </c>
      <c r="B2349" s="1" t="s">
        <v>903</v>
      </c>
      <c r="C2349" s="1">
        <v>48.0</v>
      </c>
      <c r="D2349" s="1" t="s">
        <v>1880</v>
      </c>
      <c r="E2349" s="1" t="s">
        <v>1881</v>
      </c>
      <c r="F2349" s="1" t="s">
        <v>1880</v>
      </c>
      <c r="G2349" s="1">
        <v>0.0</v>
      </c>
      <c r="H2349" s="2">
        <v>0.24583333333333332</v>
      </c>
    </row>
    <row r="2350">
      <c r="A2350" s="1" t="s">
        <v>1840</v>
      </c>
      <c r="B2350" s="1" t="s">
        <v>903</v>
      </c>
      <c r="C2350" s="1">
        <v>49.0</v>
      </c>
      <c r="D2350" s="1" t="s">
        <v>1882</v>
      </c>
      <c r="E2350" s="1" t="s">
        <v>1850</v>
      </c>
      <c r="F2350" s="1" t="s">
        <v>1882</v>
      </c>
      <c r="G2350" s="1">
        <v>0.0</v>
      </c>
      <c r="H2350" s="2">
        <v>0.2152777777777778</v>
      </c>
    </row>
    <row r="2351">
      <c r="A2351" s="1" t="s">
        <v>1840</v>
      </c>
      <c r="B2351" s="1" t="s">
        <v>903</v>
      </c>
      <c r="C2351" s="1">
        <v>50.0</v>
      </c>
      <c r="D2351" s="1" t="s">
        <v>1883</v>
      </c>
      <c r="E2351" s="1" t="s">
        <v>1842</v>
      </c>
      <c r="F2351" s="1" t="s">
        <v>1883</v>
      </c>
      <c r="G2351" s="1">
        <v>0.0</v>
      </c>
      <c r="H2351" s="2">
        <v>0.13472222222222222</v>
      </c>
    </row>
    <row r="2352">
      <c r="A2352" s="1" t="s">
        <v>1884</v>
      </c>
      <c r="B2352" s="1" t="s">
        <v>250</v>
      </c>
      <c r="C2352" s="1">
        <v>1.0</v>
      </c>
      <c r="D2352" s="1" t="s">
        <v>1885</v>
      </c>
      <c r="E2352" s="1" t="s">
        <v>1886</v>
      </c>
      <c r="F2352" s="1" t="s">
        <v>1887</v>
      </c>
      <c r="G2352" s="1">
        <v>0.0</v>
      </c>
      <c r="H2352" s="2">
        <v>0.19722222222222222</v>
      </c>
    </row>
    <row r="2353">
      <c r="A2353" s="1" t="s">
        <v>1884</v>
      </c>
      <c r="B2353" s="1" t="s">
        <v>250</v>
      </c>
      <c r="C2353" s="1">
        <v>2.0</v>
      </c>
      <c r="D2353" s="1" t="s">
        <v>1888</v>
      </c>
      <c r="E2353" s="1" t="s">
        <v>1889</v>
      </c>
      <c r="F2353" s="1" t="s">
        <v>1888</v>
      </c>
      <c r="G2353" s="1">
        <v>1.0</v>
      </c>
      <c r="H2353" s="2">
        <v>0.10694444444444444</v>
      </c>
    </row>
    <row r="2354">
      <c r="A2354" s="1" t="s">
        <v>1884</v>
      </c>
      <c r="B2354" s="1" t="s">
        <v>250</v>
      </c>
      <c r="C2354" s="1">
        <v>3.0</v>
      </c>
      <c r="D2354" s="1" t="s">
        <v>11</v>
      </c>
      <c r="E2354" s="1" t="s">
        <v>12</v>
      </c>
      <c r="F2354" s="1" t="s">
        <v>13</v>
      </c>
      <c r="G2354" s="1">
        <v>0.0</v>
      </c>
      <c r="H2354" s="2">
        <v>0.1388888888888889</v>
      </c>
    </row>
    <row r="2355">
      <c r="A2355" s="1" t="s">
        <v>1884</v>
      </c>
      <c r="B2355" s="1" t="s">
        <v>250</v>
      </c>
      <c r="C2355" s="1">
        <v>4.0</v>
      </c>
      <c r="D2355" s="1" t="s">
        <v>9</v>
      </c>
      <c r="E2355" s="1" t="s">
        <v>10</v>
      </c>
      <c r="F2355" s="1" t="s">
        <v>9</v>
      </c>
      <c r="G2355" s="1">
        <v>0.0</v>
      </c>
      <c r="H2355" s="2">
        <v>0.12638888888888888</v>
      </c>
    </row>
    <row r="2356">
      <c r="A2356" s="1" t="s">
        <v>1884</v>
      </c>
      <c r="B2356" s="1" t="s">
        <v>250</v>
      </c>
      <c r="C2356" s="1">
        <v>5.0</v>
      </c>
      <c r="D2356" s="1" t="s">
        <v>17</v>
      </c>
      <c r="E2356" s="1" t="s">
        <v>18</v>
      </c>
      <c r="F2356" s="1" t="s">
        <v>19</v>
      </c>
      <c r="G2356" s="1">
        <v>1.0</v>
      </c>
      <c r="H2356" s="2">
        <v>0.12222222222222222</v>
      </c>
    </row>
    <row r="2357">
      <c r="A2357" s="1" t="s">
        <v>1884</v>
      </c>
      <c r="B2357" s="1" t="s">
        <v>250</v>
      </c>
      <c r="C2357" s="1">
        <v>6.0</v>
      </c>
      <c r="D2357" s="1" t="s">
        <v>1890</v>
      </c>
      <c r="E2357" s="1" t="s">
        <v>1891</v>
      </c>
      <c r="F2357" s="1" t="s">
        <v>1887</v>
      </c>
      <c r="G2357" s="1">
        <v>0.0</v>
      </c>
      <c r="H2357" s="2">
        <v>0.13402777777777777</v>
      </c>
    </row>
    <row r="2358">
      <c r="A2358" s="1" t="s">
        <v>1884</v>
      </c>
      <c r="B2358" s="1" t="s">
        <v>250</v>
      </c>
      <c r="C2358" s="1">
        <v>7.0</v>
      </c>
      <c r="D2358" s="1" t="s">
        <v>1892</v>
      </c>
      <c r="E2358" s="1" t="s">
        <v>1893</v>
      </c>
      <c r="F2358" s="1" t="s">
        <v>1892</v>
      </c>
      <c r="G2358" s="1">
        <v>1.0</v>
      </c>
      <c r="H2358" s="2">
        <v>0.11458333333333333</v>
      </c>
    </row>
    <row r="2359">
      <c r="A2359" s="1" t="s">
        <v>1884</v>
      </c>
      <c r="B2359" s="1" t="s">
        <v>250</v>
      </c>
      <c r="C2359" s="1">
        <v>8.0</v>
      </c>
      <c r="D2359" s="1" t="s">
        <v>1894</v>
      </c>
      <c r="E2359" s="1" t="s">
        <v>1895</v>
      </c>
      <c r="F2359" s="1" t="s">
        <v>1896</v>
      </c>
      <c r="G2359" s="1">
        <v>0.0</v>
      </c>
      <c r="H2359" s="2">
        <v>0.1388888888888889</v>
      </c>
    </row>
    <row r="2360">
      <c r="A2360" s="1" t="s">
        <v>1884</v>
      </c>
      <c r="B2360" s="1" t="s">
        <v>250</v>
      </c>
      <c r="C2360" s="1">
        <v>9.0</v>
      </c>
      <c r="D2360" s="1" t="s">
        <v>1897</v>
      </c>
      <c r="E2360" s="1" t="s">
        <v>1898</v>
      </c>
      <c r="F2360" s="1" t="s">
        <v>1887</v>
      </c>
      <c r="G2360" s="1">
        <v>0.0</v>
      </c>
      <c r="H2360" s="2">
        <v>0.16041666666666668</v>
      </c>
    </row>
    <row r="2361">
      <c r="A2361" s="1" t="s">
        <v>1884</v>
      </c>
      <c r="B2361" s="1" t="s">
        <v>250</v>
      </c>
      <c r="C2361" s="1">
        <v>10.0</v>
      </c>
      <c r="D2361" s="1" t="s">
        <v>1899</v>
      </c>
      <c r="E2361" s="1" t="s">
        <v>1900</v>
      </c>
      <c r="F2361" s="1" t="s">
        <v>1899</v>
      </c>
      <c r="G2361" s="1">
        <v>0.0</v>
      </c>
      <c r="H2361" s="2">
        <v>0.10555555555555556</v>
      </c>
    </row>
    <row r="2362">
      <c r="A2362" s="1" t="s">
        <v>1884</v>
      </c>
      <c r="B2362" s="1" t="s">
        <v>250</v>
      </c>
      <c r="C2362" s="1">
        <v>11.0</v>
      </c>
      <c r="D2362" s="1" t="s">
        <v>53</v>
      </c>
      <c r="E2362" s="1" t="s">
        <v>12</v>
      </c>
      <c r="F2362" s="1" t="s">
        <v>13</v>
      </c>
      <c r="G2362" s="1">
        <v>1.0</v>
      </c>
      <c r="H2362" s="2">
        <v>0.16458333333333333</v>
      </c>
    </row>
    <row r="2363">
      <c r="A2363" s="1" t="s">
        <v>1884</v>
      </c>
      <c r="B2363" s="1" t="s">
        <v>250</v>
      </c>
      <c r="C2363" s="1">
        <v>12.0</v>
      </c>
      <c r="D2363" s="1" t="s">
        <v>1901</v>
      </c>
      <c r="E2363" s="1" t="s">
        <v>1902</v>
      </c>
      <c r="F2363" s="1" t="s">
        <v>1901</v>
      </c>
      <c r="G2363" s="1">
        <v>0.0</v>
      </c>
      <c r="H2363" s="2">
        <v>0.17222222222222222</v>
      </c>
    </row>
    <row r="2364">
      <c r="A2364" s="1" t="s">
        <v>1884</v>
      </c>
      <c r="B2364" s="1" t="s">
        <v>250</v>
      </c>
      <c r="C2364" s="1">
        <v>13.0</v>
      </c>
      <c r="D2364" s="1" t="s">
        <v>23</v>
      </c>
      <c r="E2364" s="1" t="s">
        <v>24</v>
      </c>
      <c r="F2364" s="1" t="s">
        <v>23</v>
      </c>
      <c r="G2364" s="1">
        <v>0.0</v>
      </c>
      <c r="H2364" s="2">
        <v>0.12013888888888889</v>
      </c>
    </row>
    <row r="2365">
      <c r="A2365" s="1" t="s">
        <v>1884</v>
      </c>
      <c r="B2365" s="1" t="s">
        <v>250</v>
      </c>
      <c r="C2365" s="1">
        <v>14.0</v>
      </c>
      <c r="D2365" s="1" t="s">
        <v>36</v>
      </c>
      <c r="E2365" s="1" t="s">
        <v>37</v>
      </c>
      <c r="F2365" s="1" t="s">
        <v>36</v>
      </c>
      <c r="G2365" s="1">
        <v>1.0</v>
      </c>
      <c r="H2365" s="2">
        <v>0.09166666666666666</v>
      </c>
    </row>
    <row r="2366">
      <c r="A2366" s="1" t="s">
        <v>1884</v>
      </c>
      <c r="B2366" s="1" t="s">
        <v>250</v>
      </c>
      <c r="C2366" s="1">
        <v>15.0</v>
      </c>
      <c r="D2366" s="1" t="s">
        <v>46</v>
      </c>
      <c r="E2366" s="1" t="s">
        <v>28</v>
      </c>
      <c r="F2366" s="1" t="s">
        <v>29</v>
      </c>
      <c r="G2366" s="1">
        <v>0.0</v>
      </c>
      <c r="H2366" s="2">
        <v>0.15347222222222223</v>
      </c>
    </row>
    <row r="2367">
      <c r="A2367" s="1" t="s">
        <v>1884</v>
      </c>
      <c r="B2367" s="1" t="s">
        <v>250</v>
      </c>
      <c r="C2367" s="1">
        <v>16.0</v>
      </c>
      <c r="D2367" s="1" t="s">
        <v>265</v>
      </c>
      <c r="E2367" s="1" t="s">
        <v>266</v>
      </c>
      <c r="F2367" s="1" t="s">
        <v>265</v>
      </c>
      <c r="G2367" s="1">
        <v>0.0</v>
      </c>
      <c r="H2367" s="2">
        <v>0.125</v>
      </c>
    </row>
    <row r="2368">
      <c r="A2368" s="1" t="s">
        <v>1884</v>
      </c>
      <c r="B2368" s="1" t="s">
        <v>250</v>
      </c>
      <c r="C2368" s="1">
        <v>17.0</v>
      </c>
      <c r="D2368" s="1" t="s">
        <v>25</v>
      </c>
      <c r="E2368" s="1" t="s">
        <v>26</v>
      </c>
      <c r="F2368" s="1" t="s">
        <v>25</v>
      </c>
      <c r="G2368" s="1">
        <v>1.0</v>
      </c>
      <c r="H2368" s="2">
        <v>0.11458333333333333</v>
      </c>
    </row>
    <row r="2369">
      <c r="A2369" s="1" t="s">
        <v>1884</v>
      </c>
      <c r="B2369" s="1" t="s">
        <v>250</v>
      </c>
      <c r="C2369" s="1">
        <v>18.0</v>
      </c>
      <c r="D2369" s="1" t="s">
        <v>304</v>
      </c>
      <c r="E2369" s="1" t="s">
        <v>28</v>
      </c>
      <c r="F2369" s="1" t="s">
        <v>29</v>
      </c>
      <c r="G2369" s="1">
        <v>0.0</v>
      </c>
      <c r="H2369" s="2">
        <v>0.13402777777777777</v>
      </c>
    </row>
    <row r="2370">
      <c r="A2370" s="1" t="s">
        <v>1884</v>
      </c>
      <c r="B2370" s="1" t="s">
        <v>250</v>
      </c>
      <c r="C2370" s="1">
        <v>19.0</v>
      </c>
      <c r="D2370" s="1" t="s">
        <v>44</v>
      </c>
      <c r="E2370" s="1" t="s">
        <v>45</v>
      </c>
      <c r="F2370" s="1" t="s">
        <v>44</v>
      </c>
      <c r="G2370" s="1">
        <v>0.0</v>
      </c>
      <c r="H2370" s="2">
        <v>0.12222222222222222</v>
      </c>
    </row>
    <row r="2371">
      <c r="A2371" s="1" t="s">
        <v>1884</v>
      </c>
      <c r="B2371" s="1" t="s">
        <v>250</v>
      </c>
      <c r="C2371" s="1">
        <v>20.0</v>
      </c>
      <c r="D2371" s="1" t="s">
        <v>47</v>
      </c>
      <c r="E2371" s="1" t="s">
        <v>48</v>
      </c>
      <c r="F2371" s="1" t="s">
        <v>49</v>
      </c>
      <c r="G2371" s="1">
        <v>1.0</v>
      </c>
      <c r="H2371" s="2">
        <v>0.15486111111111112</v>
      </c>
    </row>
    <row r="2372">
      <c r="A2372" s="1" t="s">
        <v>1884</v>
      </c>
      <c r="B2372" s="1" t="s">
        <v>250</v>
      </c>
      <c r="C2372" s="1">
        <v>21.0</v>
      </c>
      <c r="D2372" s="1" t="s">
        <v>1903</v>
      </c>
      <c r="E2372" s="1" t="s">
        <v>1904</v>
      </c>
      <c r="F2372" s="1" t="s">
        <v>1903</v>
      </c>
      <c r="G2372" s="1">
        <v>0.0</v>
      </c>
      <c r="H2372" s="2">
        <v>0.20902777777777778</v>
      </c>
    </row>
    <row r="2373">
      <c r="A2373" s="1" t="s">
        <v>1884</v>
      </c>
      <c r="B2373" s="1" t="s">
        <v>250</v>
      </c>
      <c r="C2373" s="1">
        <v>22.0</v>
      </c>
      <c r="D2373" s="1" t="s">
        <v>30</v>
      </c>
      <c r="E2373" s="1" t="s">
        <v>31</v>
      </c>
      <c r="F2373" s="1" t="s">
        <v>32</v>
      </c>
      <c r="G2373" s="1">
        <v>0.0</v>
      </c>
      <c r="H2373" s="2">
        <v>0.15833333333333333</v>
      </c>
    </row>
    <row r="2374">
      <c r="A2374" s="1" t="s">
        <v>1884</v>
      </c>
      <c r="B2374" s="1" t="s">
        <v>250</v>
      </c>
      <c r="C2374" s="1">
        <v>23.0</v>
      </c>
      <c r="D2374" s="1" t="s">
        <v>33</v>
      </c>
      <c r="E2374" s="1" t="s">
        <v>34</v>
      </c>
      <c r="F2374" s="1" t="s">
        <v>35</v>
      </c>
      <c r="G2374" s="1">
        <v>0.0</v>
      </c>
      <c r="H2374" s="2">
        <v>0.1451388888888889</v>
      </c>
    </row>
    <row r="2375">
      <c r="A2375" s="1" t="s">
        <v>1884</v>
      </c>
      <c r="B2375" s="1" t="s">
        <v>250</v>
      </c>
      <c r="C2375" s="1">
        <v>24.0</v>
      </c>
      <c r="D2375" s="1" t="s">
        <v>1905</v>
      </c>
      <c r="E2375" s="1" t="s">
        <v>1895</v>
      </c>
      <c r="F2375" s="1" t="s">
        <v>1896</v>
      </c>
      <c r="G2375" s="1">
        <v>0.0</v>
      </c>
      <c r="H2375" s="2">
        <v>0.12708333333333333</v>
      </c>
    </row>
    <row r="2376">
      <c r="A2376" s="1" t="s">
        <v>1884</v>
      </c>
      <c r="B2376" s="1" t="s">
        <v>250</v>
      </c>
      <c r="C2376" s="1">
        <v>25.0</v>
      </c>
      <c r="D2376" s="1" t="s">
        <v>27</v>
      </c>
      <c r="E2376" s="1" t="s">
        <v>28</v>
      </c>
      <c r="F2376" s="1" t="s">
        <v>29</v>
      </c>
      <c r="G2376" s="1">
        <v>0.0</v>
      </c>
      <c r="H2376" s="2">
        <v>0.12708333333333333</v>
      </c>
    </row>
    <row r="2377">
      <c r="A2377" s="1" t="s">
        <v>1884</v>
      </c>
      <c r="B2377" s="1" t="s">
        <v>250</v>
      </c>
      <c r="C2377" s="1">
        <v>26.0</v>
      </c>
      <c r="D2377" s="1" t="s">
        <v>80</v>
      </c>
      <c r="E2377" s="1" t="s">
        <v>81</v>
      </c>
      <c r="F2377" s="1" t="s">
        <v>82</v>
      </c>
      <c r="G2377" s="1">
        <v>0.0</v>
      </c>
      <c r="H2377" s="2">
        <v>0.12083333333333333</v>
      </c>
    </row>
    <row r="2378">
      <c r="A2378" s="1" t="s">
        <v>1884</v>
      </c>
      <c r="B2378" s="1" t="s">
        <v>250</v>
      </c>
      <c r="C2378" s="1">
        <v>27.0</v>
      </c>
      <c r="D2378" s="1" t="s">
        <v>105</v>
      </c>
      <c r="E2378" s="1" t="s">
        <v>106</v>
      </c>
      <c r="F2378" s="1" t="s">
        <v>105</v>
      </c>
      <c r="G2378" s="1">
        <v>0.0</v>
      </c>
      <c r="H2378" s="2">
        <v>0.11527777777777778</v>
      </c>
    </row>
    <row r="2379">
      <c r="A2379" s="1" t="s">
        <v>1884</v>
      </c>
      <c r="B2379" s="1" t="s">
        <v>250</v>
      </c>
      <c r="C2379" s="1">
        <v>28.0</v>
      </c>
      <c r="D2379" s="1" t="s">
        <v>20</v>
      </c>
      <c r="E2379" s="1" t="s">
        <v>21</v>
      </c>
      <c r="F2379" s="1" t="s">
        <v>22</v>
      </c>
      <c r="G2379" s="1">
        <v>1.0</v>
      </c>
      <c r="H2379" s="2">
        <v>0.17152777777777778</v>
      </c>
    </row>
    <row r="2380">
      <c r="A2380" s="1" t="s">
        <v>1884</v>
      </c>
      <c r="B2380" s="1" t="s">
        <v>250</v>
      </c>
      <c r="C2380" s="1">
        <v>29.0</v>
      </c>
      <c r="D2380" s="1" t="s">
        <v>1906</v>
      </c>
      <c r="E2380" s="1" t="s">
        <v>1907</v>
      </c>
      <c r="F2380" s="1" t="s">
        <v>1908</v>
      </c>
      <c r="G2380" s="1">
        <v>1.0</v>
      </c>
      <c r="H2380" s="2">
        <v>0.15625</v>
      </c>
    </row>
    <row r="2381">
      <c r="A2381" s="1" t="s">
        <v>1884</v>
      </c>
      <c r="B2381" s="1" t="s">
        <v>250</v>
      </c>
      <c r="C2381" s="1">
        <v>30.0</v>
      </c>
      <c r="D2381" s="1" t="s">
        <v>1909</v>
      </c>
      <c r="E2381" s="1" t="s">
        <v>1910</v>
      </c>
      <c r="F2381" s="1" t="s">
        <v>1911</v>
      </c>
      <c r="G2381" s="1">
        <v>0.0</v>
      </c>
      <c r="H2381" s="2">
        <v>0.11597222222222223</v>
      </c>
    </row>
    <row r="2382">
      <c r="A2382" s="1" t="s">
        <v>1884</v>
      </c>
      <c r="B2382" s="1" t="s">
        <v>250</v>
      </c>
      <c r="C2382" s="1">
        <v>31.0</v>
      </c>
      <c r="D2382" s="1" t="s">
        <v>1912</v>
      </c>
      <c r="E2382" s="1" t="s">
        <v>1904</v>
      </c>
      <c r="F2382" s="1" t="s">
        <v>1903</v>
      </c>
      <c r="G2382" s="1">
        <v>0.0</v>
      </c>
      <c r="H2382" s="2">
        <v>0.17847222222222223</v>
      </c>
    </row>
    <row r="2383">
      <c r="A2383" s="1" t="s">
        <v>1884</v>
      </c>
      <c r="B2383" s="1" t="s">
        <v>250</v>
      </c>
      <c r="C2383" s="1">
        <v>32.0</v>
      </c>
      <c r="D2383" s="1" t="s">
        <v>57</v>
      </c>
      <c r="E2383" s="1" t="s">
        <v>58</v>
      </c>
      <c r="F2383" s="1" t="s">
        <v>59</v>
      </c>
      <c r="G2383" s="1">
        <v>1.0</v>
      </c>
      <c r="H2383" s="2">
        <v>0.16458333333333333</v>
      </c>
    </row>
    <row r="2384">
      <c r="A2384" s="1" t="s">
        <v>1884</v>
      </c>
      <c r="B2384" s="1" t="s">
        <v>250</v>
      </c>
      <c r="C2384" s="1">
        <v>33.0</v>
      </c>
      <c r="D2384" s="1" t="s">
        <v>91</v>
      </c>
      <c r="E2384" s="1" t="s">
        <v>58</v>
      </c>
      <c r="F2384" s="1" t="s">
        <v>91</v>
      </c>
      <c r="G2384" s="1">
        <v>0.0</v>
      </c>
      <c r="H2384" s="2">
        <v>0.09305555555555556</v>
      </c>
    </row>
    <row r="2385">
      <c r="A2385" s="1" t="s">
        <v>1884</v>
      </c>
      <c r="B2385" s="1" t="s">
        <v>250</v>
      </c>
      <c r="C2385" s="1">
        <v>34.0</v>
      </c>
      <c r="D2385" s="1" t="s">
        <v>1913</v>
      </c>
      <c r="E2385" s="1" t="s">
        <v>1914</v>
      </c>
      <c r="F2385" s="1" t="s">
        <v>1887</v>
      </c>
      <c r="G2385" s="1">
        <v>0.0</v>
      </c>
      <c r="H2385" s="2">
        <v>0.14722222222222223</v>
      </c>
    </row>
    <row r="2386">
      <c r="A2386" s="1" t="s">
        <v>1884</v>
      </c>
      <c r="B2386" s="1" t="s">
        <v>250</v>
      </c>
      <c r="C2386" s="1">
        <v>35.0</v>
      </c>
      <c r="D2386" s="1" t="s">
        <v>1915</v>
      </c>
      <c r="E2386" s="1" t="s">
        <v>1916</v>
      </c>
      <c r="F2386" s="1" t="s">
        <v>1917</v>
      </c>
      <c r="G2386" s="1">
        <v>0.0</v>
      </c>
      <c r="H2386" s="2">
        <v>0.15138888888888888</v>
      </c>
    </row>
    <row r="2387">
      <c r="A2387" s="1" t="s">
        <v>1884</v>
      </c>
      <c r="B2387" s="1" t="s">
        <v>250</v>
      </c>
      <c r="C2387" s="1">
        <v>36.0</v>
      </c>
      <c r="D2387" s="1" t="s">
        <v>1918</v>
      </c>
      <c r="E2387" s="1" t="s">
        <v>1919</v>
      </c>
      <c r="F2387" s="1" t="s">
        <v>1920</v>
      </c>
      <c r="G2387" s="1">
        <v>1.0</v>
      </c>
      <c r="H2387" s="2">
        <v>0.1076388888888889</v>
      </c>
    </row>
    <row r="2388">
      <c r="A2388" s="1" t="s">
        <v>1884</v>
      </c>
      <c r="B2388" s="1" t="s">
        <v>250</v>
      </c>
      <c r="C2388" s="1">
        <v>37.0</v>
      </c>
      <c r="D2388" s="1" t="s">
        <v>1921</v>
      </c>
      <c r="E2388" s="1" t="s">
        <v>1922</v>
      </c>
      <c r="F2388" s="1" t="s">
        <v>1923</v>
      </c>
      <c r="G2388" s="1">
        <v>0.0</v>
      </c>
      <c r="H2388" s="2">
        <v>0.11527777777777778</v>
      </c>
    </row>
    <row r="2389">
      <c r="A2389" s="1" t="s">
        <v>1884</v>
      </c>
      <c r="B2389" s="1" t="s">
        <v>250</v>
      </c>
      <c r="C2389" s="1">
        <v>38.0</v>
      </c>
      <c r="D2389" s="1" t="s">
        <v>1924</v>
      </c>
      <c r="E2389" s="1" t="s">
        <v>1925</v>
      </c>
      <c r="F2389" s="1" t="s">
        <v>1926</v>
      </c>
      <c r="G2389" s="1">
        <v>0.0</v>
      </c>
      <c r="H2389" s="2">
        <v>0.1527777777777778</v>
      </c>
    </row>
    <row r="2390">
      <c r="A2390" s="1" t="s">
        <v>1884</v>
      </c>
      <c r="B2390" s="1" t="s">
        <v>250</v>
      </c>
      <c r="C2390" s="1">
        <v>39.0</v>
      </c>
      <c r="D2390" s="1" t="s">
        <v>1896</v>
      </c>
      <c r="E2390" s="1" t="s">
        <v>1895</v>
      </c>
      <c r="F2390" s="1" t="s">
        <v>1896</v>
      </c>
      <c r="G2390" s="1">
        <v>0.0</v>
      </c>
      <c r="H2390" s="2">
        <v>0.1284722222222222</v>
      </c>
    </row>
    <row r="2391">
      <c r="A2391" s="1" t="s">
        <v>1884</v>
      </c>
      <c r="B2391" s="1" t="s">
        <v>250</v>
      </c>
      <c r="C2391" s="1">
        <v>40.0</v>
      </c>
      <c r="D2391" s="1" t="s">
        <v>1927</v>
      </c>
      <c r="E2391" s="1" t="s">
        <v>1928</v>
      </c>
      <c r="F2391" s="1" t="s">
        <v>1929</v>
      </c>
      <c r="G2391" s="1">
        <v>1.0</v>
      </c>
      <c r="H2391" s="2">
        <v>0.13958333333333334</v>
      </c>
    </row>
    <row r="2392">
      <c r="A2392" s="1" t="s">
        <v>1884</v>
      </c>
      <c r="B2392" s="1" t="s">
        <v>250</v>
      </c>
      <c r="C2392" s="1">
        <v>41.0</v>
      </c>
      <c r="D2392" s="1" t="s">
        <v>1930</v>
      </c>
      <c r="E2392" s="1" t="s">
        <v>1931</v>
      </c>
      <c r="F2392" s="1" t="s">
        <v>1903</v>
      </c>
      <c r="G2392" s="1">
        <v>0.0</v>
      </c>
      <c r="H2392" s="2">
        <v>0.2361111111111111</v>
      </c>
    </row>
    <row r="2393">
      <c r="A2393" s="1" t="s">
        <v>1884</v>
      </c>
      <c r="B2393" s="1" t="s">
        <v>250</v>
      </c>
      <c r="C2393" s="1">
        <v>42.0</v>
      </c>
      <c r="D2393" s="1" t="s">
        <v>1932</v>
      </c>
      <c r="E2393" s="1" t="s">
        <v>1933</v>
      </c>
      <c r="F2393" s="1" t="s">
        <v>1887</v>
      </c>
      <c r="G2393" s="1">
        <v>0.0</v>
      </c>
      <c r="H2393" s="2">
        <v>0.14166666666666666</v>
      </c>
    </row>
    <row r="2394">
      <c r="A2394" s="1" t="s">
        <v>1884</v>
      </c>
      <c r="B2394" s="1" t="s">
        <v>250</v>
      </c>
      <c r="C2394" s="1">
        <v>43.0</v>
      </c>
      <c r="D2394" s="1" t="s">
        <v>1934</v>
      </c>
      <c r="E2394" s="1" t="s">
        <v>1935</v>
      </c>
      <c r="F2394" s="1" t="s">
        <v>1887</v>
      </c>
      <c r="G2394" s="1">
        <v>0.0</v>
      </c>
      <c r="H2394" s="2">
        <v>0.13472222222222222</v>
      </c>
    </row>
    <row r="2395">
      <c r="A2395" s="1" t="s">
        <v>1884</v>
      </c>
      <c r="B2395" s="1" t="s">
        <v>250</v>
      </c>
      <c r="C2395" s="1">
        <v>44.0</v>
      </c>
      <c r="D2395" s="1" t="s">
        <v>274</v>
      </c>
      <c r="E2395" s="1" t="s">
        <v>266</v>
      </c>
      <c r="F2395" s="1" t="s">
        <v>274</v>
      </c>
      <c r="G2395" s="1">
        <v>0.0</v>
      </c>
      <c r="H2395" s="2">
        <v>0.1125</v>
      </c>
    </row>
    <row r="2396">
      <c r="A2396" s="1" t="s">
        <v>1884</v>
      </c>
      <c r="B2396" s="1" t="s">
        <v>250</v>
      </c>
      <c r="C2396" s="1">
        <v>45.0</v>
      </c>
      <c r="D2396" s="1" t="s">
        <v>96</v>
      </c>
      <c r="E2396" s="1" t="s">
        <v>97</v>
      </c>
      <c r="F2396" s="1" t="s">
        <v>98</v>
      </c>
      <c r="G2396" s="1">
        <v>1.0</v>
      </c>
      <c r="H2396" s="2">
        <v>0.12430555555555556</v>
      </c>
    </row>
    <row r="2397">
      <c r="A2397" s="1" t="s">
        <v>1884</v>
      </c>
      <c r="B2397" s="1" t="s">
        <v>250</v>
      </c>
      <c r="C2397" s="1">
        <v>46.0</v>
      </c>
      <c r="D2397" s="1" t="s">
        <v>124</v>
      </c>
      <c r="E2397" s="1" t="s">
        <v>125</v>
      </c>
      <c r="F2397" s="1" t="s">
        <v>126</v>
      </c>
      <c r="G2397" s="1">
        <v>1.0</v>
      </c>
      <c r="H2397" s="2">
        <v>0.15625</v>
      </c>
    </row>
    <row r="2398">
      <c r="A2398" s="1" t="s">
        <v>1884</v>
      </c>
      <c r="B2398" s="1" t="s">
        <v>250</v>
      </c>
      <c r="C2398" s="1">
        <v>47.0</v>
      </c>
      <c r="D2398" s="1" t="s">
        <v>270</v>
      </c>
      <c r="E2398" s="1" t="s">
        <v>271</v>
      </c>
      <c r="F2398" s="1" t="s">
        <v>270</v>
      </c>
      <c r="G2398" s="1">
        <v>0.0</v>
      </c>
      <c r="H2398" s="2">
        <v>0.14444444444444443</v>
      </c>
    </row>
    <row r="2399">
      <c r="A2399" s="1" t="s">
        <v>1884</v>
      </c>
      <c r="B2399" s="1" t="s">
        <v>250</v>
      </c>
      <c r="C2399" s="1">
        <v>48.0</v>
      </c>
      <c r="D2399" s="1" t="s">
        <v>14</v>
      </c>
      <c r="E2399" s="1" t="s">
        <v>15</v>
      </c>
      <c r="F2399" s="1" t="s">
        <v>16</v>
      </c>
      <c r="G2399" s="1">
        <v>1.0</v>
      </c>
      <c r="H2399" s="2">
        <v>0.12569444444444444</v>
      </c>
    </row>
    <row r="2400">
      <c r="A2400" s="1" t="s">
        <v>1884</v>
      </c>
      <c r="B2400" s="1" t="s">
        <v>250</v>
      </c>
      <c r="C2400" s="1">
        <v>49.0</v>
      </c>
      <c r="D2400" s="1" t="s">
        <v>1936</v>
      </c>
      <c r="E2400" s="1" t="s">
        <v>1937</v>
      </c>
      <c r="F2400" s="1" t="s">
        <v>1936</v>
      </c>
      <c r="G2400" s="1">
        <v>0.0</v>
      </c>
      <c r="H2400" s="2">
        <v>0.1284722222222222</v>
      </c>
    </row>
    <row r="2401">
      <c r="A2401" s="1" t="s">
        <v>1884</v>
      </c>
      <c r="B2401" s="1" t="s">
        <v>250</v>
      </c>
      <c r="C2401" s="1">
        <v>50.0</v>
      </c>
      <c r="D2401" s="1" t="s">
        <v>1938</v>
      </c>
      <c r="E2401" s="1" t="s">
        <v>1939</v>
      </c>
      <c r="F2401" s="1" t="s">
        <v>1940</v>
      </c>
      <c r="G2401" s="1">
        <v>0.0</v>
      </c>
      <c r="H2401" s="2">
        <v>0.11875</v>
      </c>
    </row>
    <row r="2402">
      <c r="A2402" s="1" t="s">
        <v>1941</v>
      </c>
      <c r="B2402" s="1" t="s">
        <v>250</v>
      </c>
      <c r="C2402" s="1">
        <v>1.0</v>
      </c>
      <c r="D2402" s="1" t="s">
        <v>20</v>
      </c>
      <c r="E2402" s="1" t="s">
        <v>21</v>
      </c>
      <c r="F2402" s="1" t="s">
        <v>22</v>
      </c>
      <c r="G2402" s="1">
        <v>1.0</v>
      </c>
      <c r="H2402" s="2">
        <v>0.17152777777777778</v>
      </c>
    </row>
    <row r="2403">
      <c r="A2403" s="1" t="s">
        <v>1941</v>
      </c>
      <c r="B2403" s="1" t="s">
        <v>250</v>
      </c>
      <c r="C2403" s="1">
        <v>2.0</v>
      </c>
      <c r="D2403" s="1" t="s">
        <v>11</v>
      </c>
      <c r="E2403" s="1" t="s">
        <v>12</v>
      </c>
      <c r="F2403" s="1" t="s">
        <v>13</v>
      </c>
      <c r="G2403" s="1">
        <v>0.0</v>
      </c>
      <c r="H2403" s="2">
        <v>0.1388888888888889</v>
      </c>
    </row>
    <row r="2404">
      <c r="A2404" s="1" t="s">
        <v>1941</v>
      </c>
      <c r="B2404" s="1" t="s">
        <v>250</v>
      </c>
      <c r="C2404" s="1">
        <v>3.0</v>
      </c>
      <c r="D2404" s="1" t="s">
        <v>25</v>
      </c>
      <c r="E2404" s="1" t="s">
        <v>26</v>
      </c>
      <c r="F2404" s="1" t="s">
        <v>25</v>
      </c>
      <c r="G2404" s="1">
        <v>1.0</v>
      </c>
      <c r="H2404" s="2">
        <v>0.11458333333333333</v>
      </c>
    </row>
    <row r="2405">
      <c r="A2405" s="1" t="s">
        <v>1941</v>
      </c>
      <c r="B2405" s="1" t="s">
        <v>250</v>
      </c>
      <c r="C2405" s="1">
        <v>4.0</v>
      </c>
      <c r="D2405" s="1" t="s">
        <v>14</v>
      </c>
      <c r="E2405" s="1" t="s">
        <v>15</v>
      </c>
      <c r="F2405" s="1" t="s">
        <v>16</v>
      </c>
      <c r="G2405" s="1">
        <v>1.0</v>
      </c>
      <c r="H2405" s="2">
        <v>0.12569444444444444</v>
      </c>
    </row>
    <row r="2406">
      <c r="A2406" s="1" t="s">
        <v>1941</v>
      </c>
      <c r="B2406" s="1" t="s">
        <v>250</v>
      </c>
      <c r="C2406" s="1">
        <v>5.0</v>
      </c>
      <c r="D2406" s="1" t="s">
        <v>17</v>
      </c>
      <c r="E2406" s="1" t="s">
        <v>18</v>
      </c>
      <c r="F2406" s="1" t="s">
        <v>19</v>
      </c>
      <c r="G2406" s="1">
        <v>1.0</v>
      </c>
      <c r="H2406" s="2">
        <v>0.12222222222222222</v>
      </c>
    </row>
    <row r="2407">
      <c r="A2407" s="1" t="s">
        <v>1941</v>
      </c>
      <c r="B2407" s="1" t="s">
        <v>250</v>
      </c>
      <c r="C2407" s="1">
        <v>6.0</v>
      </c>
      <c r="D2407" s="1" t="s">
        <v>1942</v>
      </c>
      <c r="E2407" s="1" t="s">
        <v>1943</v>
      </c>
      <c r="F2407" s="1" t="s">
        <v>1942</v>
      </c>
      <c r="G2407" s="1">
        <v>0.0</v>
      </c>
      <c r="H2407" s="2">
        <v>0.1736111111111111</v>
      </c>
    </row>
    <row r="2408">
      <c r="A2408" s="1" t="s">
        <v>1941</v>
      </c>
      <c r="B2408" s="1" t="s">
        <v>250</v>
      </c>
      <c r="C2408" s="1">
        <v>7.0</v>
      </c>
      <c r="D2408" s="1" t="s">
        <v>372</v>
      </c>
      <c r="E2408" s="1" t="s">
        <v>373</v>
      </c>
      <c r="F2408" s="1" t="s">
        <v>372</v>
      </c>
      <c r="G2408" s="1">
        <v>1.0</v>
      </c>
      <c r="H2408" s="2">
        <v>0.10833333333333334</v>
      </c>
    </row>
    <row r="2409">
      <c r="A2409" s="1" t="s">
        <v>1941</v>
      </c>
      <c r="B2409" s="1" t="s">
        <v>250</v>
      </c>
      <c r="C2409" s="1">
        <v>8.0</v>
      </c>
      <c r="D2409" s="1" t="s">
        <v>23</v>
      </c>
      <c r="E2409" s="1" t="s">
        <v>24</v>
      </c>
      <c r="F2409" s="1" t="s">
        <v>23</v>
      </c>
      <c r="G2409" s="1">
        <v>0.0</v>
      </c>
      <c r="H2409" s="2">
        <v>0.12013888888888889</v>
      </c>
    </row>
    <row r="2410">
      <c r="A2410" s="1" t="s">
        <v>1941</v>
      </c>
      <c r="B2410" s="1" t="s">
        <v>250</v>
      </c>
      <c r="C2410" s="1">
        <v>9.0</v>
      </c>
      <c r="D2410" s="1" t="s">
        <v>27</v>
      </c>
      <c r="E2410" s="1" t="s">
        <v>28</v>
      </c>
      <c r="F2410" s="1" t="s">
        <v>29</v>
      </c>
      <c r="G2410" s="1">
        <v>0.0</v>
      </c>
      <c r="H2410" s="2">
        <v>0.12708333333333333</v>
      </c>
    </row>
    <row r="2411">
      <c r="A2411" s="1" t="s">
        <v>1941</v>
      </c>
      <c r="B2411" s="1" t="s">
        <v>250</v>
      </c>
      <c r="C2411" s="1">
        <v>10.0</v>
      </c>
      <c r="D2411" s="1" t="s">
        <v>1944</v>
      </c>
      <c r="E2411" s="1" t="s">
        <v>1945</v>
      </c>
      <c r="F2411" s="1" t="s">
        <v>1944</v>
      </c>
      <c r="G2411" s="1">
        <v>1.0</v>
      </c>
      <c r="H2411" s="2">
        <v>0.16666666666666666</v>
      </c>
    </row>
    <row r="2412">
      <c r="A2412" s="1" t="s">
        <v>1941</v>
      </c>
      <c r="B2412" s="1" t="s">
        <v>250</v>
      </c>
      <c r="C2412" s="1">
        <v>11.0</v>
      </c>
      <c r="D2412" s="1" t="s">
        <v>41</v>
      </c>
      <c r="E2412" s="1" t="s">
        <v>42</v>
      </c>
      <c r="F2412" s="1" t="s">
        <v>43</v>
      </c>
      <c r="G2412" s="1">
        <v>1.0</v>
      </c>
      <c r="H2412" s="2">
        <v>0.1361111111111111</v>
      </c>
    </row>
    <row r="2413">
      <c r="A2413" s="1" t="s">
        <v>1941</v>
      </c>
      <c r="B2413" s="1" t="s">
        <v>250</v>
      </c>
      <c r="C2413" s="1">
        <v>12.0</v>
      </c>
      <c r="D2413" s="1" t="s">
        <v>9</v>
      </c>
      <c r="E2413" s="1" t="s">
        <v>10</v>
      </c>
      <c r="F2413" s="1" t="s">
        <v>9</v>
      </c>
      <c r="G2413" s="1">
        <v>0.0</v>
      </c>
      <c r="H2413" s="2">
        <v>0.12638888888888888</v>
      </c>
    </row>
    <row r="2414">
      <c r="A2414" s="1" t="s">
        <v>1941</v>
      </c>
      <c r="B2414" s="1" t="s">
        <v>250</v>
      </c>
      <c r="C2414" s="1">
        <v>13.0</v>
      </c>
      <c r="D2414" s="1" t="s">
        <v>38</v>
      </c>
      <c r="E2414" s="1" t="s">
        <v>39</v>
      </c>
      <c r="F2414" s="1" t="s">
        <v>40</v>
      </c>
      <c r="G2414" s="1">
        <v>1.0</v>
      </c>
      <c r="H2414" s="2">
        <v>0.1125</v>
      </c>
    </row>
    <row r="2415">
      <c r="A2415" s="1" t="s">
        <v>1941</v>
      </c>
      <c r="B2415" s="1" t="s">
        <v>250</v>
      </c>
      <c r="C2415" s="1">
        <v>14.0</v>
      </c>
      <c r="D2415" s="1" t="s">
        <v>1946</v>
      </c>
      <c r="E2415" s="1" t="s">
        <v>1947</v>
      </c>
      <c r="F2415" s="1" t="s">
        <v>1946</v>
      </c>
      <c r="G2415" s="1">
        <v>0.0</v>
      </c>
      <c r="H2415" s="2">
        <v>0.10208333333333333</v>
      </c>
    </row>
    <row r="2416">
      <c r="A2416" s="1" t="s">
        <v>1941</v>
      </c>
      <c r="B2416" s="1" t="s">
        <v>250</v>
      </c>
      <c r="C2416" s="1">
        <v>15.0</v>
      </c>
      <c r="D2416" s="1" t="s">
        <v>101</v>
      </c>
      <c r="E2416" s="1" t="s">
        <v>102</v>
      </c>
      <c r="F2416" s="1" t="s">
        <v>103</v>
      </c>
      <c r="G2416" s="1">
        <v>1.0</v>
      </c>
      <c r="H2416" s="2">
        <v>0.16458333333333333</v>
      </c>
    </row>
    <row r="2417">
      <c r="A2417" s="1" t="s">
        <v>1941</v>
      </c>
      <c r="B2417" s="1" t="s">
        <v>250</v>
      </c>
      <c r="C2417" s="1">
        <v>16.0</v>
      </c>
      <c r="D2417" s="1" t="s">
        <v>1948</v>
      </c>
      <c r="E2417" s="1" t="s">
        <v>1949</v>
      </c>
      <c r="F2417" s="1" t="s">
        <v>1950</v>
      </c>
      <c r="G2417" s="1">
        <v>0.0</v>
      </c>
      <c r="H2417" s="2">
        <v>0.14305555555555555</v>
      </c>
    </row>
    <row r="2418">
      <c r="A2418" s="1" t="s">
        <v>1941</v>
      </c>
      <c r="B2418" s="1" t="s">
        <v>250</v>
      </c>
      <c r="C2418" s="1">
        <v>17.0</v>
      </c>
      <c r="D2418" s="1" t="s">
        <v>1951</v>
      </c>
      <c r="E2418" s="1" t="s">
        <v>1947</v>
      </c>
      <c r="F2418" s="1" t="s">
        <v>1951</v>
      </c>
      <c r="G2418" s="1">
        <v>0.0</v>
      </c>
      <c r="H2418" s="2">
        <v>0.12569444444444444</v>
      </c>
    </row>
    <row r="2419">
      <c r="A2419" s="1" t="s">
        <v>1941</v>
      </c>
      <c r="B2419" s="1" t="s">
        <v>250</v>
      </c>
      <c r="C2419" s="1">
        <v>18.0</v>
      </c>
      <c r="D2419" s="1" t="s">
        <v>430</v>
      </c>
      <c r="E2419" s="1" t="s">
        <v>431</v>
      </c>
      <c r="F2419" s="1" t="s">
        <v>430</v>
      </c>
      <c r="G2419" s="1">
        <v>0.0</v>
      </c>
      <c r="H2419" s="2">
        <v>0.10416666666666667</v>
      </c>
    </row>
    <row r="2420">
      <c r="A2420" s="1" t="s">
        <v>1941</v>
      </c>
      <c r="B2420" s="1" t="s">
        <v>250</v>
      </c>
      <c r="C2420" s="1">
        <v>19.0</v>
      </c>
      <c r="D2420" s="1" t="s">
        <v>1952</v>
      </c>
      <c r="E2420" s="1" t="s">
        <v>1953</v>
      </c>
      <c r="F2420" s="1" t="s">
        <v>1954</v>
      </c>
      <c r="G2420" s="1">
        <v>0.0</v>
      </c>
      <c r="H2420" s="2">
        <v>0.16458333333333333</v>
      </c>
    </row>
    <row r="2421">
      <c r="A2421" s="1" t="s">
        <v>1941</v>
      </c>
      <c r="B2421" s="1" t="s">
        <v>250</v>
      </c>
      <c r="C2421" s="1">
        <v>20.0</v>
      </c>
      <c r="D2421" s="1" t="s">
        <v>104</v>
      </c>
      <c r="E2421" s="1" t="s">
        <v>84</v>
      </c>
      <c r="F2421" s="1" t="s">
        <v>104</v>
      </c>
      <c r="G2421" s="1">
        <v>1.0</v>
      </c>
      <c r="H2421" s="2">
        <v>0.12152777777777778</v>
      </c>
    </row>
    <row r="2422">
      <c r="A2422" s="1" t="s">
        <v>1941</v>
      </c>
      <c r="B2422" s="1" t="s">
        <v>250</v>
      </c>
      <c r="C2422" s="1">
        <v>21.0</v>
      </c>
      <c r="D2422" s="1" t="s">
        <v>105</v>
      </c>
      <c r="E2422" s="1" t="s">
        <v>106</v>
      </c>
      <c r="F2422" s="1" t="s">
        <v>105</v>
      </c>
      <c r="G2422" s="1">
        <v>0.0</v>
      </c>
      <c r="H2422" s="2">
        <v>0.11527777777777778</v>
      </c>
    </row>
    <row r="2423">
      <c r="A2423" s="1" t="s">
        <v>1941</v>
      </c>
      <c r="B2423" s="1" t="s">
        <v>250</v>
      </c>
      <c r="C2423" s="1">
        <v>22.0</v>
      </c>
      <c r="D2423" s="1" t="s">
        <v>86</v>
      </c>
      <c r="E2423" s="1" t="s">
        <v>87</v>
      </c>
      <c r="F2423" s="1" t="s">
        <v>86</v>
      </c>
      <c r="G2423" s="1">
        <v>0.0</v>
      </c>
      <c r="H2423" s="2">
        <v>0.1388888888888889</v>
      </c>
    </row>
    <row r="2424">
      <c r="A2424" s="1" t="s">
        <v>1941</v>
      </c>
      <c r="B2424" s="1" t="s">
        <v>250</v>
      </c>
      <c r="C2424" s="1">
        <v>23.0</v>
      </c>
      <c r="D2424" s="1" t="s">
        <v>1955</v>
      </c>
      <c r="E2424" s="1" t="s">
        <v>1956</v>
      </c>
      <c r="F2424" s="1" t="s">
        <v>1955</v>
      </c>
      <c r="G2424" s="1">
        <v>0.0</v>
      </c>
      <c r="H2424" s="2">
        <v>0.16944444444444445</v>
      </c>
    </row>
    <row r="2425">
      <c r="A2425" s="1" t="s">
        <v>1941</v>
      </c>
      <c r="B2425" s="1" t="s">
        <v>250</v>
      </c>
      <c r="C2425" s="1">
        <v>24.0</v>
      </c>
      <c r="D2425" s="1" t="s">
        <v>1957</v>
      </c>
      <c r="E2425" s="1" t="s">
        <v>1958</v>
      </c>
      <c r="F2425" s="1" t="s">
        <v>1959</v>
      </c>
      <c r="G2425" s="1">
        <v>0.0</v>
      </c>
      <c r="H2425" s="2">
        <v>0.17916666666666667</v>
      </c>
    </row>
    <row r="2426">
      <c r="A2426" s="1" t="s">
        <v>1941</v>
      </c>
      <c r="B2426" s="1" t="s">
        <v>250</v>
      </c>
      <c r="C2426" s="1">
        <v>25.0</v>
      </c>
      <c r="D2426" s="1" t="s">
        <v>60</v>
      </c>
      <c r="E2426" s="1" t="s">
        <v>61</v>
      </c>
      <c r="F2426" s="1" t="s">
        <v>62</v>
      </c>
      <c r="G2426" s="1">
        <v>0.0</v>
      </c>
      <c r="H2426" s="2">
        <v>0.11041666666666666</v>
      </c>
    </row>
    <row r="2427">
      <c r="A2427" s="1" t="s">
        <v>1941</v>
      </c>
      <c r="B2427" s="1" t="s">
        <v>250</v>
      </c>
      <c r="C2427" s="1">
        <v>26.0</v>
      </c>
      <c r="D2427" s="1" t="s">
        <v>83</v>
      </c>
      <c r="E2427" s="1" t="s">
        <v>84</v>
      </c>
      <c r="F2427" s="1" t="s">
        <v>85</v>
      </c>
      <c r="G2427" s="1">
        <v>1.0</v>
      </c>
      <c r="H2427" s="2">
        <v>0.16875</v>
      </c>
    </row>
    <row r="2428">
      <c r="A2428" s="1" t="s">
        <v>1941</v>
      </c>
      <c r="B2428" s="1" t="s">
        <v>250</v>
      </c>
      <c r="C2428" s="1">
        <v>27.0</v>
      </c>
      <c r="D2428" s="1" t="s">
        <v>1960</v>
      </c>
      <c r="E2428" s="1" t="s">
        <v>1947</v>
      </c>
      <c r="F2428" s="1" t="s">
        <v>1960</v>
      </c>
      <c r="G2428" s="1">
        <v>0.0</v>
      </c>
      <c r="H2428" s="2">
        <v>0.1638888888888889</v>
      </c>
    </row>
    <row r="2429">
      <c r="A2429" s="1" t="s">
        <v>1941</v>
      </c>
      <c r="B2429" s="1" t="s">
        <v>250</v>
      </c>
      <c r="C2429" s="1">
        <v>28.0</v>
      </c>
      <c r="D2429" s="1" t="s">
        <v>30</v>
      </c>
      <c r="E2429" s="1" t="s">
        <v>31</v>
      </c>
      <c r="F2429" s="1" t="s">
        <v>32</v>
      </c>
      <c r="G2429" s="1">
        <v>0.0</v>
      </c>
      <c r="H2429" s="2">
        <v>0.15833333333333333</v>
      </c>
    </row>
    <row r="2430">
      <c r="A2430" s="1" t="s">
        <v>1941</v>
      </c>
      <c r="B2430" s="1" t="s">
        <v>250</v>
      </c>
      <c r="C2430" s="1">
        <v>29.0</v>
      </c>
      <c r="D2430" s="1" t="s">
        <v>36</v>
      </c>
      <c r="E2430" s="1" t="s">
        <v>37</v>
      </c>
      <c r="F2430" s="1" t="s">
        <v>36</v>
      </c>
      <c r="G2430" s="1">
        <v>1.0</v>
      </c>
      <c r="H2430" s="2">
        <v>0.09166666666666666</v>
      </c>
    </row>
    <row r="2431">
      <c r="A2431" s="1" t="s">
        <v>1941</v>
      </c>
      <c r="B2431" s="1" t="s">
        <v>250</v>
      </c>
      <c r="C2431" s="1">
        <v>30.0</v>
      </c>
      <c r="D2431" s="1" t="s">
        <v>92</v>
      </c>
      <c r="E2431" s="1" t="s">
        <v>93</v>
      </c>
      <c r="F2431" s="1" t="s">
        <v>92</v>
      </c>
      <c r="G2431" s="1">
        <v>1.0</v>
      </c>
      <c r="H2431" s="2">
        <v>0.11319444444444444</v>
      </c>
    </row>
    <row r="2432">
      <c r="A2432" s="1" t="s">
        <v>1941</v>
      </c>
      <c r="B2432" s="1" t="s">
        <v>250</v>
      </c>
      <c r="C2432" s="1">
        <v>31.0</v>
      </c>
      <c r="D2432" s="1" t="s">
        <v>1961</v>
      </c>
      <c r="E2432" s="1" t="s">
        <v>1962</v>
      </c>
      <c r="F2432" s="1" t="s">
        <v>1961</v>
      </c>
      <c r="G2432" s="1">
        <v>0.0</v>
      </c>
      <c r="H2432" s="2">
        <v>0.11666666666666667</v>
      </c>
    </row>
    <row r="2433">
      <c r="A2433" s="1" t="s">
        <v>1941</v>
      </c>
      <c r="B2433" s="1" t="s">
        <v>250</v>
      </c>
      <c r="C2433" s="1">
        <v>32.0</v>
      </c>
      <c r="D2433" s="1" t="s">
        <v>94</v>
      </c>
      <c r="E2433" s="1" t="s">
        <v>84</v>
      </c>
      <c r="F2433" s="1" t="s">
        <v>95</v>
      </c>
      <c r="G2433" s="1">
        <v>1.0</v>
      </c>
      <c r="H2433" s="2">
        <v>0.21666666666666667</v>
      </c>
    </row>
    <row r="2434">
      <c r="A2434" s="1" t="s">
        <v>1941</v>
      </c>
      <c r="B2434" s="1" t="s">
        <v>250</v>
      </c>
      <c r="C2434" s="1">
        <v>33.0</v>
      </c>
      <c r="D2434" s="1" t="s">
        <v>1963</v>
      </c>
      <c r="E2434" s="1" t="s">
        <v>1964</v>
      </c>
      <c r="F2434" s="1" t="s">
        <v>1963</v>
      </c>
      <c r="G2434" s="1">
        <v>1.0</v>
      </c>
      <c r="H2434" s="2">
        <v>0.18263888888888888</v>
      </c>
    </row>
    <row r="2435">
      <c r="A2435" s="1" t="s">
        <v>1941</v>
      </c>
      <c r="B2435" s="1" t="s">
        <v>250</v>
      </c>
      <c r="C2435" s="1">
        <v>34.0</v>
      </c>
      <c r="D2435" s="1" t="s">
        <v>44</v>
      </c>
      <c r="E2435" s="1" t="s">
        <v>45</v>
      </c>
      <c r="F2435" s="1" t="s">
        <v>44</v>
      </c>
      <c r="G2435" s="1">
        <v>0.0</v>
      </c>
      <c r="H2435" s="2">
        <v>0.12222222222222222</v>
      </c>
    </row>
    <row r="2436">
      <c r="A2436" s="1" t="s">
        <v>1941</v>
      </c>
      <c r="B2436" s="1" t="s">
        <v>250</v>
      </c>
      <c r="C2436" s="1">
        <v>35.0</v>
      </c>
      <c r="D2436" s="1" t="s">
        <v>33</v>
      </c>
      <c r="E2436" s="1" t="s">
        <v>34</v>
      </c>
      <c r="F2436" s="1" t="s">
        <v>35</v>
      </c>
      <c r="G2436" s="1">
        <v>0.0</v>
      </c>
      <c r="H2436" s="2">
        <v>0.1451388888888889</v>
      </c>
    </row>
    <row r="2437">
      <c r="A2437" s="1" t="s">
        <v>1941</v>
      </c>
      <c r="B2437" s="1" t="s">
        <v>250</v>
      </c>
      <c r="C2437" s="1">
        <v>36.0</v>
      </c>
      <c r="D2437" s="1" t="s">
        <v>54</v>
      </c>
      <c r="E2437" s="1" t="s">
        <v>55</v>
      </c>
      <c r="F2437" s="1" t="s">
        <v>56</v>
      </c>
      <c r="G2437" s="1">
        <v>0.0</v>
      </c>
      <c r="H2437" s="2">
        <v>0.10972222222222222</v>
      </c>
    </row>
    <row r="2438">
      <c r="A2438" s="1" t="s">
        <v>1941</v>
      </c>
      <c r="B2438" s="1" t="s">
        <v>250</v>
      </c>
      <c r="C2438" s="1">
        <v>37.0</v>
      </c>
      <c r="D2438" s="1" t="s">
        <v>1965</v>
      </c>
      <c r="E2438" s="1" t="s">
        <v>1966</v>
      </c>
      <c r="F2438" s="1" t="s">
        <v>1967</v>
      </c>
      <c r="G2438" s="1">
        <v>1.0</v>
      </c>
      <c r="H2438" s="2">
        <v>0.14375</v>
      </c>
    </row>
    <row r="2439">
      <c r="A2439" s="1" t="s">
        <v>1941</v>
      </c>
      <c r="B2439" s="1" t="s">
        <v>250</v>
      </c>
      <c r="C2439" s="1">
        <v>38.0</v>
      </c>
      <c r="D2439" s="1" t="s">
        <v>46</v>
      </c>
      <c r="E2439" s="1" t="s">
        <v>28</v>
      </c>
      <c r="F2439" s="1" t="s">
        <v>29</v>
      </c>
      <c r="G2439" s="1">
        <v>0.0</v>
      </c>
      <c r="H2439" s="2">
        <v>0.15347222222222223</v>
      </c>
    </row>
    <row r="2440">
      <c r="A2440" s="1" t="s">
        <v>1941</v>
      </c>
      <c r="B2440" s="1" t="s">
        <v>250</v>
      </c>
      <c r="C2440" s="1">
        <v>39.0</v>
      </c>
      <c r="D2440" s="1" t="s">
        <v>1968</v>
      </c>
      <c r="E2440" s="1" t="s">
        <v>1969</v>
      </c>
      <c r="F2440" s="1" t="s">
        <v>1968</v>
      </c>
      <c r="G2440" s="1">
        <v>0.0</v>
      </c>
      <c r="H2440" s="2">
        <v>0.14027777777777778</v>
      </c>
    </row>
    <row r="2441">
      <c r="A2441" s="1" t="s">
        <v>1941</v>
      </c>
      <c r="B2441" s="1" t="s">
        <v>250</v>
      </c>
      <c r="C2441" s="1">
        <v>40.0</v>
      </c>
      <c r="D2441" s="1" t="s">
        <v>47</v>
      </c>
      <c r="E2441" s="1" t="s">
        <v>48</v>
      </c>
      <c r="F2441" s="1" t="s">
        <v>49</v>
      </c>
      <c r="G2441" s="1">
        <v>1.0</v>
      </c>
      <c r="H2441" s="2">
        <v>0.15486111111111112</v>
      </c>
    </row>
    <row r="2442">
      <c r="A2442" s="1" t="s">
        <v>1941</v>
      </c>
      <c r="B2442" s="1" t="s">
        <v>250</v>
      </c>
      <c r="C2442" s="1">
        <v>41.0</v>
      </c>
      <c r="D2442" s="1" t="s">
        <v>57</v>
      </c>
      <c r="E2442" s="1" t="s">
        <v>58</v>
      </c>
      <c r="F2442" s="1" t="s">
        <v>59</v>
      </c>
      <c r="G2442" s="1">
        <v>1.0</v>
      </c>
      <c r="H2442" s="2">
        <v>0.16458333333333333</v>
      </c>
    </row>
    <row r="2443">
      <c r="A2443" s="1" t="s">
        <v>1941</v>
      </c>
      <c r="B2443" s="1" t="s">
        <v>250</v>
      </c>
      <c r="C2443" s="1">
        <v>42.0</v>
      </c>
      <c r="D2443" s="1" t="s">
        <v>1970</v>
      </c>
      <c r="E2443" s="1" t="s">
        <v>1971</v>
      </c>
      <c r="F2443" s="1" t="s">
        <v>1970</v>
      </c>
      <c r="G2443" s="1">
        <v>0.0</v>
      </c>
      <c r="H2443" s="2">
        <v>0.14444444444444443</v>
      </c>
    </row>
    <row r="2444">
      <c r="A2444" s="1" t="s">
        <v>1941</v>
      </c>
      <c r="B2444" s="1" t="s">
        <v>250</v>
      </c>
      <c r="C2444" s="1">
        <v>43.0</v>
      </c>
      <c r="D2444" s="1" t="s">
        <v>53</v>
      </c>
      <c r="E2444" s="1" t="s">
        <v>12</v>
      </c>
      <c r="F2444" s="1" t="s">
        <v>13</v>
      </c>
      <c r="G2444" s="1">
        <v>1.0</v>
      </c>
      <c r="H2444" s="2">
        <v>0.16458333333333333</v>
      </c>
    </row>
    <row r="2445">
      <c r="A2445" s="1" t="s">
        <v>1941</v>
      </c>
      <c r="B2445" s="1" t="s">
        <v>250</v>
      </c>
      <c r="C2445" s="1">
        <v>44.0</v>
      </c>
      <c r="D2445" s="1" t="s">
        <v>312</v>
      </c>
      <c r="E2445" s="1" t="s">
        <v>119</v>
      </c>
      <c r="F2445" s="1" t="s">
        <v>312</v>
      </c>
      <c r="G2445" s="1">
        <v>0.0</v>
      </c>
      <c r="H2445" s="2">
        <v>0.1701388888888889</v>
      </c>
    </row>
    <row r="2446">
      <c r="A2446" s="1" t="s">
        <v>1941</v>
      </c>
      <c r="B2446" s="1" t="s">
        <v>250</v>
      </c>
      <c r="C2446" s="1">
        <v>45.0</v>
      </c>
      <c r="D2446" s="1" t="s">
        <v>73</v>
      </c>
      <c r="E2446" s="1" t="s">
        <v>74</v>
      </c>
      <c r="F2446" s="1" t="s">
        <v>75</v>
      </c>
      <c r="G2446" s="1">
        <v>0.0</v>
      </c>
      <c r="H2446" s="2">
        <v>0.14930555555555555</v>
      </c>
    </row>
    <row r="2447">
      <c r="A2447" s="1" t="s">
        <v>1941</v>
      </c>
      <c r="B2447" s="1" t="s">
        <v>250</v>
      </c>
      <c r="C2447" s="1">
        <v>46.0</v>
      </c>
      <c r="D2447" s="1" t="s">
        <v>1972</v>
      </c>
      <c r="E2447" s="1" t="s">
        <v>1973</v>
      </c>
      <c r="F2447" s="1" t="s">
        <v>1950</v>
      </c>
      <c r="G2447" s="1">
        <v>0.0</v>
      </c>
      <c r="H2447" s="2">
        <v>0.14583333333333334</v>
      </c>
    </row>
    <row r="2448">
      <c r="A2448" s="1" t="s">
        <v>1941</v>
      </c>
      <c r="B2448" s="1" t="s">
        <v>250</v>
      </c>
      <c r="C2448" s="1">
        <v>47.0</v>
      </c>
      <c r="D2448" s="1" t="s">
        <v>80</v>
      </c>
      <c r="E2448" s="1" t="s">
        <v>81</v>
      </c>
      <c r="F2448" s="1" t="s">
        <v>82</v>
      </c>
      <c r="G2448" s="1">
        <v>0.0</v>
      </c>
      <c r="H2448" s="2">
        <v>0.12083333333333333</v>
      </c>
    </row>
    <row r="2449">
      <c r="A2449" s="1" t="s">
        <v>1941</v>
      </c>
      <c r="B2449" s="1" t="s">
        <v>250</v>
      </c>
      <c r="C2449" s="1">
        <v>48.0</v>
      </c>
      <c r="D2449" s="1" t="s">
        <v>78</v>
      </c>
      <c r="E2449" s="1" t="s">
        <v>79</v>
      </c>
      <c r="F2449" s="1" t="s">
        <v>78</v>
      </c>
      <c r="G2449" s="1">
        <v>0.0</v>
      </c>
      <c r="H2449" s="2">
        <v>0.10208333333333333</v>
      </c>
    </row>
    <row r="2450">
      <c r="A2450" s="1" t="s">
        <v>1941</v>
      </c>
      <c r="B2450" s="1" t="s">
        <v>250</v>
      </c>
      <c r="C2450" s="1">
        <v>49.0</v>
      </c>
      <c r="D2450" s="1" t="s">
        <v>1974</v>
      </c>
      <c r="E2450" s="1" t="s">
        <v>1949</v>
      </c>
      <c r="F2450" s="1" t="s">
        <v>1974</v>
      </c>
      <c r="G2450" s="1">
        <v>0.0</v>
      </c>
      <c r="H2450" s="2">
        <v>0.10625</v>
      </c>
    </row>
    <row r="2451">
      <c r="A2451" s="1" t="s">
        <v>1941</v>
      </c>
      <c r="B2451" s="1" t="s">
        <v>250</v>
      </c>
      <c r="C2451" s="1">
        <v>50.0</v>
      </c>
      <c r="D2451" s="1" t="s">
        <v>107</v>
      </c>
      <c r="E2451" s="1" t="s">
        <v>81</v>
      </c>
      <c r="F2451" s="1" t="s">
        <v>82</v>
      </c>
      <c r="G2451" s="1">
        <v>0.0</v>
      </c>
      <c r="H2451" s="2">
        <v>0.14375</v>
      </c>
    </row>
    <row r="2452">
      <c r="A2452" s="1" t="s">
        <v>1975</v>
      </c>
      <c r="B2452" s="1" t="s">
        <v>250</v>
      </c>
      <c r="C2452" s="1">
        <v>1.0</v>
      </c>
      <c r="D2452" s="1" t="s">
        <v>25</v>
      </c>
      <c r="E2452" s="1" t="s">
        <v>26</v>
      </c>
      <c r="F2452" s="1" t="s">
        <v>25</v>
      </c>
      <c r="G2452" s="1">
        <v>1.0</v>
      </c>
      <c r="H2452" s="2">
        <v>0.11458333333333333</v>
      </c>
    </row>
    <row r="2453">
      <c r="A2453" s="1" t="s">
        <v>1975</v>
      </c>
      <c r="B2453" s="1" t="s">
        <v>250</v>
      </c>
      <c r="C2453" s="1">
        <v>2.0</v>
      </c>
      <c r="D2453" s="1" t="s">
        <v>17</v>
      </c>
      <c r="E2453" s="1" t="s">
        <v>18</v>
      </c>
      <c r="F2453" s="1" t="s">
        <v>19</v>
      </c>
      <c r="G2453" s="1">
        <v>1.0</v>
      </c>
      <c r="H2453" s="2">
        <v>0.12222222222222222</v>
      </c>
    </row>
    <row r="2454">
      <c r="A2454" s="1" t="s">
        <v>1975</v>
      </c>
      <c r="B2454" s="1" t="s">
        <v>250</v>
      </c>
      <c r="C2454" s="1">
        <v>3.0</v>
      </c>
      <c r="D2454" s="1" t="s">
        <v>1976</v>
      </c>
      <c r="E2454" s="1" t="s">
        <v>1977</v>
      </c>
      <c r="F2454" s="1" t="s">
        <v>1976</v>
      </c>
      <c r="G2454" s="1">
        <v>1.0</v>
      </c>
      <c r="H2454" s="2">
        <v>0.12361111111111112</v>
      </c>
    </row>
    <row r="2455">
      <c r="A2455" s="1" t="s">
        <v>1975</v>
      </c>
      <c r="B2455" s="1" t="s">
        <v>250</v>
      </c>
      <c r="C2455" s="1">
        <v>4.0</v>
      </c>
      <c r="D2455" s="1" t="s">
        <v>11</v>
      </c>
      <c r="E2455" s="1" t="s">
        <v>12</v>
      </c>
      <c r="F2455" s="1" t="s">
        <v>13</v>
      </c>
      <c r="G2455" s="1">
        <v>0.0</v>
      </c>
      <c r="H2455" s="2">
        <v>0.1388888888888889</v>
      </c>
    </row>
    <row r="2456">
      <c r="A2456" s="1" t="s">
        <v>1975</v>
      </c>
      <c r="B2456" s="1" t="s">
        <v>250</v>
      </c>
      <c r="C2456" s="1">
        <v>5.0</v>
      </c>
      <c r="D2456" s="1" t="s">
        <v>36</v>
      </c>
      <c r="E2456" s="1" t="s">
        <v>37</v>
      </c>
      <c r="F2456" s="1" t="s">
        <v>36</v>
      </c>
      <c r="G2456" s="1">
        <v>1.0</v>
      </c>
      <c r="H2456" s="2">
        <v>0.09166666666666666</v>
      </c>
    </row>
    <row r="2457">
      <c r="A2457" s="1" t="s">
        <v>1975</v>
      </c>
      <c r="B2457" s="1" t="s">
        <v>250</v>
      </c>
      <c r="C2457" s="1">
        <v>6.0</v>
      </c>
      <c r="D2457" s="1" t="s">
        <v>104</v>
      </c>
      <c r="E2457" s="1" t="s">
        <v>84</v>
      </c>
      <c r="F2457" s="1" t="s">
        <v>104</v>
      </c>
      <c r="G2457" s="1">
        <v>1.0</v>
      </c>
      <c r="H2457" s="2">
        <v>0.12152777777777778</v>
      </c>
    </row>
    <row r="2458">
      <c r="A2458" s="1" t="s">
        <v>1975</v>
      </c>
      <c r="B2458" s="1" t="s">
        <v>250</v>
      </c>
      <c r="C2458" s="1">
        <v>7.0</v>
      </c>
      <c r="D2458" s="1" t="s">
        <v>20</v>
      </c>
      <c r="E2458" s="1" t="s">
        <v>21</v>
      </c>
      <c r="F2458" s="1" t="s">
        <v>22</v>
      </c>
      <c r="G2458" s="1">
        <v>1.0</v>
      </c>
      <c r="H2458" s="2">
        <v>0.17152777777777778</v>
      </c>
    </row>
    <row r="2459">
      <c r="A2459" s="1" t="s">
        <v>1975</v>
      </c>
      <c r="B2459" s="1" t="s">
        <v>250</v>
      </c>
      <c r="C2459" s="1">
        <v>8.0</v>
      </c>
      <c r="D2459" s="1" t="s">
        <v>9</v>
      </c>
      <c r="E2459" s="1" t="s">
        <v>10</v>
      </c>
      <c r="F2459" s="1" t="s">
        <v>9</v>
      </c>
      <c r="G2459" s="1">
        <v>0.0</v>
      </c>
      <c r="H2459" s="2">
        <v>0.12638888888888888</v>
      </c>
    </row>
    <row r="2460">
      <c r="A2460" s="1" t="s">
        <v>1975</v>
      </c>
      <c r="B2460" s="1" t="s">
        <v>250</v>
      </c>
      <c r="C2460" s="1">
        <v>9.0</v>
      </c>
      <c r="D2460" s="1" t="s">
        <v>41</v>
      </c>
      <c r="E2460" s="1" t="s">
        <v>42</v>
      </c>
      <c r="F2460" s="1" t="s">
        <v>43</v>
      </c>
      <c r="G2460" s="1">
        <v>1.0</v>
      </c>
      <c r="H2460" s="2">
        <v>0.1361111111111111</v>
      </c>
    </row>
    <row r="2461">
      <c r="A2461" s="1" t="s">
        <v>1975</v>
      </c>
      <c r="B2461" s="1" t="s">
        <v>250</v>
      </c>
      <c r="C2461" s="1">
        <v>10.0</v>
      </c>
      <c r="D2461" s="1" t="s">
        <v>14</v>
      </c>
      <c r="E2461" s="1" t="s">
        <v>15</v>
      </c>
      <c r="F2461" s="1" t="s">
        <v>16</v>
      </c>
      <c r="G2461" s="1">
        <v>1.0</v>
      </c>
      <c r="H2461" s="2">
        <v>0.12569444444444444</v>
      </c>
    </row>
    <row r="2462">
      <c r="A2462" s="1" t="s">
        <v>1975</v>
      </c>
      <c r="B2462" s="1" t="s">
        <v>250</v>
      </c>
      <c r="C2462" s="1">
        <v>11.0</v>
      </c>
      <c r="D2462" s="1" t="s">
        <v>83</v>
      </c>
      <c r="E2462" s="1" t="s">
        <v>84</v>
      </c>
      <c r="F2462" s="1" t="s">
        <v>85</v>
      </c>
      <c r="G2462" s="1">
        <v>1.0</v>
      </c>
      <c r="H2462" s="2">
        <v>0.16875</v>
      </c>
    </row>
    <row r="2463">
      <c r="A2463" s="1" t="s">
        <v>1975</v>
      </c>
      <c r="B2463" s="1" t="s">
        <v>250</v>
      </c>
      <c r="C2463" s="1">
        <v>12.0</v>
      </c>
      <c r="D2463" s="1" t="s">
        <v>94</v>
      </c>
      <c r="E2463" s="1" t="s">
        <v>84</v>
      </c>
      <c r="F2463" s="1" t="s">
        <v>95</v>
      </c>
      <c r="G2463" s="1">
        <v>1.0</v>
      </c>
      <c r="H2463" s="2">
        <v>0.21666666666666667</v>
      </c>
    </row>
    <row r="2464">
      <c r="A2464" s="1" t="s">
        <v>1975</v>
      </c>
      <c r="B2464" s="1" t="s">
        <v>250</v>
      </c>
      <c r="C2464" s="1">
        <v>13.0</v>
      </c>
      <c r="D2464" s="1" t="s">
        <v>38</v>
      </c>
      <c r="E2464" s="1" t="s">
        <v>39</v>
      </c>
      <c r="F2464" s="1" t="s">
        <v>40</v>
      </c>
      <c r="G2464" s="1">
        <v>1.0</v>
      </c>
      <c r="H2464" s="2">
        <v>0.1125</v>
      </c>
    </row>
    <row r="2465">
      <c r="A2465" s="1" t="s">
        <v>1975</v>
      </c>
      <c r="B2465" s="1" t="s">
        <v>250</v>
      </c>
      <c r="C2465" s="1">
        <v>14.0</v>
      </c>
      <c r="D2465" s="1" t="s">
        <v>105</v>
      </c>
      <c r="E2465" s="1" t="s">
        <v>106</v>
      </c>
      <c r="F2465" s="1" t="s">
        <v>105</v>
      </c>
      <c r="G2465" s="1">
        <v>0.0</v>
      </c>
      <c r="H2465" s="2">
        <v>0.11527777777777778</v>
      </c>
    </row>
    <row r="2466">
      <c r="A2466" s="1" t="s">
        <v>1975</v>
      </c>
      <c r="B2466" s="1" t="s">
        <v>250</v>
      </c>
      <c r="C2466" s="1">
        <v>15.0</v>
      </c>
      <c r="D2466" s="1" t="s">
        <v>124</v>
      </c>
      <c r="E2466" s="1" t="s">
        <v>125</v>
      </c>
      <c r="F2466" s="1" t="s">
        <v>126</v>
      </c>
      <c r="G2466" s="1">
        <v>1.0</v>
      </c>
      <c r="H2466" s="2">
        <v>0.15625</v>
      </c>
    </row>
    <row r="2467">
      <c r="A2467" s="1" t="s">
        <v>1975</v>
      </c>
      <c r="B2467" s="1" t="s">
        <v>250</v>
      </c>
      <c r="C2467" s="1">
        <v>16.0</v>
      </c>
      <c r="D2467" s="1" t="s">
        <v>101</v>
      </c>
      <c r="E2467" s="1" t="s">
        <v>102</v>
      </c>
      <c r="F2467" s="1" t="s">
        <v>103</v>
      </c>
      <c r="G2467" s="1">
        <v>1.0</v>
      </c>
      <c r="H2467" s="2">
        <v>0.16458333333333333</v>
      </c>
    </row>
    <row r="2468">
      <c r="A2468" s="1" t="s">
        <v>1975</v>
      </c>
      <c r="B2468" s="1" t="s">
        <v>250</v>
      </c>
      <c r="C2468" s="1">
        <v>17.0</v>
      </c>
      <c r="D2468" s="1" t="s">
        <v>27</v>
      </c>
      <c r="E2468" s="1" t="s">
        <v>28</v>
      </c>
      <c r="F2468" s="1" t="s">
        <v>29</v>
      </c>
      <c r="G2468" s="1">
        <v>0.0</v>
      </c>
      <c r="H2468" s="2">
        <v>0.12708333333333333</v>
      </c>
    </row>
    <row r="2469">
      <c r="A2469" s="1" t="s">
        <v>1975</v>
      </c>
      <c r="B2469" s="1" t="s">
        <v>250</v>
      </c>
      <c r="C2469" s="1">
        <v>18.0</v>
      </c>
      <c r="D2469" s="1" t="s">
        <v>60</v>
      </c>
      <c r="E2469" s="1" t="s">
        <v>61</v>
      </c>
      <c r="F2469" s="1" t="s">
        <v>62</v>
      </c>
      <c r="G2469" s="1">
        <v>0.0</v>
      </c>
      <c r="H2469" s="2">
        <v>0.11041666666666666</v>
      </c>
    </row>
    <row r="2470">
      <c r="A2470" s="1" t="s">
        <v>1975</v>
      </c>
      <c r="B2470" s="1" t="s">
        <v>250</v>
      </c>
      <c r="C2470" s="1">
        <v>19.0</v>
      </c>
      <c r="D2470" s="1" t="s">
        <v>1978</v>
      </c>
      <c r="E2470" s="1" t="s">
        <v>1979</v>
      </c>
      <c r="F2470" s="1" t="s">
        <v>1978</v>
      </c>
      <c r="G2470" s="1">
        <v>0.0</v>
      </c>
      <c r="H2470" s="2">
        <v>0.12777777777777777</v>
      </c>
    </row>
    <row r="2471">
      <c r="A2471" s="1" t="s">
        <v>1975</v>
      </c>
      <c r="B2471" s="1" t="s">
        <v>250</v>
      </c>
      <c r="C2471" s="1">
        <v>20.0</v>
      </c>
      <c r="D2471" s="1" t="s">
        <v>1980</v>
      </c>
      <c r="E2471" s="1" t="s">
        <v>1981</v>
      </c>
      <c r="F2471" s="1" t="s">
        <v>1980</v>
      </c>
      <c r="G2471" s="1">
        <v>1.0</v>
      </c>
      <c r="H2471" s="2">
        <v>0.12638888888888888</v>
      </c>
    </row>
    <row r="2472">
      <c r="A2472" s="1" t="s">
        <v>1975</v>
      </c>
      <c r="B2472" s="1" t="s">
        <v>250</v>
      </c>
      <c r="C2472" s="1">
        <v>21.0</v>
      </c>
      <c r="D2472" s="1" t="s">
        <v>88</v>
      </c>
      <c r="E2472" s="1" t="s">
        <v>89</v>
      </c>
      <c r="F2472" s="1" t="s">
        <v>90</v>
      </c>
      <c r="G2472" s="1">
        <v>1.0</v>
      </c>
      <c r="H2472" s="2">
        <v>0.09652777777777778</v>
      </c>
    </row>
    <row r="2473">
      <c r="A2473" s="1" t="s">
        <v>1975</v>
      </c>
      <c r="B2473" s="1" t="s">
        <v>250</v>
      </c>
      <c r="C2473" s="1">
        <v>22.0</v>
      </c>
      <c r="D2473" s="1" t="s">
        <v>53</v>
      </c>
      <c r="E2473" s="1" t="s">
        <v>12</v>
      </c>
      <c r="F2473" s="1" t="s">
        <v>13</v>
      </c>
      <c r="G2473" s="1">
        <v>1.0</v>
      </c>
      <c r="H2473" s="2">
        <v>0.16458333333333333</v>
      </c>
    </row>
    <row r="2474">
      <c r="A2474" s="1" t="s">
        <v>1975</v>
      </c>
      <c r="B2474" s="1" t="s">
        <v>250</v>
      </c>
      <c r="C2474" s="1">
        <v>23.0</v>
      </c>
      <c r="D2474" s="1" t="s">
        <v>23</v>
      </c>
      <c r="E2474" s="1" t="s">
        <v>24</v>
      </c>
      <c r="F2474" s="1" t="s">
        <v>23</v>
      </c>
      <c r="G2474" s="1">
        <v>0.0</v>
      </c>
      <c r="H2474" s="2">
        <v>0.12013888888888889</v>
      </c>
    </row>
    <row r="2475">
      <c r="A2475" s="1" t="s">
        <v>1975</v>
      </c>
      <c r="B2475" s="1" t="s">
        <v>250</v>
      </c>
      <c r="C2475" s="1">
        <v>24.0</v>
      </c>
      <c r="D2475" s="1" t="s">
        <v>115</v>
      </c>
      <c r="E2475" s="1" t="s">
        <v>116</v>
      </c>
      <c r="F2475" s="1" t="s">
        <v>117</v>
      </c>
      <c r="G2475" s="1">
        <v>1.0</v>
      </c>
      <c r="H2475" s="2">
        <v>0.11597222222222223</v>
      </c>
    </row>
    <row r="2476">
      <c r="A2476" s="1" t="s">
        <v>1975</v>
      </c>
      <c r="B2476" s="1" t="s">
        <v>250</v>
      </c>
      <c r="C2476" s="1">
        <v>25.0</v>
      </c>
      <c r="D2476" s="1" t="s">
        <v>1982</v>
      </c>
      <c r="E2476" s="1" t="s">
        <v>1983</v>
      </c>
      <c r="F2476" s="1" t="s">
        <v>1982</v>
      </c>
      <c r="G2476" s="1">
        <v>0.0</v>
      </c>
      <c r="H2476" s="2">
        <v>0.09583333333333334</v>
      </c>
    </row>
    <row r="2477">
      <c r="A2477" s="1" t="s">
        <v>1975</v>
      </c>
      <c r="B2477" s="1" t="s">
        <v>250</v>
      </c>
      <c r="C2477" s="1">
        <v>26.0</v>
      </c>
      <c r="D2477" s="1" t="s">
        <v>30</v>
      </c>
      <c r="E2477" s="1" t="s">
        <v>31</v>
      </c>
      <c r="F2477" s="1" t="s">
        <v>32</v>
      </c>
      <c r="G2477" s="1">
        <v>0.0</v>
      </c>
      <c r="H2477" s="2">
        <v>0.15833333333333333</v>
      </c>
    </row>
    <row r="2478">
      <c r="A2478" s="1" t="s">
        <v>1975</v>
      </c>
      <c r="B2478" s="1" t="s">
        <v>250</v>
      </c>
      <c r="C2478" s="1">
        <v>27.0</v>
      </c>
      <c r="D2478" s="1" t="s">
        <v>462</v>
      </c>
      <c r="E2478" s="1" t="s">
        <v>463</v>
      </c>
      <c r="F2478" s="1" t="s">
        <v>464</v>
      </c>
      <c r="G2478" s="1">
        <v>1.0</v>
      </c>
      <c r="H2478" s="2">
        <v>0.14583333333333334</v>
      </c>
    </row>
    <row r="2479">
      <c r="A2479" s="1" t="s">
        <v>1975</v>
      </c>
      <c r="B2479" s="1" t="s">
        <v>250</v>
      </c>
      <c r="C2479" s="1">
        <v>28.0</v>
      </c>
      <c r="D2479" s="1" t="s">
        <v>44</v>
      </c>
      <c r="E2479" s="1" t="s">
        <v>45</v>
      </c>
      <c r="F2479" s="1" t="s">
        <v>44</v>
      </c>
      <c r="G2479" s="1">
        <v>0.0</v>
      </c>
      <c r="H2479" s="2">
        <v>0.12222222222222222</v>
      </c>
    </row>
    <row r="2480">
      <c r="A2480" s="1" t="s">
        <v>1975</v>
      </c>
      <c r="B2480" s="1" t="s">
        <v>250</v>
      </c>
      <c r="C2480" s="1">
        <v>29.0</v>
      </c>
      <c r="D2480" s="1" t="s">
        <v>1984</v>
      </c>
      <c r="E2480" s="1" t="s">
        <v>1985</v>
      </c>
      <c r="F2480" s="1" t="s">
        <v>1984</v>
      </c>
      <c r="G2480" s="1">
        <v>0.0</v>
      </c>
      <c r="H2480" s="2">
        <v>0.1451388888888889</v>
      </c>
    </row>
    <row r="2481">
      <c r="A2481" s="1" t="s">
        <v>1975</v>
      </c>
      <c r="B2481" s="1" t="s">
        <v>250</v>
      </c>
      <c r="C2481" s="1">
        <v>30.0</v>
      </c>
      <c r="D2481" s="1" t="s">
        <v>46</v>
      </c>
      <c r="E2481" s="1" t="s">
        <v>28</v>
      </c>
      <c r="F2481" s="1" t="s">
        <v>29</v>
      </c>
      <c r="G2481" s="1">
        <v>0.0</v>
      </c>
      <c r="H2481" s="2">
        <v>0.15347222222222223</v>
      </c>
    </row>
    <row r="2482">
      <c r="A2482" s="1" t="s">
        <v>1975</v>
      </c>
      <c r="B2482" s="1" t="s">
        <v>250</v>
      </c>
      <c r="C2482" s="1">
        <v>31.0</v>
      </c>
      <c r="D2482" s="1" t="s">
        <v>33</v>
      </c>
      <c r="E2482" s="1" t="s">
        <v>34</v>
      </c>
      <c r="F2482" s="1" t="s">
        <v>35</v>
      </c>
      <c r="G2482" s="1">
        <v>0.0</v>
      </c>
      <c r="H2482" s="2">
        <v>0.1451388888888889</v>
      </c>
    </row>
    <row r="2483">
      <c r="A2483" s="1" t="s">
        <v>1975</v>
      </c>
      <c r="B2483" s="1" t="s">
        <v>250</v>
      </c>
      <c r="C2483" s="1">
        <v>32.0</v>
      </c>
      <c r="D2483" s="1" t="s">
        <v>92</v>
      </c>
      <c r="E2483" s="1" t="s">
        <v>93</v>
      </c>
      <c r="F2483" s="1" t="s">
        <v>92</v>
      </c>
      <c r="G2483" s="1">
        <v>1.0</v>
      </c>
      <c r="H2483" s="2">
        <v>0.11319444444444444</v>
      </c>
    </row>
    <row r="2484">
      <c r="A2484" s="1" t="s">
        <v>1975</v>
      </c>
      <c r="B2484" s="1" t="s">
        <v>250</v>
      </c>
      <c r="C2484" s="1">
        <v>33.0</v>
      </c>
      <c r="D2484" s="1" t="s">
        <v>78</v>
      </c>
      <c r="E2484" s="1" t="s">
        <v>79</v>
      </c>
      <c r="F2484" s="1" t="s">
        <v>78</v>
      </c>
      <c r="G2484" s="1">
        <v>0.0</v>
      </c>
      <c r="H2484" s="2">
        <v>0.10208333333333333</v>
      </c>
    </row>
    <row r="2485">
      <c r="A2485" s="1" t="s">
        <v>1975</v>
      </c>
      <c r="B2485" s="1" t="s">
        <v>250</v>
      </c>
      <c r="C2485" s="1">
        <v>34.0</v>
      </c>
      <c r="D2485" s="1" t="s">
        <v>1986</v>
      </c>
      <c r="E2485" s="1" t="s">
        <v>1987</v>
      </c>
      <c r="F2485" s="1" t="s">
        <v>1986</v>
      </c>
      <c r="G2485" s="1">
        <v>1.0</v>
      </c>
      <c r="H2485" s="2">
        <v>0.12430555555555556</v>
      </c>
    </row>
    <row r="2486">
      <c r="A2486" s="1" t="s">
        <v>1975</v>
      </c>
      <c r="B2486" s="1" t="s">
        <v>250</v>
      </c>
      <c r="C2486" s="1">
        <v>35.0</v>
      </c>
      <c r="D2486" s="1" t="s">
        <v>1988</v>
      </c>
      <c r="E2486" s="1" t="s">
        <v>1989</v>
      </c>
      <c r="F2486" s="1" t="s">
        <v>1988</v>
      </c>
      <c r="G2486" s="1">
        <v>1.0</v>
      </c>
      <c r="H2486" s="2">
        <v>0.12291666666666666</v>
      </c>
    </row>
    <row r="2487">
      <c r="A2487" s="1" t="s">
        <v>1975</v>
      </c>
      <c r="B2487" s="1" t="s">
        <v>250</v>
      </c>
      <c r="C2487" s="1">
        <v>36.0</v>
      </c>
      <c r="D2487" s="1" t="s">
        <v>1990</v>
      </c>
      <c r="E2487" s="1" t="s">
        <v>1991</v>
      </c>
      <c r="F2487" s="1" t="s">
        <v>1990</v>
      </c>
      <c r="G2487" s="1">
        <v>1.0</v>
      </c>
      <c r="H2487" s="2">
        <v>0.12013888888888889</v>
      </c>
    </row>
    <row r="2488">
      <c r="A2488" s="1" t="s">
        <v>1975</v>
      </c>
      <c r="B2488" s="1" t="s">
        <v>250</v>
      </c>
      <c r="C2488" s="1">
        <v>37.0</v>
      </c>
      <c r="D2488" s="1" t="s">
        <v>50</v>
      </c>
      <c r="E2488" s="1" t="s">
        <v>51</v>
      </c>
      <c r="F2488" s="1" t="s">
        <v>52</v>
      </c>
      <c r="G2488" s="1">
        <v>0.0</v>
      </c>
      <c r="H2488" s="2">
        <v>0.14722222222222223</v>
      </c>
    </row>
    <row r="2489">
      <c r="A2489" s="1" t="s">
        <v>1975</v>
      </c>
      <c r="B2489" s="1" t="s">
        <v>250</v>
      </c>
      <c r="C2489" s="1">
        <v>38.0</v>
      </c>
      <c r="D2489" s="1" t="s">
        <v>80</v>
      </c>
      <c r="E2489" s="1" t="s">
        <v>81</v>
      </c>
      <c r="F2489" s="1" t="s">
        <v>82</v>
      </c>
      <c r="G2489" s="1">
        <v>0.0</v>
      </c>
      <c r="H2489" s="2">
        <v>0.12083333333333333</v>
      </c>
    </row>
    <row r="2490">
      <c r="A2490" s="1" t="s">
        <v>1975</v>
      </c>
      <c r="B2490" s="1" t="s">
        <v>250</v>
      </c>
      <c r="C2490" s="1">
        <v>39.0</v>
      </c>
      <c r="D2490" s="1" t="s">
        <v>73</v>
      </c>
      <c r="E2490" s="1" t="s">
        <v>74</v>
      </c>
      <c r="F2490" s="1" t="s">
        <v>75</v>
      </c>
      <c r="G2490" s="1">
        <v>0.0</v>
      </c>
      <c r="H2490" s="2">
        <v>0.14930555555555555</v>
      </c>
    </row>
    <row r="2491">
      <c r="A2491" s="1" t="s">
        <v>1975</v>
      </c>
      <c r="B2491" s="1" t="s">
        <v>250</v>
      </c>
      <c r="C2491" s="1">
        <v>40.0</v>
      </c>
      <c r="D2491" s="1" t="s">
        <v>91</v>
      </c>
      <c r="E2491" s="1" t="s">
        <v>58</v>
      </c>
      <c r="F2491" s="1" t="s">
        <v>91</v>
      </c>
      <c r="G2491" s="1">
        <v>0.0</v>
      </c>
      <c r="H2491" s="2">
        <v>0.09305555555555556</v>
      </c>
    </row>
    <row r="2492">
      <c r="A2492" s="1" t="s">
        <v>1975</v>
      </c>
      <c r="B2492" s="1" t="s">
        <v>250</v>
      </c>
      <c r="C2492" s="1">
        <v>41.0</v>
      </c>
      <c r="D2492" s="1" t="s">
        <v>1992</v>
      </c>
      <c r="E2492" s="1" t="s">
        <v>1993</v>
      </c>
      <c r="F2492" s="1" t="s">
        <v>1992</v>
      </c>
      <c r="G2492" s="1">
        <v>1.0</v>
      </c>
      <c r="H2492" s="2">
        <v>0.12222222222222222</v>
      </c>
    </row>
    <row r="2493">
      <c r="A2493" s="1" t="s">
        <v>1975</v>
      </c>
      <c r="B2493" s="1" t="s">
        <v>250</v>
      </c>
      <c r="C2493" s="1">
        <v>42.0</v>
      </c>
      <c r="D2493" s="1" t="s">
        <v>1994</v>
      </c>
      <c r="E2493" s="1" t="s">
        <v>1995</v>
      </c>
      <c r="F2493" s="1" t="s">
        <v>1994</v>
      </c>
      <c r="G2493" s="1">
        <v>1.0</v>
      </c>
      <c r="H2493" s="2">
        <v>0.11875</v>
      </c>
    </row>
    <row r="2494">
      <c r="A2494" s="1" t="s">
        <v>1975</v>
      </c>
      <c r="B2494" s="1" t="s">
        <v>250</v>
      </c>
      <c r="C2494" s="1">
        <v>43.0</v>
      </c>
      <c r="D2494" s="1" t="s">
        <v>1996</v>
      </c>
      <c r="E2494" s="1" t="s">
        <v>1981</v>
      </c>
      <c r="F2494" s="1" t="s">
        <v>1996</v>
      </c>
      <c r="G2494" s="1">
        <v>1.0</v>
      </c>
      <c r="H2494" s="2">
        <v>0.1284722222222222</v>
      </c>
    </row>
    <row r="2495">
      <c r="A2495" s="1" t="s">
        <v>1975</v>
      </c>
      <c r="B2495" s="1" t="s">
        <v>250</v>
      </c>
      <c r="C2495" s="1">
        <v>44.0</v>
      </c>
      <c r="D2495" s="1" t="s">
        <v>99</v>
      </c>
      <c r="E2495" s="1" t="s">
        <v>100</v>
      </c>
      <c r="F2495" s="1" t="s">
        <v>99</v>
      </c>
      <c r="G2495" s="1">
        <v>0.0</v>
      </c>
      <c r="H2495" s="2">
        <v>0.11944444444444445</v>
      </c>
    </row>
    <row r="2496">
      <c r="A2496" s="1" t="s">
        <v>1975</v>
      </c>
      <c r="B2496" s="1" t="s">
        <v>250</v>
      </c>
      <c r="C2496" s="1">
        <v>45.0</v>
      </c>
      <c r="D2496" s="1" t="s">
        <v>54</v>
      </c>
      <c r="E2496" s="1" t="s">
        <v>55</v>
      </c>
      <c r="F2496" s="1" t="s">
        <v>56</v>
      </c>
      <c r="G2496" s="1">
        <v>0.0</v>
      </c>
      <c r="H2496" s="2">
        <v>0.10972222222222222</v>
      </c>
    </row>
    <row r="2497">
      <c r="A2497" s="1" t="s">
        <v>1975</v>
      </c>
      <c r="B2497" s="1" t="s">
        <v>250</v>
      </c>
      <c r="C2497" s="1">
        <v>46.0</v>
      </c>
      <c r="D2497" s="1" t="s">
        <v>118</v>
      </c>
      <c r="E2497" s="1" t="s">
        <v>119</v>
      </c>
      <c r="F2497" s="1" t="s">
        <v>120</v>
      </c>
      <c r="G2497" s="1">
        <v>0.0</v>
      </c>
      <c r="H2497" s="2">
        <v>0.13472222222222222</v>
      </c>
    </row>
    <row r="2498">
      <c r="A2498" s="1" t="s">
        <v>1975</v>
      </c>
      <c r="B2498" s="1" t="s">
        <v>250</v>
      </c>
      <c r="C2498" s="1">
        <v>47.0</v>
      </c>
      <c r="D2498" s="1" t="s">
        <v>47</v>
      </c>
      <c r="E2498" s="1" t="s">
        <v>48</v>
      </c>
      <c r="F2498" s="1" t="s">
        <v>49</v>
      </c>
      <c r="G2498" s="1">
        <v>1.0</v>
      </c>
      <c r="H2498" s="2">
        <v>0.15486111111111112</v>
      </c>
    </row>
    <row r="2499">
      <c r="A2499" s="1" t="s">
        <v>1975</v>
      </c>
      <c r="B2499" s="1" t="s">
        <v>250</v>
      </c>
      <c r="C2499" s="1">
        <v>48.0</v>
      </c>
      <c r="D2499" s="1" t="s">
        <v>76</v>
      </c>
      <c r="E2499" s="1" t="s">
        <v>77</v>
      </c>
      <c r="F2499" s="1" t="s">
        <v>76</v>
      </c>
      <c r="G2499" s="1">
        <v>1.0</v>
      </c>
      <c r="H2499" s="2">
        <v>0.14305555555555555</v>
      </c>
    </row>
    <row r="2500">
      <c r="A2500" s="1" t="s">
        <v>1975</v>
      </c>
      <c r="B2500" s="1" t="s">
        <v>250</v>
      </c>
      <c r="C2500" s="1">
        <v>49.0</v>
      </c>
      <c r="D2500" s="1" t="s">
        <v>238</v>
      </c>
      <c r="E2500" s="1" t="s">
        <v>239</v>
      </c>
      <c r="F2500" s="1" t="s">
        <v>238</v>
      </c>
      <c r="G2500" s="1">
        <v>0.0</v>
      </c>
      <c r="H2500" s="2">
        <v>0.11666666666666667</v>
      </c>
    </row>
    <row r="2501">
      <c r="A2501" s="1" t="s">
        <v>1975</v>
      </c>
      <c r="B2501" s="1" t="s">
        <v>250</v>
      </c>
      <c r="C2501" s="1">
        <v>50.0</v>
      </c>
      <c r="D2501" s="1" t="s">
        <v>96</v>
      </c>
      <c r="E2501" s="1" t="s">
        <v>97</v>
      </c>
      <c r="F2501" s="1" t="s">
        <v>98</v>
      </c>
      <c r="G2501" s="1">
        <v>1.0</v>
      </c>
      <c r="H2501" s="2">
        <v>0.12430555555555556</v>
      </c>
    </row>
    <row r="2502">
      <c r="A2502" s="1" t="s">
        <v>1997</v>
      </c>
      <c r="B2502" s="1" t="s">
        <v>903</v>
      </c>
      <c r="C2502" s="1">
        <v>1.0</v>
      </c>
      <c r="D2502" s="1" t="s">
        <v>9</v>
      </c>
      <c r="E2502" s="1" t="s">
        <v>10</v>
      </c>
      <c r="F2502" s="1" t="s">
        <v>9</v>
      </c>
      <c r="G2502" s="1">
        <v>0.0</v>
      </c>
      <c r="H2502" s="2">
        <v>0.12638888888888888</v>
      </c>
    </row>
    <row r="2503">
      <c r="A2503" s="1" t="s">
        <v>1997</v>
      </c>
      <c r="B2503" s="1" t="s">
        <v>903</v>
      </c>
      <c r="C2503" s="1">
        <v>2.0</v>
      </c>
      <c r="D2503" s="1" t="s">
        <v>30</v>
      </c>
      <c r="E2503" s="1" t="s">
        <v>31</v>
      </c>
      <c r="F2503" s="1" t="s">
        <v>32</v>
      </c>
      <c r="G2503" s="1">
        <v>0.0</v>
      </c>
      <c r="H2503" s="2">
        <v>0.15833333333333333</v>
      </c>
    </row>
    <row r="2504">
      <c r="A2504" s="1" t="s">
        <v>1997</v>
      </c>
      <c r="B2504" s="1" t="s">
        <v>903</v>
      </c>
      <c r="C2504" s="1">
        <v>3.0</v>
      </c>
      <c r="D2504" s="1" t="s">
        <v>997</v>
      </c>
      <c r="E2504" s="1" t="s">
        <v>998</v>
      </c>
      <c r="F2504" s="1" t="s">
        <v>999</v>
      </c>
      <c r="G2504" s="1">
        <v>0.0</v>
      </c>
      <c r="H2504" s="2">
        <v>0.11597222222222223</v>
      </c>
    </row>
    <row r="2505">
      <c r="A2505" s="1" t="s">
        <v>1997</v>
      </c>
      <c r="B2505" s="1" t="s">
        <v>903</v>
      </c>
      <c r="C2505" s="1">
        <v>4.0</v>
      </c>
      <c r="D2505" s="1" t="s">
        <v>96</v>
      </c>
      <c r="E2505" s="1" t="s">
        <v>97</v>
      </c>
      <c r="F2505" s="1" t="s">
        <v>98</v>
      </c>
      <c r="G2505" s="1">
        <v>1.0</v>
      </c>
      <c r="H2505" s="2">
        <v>0.12430555555555556</v>
      </c>
    </row>
    <row r="2506">
      <c r="A2506" s="1" t="s">
        <v>1997</v>
      </c>
      <c r="B2506" s="1" t="s">
        <v>903</v>
      </c>
      <c r="C2506" s="1">
        <v>5.0</v>
      </c>
      <c r="D2506" s="1" t="s">
        <v>99</v>
      </c>
      <c r="E2506" s="1" t="s">
        <v>100</v>
      </c>
      <c r="F2506" s="1" t="s">
        <v>99</v>
      </c>
      <c r="G2506" s="1">
        <v>0.0</v>
      </c>
      <c r="H2506" s="2">
        <v>0.11944444444444445</v>
      </c>
    </row>
    <row r="2507">
      <c r="A2507" s="1" t="s">
        <v>1997</v>
      </c>
      <c r="B2507" s="1" t="s">
        <v>903</v>
      </c>
      <c r="C2507" s="1">
        <v>6.0</v>
      </c>
      <c r="D2507" s="1" t="s">
        <v>23</v>
      </c>
      <c r="E2507" s="1" t="s">
        <v>24</v>
      </c>
      <c r="F2507" s="1" t="s">
        <v>23</v>
      </c>
      <c r="G2507" s="1">
        <v>0.0</v>
      </c>
      <c r="H2507" s="2">
        <v>0.12013888888888889</v>
      </c>
    </row>
    <row r="2508">
      <c r="A2508" s="1" t="s">
        <v>1997</v>
      </c>
      <c r="B2508" s="1" t="s">
        <v>903</v>
      </c>
      <c r="C2508" s="1">
        <v>7.0</v>
      </c>
      <c r="D2508" s="1" t="s">
        <v>11</v>
      </c>
      <c r="E2508" s="1" t="s">
        <v>12</v>
      </c>
      <c r="F2508" s="1" t="s">
        <v>13</v>
      </c>
      <c r="G2508" s="1">
        <v>0.0</v>
      </c>
      <c r="H2508" s="2">
        <v>0.1388888888888889</v>
      </c>
    </row>
    <row r="2509">
      <c r="A2509" s="1" t="s">
        <v>1997</v>
      </c>
      <c r="B2509" s="1" t="s">
        <v>903</v>
      </c>
      <c r="C2509" s="1">
        <v>8.0</v>
      </c>
      <c r="D2509" s="1" t="s">
        <v>27</v>
      </c>
      <c r="E2509" s="1" t="s">
        <v>28</v>
      </c>
      <c r="F2509" s="1" t="s">
        <v>29</v>
      </c>
      <c r="G2509" s="1">
        <v>0.0</v>
      </c>
      <c r="H2509" s="2">
        <v>0.12708333333333333</v>
      </c>
    </row>
    <row r="2510">
      <c r="A2510" s="1" t="s">
        <v>1997</v>
      </c>
      <c r="B2510" s="1" t="s">
        <v>903</v>
      </c>
      <c r="C2510" s="1">
        <v>9.0</v>
      </c>
      <c r="D2510" s="1" t="s">
        <v>50</v>
      </c>
      <c r="E2510" s="1" t="s">
        <v>51</v>
      </c>
      <c r="F2510" s="1" t="s">
        <v>52</v>
      </c>
      <c r="G2510" s="1">
        <v>0.0</v>
      </c>
      <c r="H2510" s="2">
        <v>0.14722222222222223</v>
      </c>
    </row>
    <row r="2511">
      <c r="A2511" s="1" t="s">
        <v>1997</v>
      </c>
      <c r="B2511" s="1" t="s">
        <v>903</v>
      </c>
      <c r="C2511" s="1">
        <v>10.0</v>
      </c>
      <c r="D2511" s="1" t="s">
        <v>68</v>
      </c>
      <c r="E2511" s="1" t="s">
        <v>69</v>
      </c>
      <c r="F2511" s="1" t="s">
        <v>70</v>
      </c>
      <c r="G2511" s="1">
        <v>0.0</v>
      </c>
      <c r="H2511" s="2">
        <v>0.12638888888888888</v>
      </c>
    </row>
    <row r="2512">
      <c r="A2512" s="1" t="s">
        <v>1997</v>
      </c>
      <c r="B2512" s="1" t="s">
        <v>903</v>
      </c>
      <c r="C2512" s="1">
        <v>11.0</v>
      </c>
      <c r="D2512" s="1" t="s">
        <v>124</v>
      </c>
      <c r="E2512" s="1" t="s">
        <v>125</v>
      </c>
      <c r="F2512" s="1" t="s">
        <v>126</v>
      </c>
      <c r="G2512" s="1">
        <v>1.0</v>
      </c>
      <c r="H2512" s="2">
        <v>0.15625</v>
      </c>
    </row>
    <row r="2513">
      <c r="A2513" s="1" t="s">
        <v>1997</v>
      </c>
      <c r="B2513" s="1" t="s">
        <v>903</v>
      </c>
      <c r="C2513" s="1">
        <v>12.0</v>
      </c>
      <c r="D2513" s="1" t="s">
        <v>113</v>
      </c>
      <c r="E2513" s="1" t="s">
        <v>114</v>
      </c>
      <c r="F2513" s="1" t="s">
        <v>113</v>
      </c>
      <c r="G2513" s="1">
        <v>0.0</v>
      </c>
      <c r="H2513" s="2">
        <v>0.13125</v>
      </c>
    </row>
    <row r="2514">
      <c r="A2514" s="1" t="s">
        <v>1997</v>
      </c>
      <c r="B2514" s="1" t="s">
        <v>903</v>
      </c>
      <c r="C2514" s="1">
        <v>13.0</v>
      </c>
      <c r="D2514" s="1" t="s">
        <v>17</v>
      </c>
      <c r="E2514" s="1" t="s">
        <v>18</v>
      </c>
      <c r="F2514" s="1" t="s">
        <v>19</v>
      </c>
      <c r="G2514" s="1">
        <v>1.0</v>
      </c>
      <c r="H2514" s="2">
        <v>0.12222222222222222</v>
      </c>
    </row>
    <row r="2515">
      <c r="A2515" s="1" t="s">
        <v>1997</v>
      </c>
      <c r="B2515" s="1" t="s">
        <v>903</v>
      </c>
      <c r="C2515" s="1">
        <v>14.0</v>
      </c>
      <c r="D2515" s="1" t="s">
        <v>47</v>
      </c>
      <c r="E2515" s="1" t="s">
        <v>48</v>
      </c>
      <c r="F2515" s="1" t="s">
        <v>49</v>
      </c>
      <c r="G2515" s="1">
        <v>1.0</v>
      </c>
      <c r="H2515" s="2">
        <v>0.15486111111111112</v>
      </c>
    </row>
    <row r="2516">
      <c r="A2516" s="1" t="s">
        <v>1997</v>
      </c>
      <c r="B2516" s="1" t="s">
        <v>903</v>
      </c>
      <c r="C2516" s="1">
        <v>15.0</v>
      </c>
      <c r="D2516" s="1" t="s">
        <v>44</v>
      </c>
      <c r="E2516" s="1" t="s">
        <v>45</v>
      </c>
      <c r="F2516" s="1" t="s">
        <v>44</v>
      </c>
      <c r="G2516" s="1">
        <v>0.0</v>
      </c>
      <c r="H2516" s="2">
        <v>0.12222222222222222</v>
      </c>
    </row>
    <row r="2517">
      <c r="A2517" s="1" t="s">
        <v>1997</v>
      </c>
      <c r="B2517" s="1" t="s">
        <v>903</v>
      </c>
      <c r="C2517" s="1">
        <v>16.0</v>
      </c>
      <c r="D2517" s="1" t="s">
        <v>33</v>
      </c>
      <c r="E2517" s="1" t="s">
        <v>34</v>
      </c>
      <c r="F2517" s="1" t="s">
        <v>35</v>
      </c>
      <c r="G2517" s="1">
        <v>0.0</v>
      </c>
      <c r="H2517" s="2">
        <v>0.1451388888888889</v>
      </c>
    </row>
    <row r="2518">
      <c r="A2518" s="1" t="s">
        <v>1997</v>
      </c>
      <c r="B2518" s="1" t="s">
        <v>903</v>
      </c>
      <c r="C2518" s="1">
        <v>17.0</v>
      </c>
      <c r="D2518" s="1" t="s">
        <v>20</v>
      </c>
      <c r="E2518" s="1" t="s">
        <v>21</v>
      </c>
      <c r="F2518" s="1" t="s">
        <v>22</v>
      </c>
      <c r="G2518" s="1">
        <v>1.0</v>
      </c>
      <c r="H2518" s="2">
        <v>0.17152777777777778</v>
      </c>
    </row>
    <row r="2519">
      <c r="A2519" s="1" t="s">
        <v>1997</v>
      </c>
      <c r="B2519" s="1" t="s">
        <v>903</v>
      </c>
      <c r="C2519" s="1">
        <v>18.0</v>
      </c>
      <c r="D2519" s="1" t="s">
        <v>73</v>
      </c>
      <c r="E2519" s="1" t="s">
        <v>74</v>
      </c>
      <c r="F2519" s="1" t="s">
        <v>75</v>
      </c>
      <c r="G2519" s="1">
        <v>0.0</v>
      </c>
      <c r="H2519" s="2">
        <v>0.14930555555555555</v>
      </c>
    </row>
    <row r="2520">
      <c r="A2520" s="1" t="s">
        <v>1997</v>
      </c>
      <c r="B2520" s="1" t="s">
        <v>903</v>
      </c>
      <c r="C2520" s="1">
        <v>19.0</v>
      </c>
      <c r="D2520" s="1" t="s">
        <v>46</v>
      </c>
      <c r="E2520" s="1" t="s">
        <v>28</v>
      </c>
      <c r="F2520" s="1" t="s">
        <v>29</v>
      </c>
      <c r="G2520" s="1">
        <v>0.0</v>
      </c>
      <c r="H2520" s="2">
        <v>0.15347222222222223</v>
      </c>
    </row>
    <row r="2521">
      <c r="A2521" s="1" t="s">
        <v>1997</v>
      </c>
      <c r="B2521" s="1" t="s">
        <v>903</v>
      </c>
      <c r="C2521" s="1">
        <v>20.0</v>
      </c>
      <c r="D2521" s="1" t="s">
        <v>224</v>
      </c>
      <c r="E2521" s="1" t="s">
        <v>225</v>
      </c>
      <c r="F2521" s="1" t="s">
        <v>226</v>
      </c>
      <c r="G2521" s="1">
        <v>0.0</v>
      </c>
      <c r="H2521" s="2">
        <v>0.14444444444444443</v>
      </c>
    </row>
    <row r="2522">
      <c r="A2522" s="1" t="s">
        <v>1997</v>
      </c>
      <c r="B2522" s="1" t="s">
        <v>903</v>
      </c>
      <c r="C2522" s="1">
        <v>21.0</v>
      </c>
      <c r="D2522" s="1" t="s">
        <v>76</v>
      </c>
      <c r="E2522" s="1" t="s">
        <v>77</v>
      </c>
      <c r="F2522" s="1" t="s">
        <v>76</v>
      </c>
      <c r="G2522" s="1">
        <v>1.0</v>
      </c>
      <c r="H2522" s="2">
        <v>0.14305555555555555</v>
      </c>
    </row>
    <row r="2523">
      <c r="A2523" s="1" t="s">
        <v>1997</v>
      </c>
      <c r="B2523" s="1" t="s">
        <v>903</v>
      </c>
      <c r="C2523" s="1">
        <v>22.0</v>
      </c>
      <c r="D2523" s="1" t="s">
        <v>38</v>
      </c>
      <c r="E2523" s="1" t="s">
        <v>39</v>
      </c>
      <c r="F2523" s="1" t="s">
        <v>40</v>
      </c>
      <c r="G2523" s="1">
        <v>1.0</v>
      </c>
      <c r="H2523" s="2">
        <v>0.1125</v>
      </c>
    </row>
    <row r="2524">
      <c r="A2524" s="1" t="s">
        <v>1997</v>
      </c>
      <c r="B2524" s="1" t="s">
        <v>903</v>
      </c>
      <c r="C2524" s="1">
        <v>23.0</v>
      </c>
      <c r="D2524" s="1" t="s">
        <v>111</v>
      </c>
      <c r="E2524" s="1" t="s">
        <v>69</v>
      </c>
      <c r="F2524" s="1" t="s">
        <v>112</v>
      </c>
      <c r="G2524" s="1">
        <v>0.0</v>
      </c>
      <c r="H2524" s="2">
        <v>0.14930555555555555</v>
      </c>
    </row>
    <row r="2525">
      <c r="A2525" s="1" t="s">
        <v>1997</v>
      </c>
      <c r="B2525" s="1" t="s">
        <v>903</v>
      </c>
      <c r="C2525" s="1">
        <v>24.0</v>
      </c>
      <c r="D2525" s="1" t="s">
        <v>14</v>
      </c>
      <c r="E2525" s="1" t="s">
        <v>15</v>
      </c>
      <c r="F2525" s="1" t="s">
        <v>16</v>
      </c>
      <c r="G2525" s="1">
        <v>1.0</v>
      </c>
      <c r="H2525" s="2">
        <v>0.12569444444444444</v>
      </c>
    </row>
    <row r="2526">
      <c r="A2526" s="1" t="s">
        <v>1997</v>
      </c>
      <c r="B2526" s="1" t="s">
        <v>903</v>
      </c>
      <c r="C2526" s="1">
        <v>25.0</v>
      </c>
      <c r="D2526" s="1" t="s">
        <v>54</v>
      </c>
      <c r="E2526" s="1" t="s">
        <v>55</v>
      </c>
      <c r="F2526" s="1" t="s">
        <v>56</v>
      </c>
      <c r="G2526" s="1">
        <v>0.0</v>
      </c>
      <c r="H2526" s="2">
        <v>0.10972222222222222</v>
      </c>
    </row>
    <row r="2527">
      <c r="A2527" s="1" t="s">
        <v>1997</v>
      </c>
      <c r="B2527" s="1" t="s">
        <v>903</v>
      </c>
      <c r="C2527" s="1">
        <v>26.0</v>
      </c>
      <c r="D2527" s="1" t="s">
        <v>996</v>
      </c>
      <c r="E2527" s="1">
        <v>831.0</v>
      </c>
      <c r="F2527" s="1" t="s">
        <v>996</v>
      </c>
      <c r="G2527" s="1">
        <v>0.0</v>
      </c>
      <c r="H2527" s="2">
        <v>0.16597222222222222</v>
      </c>
    </row>
    <row r="2528">
      <c r="A2528" s="1" t="s">
        <v>1997</v>
      </c>
      <c r="B2528" s="1" t="s">
        <v>903</v>
      </c>
      <c r="C2528" s="1">
        <v>27.0</v>
      </c>
      <c r="D2528" s="1" t="s">
        <v>53</v>
      </c>
      <c r="E2528" s="1" t="s">
        <v>12</v>
      </c>
      <c r="F2528" s="1" t="s">
        <v>13</v>
      </c>
      <c r="G2528" s="1">
        <v>1.0</v>
      </c>
      <c r="H2528" s="2">
        <v>0.16458333333333333</v>
      </c>
    </row>
    <row r="2529">
      <c r="A2529" s="1" t="s">
        <v>1997</v>
      </c>
      <c r="B2529" s="1" t="s">
        <v>903</v>
      </c>
      <c r="C2529" s="1">
        <v>28.0</v>
      </c>
      <c r="D2529" s="1" t="s">
        <v>1998</v>
      </c>
      <c r="E2529" s="1" t="s">
        <v>1999</v>
      </c>
      <c r="F2529" s="1" t="s">
        <v>2000</v>
      </c>
      <c r="G2529" s="1">
        <v>0.0</v>
      </c>
      <c r="H2529" s="2">
        <v>0.22291666666666668</v>
      </c>
    </row>
    <row r="2530">
      <c r="A2530" s="1" t="s">
        <v>1997</v>
      </c>
      <c r="B2530" s="1" t="s">
        <v>903</v>
      </c>
      <c r="C2530" s="1">
        <v>29.0</v>
      </c>
      <c r="D2530" s="1" t="s">
        <v>121</v>
      </c>
      <c r="E2530" s="1" t="s">
        <v>122</v>
      </c>
      <c r="F2530" s="1" t="s">
        <v>123</v>
      </c>
      <c r="G2530" s="1">
        <v>0.0</v>
      </c>
      <c r="H2530" s="2">
        <v>0.13194444444444445</v>
      </c>
    </row>
    <row r="2531">
      <c r="A2531" s="1" t="s">
        <v>1997</v>
      </c>
      <c r="B2531" s="1" t="s">
        <v>903</v>
      </c>
      <c r="C2531" s="1">
        <v>30.0</v>
      </c>
      <c r="D2531" s="1" t="s">
        <v>2001</v>
      </c>
      <c r="E2531" s="1" t="s">
        <v>2002</v>
      </c>
      <c r="F2531" s="1" t="s">
        <v>2001</v>
      </c>
      <c r="G2531" s="1">
        <v>0.0</v>
      </c>
      <c r="H2531" s="2">
        <v>0.15416666666666667</v>
      </c>
    </row>
    <row r="2532">
      <c r="A2532" s="1" t="s">
        <v>1997</v>
      </c>
      <c r="B2532" s="1" t="s">
        <v>903</v>
      </c>
      <c r="C2532" s="1">
        <v>31.0</v>
      </c>
      <c r="D2532" s="1" t="s">
        <v>25</v>
      </c>
      <c r="E2532" s="1" t="s">
        <v>26</v>
      </c>
      <c r="F2532" s="1" t="s">
        <v>25</v>
      </c>
      <c r="G2532" s="1">
        <v>1.0</v>
      </c>
      <c r="H2532" s="2">
        <v>0.11458333333333333</v>
      </c>
    </row>
    <row r="2533">
      <c r="A2533" s="1" t="s">
        <v>1997</v>
      </c>
      <c r="B2533" s="1" t="s">
        <v>903</v>
      </c>
      <c r="C2533" s="1">
        <v>32.0</v>
      </c>
      <c r="D2533" s="1" t="s">
        <v>244</v>
      </c>
      <c r="E2533" s="1" t="s">
        <v>245</v>
      </c>
      <c r="F2533" s="1" t="s">
        <v>244</v>
      </c>
      <c r="G2533" s="1">
        <v>0.0</v>
      </c>
      <c r="H2533" s="2">
        <v>0.13819444444444445</v>
      </c>
    </row>
    <row r="2534">
      <c r="A2534" s="1" t="s">
        <v>1997</v>
      </c>
      <c r="B2534" s="1" t="s">
        <v>903</v>
      </c>
      <c r="C2534" s="1">
        <v>33.0</v>
      </c>
      <c r="D2534" s="1" t="s">
        <v>60</v>
      </c>
      <c r="E2534" s="1" t="s">
        <v>61</v>
      </c>
      <c r="F2534" s="1" t="s">
        <v>62</v>
      </c>
      <c r="G2534" s="1">
        <v>0.0</v>
      </c>
      <c r="H2534" s="2">
        <v>0.11041666666666666</v>
      </c>
    </row>
    <row r="2535">
      <c r="A2535" s="1" t="s">
        <v>1997</v>
      </c>
      <c r="B2535" s="1" t="s">
        <v>903</v>
      </c>
      <c r="C2535" s="1">
        <v>34.0</v>
      </c>
      <c r="D2535" s="1" t="s">
        <v>57</v>
      </c>
      <c r="E2535" s="1" t="s">
        <v>58</v>
      </c>
      <c r="F2535" s="1" t="s">
        <v>59</v>
      </c>
      <c r="G2535" s="1">
        <v>1.0</v>
      </c>
      <c r="H2535" s="2">
        <v>0.16458333333333333</v>
      </c>
    </row>
    <row r="2536">
      <c r="A2536" s="1" t="s">
        <v>1997</v>
      </c>
      <c r="B2536" s="1" t="s">
        <v>903</v>
      </c>
      <c r="C2536" s="1">
        <v>35.0</v>
      </c>
      <c r="D2536" s="1" t="s">
        <v>1463</v>
      </c>
      <c r="E2536" s="1" t="s">
        <v>1464</v>
      </c>
      <c r="F2536" s="1" t="s">
        <v>1463</v>
      </c>
      <c r="G2536" s="1">
        <v>0.0</v>
      </c>
      <c r="H2536" s="2">
        <v>0.12013888888888889</v>
      </c>
    </row>
    <row r="2537">
      <c r="A2537" s="1" t="s">
        <v>1997</v>
      </c>
      <c r="B2537" s="1" t="s">
        <v>903</v>
      </c>
      <c r="C2537" s="1">
        <v>36.0</v>
      </c>
      <c r="D2537" s="1" t="s">
        <v>1513</v>
      </c>
      <c r="E2537" s="1" t="s">
        <v>1514</v>
      </c>
      <c r="F2537" s="1" t="s">
        <v>1513</v>
      </c>
      <c r="G2537" s="1">
        <v>0.0</v>
      </c>
      <c r="H2537" s="2">
        <v>0.13541666666666666</v>
      </c>
    </row>
    <row r="2538">
      <c r="A2538" s="1" t="s">
        <v>1997</v>
      </c>
      <c r="B2538" s="1" t="s">
        <v>903</v>
      </c>
      <c r="C2538" s="1">
        <v>37.0</v>
      </c>
      <c r="D2538" s="1" t="s">
        <v>63</v>
      </c>
      <c r="E2538" s="1" t="s">
        <v>64</v>
      </c>
      <c r="F2538" s="1" t="s">
        <v>63</v>
      </c>
      <c r="G2538" s="1">
        <v>1.0</v>
      </c>
      <c r="H2538" s="2">
        <v>0.16805555555555557</v>
      </c>
    </row>
    <row r="2539">
      <c r="A2539" s="1" t="s">
        <v>1997</v>
      </c>
      <c r="B2539" s="1" t="s">
        <v>903</v>
      </c>
      <c r="C2539" s="1">
        <v>38.0</v>
      </c>
      <c r="D2539" s="1" t="s">
        <v>92</v>
      </c>
      <c r="E2539" s="1" t="s">
        <v>93</v>
      </c>
      <c r="F2539" s="1" t="s">
        <v>92</v>
      </c>
      <c r="G2539" s="1">
        <v>1.0</v>
      </c>
      <c r="H2539" s="2">
        <v>0.11319444444444444</v>
      </c>
    </row>
    <row r="2540">
      <c r="A2540" s="1" t="s">
        <v>1997</v>
      </c>
      <c r="B2540" s="1" t="s">
        <v>903</v>
      </c>
      <c r="C2540" s="1">
        <v>39.0</v>
      </c>
      <c r="D2540" s="1" t="s">
        <v>1851</v>
      </c>
      <c r="E2540" s="1" t="s">
        <v>1852</v>
      </c>
      <c r="F2540" s="1" t="s">
        <v>1851</v>
      </c>
      <c r="G2540" s="1">
        <v>0.0</v>
      </c>
      <c r="H2540" s="2">
        <v>0.11597222222222223</v>
      </c>
    </row>
    <row r="2541">
      <c r="A2541" s="1" t="s">
        <v>1997</v>
      </c>
      <c r="B2541" s="1" t="s">
        <v>903</v>
      </c>
      <c r="C2541" s="1">
        <v>40.0</v>
      </c>
      <c r="D2541" s="1" t="s">
        <v>2003</v>
      </c>
      <c r="E2541" s="1" t="s">
        <v>2004</v>
      </c>
      <c r="F2541" s="1" t="s">
        <v>2005</v>
      </c>
      <c r="G2541" s="1">
        <v>0.0</v>
      </c>
      <c r="H2541" s="2">
        <v>0.1326388888888889</v>
      </c>
    </row>
    <row r="2542">
      <c r="A2542" s="1" t="s">
        <v>1997</v>
      </c>
      <c r="B2542" s="1" t="s">
        <v>903</v>
      </c>
      <c r="C2542" s="1">
        <v>41.0</v>
      </c>
      <c r="D2542" s="1" t="s">
        <v>91</v>
      </c>
      <c r="E2542" s="1" t="s">
        <v>58</v>
      </c>
      <c r="F2542" s="1" t="s">
        <v>91</v>
      </c>
      <c r="G2542" s="1">
        <v>0.0</v>
      </c>
      <c r="H2542" s="2">
        <v>0.09305555555555556</v>
      </c>
    </row>
    <row r="2543">
      <c r="A2543" s="1" t="s">
        <v>1997</v>
      </c>
      <c r="B2543" s="1" t="s">
        <v>903</v>
      </c>
      <c r="C2543" s="1">
        <v>42.0</v>
      </c>
      <c r="D2543" s="1" t="s">
        <v>2006</v>
      </c>
      <c r="E2543" s="1" t="s">
        <v>1999</v>
      </c>
      <c r="F2543" s="1" t="s">
        <v>2007</v>
      </c>
      <c r="G2543" s="1">
        <v>0.0</v>
      </c>
      <c r="H2543" s="2">
        <v>0.19930555555555557</v>
      </c>
    </row>
    <row r="2544">
      <c r="A2544" s="1" t="s">
        <v>1997</v>
      </c>
      <c r="B2544" s="1" t="s">
        <v>903</v>
      </c>
      <c r="C2544" s="1">
        <v>43.0</v>
      </c>
      <c r="D2544" s="1" t="s">
        <v>468</v>
      </c>
      <c r="E2544" s="1" t="s">
        <v>125</v>
      </c>
      <c r="F2544" s="1" t="s">
        <v>126</v>
      </c>
      <c r="G2544" s="1">
        <v>1.0</v>
      </c>
      <c r="H2544" s="2">
        <v>0.12638888888888888</v>
      </c>
    </row>
    <row r="2545">
      <c r="A2545" s="1" t="s">
        <v>1997</v>
      </c>
      <c r="B2545" s="1" t="s">
        <v>903</v>
      </c>
      <c r="C2545" s="1">
        <v>44.0</v>
      </c>
      <c r="D2545" s="1" t="s">
        <v>41</v>
      </c>
      <c r="E2545" s="1" t="s">
        <v>42</v>
      </c>
      <c r="F2545" s="1" t="s">
        <v>43</v>
      </c>
      <c r="G2545" s="1">
        <v>1.0</v>
      </c>
      <c r="H2545" s="2">
        <v>0.1361111111111111</v>
      </c>
    </row>
    <row r="2546">
      <c r="A2546" s="1" t="s">
        <v>1997</v>
      </c>
      <c r="B2546" s="1" t="s">
        <v>903</v>
      </c>
      <c r="C2546" s="1">
        <v>45.0</v>
      </c>
      <c r="D2546" s="1" t="s">
        <v>1515</v>
      </c>
      <c r="E2546" s="1" t="s">
        <v>1516</v>
      </c>
      <c r="F2546" s="1" t="s">
        <v>1517</v>
      </c>
      <c r="G2546" s="1">
        <v>0.0</v>
      </c>
      <c r="H2546" s="2">
        <v>0.12361111111111112</v>
      </c>
    </row>
    <row r="2547">
      <c r="A2547" s="1" t="s">
        <v>1997</v>
      </c>
      <c r="B2547" s="1" t="s">
        <v>903</v>
      </c>
      <c r="C2547" s="1">
        <v>46.0</v>
      </c>
      <c r="D2547" s="1" t="s">
        <v>2008</v>
      </c>
      <c r="E2547" s="1" t="s">
        <v>2009</v>
      </c>
      <c r="F2547" s="1" t="s">
        <v>2010</v>
      </c>
      <c r="G2547" s="1">
        <v>0.0</v>
      </c>
      <c r="H2547" s="2">
        <v>0.16458333333333333</v>
      </c>
    </row>
    <row r="2548">
      <c r="A2548" s="1" t="s">
        <v>1997</v>
      </c>
      <c r="B2548" s="1" t="s">
        <v>903</v>
      </c>
      <c r="C2548" s="1">
        <v>47.0</v>
      </c>
      <c r="D2548" s="1" t="s">
        <v>2011</v>
      </c>
      <c r="E2548" s="1" t="s">
        <v>2012</v>
      </c>
      <c r="F2548" s="1" t="s">
        <v>2013</v>
      </c>
      <c r="G2548" s="1">
        <v>0.0</v>
      </c>
      <c r="H2548" s="2">
        <v>0.14930555555555555</v>
      </c>
    </row>
    <row r="2549">
      <c r="A2549" s="1" t="s">
        <v>1997</v>
      </c>
      <c r="B2549" s="1" t="s">
        <v>903</v>
      </c>
      <c r="C2549" s="1">
        <v>48.0</v>
      </c>
      <c r="D2549" s="1" t="s">
        <v>479</v>
      </c>
      <c r="E2549" s="1" t="s">
        <v>480</v>
      </c>
      <c r="F2549" s="1" t="s">
        <v>126</v>
      </c>
      <c r="G2549" s="1">
        <v>0.0</v>
      </c>
      <c r="H2549" s="2">
        <v>0.1361111111111111</v>
      </c>
    </row>
    <row r="2550">
      <c r="A2550" s="1" t="s">
        <v>1997</v>
      </c>
      <c r="B2550" s="1" t="s">
        <v>903</v>
      </c>
      <c r="C2550" s="1">
        <v>49.0</v>
      </c>
      <c r="D2550" s="1">
        <v>28.0</v>
      </c>
      <c r="E2550" s="1" t="s">
        <v>2014</v>
      </c>
      <c r="F2550" s="1" t="s">
        <v>126</v>
      </c>
      <c r="G2550" s="1">
        <v>0.0</v>
      </c>
      <c r="H2550" s="2">
        <v>0.09236111111111112</v>
      </c>
    </row>
    <row r="2551">
      <c r="A2551" s="1" t="s">
        <v>1997</v>
      </c>
      <c r="B2551" s="1" t="s">
        <v>903</v>
      </c>
      <c r="C2551" s="1">
        <v>50.0</v>
      </c>
      <c r="D2551" s="1" t="s">
        <v>2015</v>
      </c>
      <c r="E2551" s="1" t="s">
        <v>125</v>
      </c>
      <c r="F2551" s="1" t="s">
        <v>126</v>
      </c>
      <c r="G2551" s="1">
        <v>1.0</v>
      </c>
      <c r="H2551" s="2">
        <v>0.11319444444444444</v>
      </c>
    </row>
    <row r="2552">
      <c r="A2552" s="1" t="s">
        <v>2016</v>
      </c>
      <c r="B2552" s="1" t="s">
        <v>250</v>
      </c>
      <c r="C2552" s="1">
        <v>1.0</v>
      </c>
      <c r="D2552" s="1" t="s">
        <v>17</v>
      </c>
      <c r="E2552" s="1" t="s">
        <v>18</v>
      </c>
      <c r="F2552" s="1" t="s">
        <v>19</v>
      </c>
      <c r="G2552" s="1">
        <v>1.0</v>
      </c>
      <c r="H2552" s="2">
        <v>0.12222222222222222</v>
      </c>
    </row>
    <row r="2553">
      <c r="A2553" s="1" t="s">
        <v>2016</v>
      </c>
      <c r="B2553" s="1" t="s">
        <v>250</v>
      </c>
      <c r="C2553" s="1">
        <v>2.0</v>
      </c>
      <c r="D2553" s="1" t="s">
        <v>36</v>
      </c>
      <c r="E2553" s="1" t="s">
        <v>37</v>
      </c>
      <c r="F2553" s="1" t="s">
        <v>36</v>
      </c>
      <c r="G2553" s="1">
        <v>1.0</v>
      </c>
      <c r="H2553" s="2">
        <v>0.09166666666666666</v>
      </c>
    </row>
    <row r="2554">
      <c r="A2554" s="1" t="s">
        <v>2016</v>
      </c>
      <c r="B2554" s="1" t="s">
        <v>250</v>
      </c>
      <c r="C2554" s="1">
        <v>3.0</v>
      </c>
      <c r="D2554" s="1" t="s">
        <v>11</v>
      </c>
      <c r="E2554" s="1" t="s">
        <v>12</v>
      </c>
      <c r="F2554" s="1" t="s">
        <v>13</v>
      </c>
      <c r="G2554" s="1">
        <v>0.0</v>
      </c>
      <c r="H2554" s="2">
        <v>0.1388888888888889</v>
      </c>
    </row>
    <row r="2555">
      <c r="A2555" s="1" t="s">
        <v>2016</v>
      </c>
      <c r="B2555" s="1" t="s">
        <v>250</v>
      </c>
      <c r="C2555" s="1">
        <v>4.0</v>
      </c>
      <c r="D2555" s="1" t="s">
        <v>9</v>
      </c>
      <c r="E2555" s="1" t="s">
        <v>10</v>
      </c>
      <c r="F2555" s="1" t="s">
        <v>9</v>
      </c>
      <c r="G2555" s="1">
        <v>0.0</v>
      </c>
      <c r="H2555" s="2">
        <v>0.12638888888888888</v>
      </c>
    </row>
    <row r="2556">
      <c r="A2556" s="1" t="s">
        <v>2016</v>
      </c>
      <c r="B2556" s="1" t="s">
        <v>250</v>
      </c>
      <c r="C2556" s="1">
        <v>5.0</v>
      </c>
      <c r="D2556" s="1" t="s">
        <v>25</v>
      </c>
      <c r="E2556" s="1" t="s">
        <v>26</v>
      </c>
      <c r="F2556" s="1" t="s">
        <v>25</v>
      </c>
      <c r="G2556" s="1">
        <v>1.0</v>
      </c>
      <c r="H2556" s="2">
        <v>0.11458333333333333</v>
      </c>
    </row>
    <row r="2557">
      <c r="A2557" s="1" t="s">
        <v>2016</v>
      </c>
      <c r="B2557" s="1" t="s">
        <v>250</v>
      </c>
      <c r="C2557" s="1">
        <v>6.0</v>
      </c>
      <c r="D2557" s="1" t="s">
        <v>105</v>
      </c>
      <c r="E2557" s="1" t="s">
        <v>106</v>
      </c>
      <c r="F2557" s="1" t="s">
        <v>105</v>
      </c>
      <c r="G2557" s="1">
        <v>0.0</v>
      </c>
      <c r="H2557" s="2">
        <v>0.11527777777777778</v>
      </c>
    </row>
    <row r="2558">
      <c r="A2558" s="1" t="s">
        <v>2016</v>
      </c>
      <c r="B2558" s="1" t="s">
        <v>250</v>
      </c>
      <c r="C2558" s="1">
        <v>7.0</v>
      </c>
      <c r="D2558" s="1" t="s">
        <v>2017</v>
      </c>
      <c r="E2558" s="1" t="s">
        <v>2018</v>
      </c>
      <c r="F2558" s="1" t="s">
        <v>2019</v>
      </c>
      <c r="G2558" s="1">
        <v>1.0</v>
      </c>
      <c r="H2558" s="2">
        <v>0.14722222222222223</v>
      </c>
    </row>
    <row r="2559">
      <c r="A2559" s="1" t="s">
        <v>2016</v>
      </c>
      <c r="B2559" s="1" t="s">
        <v>250</v>
      </c>
      <c r="C2559" s="1">
        <v>8.0</v>
      </c>
      <c r="D2559" s="1" t="s">
        <v>14</v>
      </c>
      <c r="E2559" s="1" t="s">
        <v>15</v>
      </c>
      <c r="F2559" s="1" t="s">
        <v>16</v>
      </c>
      <c r="G2559" s="1">
        <v>1.0</v>
      </c>
      <c r="H2559" s="2">
        <v>0.12569444444444444</v>
      </c>
    </row>
    <row r="2560">
      <c r="A2560" s="1" t="s">
        <v>2016</v>
      </c>
      <c r="B2560" s="1" t="s">
        <v>250</v>
      </c>
      <c r="C2560" s="1">
        <v>9.0</v>
      </c>
      <c r="D2560" s="1" t="s">
        <v>2020</v>
      </c>
      <c r="E2560" s="1" t="s">
        <v>2021</v>
      </c>
      <c r="F2560" s="1" t="s">
        <v>2022</v>
      </c>
      <c r="G2560" s="1">
        <v>1.0</v>
      </c>
      <c r="H2560" s="2">
        <v>0.09375</v>
      </c>
    </row>
    <row r="2561">
      <c r="A2561" s="1" t="s">
        <v>2016</v>
      </c>
      <c r="B2561" s="1" t="s">
        <v>250</v>
      </c>
      <c r="C2561" s="1">
        <v>10.0</v>
      </c>
      <c r="D2561" s="1" t="s">
        <v>2022</v>
      </c>
      <c r="E2561" s="1" t="s">
        <v>2021</v>
      </c>
      <c r="F2561" s="1" t="s">
        <v>2022</v>
      </c>
      <c r="G2561" s="1">
        <v>1.0</v>
      </c>
      <c r="H2561" s="2">
        <v>0.14027777777777778</v>
      </c>
    </row>
    <row r="2562">
      <c r="A2562" s="1" t="s">
        <v>2016</v>
      </c>
      <c r="B2562" s="1" t="s">
        <v>250</v>
      </c>
      <c r="C2562" s="1">
        <v>11.0</v>
      </c>
      <c r="D2562" s="1" t="s">
        <v>2023</v>
      </c>
      <c r="E2562" s="1" t="s">
        <v>2024</v>
      </c>
      <c r="F2562" s="1" t="s">
        <v>2022</v>
      </c>
      <c r="G2562" s="1">
        <v>1.0</v>
      </c>
      <c r="H2562" s="2">
        <v>0.1597222222222222</v>
      </c>
    </row>
    <row r="2563">
      <c r="A2563" s="1" t="s">
        <v>2016</v>
      </c>
      <c r="B2563" s="1" t="s">
        <v>250</v>
      </c>
      <c r="C2563" s="1">
        <v>12.0</v>
      </c>
      <c r="D2563" s="1" t="s">
        <v>20</v>
      </c>
      <c r="E2563" s="1" t="s">
        <v>21</v>
      </c>
      <c r="F2563" s="1" t="s">
        <v>22</v>
      </c>
      <c r="G2563" s="1">
        <v>1.0</v>
      </c>
      <c r="H2563" s="2">
        <v>0.17152777777777778</v>
      </c>
    </row>
    <row r="2564">
      <c r="A2564" s="1" t="s">
        <v>2016</v>
      </c>
      <c r="B2564" s="1" t="s">
        <v>250</v>
      </c>
      <c r="C2564" s="1">
        <v>13.0</v>
      </c>
      <c r="D2564" s="1" t="s">
        <v>2025</v>
      </c>
      <c r="E2564" s="1" t="s">
        <v>2026</v>
      </c>
      <c r="F2564" s="1" t="s">
        <v>2022</v>
      </c>
      <c r="G2564" s="1">
        <v>1.0</v>
      </c>
      <c r="H2564" s="2">
        <v>0.16458333333333333</v>
      </c>
    </row>
    <row r="2565">
      <c r="A2565" s="1" t="s">
        <v>2016</v>
      </c>
      <c r="B2565" s="1" t="s">
        <v>250</v>
      </c>
      <c r="C2565" s="1">
        <v>14.0</v>
      </c>
      <c r="D2565" s="1" t="s">
        <v>41</v>
      </c>
      <c r="E2565" s="1" t="s">
        <v>42</v>
      </c>
      <c r="F2565" s="1" t="s">
        <v>43</v>
      </c>
      <c r="G2565" s="1">
        <v>1.0</v>
      </c>
      <c r="H2565" s="2">
        <v>0.1361111111111111</v>
      </c>
    </row>
    <row r="2566">
      <c r="A2566" s="1" t="s">
        <v>2016</v>
      </c>
      <c r="B2566" s="1" t="s">
        <v>250</v>
      </c>
      <c r="C2566" s="1">
        <v>15.0</v>
      </c>
      <c r="D2566" s="1" t="s">
        <v>2027</v>
      </c>
      <c r="E2566" s="1" t="s">
        <v>2021</v>
      </c>
      <c r="F2566" s="1" t="s">
        <v>2022</v>
      </c>
      <c r="G2566" s="1">
        <v>1.0</v>
      </c>
      <c r="H2566" s="2">
        <v>0.09305555555555556</v>
      </c>
    </row>
    <row r="2567">
      <c r="A2567" s="1" t="s">
        <v>2016</v>
      </c>
      <c r="B2567" s="1" t="s">
        <v>250</v>
      </c>
      <c r="C2567" s="1">
        <v>16.0</v>
      </c>
      <c r="D2567" s="1" t="s">
        <v>2028</v>
      </c>
      <c r="E2567" s="1" t="s">
        <v>2021</v>
      </c>
      <c r="F2567" s="1" t="s">
        <v>2022</v>
      </c>
      <c r="G2567" s="1">
        <v>1.0</v>
      </c>
      <c r="H2567" s="2">
        <v>0.1</v>
      </c>
    </row>
    <row r="2568">
      <c r="A2568" s="1" t="s">
        <v>2016</v>
      </c>
      <c r="B2568" s="1" t="s">
        <v>250</v>
      </c>
      <c r="C2568" s="1">
        <v>17.0</v>
      </c>
      <c r="D2568" s="1" t="s">
        <v>23</v>
      </c>
      <c r="E2568" s="1" t="s">
        <v>24</v>
      </c>
      <c r="F2568" s="1" t="s">
        <v>23</v>
      </c>
      <c r="G2568" s="1">
        <v>0.0</v>
      </c>
      <c r="H2568" s="2">
        <v>0.12013888888888889</v>
      </c>
    </row>
    <row r="2569">
      <c r="A2569" s="1" t="s">
        <v>2016</v>
      </c>
      <c r="B2569" s="1" t="s">
        <v>250</v>
      </c>
      <c r="C2569" s="1">
        <v>18.0</v>
      </c>
      <c r="D2569" s="1" t="s">
        <v>27</v>
      </c>
      <c r="E2569" s="1" t="s">
        <v>28</v>
      </c>
      <c r="F2569" s="1" t="s">
        <v>29</v>
      </c>
      <c r="G2569" s="1">
        <v>0.0</v>
      </c>
      <c r="H2569" s="2">
        <v>0.12708333333333333</v>
      </c>
    </row>
    <row r="2570">
      <c r="A2570" s="1" t="s">
        <v>2016</v>
      </c>
      <c r="B2570" s="1" t="s">
        <v>250</v>
      </c>
      <c r="C2570" s="1">
        <v>19.0</v>
      </c>
      <c r="D2570" s="1" t="s">
        <v>60</v>
      </c>
      <c r="E2570" s="1" t="s">
        <v>61</v>
      </c>
      <c r="F2570" s="1" t="s">
        <v>62</v>
      </c>
      <c r="G2570" s="1">
        <v>0.0</v>
      </c>
      <c r="H2570" s="2">
        <v>0.11041666666666666</v>
      </c>
    </row>
    <row r="2571">
      <c r="A2571" s="1" t="s">
        <v>2016</v>
      </c>
      <c r="B2571" s="1" t="s">
        <v>250</v>
      </c>
      <c r="C2571" s="1">
        <v>20.0</v>
      </c>
      <c r="D2571" s="1" t="s">
        <v>44</v>
      </c>
      <c r="E2571" s="1" t="s">
        <v>45</v>
      </c>
      <c r="F2571" s="1" t="s">
        <v>44</v>
      </c>
      <c r="G2571" s="1">
        <v>0.0</v>
      </c>
      <c r="H2571" s="2">
        <v>0.12222222222222222</v>
      </c>
    </row>
    <row r="2572">
      <c r="A2572" s="1" t="s">
        <v>2016</v>
      </c>
      <c r="B2572" s="1" t="s">
        <v>250</v>
      </c>
      <c r="C2572" s="1">
        <v>21.0</v>
      </c>
      <c r="D2572" s="1" t="s">
        <v>91</v>
      </c>
      <c r="E2572" s="1" t="s">
        <v>58</v>
      </c>
      <c r="F2572" s="1" t="s">
        <v>91</v>
      </c>
      <c r="G2572" s="1">
        <v>0.0</v>
      </c>
      <c r="H2572" s="2">
        <v>0.09305555555555556</v>
      </c>
    </row>
    <row r="2573">
      <c r="A2573" s="1" t="s">
        <v>2016</v>
      </c>
      <c r="B2573" s="1" t="s">
        <v>250</v>
      </c>
      <c r="C2573" s="1">
        <v>22.0</v>
      </c>
      <c r="D2573" s="1" t="s">
        <v>46</v>
      </c>
      <c r="E2573" s="1" t="s">
        <v>28</v>
      </c>
      <c r="F2573" s="1" t="s">
        <v>29</v>
      </c>
      <c r="G2573" s="1">
        <v>0.0</v>
      </c>
      <c r="H2573" s="2">
        <v>0.15347222222222223</v>
      </c>
    </row>
    <row r="2574">
      <c r="A2574" s="1" t="s">
        <v>2016</v>
      </c>
      <c r="B2574" s="1" t="s">
        <v>250</v>
      </c>
      <c r="C2574" s="1">
        <v>23.0</v>
      </c>
      <c r="D2574" s="1" t="s">
        <v>33</v>
      </c>
      <c r="E2574" s="1" t="s">
        <v>34</v>
      </c>
      <c r="F2574" s="1" t="s">
        <v>35</v>
      </c>
      <c r="G2574" s="1">
        <v>0.0</v>
      </c>
      <c r="H2574" s="2">
        <v>0.1451388888888889</v>
      </c>
    </row>
    <row r="2575">
      <c r="A2575" s="1" t="s">
        <v>2016</v>
      </c>
      <c r="B2575" s="1" t="s">
        <v>250</v>
      </c>
      <c r="C2575" s="1">
        <v>24.0</v>
      </c>
      <c r="D2575" s="1" t="s">
        <v>2029</v>
      </c>
      <c r="E2575" s="1" t="s">
        <v>2030</v>
      </c>
      <c r="F2575" s="1" t="s">
        <v>2022</v>
      </c>
      <c r="G2575" s="1">
        <v>0.0</v>
      </c>
      <c r="H2575" s="2">
        <v>0.16527777777777777</v>
      </c>
    </row>
    <row r="2576">
      <c r="A2576" s="1" t="s">
        <v>2016</v>
      </c>
      <c r="B2576" s="1" t="s">
        <v>250</v>
      </c>
      <c r="C2576" s="1">
        <v>25.0</v>
      </c>
      <c r="D2576" s="1" t="s">
        <v>2031</v>
      </c>
      <c r="E2576" s="1" t="s">
        <v>2032</v>
      </c>
      <c r="F2576" s="1" t="s">
        <v>2022</v>
      </c>
      <c r="G2576" s="1">
        <v>0.0</v>
      </c>
      <c r="H2576" s="2">
        <v>0.15069444444444444</v>
      </c>
    </row>
    <row r="2577">
      <c r="A2577" s="1" t="s">
        <v>2016</v>
      </c>
      <c r="B2577" s="1" t="s">
        <v>250</v>
      </c>
      <c r="C2577" s="1">
        <v>26.0</v>
      </c>
      <c r="D2577" s="1" t="s">
        <v>30</v>
      </c>
      <c r="E2577" s="1" t="s">
        <v>31</v>
      </c>
      <c r="F2577" s="1" t="s">
        <v>32</v>
      </c>
      <c r="G2577" s="1">
        <v>0.0</v>
      </c>
      <c r="H2577" s="2">
        <v>0.15833333333333333</v>
      </c>
    </row>
    <row r="2578">
      <c r="A2578" s="1" t="s">
        <v>2016</v>
      </c>
      <c r="B2578" s="1" t="s">
        <v>250</v>
      </c>
      <c r="C2578" s="1">
        <v>27.0</v>
      </c>
      <c r="D2578" s="1" t="s">
        <v>38</v>
      </c>
      <c r="E2578" s="1" t="s">
        <v>39</v>
      </c>
      <c r="F2578" s="1" t="s">
        <v>40</v>
      </c>
      <c r="G2578" s="1">
        <v>1.0</v>
      </c>
      <c r="H2578" s="2">
        <v>0.1125</v>
      </c>
    </row>
    <row r="2579">
      <c r="A2579" s="1" t="s">
        <v>2016</v>
      </c>
      <c r="B2579" s="1" t="s">
        <v>250</v>
      </c>
      <c r="C2579" s="1">
        <v>28.0</v>
      </c>
      <c r="D2579" s="1" t="s">
        <v>47</v>
      </c>
      <c r="E2579" s="1" t="s">
        <v>48</v>
      </c>
      <c r="F2579" s="1" t="s">
        <v>49</v>
      </c>
      <c r="G2579" s="1">
        <v>1.0</v>
      </c>
      <c r="H2579" s="2">
        <v>0.15486111111111112</v>
      </c>
    </row>
    <row r="2580">
      <c r="A2580" s="1" t="s">
        <v>2016</v>
      </c>
      <c r="B2580" s="1" t="s">
        <v>250</v>
      </c>
      <c r="C2580" s="1">
        <v>29.0</v>
      </c>
      <c r="D2580" s="1" t="s">
        <v>231</v>
      </c>
      <c r="E2580" s="1" t="s">
        <v>232</v>
      </c>
      <c r="F2580" s="1" t="s">
        <v>231</v>
      </c>
      <c r="G2580" s="1">
        <v>0.0</v>
      </c>
      <c r="H2580" s="2">
        <v>0.10902777777777778</v>
      </c>
    </row>
    <row r="2581">
      <c r="A2581" s="1" t="s">
        <v>2016</v>
      </c>
      <c r="B2581" s="1" t="s">
        <v>250</v>
      </c>
      <c r="C2581" s="1">
        <v>30.0</v>
      </c>
      <c r="D2581" s="1" t="s">
        <v>53</v>
      </c>
      <c r="E2581" s="1" t="s">
        <v>12</v>
      </c>
      <c r="F2581" s="1" t="s">
        <v>13</v>
      </c>
      <c r="G2581" s="1">
        <v>1.0</v>
      </c>
      <c r="H2581" s="2">
        <v>0.16458333333333333</v>
      </c>
    </row>
    <row r="2582">
      <c r="A2582" s="1" t="s">
        <v>2016</v>
      </c>
      <c r="B2582" s="1" t="s">
        <v>250</v>
      </c>
      <c r="C2582" s="1">
        <v>31.0</v>
      </c>
      <c r="D2582" s="1" t="s">
        <v>80</v>
      </c>
      <c r="E2582" s="1" t="s">
        <v>81</v>
      </c>
      <c r="F2582" s="1" t="s">
        <v>82</v>
      </c>
      <c r="G2582" s="1">
        <v>0.0</v>
      </c>
      <c r="H2582" s="2">
        <v>0.12083333333333333</v>
      </c>
    </row>
    <row r="2583">
      <c r="A2583" s="1" t="s">
        <v>2016</v>
      </c>
      <c r="B2583" s="1" t="s">
        <v>250</v>
      </c>
      <c r="C2583" s="1">
        <v>32.0</v>
      </c>
      <c r="D2583" s="1" t="s">
        <v>54</v>
      </c>
      <c r="E2583" s="1" t="s">
        <v>55</v>
      </c>
      <c r="F2583" s="1" t="s">
        <v>56</v>
      </c>
      <c r="G2583" s="1">
        <v>0.0</v>
      </c>
      <c r="H2583" s="2">
        <v>0.10972222222222222</v>
      </c>
    </row>
    <row r="2584">
      <c r="A2584" s="1" t="s">
        <v>2016</v>
      </c>
      <c r="B2584" s="1" t="s">
        <v>250</v>
      </c>
      <c r="C2584" s="1">
        <v>33.0</v>
      </c>
      <c r="D2584" s="1" t="s">
        <v>2033</v>
      </c>
      <c r="E2584" s="1" t="s">
        <v>2034</v>
      </c>
      <c r="F2584" s="1" t="s">
        <v>2035</v>
      </c>
      <c r="G2584" s="1">
        <v>1.0</v>
      </c>
      <c r="H2584" s="2">
        <v>0.14722222222222223</v>
      </c>
    </row>
    <row r="2585">
      <c r="A2585" s="1" t="s">
        <v>2016</v>
      </c>
      <c r="B2585" s="1" t="s">
        <v>250</v>
      </c>
      <c r="C2585" s="1">
        <v>34.0</v>
      </c>
      <c r="D2585" s="1" t="s">
        <v>2036</v>
      </c>
      <c r="E2585" s="1" t="s">
        <v>2037</v>
      </c>
      <c r="F2585" s="1" t="s">
        <v>2019</v>
      </c>
      <c r="G2585" s="1">
        <v>0.0</v>
      </c>
      <c r="H2585" s="2">
        <v>0.11944444444444445</v>
      </c>
    </row>
    <row r="2586">
      <c r="A2586" s="1" t="s">
        <v>2016</v>
      </c>
      <c r="B2586" s="1" t="s">
        <v>250</v>
      </c>
      <c r="C2586" s="1">
        <v>35.0</v>
      </c>
      <c r="D2586" s="1" t="s">
        <v>73</v>
      </c>
      <c r="E2586" s="1" t="s">
        <v>74</v>
      </c>
      <c r="F2586" s="1" t="s">
        <v>75</v>
      </c>
      <c r="G2586" s="1">
        <v>0.0</v>
      </c>
      <c r="H2586" s="2">
        <v>0.14930555555555555</v>
      </c>
    </row>
    <row r="2587">
      <c r="A2587" s="1" t="s">
        <v>2016</v>
      </c>
      <c r="B2587" s="1" t="s">
        <v>250</v>
      </c>
      <c r="C2587" s="1">
        <v>36.0</v>
      </c>
      <c r="D2587" s="1" t="s">
        <v>2038</v>
      </c>
      <c r="E2587" s="1" t="s">
        <v>2039</v>
      </c>
      <c r="F2587" s="1" t="s">
        <v>2022</v>
      </c>
      <c r="G2587" s="1">
        <v>1.0</v>
      </c>
      <c r="H2587" s="2">
        <v>0.15</v>
      </c>
    </row>
    <row r="2588">
      <c r="A2588" s="1" t="s">
        <v>2016</v>
      </c>
      <c r="B2588" s="1" t="s">
        <v>250</v>
      </c>
      <c r="C2588" s="1">
        <v>37.0</v>
      </c>
      <c r="D2588" s="1" t="s">
        <v>94</v>
      </c>
      <c r="E2588" s="1" t="s">
        <v>84</v>
      </c>
      <c r="F2588" s="1" t="s">
        <v>95</v>
      </c>
      <c r="G2588" s="1">
        <v>1.0</v>
      </c>
      <c r="H2588" s="2">
        <v>0.21666666666666667</v>
      </c>
    </row>
    <row r="2589">
      <c r="A2589" s="1" t="s">
        <v>2016</v>
      </c>
      <c r="B2589" s="1" t="s">
        <v>250</v>
      </c>
      <c r="C2589" s="1">
        <v>38.0</v>
      </c>
      <c r="D2589" s="1" t="s">
        <v>83</v>
      </c>
      <c r="E2589" s="1" t="s">
        <v>84</v>
      </c>
      <c r="F2589" s="1" t="s">
        <v>85</v>
      </c>
      <c r="G2589" s="1">
        <v>1.0</v>
      </c>
      <c r="H2589" s="2">
        <v>0.16875</v>
      </c>
    </row>
    <row r="2590">
      <c r="A2590" s="1" t="s">
        <v>2016</v>
      </c>
      <c r="B2590" s="1" t="s">
        <v>250</v>
      </c>
      <c r="C2590" s="1">
        <v>39.0</v>
      </c>
      <c r="D2590" s="1" t="s">
        <v>2040</v>
      </c>
      <c r="E2590" s="1" t="s">
        <v>2041</v>
      </c>
      <c r="F2590" s="1" t="s">
        <v>2022</v>
      </c>
      <c r="G2590" s="1">
        <v>1.0</v>
      </c>
      <c r="H2590" s="2">
        <v>0.10555555555555556</v>
      </c>
    </row>
    <row r="2591">
      <c r="A2591" s="1" t="s">
        <v>2016</v>
      </c>
      <c r="B2591" s="1" t="s">
        <v>250</v>
      </c>
      <c r="C2591" s="1">
        <v>40.0</v>
      </c>
      <c r="D2591" s="1" t="s">
        <v>104</v>
      </c>
      <c r="E2591" s="1" t="s">
        <v>84</v>
      </c>
      <c r="F2591" s="1" t="s">
        <v>104</v>
      </c>
      <c r="G2591" s="1">
        <v>1.0</v>
      </c>
      <c r="H2591" s="2">
        <v>0.12152777777777778</v>
      </c>
    </row>
    <row r="2592">
      <c r="A2592" s="1" t="s">
        <v>2016</v>
      </c>
      <c r="B2592" s="1" t="s">
        <v>250</v>
      </c>
      <c r="C2592" s="1">
        <v>41.0</v>
      </c>
      <c r="D2592" s="1" t="s">
        <v>92</v>
      </c>
      <c r="E2592" s="1" t="s">
        <v>93</v>
      </c>
      <c r="F2592" s="1" t="s">
        <v>92</v>
      </c>
      <c r="G2592" s="1">
        <v>1.0</v>
      </c>
      <c r="H2592" s="2">
        <v>0.11319444444444444</v>
      </c>
    </row>
    <row r="2593">
      <c r="A2593" s="1" t="s">
        <v>2016</v>
      </c>
      <c r="B2593" s="1" t="s">
        <v>250</v>
      </c>
      <c r="C2593" s="1">
        <v>42.0</v>
      </c>
      <c r="D2593" s="1" t="s">
        <v>2042</v>
      </c>
      <c r="E2593" s="1" t="s">
        <v>2043</v>
      </c>
      <c r="F2593" s="1" t="s">
        <v>2035</v>
      </c>
      <c r="G2593" s="1">
        <v>1.0</v>
      </c>
      <c r="H2593" s="2">
        <v>0.16041666666666668</v>
      </c>
    </row>
    <row r="2594">
      <c r="A2594" s="1" t="s">
        <v>2016</v>
      </c>
      <c r="B2594" s="1" t="s">
        <v>250</v>
      </c>
      <c r="C2594" s="1">
        <v>43.0</v>
      </c>
      <c r="D2594" s="1" t="s">
        <v>462</v>
      </c>
      <c r="E2594" s="1" t="s">
        <v>463</v>
      </c>
      <c r="F2594" s="1" t="s">
        <v>464</v>
      </c>
      <c r="G2594" s="1">
        <v>1.0</v>
      </c>
      <c r="H2594" s="2">
        <v>0.14583333333333334</v>
      </c>
    </row>
    <row r="2595">
      <c r="A2595" s="1" t="s">
        <v>2016</v>
      </c>
      <c r="B2595" s="1" t="s">
        <v>250</v>
      </c>
      <c r="C2595" s="1">
        <v>44.0</v>
      </c>
      <c r="D2595" s="1" t="s">
        <v>99</v>
      </c>
      <c r="E2595" s="1" t="s">
        <v>100</v>
      </c>
      <c r="F2595" s="1" t="s">
        <v>99</v>
      </c>
      <c r="G2595" s="1">
        <v>0.0</v>
      </c>
      <c r="H2595" s="2">
        <v>0.11944444444444445</v>
      </c>
    </row>
    <row r="2596">
      <c r="A2596" s="1" t="s">
        <v>2016</v>
      </c>
      <c r="B2596" s="1" t="s">
        <v>250</v>
      </c>
      <c r="C2596" s="1">
        <v>45.0</v>
      </c>
      <c r="D2596" s="1" t="s">
        <v>2044</v>
      </c>
      <c r="E2596" s="1" t="s">
        <v>2045</v>
      </c>
      <c r="F2596" s="1" t="s">
        <v>2022</v>
      </c>
      <c r="G2596" s="1">
        <v>1.0</v>
      </c>
      <c r="H2596" s="2">
        <v>0.16180555555555556</v>
      </c>
    </row>
    <row r="2597">
      <c r="A2597" s="1" t="s">
        <v>2016</v>
      </c>
      <c r="B2597" s="1" t="s">
        <v>250</v>
      </c>
      <c r="C2597" s="1">
        <v>46.0</v>
      </c>
      <c r="D2597" s="1" t="s">
        <v>2046</v>
      </c>
      <c r="E2597" s="1" t="s">
        <v>2021</v>
      </c>
      <c r="F2597" s="1" t="s">
        <v>2022</v>
      </c>
      <c r="G2597" s="1">
        <v>1.0</v>
      </c>
      <c r="H2597" s="2">
        <v>0.10208333333333333</v>
      </c>
    </row>
    <row r="2598">
      <c r="A2598" s="1" t="s">
        <v>2016</v>
      </c>
      <c r="B2598" s="1" t="s">
        <v>250</v>
      </c>
      <c r="C2598" s="1">
        <v>47.0</v>
      </c>
      <c r="D2598" s="1" t="s">
        <v>68</v>
      </c>
      <c r="E2598" s="1" t="s">
        <v>69</v>
      </c>
      <c r="F2598" s="1" t="s">
        <v>70</v>
      </c>
      <c r="G2598" s="1">
        <v>0.0</v>
      </c>
      <c r="H2598" s="2">
        <v>0.12638888888888888</v>
      </c>
    </row>
    <row r="2599">
      <c r="A2599" s="1" t="s">
        <v>2016</v>
      </c>
      <c r="B2599" s="1" t="s">
        <v>250</v>
      </c>
      <c r="C2599" s="1">
        <v>48.0</v>
      </c>
      <c r="D2599" s="1" t="s">
        <v>265</v>
      </c>
      <c r="E2599" s="1" t="s">
        <v>266</v>
      </c>
      <c r="F2599" s="1" t="s">
        <v>265</v>
      </c>
      <c r="G2599" s="1">
        <v>0.0</v>
      </c>
      <c r="H2599" s="2">
        <v>0.125</v>
      </c>
    </row>
    <row r="2600">
      <c r="A2600" s="1" t="s">
        <v>2016</v>
      </c>
      <c r="B2600" s="1" t="s">
        <v>250</v>
      </c>
      <c r="C2600" s="1">
        <v>49.0</v>
      </c>
      <c r="D2600" s="1" t="s">
        <v>2047</v>
      </c>
      <c r="E2600" s="1" t="s">
        <v>2048</v>
      </c>
      <c r="F2600" s="1" t="s">
        <v>2022</v>
      </c>
      <c r="G2600" s="1">
        <v>1.0</v>
      </c>
      <c r="H2600" s="2">
        <v>0.11388888888888889</v>
      </c>
    </row>
    <row r="2601">
      <c r="A2601" s="1" t="s">
        <v>2016</v>
      </c>
      <c r="B2601" s="1" t="s">
        <v>250</v>
      </c>
      <c r="C2601" s="1">
        <v>50.0</v>
      </c>
      <c r="D2601" s="1" t="s">
        <v>2049</v>
      </c>
      <c r="E2601" s="1" t="s">
        <v>2021</v>
      </c>
      <c r="F2601" s="1" t="s">
        <v>2022</v>
      </c>
      <c r="G2601" s="1">
        <v>1.0</v>
      </c>
      <c r="H2601" s="2">
        <v>0.10277777777777777</v>
      </c>
    </row>
    <row r="2602">
      <c r="A2602" s="1" t="s">
        <v>2050</v>
      </c>
      <c r="B2602" s="1" t="s">
        <v>2051</v>
      </c>
      <c r="C2602" s="1">
        <v>1.0</v>
      </c>
      <c r="D2602" s="1" t="s">
        <v>11</v>
      </c>
      <c r="E2602" s="1" t="s">
        <v>12</v>
      </c>
      <c r="F2602" s="1" t="s">
        <v>13</v>
      </c>
      <c r="G2602" s="1">
        <v>0.0</v>
      </c>
      <c r="H2602" s="2">
        <v>0.1388888888888889</v>
      </c>
    </row>
    <row r="2603">
      <c r="A2603" s="1" t="s">
        <v>2050</v>
      </c>
      <c r="B2603" s="1" t="s">
        <v>2051</v>
      </c>
      <c r="C2603" s="1">
        <v>2.0</v>
      </c>
      <c r="D2603" s="1" t="s">
        <v>20</v>
      </c>
      <c r="E2603" s="1" t="s">
        <v>21</v>
      </c>
      <c r="F2603" s="1" t="s">
        <v>22</v>
      </c>
      <c r="G2603" s="1">
        <v>1.0</v>
      </c>
      <c r="H2603" s="2">
        <v>0.17152777777777778</v>
      </c>
    </row>
    <row r="2604">
      <c r="A2604" s="1" t="s">
        <v>2050</v>
      </c>
      <c r="B2604" s="1" t="s">
        <v>2051</v>
      </c>
      <c r="C2604" s="1">
        <v>3.0</v>
      </c>
      <c r="D2604" s="1" t="s">
        <v>14</v>
      </c>
      <c r="E2604" s="1" t="s">
        <v>15</v>
      </c>
      <c r="F2604" s="1" t="s">
        <v>16</v>
      </c>
      <c r="G2604" s="1">
        <v>1.0</v>
      </c>
      <c r="H2604" s="2">
        <v>0.12569444444444444</v>
      </c>
    </row>
    <row r="2605">
      <c r="A2605" s="1" t="s">
        <v>2050</v>
      </c>
      <c r="B2605" s="1" t="s">
        <v>2051</v>
      </c>
      <c r="C2605" s="1">
        <v>4.0</v>
      </c>
      <c r="D2605" s="1" t="s">
        <v>25</v>
      </c>
      <c r="E2605" s="1" t="s">
        <v>26</v>
      </c>
      <c r="F2605" s="1" t="s">
        <v>25</v>
      </c>
      <c r="G2605" s="1">
        <v>1.0</v>
      </c>
      <c r="H2605" s="2">
        <v>0.11458333333333333</v>
      </c>
    </row>
    <row r="2606">
      <c r="A2606" s="1" t="s">
        <v>2050</v>
      </c>
      <c r="B2606" s="1" t="s">
        <v>2051</v>
      </c>
      <c r="C2606" s="1">
        <v>5.0</v>
      </c>
      <c r="D2606" s="1" t="s">
        <v>17</v>
      </c>
      <c r="E2606" s="1" t="s">
        <v>18</v>
      </c>
      <c r="F2606" s="1" t="s">
        <v>19</v>
      </c>
      <c r="G2606" s="1">
        <v>1.0</v>
      </c>
      <c r="H2606" s="2">
        <v>0.12222222222222222</v>
      </c>
    </row>
    <row r="2607">
      <c r="A2607" s="1" t="s">
        <v>2050</v>
      </c>
      <c r="B2607" s="1" t="s">
        <v>2051</v>
      </c>
      <c r="C2607" s="1">
        <v>6.0</v>
      </c>
      <c r="D2607" s="1" t="s">
        <v>41</v>
      </c>
      <c r="E2607" s="1" t="s">
        <v>42</v>
      </c>
      <c r="F2607" s="1" t="s">
        <v>43</v>
      </c>
      <c r="G2607" s="1">
        <v>1.0</v>
      </c>
      <c r="H2607" s="2">
        <v>0.1361111111111111</v>
      </c>
    </row>
    <row r="2608">
      <c r="A2608" s="1" t="s">
        <v>2050</v>
      </c>
      <c r="B2608" s="1" t="s">
        <v>2051</v>
      </c>
      <c r="C2608" s="1">
        <v>7.0</v>
      </c>
      <c r="D2608" s="1" t="s">
        <v>2052</v>
      </c>
      <c r="E2608" s="1" t="s">
        <v>2053</v>
      </c>
      <c r="F2608" s="1" t="s">
        <v>2052</v>
      </c>
      <c r="G2608" s="1">
        <v>0.0</v>
      </c>
      <c r="H2608" s="2">
        <v>0.09166666666666666</v>
      </c>
    </row>
    <row r="2609">
      <c r="A2609" s="1" t="s">
        <v>2050</v>
      </c>
      <c r="B2609" s="1" t="s">
        <v>2051</v>
      </c>
      <c r="C2609" s="1">
        <v>8.0</v>
      </c>
      <c r="D2609" s="1" t="s">
        <v>38</v>
      </c>
      <c r="E2609" s="1" t="s">
        <v>39</v>
      </c>
      <c r="F2609" s="1" t="s">
        <v>40</v>
      </c>
      <c r="G2609" s="1">
        <v>1.0</v>
      </c>
      <c r="H2609" s="2">
        <v>0.1125</v>
      </c>
    </row>
    <row r="2610">
      <c r="A2610" s="1" t="s">
        <v>2050</v>
      </c>
      <c r="B2610" s="1" t="s">
        <v>2051</v>
      </c>
      <c r="C2610" s="1">
        <v>9.0</v>
      </c>
      <c r="D2610" s="1" t="s">
        <v>101</v>
      </c>
      <c r="E2610" s="1" t="s">
        <v>102</v>
      </c>
      <c r="F2610" s="1" t="s">
        <v>103</v>
      </c>
      <c r="G2610" s="1">
        <v>1.0</v>
      </c>
      <c r="H2610" s="2">
        <v>0.16458333333333333</v>
      </c>
    </row>
    <row r="2611">
      <c r="A2611" s="1" t="s">
        <v>2050</v>
      </c>
      <c r="B2611" s="1" t="s">
        <v>2051</v>
      </c>
      <c r="C2611" s="1">
        <v>10.0</v>
      </c>
      <c r="D2611" s="1" t="s">
        <v>9</v>
      </c>
      <c r="E2611" s="1" t="s">
        <v>10</v>
      </c>
      <c r="F2611" s="1" t="s">
        <v>9</v>
      </c>
      <c r="G2611" s="1">
        <v>0.0</v>
      </c>
      <c r="H2611" s="2">
        <v>0.12638888888888888</v>
      </c>
    </row>
    <row r="2612">
      <c r="A2612" s="1" t="s">
        <v>2050</v>
      </c>
      <c r="B2612" s="1" t="s">
        <v>2051</v>
      </c>
      <c r="C2612" s="1">
        <v>11.0</v>
      </c>
      <c r="D2612" s="1" t="s">
        <v>33</v>
      </c>
      <c r="E2612" s="1" t="s">
        <v>34</v>
      </c>
      <c r="F2612" s="1" t="s">
        <v>35</v>
      </c>
      <c r="G2612" s="1">
        <v>0.0</v>
      </c>
      <c r="H2612" s="2">
        <v>0.1451388888888889</v>
      </c>
    </row>
    <row r="2613">
      <c r="A2613" s="1" t="s">
        <v>2050</v>
      </c>
      <c r="B2613" s="1" t="s">
        <v>2051</v>
      </c>
      <c r="C2613" s="1">
        <v>12.0</v>
      </c>
      <c r="D2613" s="1" t="s">
        <v>27</v>
      </c>
      <c r="E2613" s="1" t="s">
        <v>28</v>
      </c>
      <c r="F2613" s="1" t="s">
        <v>29</v>
      </c>
      <c r="G2613" s="1">
        <v>0.0</v>
      </c>
      <c r="H2613" s="2">
        <v>0.12708333333333333</v>
      </c>
    </row>
    <row r="2614">
      <c r="A2614" s="1" t="s">
        <v>2050</v>
      </c>
      <c r="B2614" s="1" t="s">
        <v>2051</v>
      </c>
      <c r="C2614" s="1">
        <v>13.0</v>
      </c>
      <c r="D2614" s="1" t="s">
        <v>50</v>
      </c>
      <c r="E2614" s="1" t="s">
        <v>51</v>
      </c>
      <c r="F2614" s="1" t="s">
        <v>52</v>
      </c>
      <c r="G2614" s="1">
        <v>0.0</v>
      </c>
      <c r="H2614" s="2">
        <v>0.14722222222222223</v>
      </c>
    </row>
    <row r="2615">
      <c r="A2615" s="1" t="s">
        <v>2050</v>
      </c>
      <c r="B2615" s="1" t="s">
        <v>2051</v>
      </c>
      <c r="C2615" s="1">
        <v>14.0</v>
      </c>
      <c r="D2615" s="1" t="s">
        <v>73</v>
      </c>
      <c r="E2615" s="1" t="s">
        <v>74</v>
      </c>
      <c r="F2615" s="1" t="s">
        <v>75</v>
      </c>
      <c r="G2615" s="1">
        <v>0.0</v>
      </c>
      <c r="H2615" s="2">
        <v>0.14930555555555555</v>
      </c>
    </row>
    <row r="2616">
      <c r="A2616" s="1" t="s">
        <v>2050</v>
      </c>
      <c r="B2616" s="1" t="s">
        <v>2051</v>
      </c>
      <c r="C2616" s="1">
        <v>15.0</v>
      </c>
      <c r="D2616" s="1" t="s">
        <v>23</v>
      </c>
      <c r="E2616" s="1" t="s">
        <v>24</v>
      </c>
      <c r="F2616" s="1" t="s">
        <v>23</v>
      </c>
      <c r="G2616" s="1">
        <v>0.0</v>
      </c>
      <c r="H2616" s="2">
        <v>0.12013888888888889</v>
      </c>
    </row>
    <row r="2617">
      <c r="A2617" s="1" t="s">
        <v>2050</v>
      </c>
      <c r="B2617" s="1" t="s">
        <v>2051</v>
      </c>
      <c r="C2617" s="1">
        <v>16.0</v>
      </c>
      <c r="D2617" s="1" t="s">
        <v>68</v>
      </c>
      <c r="E2617" s="1" t="s">
        <v>69</v>
      </c>
      <c r="F2617" s="1" t="s">
        <v>70</v>
      </c>
      <c r="G2617" s="1">
        <v>0.0</v>
      </c>
      <c r="H2617" s="2">
        <v>0.12638888888888888</v>
      </c>
    </row>
    <row r="2618">
      <c r="A2618" s="1" t="s">
        <v>2050</v>
      </c>
      <c r="B2618" s="1" t="s">
        <v>2051</v>
      </c>
      <c r="C2618" s="1">
        <v>17.0</v>
      </c>
      <c r="D2618" s="1" t="s">
        <v>30</v>
      </c>
      <c r="E2618" s="1" t="s">
        <v>31</v>
      </c>
      <c r="F2618" s="1" t="s">
        <v>32</v>
      </c>
      <c r="G2618" s="1">
        <v>0.0</v>
      </c>
      <c r="H2618" s="2">
        <v>0.15833333333333333</v>
      </c>
    </row>
    <row r="2619">
      <c r="A2619" s="1" t="s">
        <v>2050</v>
      </c>
      <c r="B2619" s="1" t="s">
        <v>2051</v>
      </c>
      <c r="C2619" s="1">
        <v>18.0</v>
      </c>
      <c r="D2619" s="1" t="s">
        <v>60</v>
      </c>
      <c r="E2619" s="1" t="s">
        <v>61</v>
      </c>
      <c r="F2619" s="1" t="s">
        <v>62</v>
      </c>
      <c r="G2619" s="1">
        <v>0.0</v>
      </c>
      <c r="H2619" s="2">
        <v>0.11041666666666666</v>
      </c>
    </row>
    <row r="2620">
      <c r="A2620" s="1" t="s">
        <v>2050</v>
      </c>
      <c r="B2620" s="1" t="s">
        <v>2051</v>
      </c>
      <c r="C2620" s="1">
        <v>19.0</v>
      </c>
      <c r="D2620" s="1" t="s">
        <v>63</v>
      </c>
      <c r="E2620" s="1" t="s">
        <v>64</v>
      </c>
      <c r="F2620" s="1" t="s">
        <v>63</v>
      </c>
      <c r="G2620" s="1">
        <v>1.0</v>
      </c>
      <c r="H2620" s="2">
        <v>0.16805555555555557</v>
      </c>
    </row>
    <row r="2621">
      <c r="A2621" s="1" t="s">
        <v>2050</v>
      </c>
      <c r="B2621" s="1" t="s">
        <v>2051</v>
      </c>
      <c r="C2621" s="1">
        <v>20.0</v>
      </c>
      <c r="D2621" s="1" t="s">
        <v>88</v>
      </c>
      <c r="E2621" s="1" t="s">
        <v>89</v>
      </c>
      <c r="F2621" s="1" t="s">
        <v>90</v>
      </c>
      <c r="G2621" s="1">
        <v>1.0</v>
      </c>
      <c r="H2621" s="2">
        <v>0.09652777777777778</v>
      </c>
    </row>
    <row r="2622">
      <c r="A2622" s="1" t="s">
        <v>2050</v>
      </c>
      <c r="B2622" s="1" t="s">
        <v>2051</v>
      </c>
      <c r="C2622" s="1">
        <v>21.0</v>
      </c>
      <c r="D2622" s="1" t="s">
        <v>113</v>
      </c>
      <c r="E2622" s="1" t="s">
        <v>114</v>
      </c>
      <c r="F2622" s="1" t="s">
        <v>113</v>
      </c>
      <c r="G2622" s="1">
        <v>0.0</v>
      </c>
      <c r="H2622" s="2">
        <v>0.13125</v>
      </c>
    </row>
    <row r="2623">
      <c r="A2623" s="1" t="s">
        <v>2050</v>
      </c>
      <c r="B2623" s="1" t="s">
        <v>2051</v>
      </c>
      <c r="C2623" s="1">
        <v>22.0</v>
      </c>
      <c r="D2623" s="1" t="s">
        <v>2054</v>
      </c>
      <c r="E2623" s="1" t="s">
        <v>2055</v>
      </c>
      <c r="F2623" s="1" t="s">
        <v>2056</v>
      </c>
      <c r="G2623" s="1">
        <v>0.0</v>
      </c>
      <c r="H2623" s="2">
        <v>0.1388888888888889</v>
      </c>
    </row>
    <row r="2624">
      <c r="A2624" s="1" t="s">
        <v>2050</v>
      </c>
      <c r="B2624" s="1" t="s">
        <v>2051</v>
      </c>
      <c r="C2624" s="1">
        <v>23.0</v>
      </c>
      <c r="D2624" s="1" t="s">
        <v>53</v>
      </c>
      <c r="E2624" s="1" t="s">
        <v>12</v>
      </c>
      <c r="F2624" s="1" t="s">
        <v>13</v>
      </c>
      <c r="G2624" s="1">
        <v>1.0</v>
      </c>
      <c r="H2624" s="2">
        <v>0.16458333333333333</v>
      </c>
    </row>
    <row r="2625">
      <c r="A2625" s="1" t="s">
        <v>2050</v>
      </c>
      <c r="B2625" s="1" t="s">
        <v>2051</v>
      </c>
      <c r="C2625" s="1">
        <v>24.0</v>
      </c>
      <c r="D2625" s="1" t="s">
        <v>490</v>
      </c>
      <c r="E2625" s="1" t="s">
        <v>491</v>
      </c>
      <c r="F2625" s="1" t="s">
        <v>22</v>
      </c>
      <c r="G2625" s="1">
        <v>1.0</v>
      </c>
      <c r="H2625" s="2">
        <v>0.1527777777777778</v>
      </c>
    </row>
    <row r="2626">
      <c r="A2626" s="1" t="s">
        <v>2050</v>
      </c>
      <c r="B2626" s="1" t="s">
        <v>2051</v>
      </c>
      <c r="C2626" s="1">
        <v>25.0</v>
      </c>
      <c r="D2626" s="1" t="s">
        <v>76</v>
      </c>
      <c r="E2626" s="1" t="s">
        <v>77</v>
      </c>
      <c r="F2626" s="1" t="s">
        <v>76</v>
      </c>
      <c r="G2626" s="1">
        <v>1.0</v>
      </c>
      <c r="H2626" s="2">
        <v>0.14305555555555555</v>
      </c>
    </row>
    <row r="2627">
      <c r="A2627" s="1" t="s">
        <v>2050</v>
      </c>
      <c r="B2627" s="1" t="s">
        <v>2051</v>
      </c>
      <c r="C2627" s="1">
        <v>26.0</v>
      </c>
      <c r="D2627" s="1" t="s">
        <v>104</v>
      </c>
      <c r="E2627" s="1" t="s">
        <v>84</v>
      </c>
      <c r="F2627" s="1" t="s">
        <v>104</v>
      </c>
      <c r="G2627" s="1">
        <v>1.0</v>
      </c>
      <c r="H2627" s="2">
        <v>0.12152777777777778</v>
      </c>
    </row>
    <row r="2628">
      <c r="A2628" s="1" t="s">
        <v>2050</v>
      </c>
      <c r="B2628" s="1" t="s">
        <v>2051</v>
      </c>
      <c r="C2628" s="1">
        <v>27.0</v>
      </c>
      <c r="D2628" s="1" t="s">
        <v>83</v>
      </c>
      <c r="E2628" s="1" t="s">
        <v>84</v>
      </c>
      <c r="F2628" s="1" t="s">
        <v>85</v>
      </c>
      <c r="G2628" s="1">
        <v>1.0</v>
      </c>
      <c r="H2628" s="2">
        <v>0.16875</v>
      </c>
    </row>
    <row r="2629">
      <c r="A2629" s="1" t="s">
        <v>2050</v>
      </c>
      <c r="B2629" s="1" t="s">
        <v>2051</v>
      </c>
      <c r="C2629" s="1">
        <v>28.0</v>
      </c>
      <c r="D2629" s="1" t="s">
        <v>36</v>
      </c>
      <c r="E2629" s="1" t="s">
        <v>37</v>
      </c>
      <c r="F2629" s="1" t="s">
        <v>36</v>
      </c>
      <c r="G2629" s="1">
        <v>1.0</v>
      </c>
      <c r="H2629" s="2">
        <v>0.09166666666666666</v>
      </c>
    </row>
    <row r="2630">
      <c r="A2630" s="1" t="s">
        <v>2050</v>
      </c>
      <c r="B2630" s="1" t="s">
        <v>2051</v>
      </c>
      <c r="C2630" s="1">
        <v>29.0</v>
      </c>
      <c r="D2630" s="1" t="s">
        <v>2057</v>
      </c>
      <c r="E2630" s="1" t="s">
        <v>2058</v>
      </c>
      <c r="F2630" s="1" t="s">
        <v>2059</v>
      </c>
      <c r="G2630" s="1">
        <v>0.0</v>
      </c>
      <c r="H2630" s="2">
        <v>0.13680555555555557</v>
      </c>
    </row>
    <row r="2631">
      <c r="A2631" s="1" t="s">
        <v>2050</v>
      </c>
      <c r="B2631" s="1" t="s">
        <v>2051</v>
      </c>
      <c r="C2631" s="1">
        <v>30.0</v>
      </c>
      <c r="D2631" s="1" t="s">
        <v>246</v>
      </c>
      <c r="E2631" s="1" t="s">
        <v>247</v>
      </c>
      <c r="F2631" s="1" t="s">
        <v>248</v>
      </c>
      <c r="G2631" s="1">
        <v>1.0</v>
      </c>
      <c r="H2631" s="2">
        <v>0.12222222222222222</v>
      </c>
    </row>
    <row r="2632">
      <c r="A2632" s="1" t="s">
        <v>2050</v>
      </c>
      <c r="B2632" s="1" t="s">
        <v>2051</v>
      </c>
      <c r="C2632" s="1">
        <v>31.0</v>
      </c>
      <c r="D2632" s="1" t="s">
        <v>92</v>
      </c>
      <c r="E2632" s="1" t="s">
        <v>93</v>
      </c>
      <c r="F2632" s="1" t="s">
        <v>92</v>
      </c>
      <c r="G2632" s="1">
        <v>1.0</v>
      </c>
      <c r="H2632" s="2">
        <v>0.11319444444444444</v>
      </c>
    </row>
    <row r="2633">
      <c r="A2633" s="1" t="s">
        <v>2050</v>
      </c>
      <c r="B2633" s="1" t="s">
        <v>2051</v>
      </c>
      <c r="C2633" s="1">
        <v>32.0</v>
      </c>
      <c r="D2633" s="1" t="s">
        <v>94</v>
      </c>
      <c r="E2633" s="1" t="s">
        <v>84</v>
      </c>
      <c r="F2633" s="1" t="s">
        <v>95</v>
      </c>
      <c r="G2633" s="1">
        <v>1.0</v>
      </c>
      <c r="H2633" s="2">
        <v>0.21666666666666667</v>
      </c>
    </row>
    <row r="2634">
      <c r="A2634" s="1" t="s">
        <v>2050</v>
      </c>
      <c r="B2634" s="1" t="s">
        <v>2051</v>
      </c>
      <c r="C2634" s="1">
        <v>33.0</v>
      </c>
      <c r="D2634" s="1" t="s">
        <v>233</v>
      </c>
      <c r="E2634" s="1" t="s">
        <v>234</v>
      </c>
      <c r="F2634" s="1" t="s">
        <v>233</v>
      </c>
      <c r="G2634" s="1">
        <v>1.0</v>
      </c>
      <c r="H2634" s="2">
        <v>0.16875</v>
      </c>
    </row>
    <row r="2635">
      <c r="A2635" s="1" t="s">
        <v>2050</v>
      </c>
      <c r="B2635" s="1" t="s">
        <v>2051</v>
      </c>
      <c r="C2635" s="1">
        <v>34.0</v>
      </c>
      <c r="D2635" s="1" t="s">
        <v>54</v>
      </c>
      <c r="E2635" s="1" t="s">
        <v>55</v>
      </c>
      <c r="F2635" s="1" t="s">
        <v>56</v>
      </c>
      <c r="G2635" s="1">
        <v>0.0</v>
      </c>
      <c r="H2635" s="2">
        <v>0.10972222222222222</v>
      </c>
    </row>
    <row r="2636">
      <c r="A2636" s="1" t="s">
        <v>2050</v>
      </c>
      <c r="B2636" s="1" t="s">
        <v>2051</v>
      </c>
      <c r="C2636" s="1">
        <v>35.0</v>
      </c>
      <c r="D2636" s="1" t="s">
        <v>78</v>
      </c>
      <c r="E2636" s="1" t="s">
        <v>79</v>
      </c>
      <c r="F2636" s="1" t="s">
        <v>78</v>
      </c>
      <c r="G2636" s="1">
        <v>0.0</v>
      </c>
      <c r="H2636" s="2">
        <v>0.10208333333333333</v>
      </c>
    </row>
    <row r="2637">
      <c r="A2637" s="1" t="s">
        <v>2050</v>
      </c>
      <c r="B2637" s="1" t="s">
        <v>2051</v>
      </c>
      <c r="C2637" s="1">
        <v>36.0</v>
      </c>
      <c r="D2637" s="1" t="s">
        <v>99</v>
      </c>
      <c r="E2637" s="1" t="s">
        <v>100</v>
      </c>
      <c r="F2637" s="1" t="s">
        <v>99</v>
      </c>
      <c r="G2637" s="1">
        <v>0.0</v>
      </c>
      <c r="H2637" s="2">
        <v>0.11944444444444445</v>
      </c>
    </row>
    <row r="2638">
      <c r="A2638" s="1" t="s">
        <v>2050</v>
      </c>
      <c r="B2638" s="1" t="s">
        <v>2051</v>
      </c>
      <c r="C2638" s="1">
        <v>37.0</v>
      </c>
      <c r="D2638" s="1" t="s">
        <v>312</v>
      </c>
      <c r="E2638" s="1" t="s">
        <v>119</v>
      </c>
      <c r="F2638" s="1" t="s">
        <v>312</v>
      </c>
      <c r="G2638" s="1">
        <v>0.0</v>
      </c>
      <c r="H2638" s="2">
        <v>0.1701388888888889</v>
      </c>
    </row>
    <row r="2639">
      <c r="A2639" s="1" t="s">
        <v>2050</v>
      </c>
      <c r="B2639" s="1" t="s">
        <v>2051</v>
      </c>
      <c r="C2639" s="1">
        <v>38.0</v>
      </c>
      <c r="D2639" s="1" t="s">
        <v>2060</v>
      </c>
      <c r="E2639" s="1" t="s">
        <v>2061</v>
      </c>
      <c r="F2639" s="1" t="s">
        <v>2062</v>
      </c>
      <c r="G2639" s="1">
        <v>0.0</v>
      </c>
      <c r="H2639" s="2">
        <v>0.2826388888888889</v>
      </c>
    </row>
    <row r="2640">
      <c r="A2640" s="1" t="s">
        <v>2050</v>
      </c>
      <c r="B2640" s="1" t="s">
        <v>2051</v>
      </c>
      <c r="C2640" s="1">
        <v>39.0</v>
      </c>
      <c r="D2640" s="1" t="s">
        <v>44</v>
      </c>
      <c r="E2640" s="1" t="s">
        <v>45</v>
      </c>
      <c r="F2640" s="1" t="s">
        <v>44</v>
      </c>
      <c r="G2640" s="1">
        <v>0.0</v>
      </c>
      <c r="H2640" s="2">
        <v>0.12222222222222222</v>
      </c>
    </row>
    <row r="2641">
      <c r="A2641" s="1" t="s">
        <v>2050</v>
      </c>
      <c r="B2641" s="1" t="s">
        <v>2051</v>
      </c>
      <c r="C2641" s="1">
        <v>40.0</v>
      </c>
      <c r="D2641" s="1" t="s">
        <v>46</v>
      </c>
      <c r="E2641" s="1" t="s">
        <v>28</v>
      </c>
      <c r="F2641" s="1" t="s">
        <v>29</v>
      </c>
      <c r="G2641" s="1">
        <v>0.0</v>
      </c>
      <c r="H2641" s="2">
        <v>0.15347222222222223</v>
      </c>
    </row>
    <row r="2642">
      <c r="A2642" s="1" t="s">
        <v>2050</v>
      </c>
      <c r="B2642" s="1" t="s">
        <v>2051</v>
      </c>
      <c r="C2642" s="1">
        <v>41.0</v>
      </c>
      <c r="D2642" s="1" t="s">
        <v>489</v>
      </c>
      <c r="E2642" s="1" t="s">
        <v>496</v>
      </c>
      <c r="F2642" s="1" t="s">
        <v>489</v>
      </c>
      <c r="G2642" s="1">
        <v>1.0</v>
      </c>
      <c r="H2642" s="2">
        <v>0.10972222222222222</v>
      </c>
    </row>
    <row r="2643">
      <c r="A2643" s="1" t="s">
        <v>2050</v>
      </c>
      <c r="B2643" s="1" t="s">
        <v>2051</v>
      </c>
      <c r="C2643" s="1">
        <v>42.0</v>
      </c>
      <c r="D2643" s="1" t="s">
        <v>2063</v>
      </c>
      <c r="E2643" s="1" t="s">
        <v>2064</v>
      </c>
      <c r="F2643" s="1" t="s">
        <v>2065</v>
      </c>
      <c r="G2643" s="1">
        <v>0.0</v>
      </c>
      <c r="H2643" s="2">
        <v>0.1423611111111111</v>
      </c>
    </row>
    <row r="2644">
      <c r="A2644" s="1" t="s">
        <v>2050</v>
      </c>
      <c r="B2644" s="1" t="s">
        <v>2051</v>
      </c>
      <c r="C2644" s="1">
        <v>43.0</v>
      </c>
      <c r="D2644" s="1" t="s">
        <v>115</v>
      </c>
      <c r="E2644" s="1" t="s">
        <v>116</v>
      </c>
      <c r="F2644" s="1" t="s">
        <v>117</v>
      </c>
      <c r="G2644" s="1">
        <v>1.0</v>
      </c>
      <c r="H2644" s="2">
        <v>0.11597222222222223</v>
      </c>
    </row>
    <row r="2645">
      <c r="A2645" s="1" t="s">
        <v>2050</v>
      </c>
      <c r="B2645" s="1" t="s">
        <v>2051</v>
      </c>
      <c r="C2645" s="1">
        <v>44.0</v>
      </c>
      <c r="D2645" s="1" t="s">
        <v>462</v>
      </c>
      <c r="E2645" s="1" t="s">
        <v>463</v>
      </c>
      <c r="F2645" s="1" t="s">
        <v>464</v>
      </c>
      <c r="G2645" s="1">
        <v>1.0</v>
      </c>
      <c r="H2645" s="2">
        <v>0.14583333333333334</v>
      </c>
    </row>
    <row r="2646">
      <c r="A2646" s="1" t="s">
        <v>2050</v>
      </c>
      <c r="B2646" s="1" t="s">
        <v>2051</v>
      </c>
      <c r="C2646" s="1">
        <v>45.0</v>
      </c>
      <c r="D2646" s="1" t="s">
        <v>111</v>
      </c>
      <c r="E2646" s="1" t="s">
        <v>69</v>
      </c>
      <c r="F2646" s="1" t="s">
        <v>112</v>
      </c>
      <c r="G2646" s="1">
        <v>0.0</v>
      </c>
      <c r="H2646" s="2">
        <v>0.14930555555555555</v>
      </c>
    </row>
    <row r="2647">
      <c r="A2647" s="1" t="s">
        <v>2050</v>
      </c>
      <c r="B2647" s="1" t="s">
        <v>2051</v>
      </c>
      <c r="C2647" s="1">
        <v>46.0</v>
      </c>
      <c r="D2647" s="1" t="s">
        <v>121</v>
      </c>
      <c r="E2647" s="1" t="s">
        <v>122</v>
      </c>
      <c r="F2647" s="1" t="s">
        <v>123</v>
      </c>
      <c r="G2647" s="1">
        <v>0.0</v>
      </c>
      <c r="H2647" s="2">
        <v>0.13194444444444445</v>
      </c>
    </row>
    <row r="2648">
      <c r="A2648" s="1" t="s">
        <v>2050</v>
      </c>
      <c r="B2648" s="1" t="s">
        <v>2051</v>
      </c>
      <c r="C2648" s="1">
        <v>47.0</v>
      </c>
      <c r="D2648" s="1" t="s">
        <v>494</v>
      </c>
      <c r="E2648" s="1" t="s">
        <v>495</v>
      </c>
      <c r="F2648" s="1" t="s">
        <v>75</v>
      </c>
      <c r="G2648" s="1">
        <v>0.0</v>
      </c>
      <c r="H2648" s="2">
        <v>0.10902777777777778</v>
      </c>
    </row>
    <row r="2649">
      <c r="A2649" s="1" t="s">
        <v>2050</v>
      </c>
      <c r="B2649" s="1" t="s">
        <v>2051</v>
      </c>
      <c r="C2649" s="1">
        <v>48.0</v>
      </c>
      <c r="D2649" s="1" t="s">
        <v>105</v>
      </c>
      <c r="E2649" s="1" t="s">
        <v>106</v>
      </c>
      <c r="F2649" s="1" t="s">
        <v>105</v>
      </c>
      <c r="G2649" s="1">
        <v>0.0</v>
      </c>
      <c r="H2649" s="2">
        <v>0.11527777777777778</v>
      </c>
    </row>
    <row r="2650">
      <c r="A2650" s="1" t="s">
        <v>2050</v>
      </c>
      <c r="B2650" s="1" t="s">
        <v>2051</v>
      </c>
      <c r="C2650" s="1">
        <v>49.0</v>
      </c>
      <c r="D2650" s="1" t="s">
        <v>2066</v>
      </c>
      <c r="E2650" s="1" t="s">
        <v>2067</v>
      </c>
      <c r="F2650" s="1" t="s">
        <v>2059</v>
      </c>
      <c r="G2650" s="1">
        <v>0.0</v>
      </c>
      <c r="H2650" s="2">
        <v>0.15208333333333332</v>
      </c>
    </row>
    <row r="2651">
      <c r="A2651" s="1" t="s">
        <v>2050</v>
      </c>
      <c r="B2651" s="1" t="s">
        <v>2051</v>
      </c>
      <c r="C2651" s="1">
        <v>50.0</v>
      </c>
      <c r="D2651" s="1" t="s">
        <v>1756</v>
      </c>
      <c r="E2651" s="1" t="s">
        <v>1757</v>
      </c>
      <c r="F2651" s="1" t="s">
        <v>1758</v>
      </c>
      <c r="G2651" s="1">
        <v>1.0</v>
      </c>
      <c r="H2651" s="2">
        <v>0.12708333333333333</v>
      </c>
    </row>
    <row r="2652">
      <c r="A2652" s="1" t="s">
        <v>2068</v>
      </c>
      <c r="B2652" s="1" t="s">
        <v>250</v>
      </c>
      <c r="C2652" s="1">
        <v>1.0</v>
      </c>
      <c r="D2652" s="1" t="s">
        <v>641</v>
      </c>
      <c r="E2652" s="1" t="s">
        <v>642</v>
      </c>
      <c r="F2652" s="1" t="s">
        <v>641</v>
      </c>
      <c r="G2652" s="1">
        <v>1.0</v>
      </c>
      <c r="H2652" s="2">
        <v>0.13958333333333334</v>
      </c>
    </row>
    <row r="2653">
      <c r="A2653" s="1" t="s">
        <v>2068</v>
      </c>
      <c r="B2653" s="1" t="s">
        <v>250</v>
      </c>
      <c r="C2653" s="1">
        <v>2.0</v>
      </c>
      <c r="D2653" s="1" t="s">
        <v>154</v>
      </c>
      <c r="E2653" s="1" t="s">
        <v>155</v>
      </c>
      <c r="F2653" s="1" t="s">
        <v>156</v>
      </c>
      <c r="G2653" s="1">
        <v>1.0</v>
      </c>
      <c r="H2653" s="2">
        <v>0.23958333333333334</v>
      </c>
    </row>
    <row r="2654">
      <c r="A2654" s="1" t="s">
        <v>2068</v>
      </c>
      <c r="B2654" s="1" t="s">
        <v>250</v>
      </c>
      <c r="C2654" s="1">
        <v>3.0</v>
      </c>
      <c r="D2654" s="1" t="s">
        <v>2069</v>
      </c>
      <c r="E2654" s="1" t="s">
        <v>2070</v>
      </c>
      <c r="F2654" s="1" t="s">
        <v>2069</v>
      </c>
      <c r="G2654" s="1">
        <v>0.0</v>
      </c>
      <c r="H2654" s="2">
        <v>0.1125</v>
      </c>
    </row>
    <row r="2655">
      <c r="A2655" s="1" t="s">
        <v>2068</v>
      </c>
      <c r="B2655" s="1" t="s">
        <v>250</v>
      </c>
      <c r="C2655" s="1">
        <v>4.0</v>
      </c>
      <c r="D2655" s="1" t="s">
        <v>518</v>
      </c>
      <c r="E2655" s="1" t="s">
        <v>519</v>
      </c>
      <c r="F2655" s="1" t="s">
        <v>518</v>
      </c>
      <c r="G2655" s="1">
        <v>1.0</v>
      </c>
      <c r="H2655" s="2">
        <v>0.12638888888888888</v>
      </c>
    </row>
    <row r="2656">
      <c r="A2656" s="1" t="s">
        <v>2068</v>
      </c>
      <c r="B2656" s="1" t="s">
        <v>250</v>
      </c>
      <c r="C2656" s="1">
        <v>5.0</v>
      </c>
      <c r="D2656" s="1" t="s">
        <v>507</v>
      </c>
      <c r="E2656" s="1" t="s">
        <v>508</v>
      </c>
      <c r="F2656" s="1" t="s">
        <v>207</v>
      </c>
      <c r="G2656" s="1">
        <v>1.0</v>
      </c>
      <c r="H2656" s="2">
        <v>0.13472222222222222</v>
      </c>
    </row>
    <row r="2657">
      <c r="A2657" s="1" t="s">
        <v>2068</v>
      </c>
      <c r="B2657" s="1" t="s">
        <v>250</v>
      </c>
      <c r="C2657" s="1">
        <v>6.0</v>
      </c>
      <c r="D2657" s="1" t="s">
        <v>2071</v>
      </c>
      <c r="E2657" s="1" t="s">
        <v>2072</v>
      </c>
      <c r="F2657" s="1" t="s">
        <v>2071</v>
      </c>
      <c r="G2657" s="1">
        <v>0.0</v>
      </c>
      <c r="H2657" s="2">
        <v>0.17708333333333334</v>
      </c>
    </row>
    <row r="2658">
      <c r="A2658" s="1" t="s">
        <v>2068</v>
      </c>
      <c r="B2658" s="1" t="s">
        <v>250</v>
      </c>
      <c r="C2658" s="1">
        <v>7.0</v>
      </c>
      <c r="D2658" s="1" t="s">
        <v>129</v>
      </c>
      <c r="E2658" s="1" t="s">
        <v>130</v>
      </c>
      <c r="F2658" s="1" t="s">
        <v>131</v>
      </c>
      <c r="G2658" s="1">
        <v>0.0</v>
      </c>
      <c r="H2658" s="2">
        <v>0.1451388888888889</v>
      </c>
    </row>
    <row r="2659">
      <c r="A2659" s="1" t="s">
        <v>2068</v>
      </c>
      <c r="B2659" s="1" t="s">
        <v>250</v>
      </c>
      <c r="C2659" s="1">
        <v>8.0</v>
      </c>
      <c r="D2659" s="1" t="s">
        <v>65</v>
      </c>
      <c r="E2659" s="1" t="s">
        <v>66</v>
      </c>
      <c r="F2659" s="1" t="s">
        <v>67</v>
      </c>
      <c r="G2659" s="1">
        <v>1.0</v>
      </c>
      <c r="H2659" s="2">
        <v>0.2048611111111111</v>
      </c>
    </row>
    <row r="2660">
      <c r="A2660" s="1" t="s">
        <v>2068</v>
      </c>
      <c r="B2660" s="1" t="s">
        <v>250</v>
      </c>
      <c r="C2660" s="1">
        <v>9.0</v>
      </c>
      <c r="D2660" s="1" t="s">
        <v>173</v>
      </c>
      <c r="E2660" s="1" t="s">
        <v>109</v>
      </c>
      <c r="F2660" s="1" t="s">
        <v>110</v>
      </c>
      <c r="G2660" s="1">
        <v>0.0</v>
      </c>
      <c r="H2660" s="2">
        <v>0.10902777777777778</v>
      </c>
    </row>
    <row r="2661">
      <c r="A2661" s="1" t="s">
        <v>2068</v>
      </c>
      <c r="B2661" s="1" t="s">
        <v>250</v>
      </c>
      <c r="C2661" s="1">
        <v>10.0</v>
      </c>
      <c r="D2661" s="1" t="s">
        <v>2073</v>
      </c>
      <c r="E2661" s="1" t="s">
        <v>2074</v>
      </c>
      <c r="F2661" s="1" t="s">
        <v>2073</v>
      </c>
      <c r="G2661" s="1">
        <v>0.0</v>
      </c>
      <c r="H2661" s="2">
        <v>0.13194444444444445</v>
      </c>
    </row>
    <row r="2662">
      <c r="A2662" s="1" t="s">
        <v>2068</v>
      </c>
      <c r="B2662" s="1" t="s">
        <v>250</v>
      </c>
      <c r="C2662" s="1">
        <v>11.0</v>
      </c>
      <c r="D2662" s="1" t="s">
        <v>136</v>
      </c>
      <c r="E2662" s="1" t="s">
        <v>137</v>
      </c>
      <c r="F2662" s="1" t="s">
        <v>138</v>
      </c>
      <c r="G2662" s="1">
        <v>0.0</v>
      </c>
      <c r="H2662" s="2">
        <v>0.16111111111111112</v>
      </c>
    </row>
    <row r="2663">
      <c r="A2663" s="1" t="s">
        <v>2068</v>
      </c>
      <c r="B2663" s="1" t="s">
        <v>250</v>
      </c>
      <c r="C2663" s="1">
        <v>12.0</v>
      </c>
      <c r="D2663" s="1" t="s">
        <v>2075</v>
      </c>
      <c r="E2663" s="1" t="s">
        <v>2076</v>
      </c>
      <c r="F2663" s="1" t="s">
        <v>2075</v>
      </c>
      <c r="G2663" s="1">
        <v>0.0</v>
      </c>
      <c r="H2663" s="2">
        <v>0.12083333333333333</v>
      </c>
    </row>
    <row r="2664">
      <c r="A2664" s="1" t="s">
        <v>2068</v>
      </c>
      <c r="B2664" s="1" t="s">
        <v>250</v>
      </c>
      <c r="C2664" s="1">
        <v>13.0</v>
      </c>
      <c r="D2664" s="1" t="s">
        <v>86</v>
      </c>
      <c r="E2664" s="1" t="s">
        <v>87</v>
      </c>
      <c r="F2664" s="1" t="s">
        <v>86</v>
      </c>
      <c r="G2664" s="1">
        <v>0.0</v>
      </c>
      <c r="H2664" s="2">
        <v>0.1388888888888889</v>
      </c>
    </row>
    <row r="2665">
      <c r="A2665" s="1" t="s">
        <v>2068</v>
      </c>
      <c r="B2665" s="1" t="s">
        <v>250</v>
      </c>
      <c r="C2665" s="1">
        <v>14.0</v>
      </c>
      <c r="D2665" s="1" t="s">
        <v>2077</v>
      </c>
      <c r="E2665" s="1" t="s">
        <v>2078</v>
      </c>
      <c r="F2665" s="1" t="s">
        <v>2077</v>
      </c>
      <c r="G2665" s="1">
        <v>0.0</v>
      </c>
      <c r="H2665" s="2">
        <v>0.16111111111111112</v>
      </c>
    </row>
    <row r="2666">
      <c r="A2666" s="1" t="s">
        <v>2068</v>
      </c>
      <c r="B2666" s="1" t="s">
        <v>250</v>
      </c>
      <c r="C2666" s="1">
        <v>15.0</v>
      </c>
      <c r="D2666" s="1" t="s">
        <v>501</v>
      </c>
      <c r="E2666" s="1" t="s">
        <v>502</v>
      </c>
      <c r="F2666" s="1" t="s">
        <v>207</v>
      </c>
      <c r="G2666" s="1">
        <v>1.0</v>
      </c>
      <c r="H2666" s="2">
        <v>0.12708333333333333</v>
      </c>
    </row>
    <row r="2667">
      <c r="A2667" s="1" t="s">
        <v>2068</v>
      </c>
      <c r="B2667" s="1" t="s">
        <v>250</v>
      </c>
      <c r="C2667" s="1">
        <v>16.0</v>
      </c>
      <c r="D2667" s="1" t="s">
        <v>157</v>
      </c>
      <c r="E2667" s="1" t="s">
        <v>158</v>
      </c>
      <c r="F2667" s="1" t="s">
        <v>159</v>
      </c>
      <c r="G2667" s="1">
        <v>0.0</v>
      </c>
      <c r="H2667" s="2">
        <v>0.12777777777777777</v>
      </c>
    </row>
    <row r="2668">
      <c r="A2668" s="1" t="s">
        <v>2068</v>
      </c>
      <c r="B2668" s="1" t="s">
        <v>250</v>
      </c>
      <c r="C2668" s="1">
        <v>17.0</v>
      </c>
      <c r="D2668" s="1" t="s">
        <v>108</v>
      </c>
      <c r="E2668" s="1" t="s">
        <v>109</v>
      </c>
      <c r="F2668" s="1" t="s">
        <v>110</v>
      </c>
      <c r="G2668" s="1">
        <v>0.0</v>
      </c>
      <c r="H2668" s="2">
        <v>0.10416666666666667</v>
      </c>
    </row>
    <row r="2669">
      <c r="A2669" s="1" t="s">
        <v>2068</v>
      </c>
      <c r="B2669" s="1" t="s">
        <v>250</v>
      </c>
      <c r="C2669" s="1">
        <v>18.0</v>
      </c>
      <c r="D2669" s="1" t="s">
        <v>71</v>
      </c>
      <c r="E2669" s="1" t="s">
        <v>72</v>
      </c>
      <c r="F2669" s="1" t="s">
        <v>67</v>
      </c>
      <c r="G2669" s="1">
        <v>0.0</v>
      </c>
      <c r="H2669" s="2">
        <v>0.11944444444444445</v>
      </c>
    </row>
    <row r="2670">
      <c r="A2670" s="1" t="s">
        <v>2068</v>
      </c>
      <c r="B2670" s="1" t="s">
        <v>250</v>
      </c>
      <c r="C2670" s="1">
        <v>19.0</v>
      </c>
      <c r="D2670" s="1" t="s">
        <v>503</v>
      </c>
      <c r="E2670" s="1" t="s">
        <v>504</v>
      </c>
      <c r="F2670" s="1" t="s">
        <v>207</v>
      </c>
      <c r="G2670" s="1">
        <v>1.0</v>
      </c>
      <c r="H2670" s="2">
        <v>0.14027777777777778</v>
      </c>
    </row>
    <row r="2671">
      <c r="A2671" s="1" t="s">
        <v>2068</v>
      </c>
      <c r="B2671" s="1" t="s">
        <v>250</v>
      </c>
      <c r="C2671" s="1">
        <v>20.0</v>
      </c>
      <c r="D2671" s="1" t="s">
        <v>167</v>
      </c>
      <c r="E2671" s="1" t="s">
        <v>168</v>
      </c>
      <c r="F2671" s="1" t="s">
        <v>167</v>
      </c>
      <c r="G2671" s="1">
        <v>0.0</v>
      </c>
      <c r="H2671" s="2">
        <v>0.14166666666666666</v>
      </c>
    </row>
    <row r="2672">
      <c r="A2672" s="1" t="s">
        <v>2068</v>
      </c>
      <c r="B2672" s="1" t="s">
        <v>250</v>
      </c>
      <c r="C2672" s="1">
        <v>21.0</v>
      </c>
      <c r="D2672" s="1" t="s">
        <v>2079</v>
      </c>
      <c r="E2672" s="1" t="s">
        <v>2080</v>
      </c>
      <c r="F2672" s="1" t="s">
        <v>2079</v>
      </c>
      <c r="G2672" s="1">
        <v>0.0</v>
      </c>
      <c r="H2672" s="2">
        <v>0.12777777777777777</v>
      </c>
    </row>
    <row r="2673">
      <c r="A2673" s="1" t="s">
        <v>2068</v>
      </c>
      <c r="B2673" s="1" t="s">
        <v>250</v>
      </c>
      <c r="C2673" s="1">
        <v>22.0</v>
      </c>
      <c r="D2673" s="1" t="s">
        <v>141</v>
      </c>
      <c r="E2673" s="1" t="s">
        <v>142</v>
      </c>
      <c r="F2673" s="1" t="s">
        <v>141</v>
      </c>
      <c r="G2673" s="1">
        <v>0.0</v>
      </c>
      <c r="H2673" s="2">
        <v>0.13680555555555557</v>
      </c>
    </row>
    <row r="2674">
      <c r="A2674" s="1" t="s">
        <v>2068</v>
      </c>
      <c r="B2674" s="1" t="s">
        <v>250</v>
      </c>
      <c r="C2674" s="1">
        <v>23.0</v>
      </c>
      <c r="D2674" s="1" t="s">
        <v>2081</v>
      </c>
      <c r="E2674" s="1" t="s">
        <v>1320</v>
      </c>
      <c r="F2674" s="1" t="s">
        <v>1321</v>
      </c>
      <c r="G2674" s="1">
        <v>0.0</v>
      </c>
      <c r="H2674" s="2">
        <v>0.12083333333333333</v>
      </c>
    </row>
    <row r="2675">
      <c r="A2675" s="1" t="s">
        <v>2068</v>
      </c>
      <c r="B2675" s="1" t="s">
        <v>250</v>
      </c>
      <c r="C2675" s="1">
        <v>24.0</v>
      </c>
      <c r="D2675" s="1" t="s">
        <v>143</v>
      </c>
      <c r="E2675" s="1" t="s">
        <v>144</v>
      </c>
      <c r="F2675" s="1" t="s">
        <v>143</v>
      </c>
      <c r="G2675" s="1">
        <v>0.0</v>
      </c>
      <c r="H2675" s="2">
        <v>0.14027777777777778</v>
      </c>
    </row>
    <row r="2676">
      <c r="A2676" s="1" t="s">
        <v>2068</v>
      </c>
      <c r="B2676" s="1" t="s">
        <v>250</v>
      </c>
      <c r="C2676" s="1">
        <v>25.0</v>
      </c>
      <c r="D2676" s="1" t="s">
        <v>498</v>
      </c>
      <c r="E2676" s="1" t="s">
        <v>499</v>
      </c>
      <c r="F2676" s="1" t="s">
        <v>500</v>
      </c>
      <c r="G2676" s="1">
        <v>1.0</v>
      </c>
      <c r="H2676" s="2">
        <v>0.15763888888888888</v>
      </c>
    </row>
    <row r="2677">
      <c r="A2677" s="1" t="s">
        <v>2068</v>
      </c>
      <c r="B2677" s="1" t="s">
        <v>250</v>
      </c>
      <c r="C2677" s="1">
        <v>26.0</v>
      </c>
      <c r="D2677" s="1" t="s">
        <v>163</v>
      </c>
      <c r="E2677" s="1" t="s">
        <v>164</v>
      </c>
      <c r="F2677" s="1" t="s">
        <v>163</v>
      </c>
      <c r="G2677" s="1">
        <v>1.0</v>
      </c>
      <c r="H2677" s="2">
        <v>0.14722222222222223</v>
      </c>
    </row>
    <row r="2678">
      <c r="A2678" s="1" t="s">
        <v>2068</v>
      </c>
      <c r="B2678" s="1" t="s">
        <v>250</v>
      </c>
      <c r="C2678" s="1">
        <v>27.0</v>
      </c>
      <c r="D2678" s="1" t="s">
        <v>334</v>
      </c>
      <c r="E2678" s="1" t="s">
        <v>335</v>
      </c>
      <c r="F2678" s="1" t="s">
        <v>334</v>
      </c>
      <c r="G2678" s="1">
        <v>0.0</v>
      </c>
      <c r="H2678" s="2">
        <v>0.15069444444444444</v>
      </c>
    </row>
    <row r="2679">
      <c r="A2679" s="1" t="s">
        <v>2068</v>
      </c>
      <c r="B2679" s="1" t="s">
        <v>250</v>
      </c>
      <c r="C2679" s="1">
        <v>28.0</v>
      </c>
      <c r="D2679" s="1" t="s">
        <v>2082</v>
      </c>
      <c r="E2679" s="1" t="s">
        <v>2083</v>
      </c>
      <c r="F2679" s="1" t="s">
        <v>2084</v>
      </c>
      <c r="G2679" s="1">
        <v>1.0</v>
      </c>
      <c r="H2679" s="2">
        <v>0.14930555555555555</v>
      </c>
    </row>
    <row r="2680">
      <c r="A2680" s="1" t="s">
        <v>2068</v>
      </c>
      <c r="B2680" s="1" t="s">
        <v>250</v>
      </c>
      <c r="C2680" s="1">
        <v>29.0</v>
      </c>
      <c r="D2680" s="1" t="s">
        <v>2085</v>
      </c>
      <c r="E2680" s="1" t="s">
        <v>2086</v>
      </c>
      <c r="F2680" s="1" t="s">
        <v>2085</v>
      </c>
      <c r="G2680" s="1">
        <v>0.0</v>
      </c>
      <c r="H2680" s="2">
        <v>0.13680555555555557</v>
      </c>
    </row>
    <row r="2681">
      <c r="A2681" s="1" t="s">
        <v>2068</v>
      </c>
      <c r="B2681" s="1" t="s">
        <v>250</v>
      </c>
      <c r="C2681" s="1">
        <v>30.0</v>
      </c>
      <c r="D2681" s="1" t="s">
        <v>151</v>
      </c>
      <c r="E2681" s="1" t="s">
        <v>152</v>
      </c>
      <c r="F2681" s="1" t="s">
        <v>153</v>
      </c>
      <c r="G2681" s="1">
        <v>1.0</v>
      </c>
      <c r="H2681" s="2">
        <v>0.1486111111111111</v>
      </c>
    </row>
    <row r="2682">
      <c r="A2682" s="1" t="s">
        <v>2068</v>
      </c>
      <c r="B2682" s="1" t="s">
        <v>250</v>
      </c>
      <c r="C2682" s="1">
        <v>31.0</v>
      </c>
      <c r="D2682" s="1" t="s">
        <v>510</v>
      </c>
      <c r="E2682" s="1" t="s">
        <v>511</v>
      </c>
      <c r="F2682" s="1" t="s">
        <v>159</v>
      </c>
      <c r="G2682" s="1">
        <v>0.0</v>
      </c>
      <c r="H2682" s="2">
        <v>0.14027777777777778</v>
      </c>
    </row>
    <row r="2683">
      <c r="A2683" s="1" t="s">
        <v>2068</v>
      </c>
      <c r="B2683" s="1" t="s">
        <v>250</v>
      </c>
      <c r="C2683" s="1">
        <v>32.0</v>
      </c>
      <c r="D2683" s="1" t="s">
        <v>2087</v>
      </c>
      <c r="E2683" s="1" t="s">
        <v>2088</v>
      </c>
      <c r="F2683" s="1" t="s">
        <v>2087</v>
      </c>
      <c r="G2683" s="1">
        <v>0.0</v>
      </c>
      <c r="H2683" s="2">
        <v>0.13194444444444445</v>
      </c>
    </row>
    <row r="2684">
      <c r="A2684" s="1" t="s">
        <v>2068</v>
      </c>
      <c r="B2684" s="1" t="s">
        <v>250</v>
      </c>
      <c r="C2684" s="1">
        <v>33.0</v>
      </c>
      <c r="D2684" s="1" t="s">
        <v>2089</v>
      </c>
      <c r="E2684" s="1" t="s">
        <v>2090</v>
      </c>
      <c r="F2684" s="1" t="s">
        <v>2091</v>
      </c>
      <c r="G2684" s="1">
        <v>0.0</v>
      </c>
      <c r="H2684" s="2">
        <v>0.12013888888888889</v>
      </c>
    </row>
    <row r="2685">
      <c r="A2685" s="1" t="s">
        <v>2068</v>
      </c>
      <c r="B2685" s="1" t="s">
        <v>250</v>
      </c>
      <c r="C2685" s="1">
        <v>34.0</v>
      </c>
      <c r="D2685" s="1" t="s">
        <v>160</v>
      </c>
      <c r="E2685" s="1" t="s">
        <v>109</v>
      </c>
      <c r="F2685" s="1" t="s">
        <v>110</v>
      </c>
      <c r="G2685" s="1">
        <v>0.0</v>
      </c>
      <c r="H2685" s="2">
        <v>0.1388888888888889</v>
      </c>
    </row>
    <row r="2686">
      <c r="A2686" s="1" t="s">
        <v>2068</v>
      </c>
      <c r="B2686" s="1" t="s">
        <v>250</v>
      </c>
      <c r="C2686" s="1">
        <v>35.0</v>
      </c>
      <c r="D2686" s="1" t="s">
        <v>17</v>
      </c>
      <c r="E2686" s="1" t="s">
        <v>18</v>
      </c>
      <c r="F2686" s="1" t="s">
        <v>19</v>
      </c>
      <c r="G2686" s="1">
        <v>1.0</v>
      </c>
      <c r="H2686" s="2">
        <v>0.12222222222222222</v>
      </c>
    </row>
    <row r="2687">
      <c r="A2687" s="1" t="s">
        <v>2068</v>
      </c>
      <c r="B2687" s="1" t="s">
        <v>250</v>
      </c>
      <c r="C2687" s="1">
        <v>36.0</v>
      </c>
      <c r="D2687" s="1" t="s">
        <v>11</v>
      </c>
      <c r="E2687" s="1" t="s">
        <v>12</v>
      </c>
      <c r="F2687" s="1" t="s">
        <v>13</v>
      </c>
      <c r="G2687" s="1">
        <v>0.0</v>
      </c>
      <c r="H2687" s="2">
        <v>0.1388888888888889</v>
      </c>
    </row>
    <row r="2688">
      <c r="A2688" s="1" t="s">
        <v>2068</v>
      </c>
      <c r="B2688" s="1" t="s">
        <v>250</v>
      </c>
      <c r="C2688" s="1">
        <v>37.0</v>
      </c>
      <c r="D2688" s="1" t="s">
        <v>2092</v>
      </c>
      <c r="E2688" s="1" t="s">
        <v>2093</v>
      </c>
      <c r="F2688" s="1" t="s">
        <v>2092</v>
      </c>
      <c r="G2688" s="1">
        <v>0.0</v>
      </c>
      <c r="H2688" s="2">
        <v>0.15555555555555556</v>
      </c>
    </row>
    <row r="2689">
      <c r="A2689" s="1" t="s">
        <v>2068</v>
      </c>
      <c r="B2689" s="1" t="s">
        <v>250</v>
      </c>
      <c r="C2689" s="1">
        <v>38.0</v>
      </c>
      <c r="D2689" s="1" t="s">
        <v>172</v>
      </c>
      <c r="E2689" s="1" t="s">
        <v>72</v>
      </c>
      <c r="F2689" s="1" t="s">
        <v>67</v>
      </c>
      <c r="G2689" s="1">
        <v>1.0</v>
      </c>
      <c r="H2689" s="2">
        <v>0.11319444444444444</v>
      </c>
    </row>
    <row r="2690">
      <c r="A2690" s="1" t="s">
        <v>2068</v>
      </c>
      <c r="B2690" s="1" t="s">
        <v>250</v>
      </c>
      <c r="C2690" s="1">
        <v>39.0</v>
      </c>
      <c r="D2690" s="1" t="s">
        <v>203</v>
      </c>
      <c r="E2690" s="1" t="s">
        <v>204</v>
      </c>
      <c r="F2690" s="1" t="s">
        <v>205</v>
      </c>
      <c r="G2690" s="1">
        <v>0.0</v>
      </c>
      <c r="H2690" s="2">
        <v>0.22916666666666666</v>
      </c>
    </row>
    <row r="2691">
      <c r="A2691" s="1" t="s">
        <v>2068</v>
      </c>
      <c r="B2691" s="1" t="s">
        <v>250</v>
      </c>
      <c r="C2691" s="1">
        <v>40.0</v>
      </c>
      <c r="D2691" s="1" t="s">
        <v>520</v>
      </c>
      <c r="E2691" s="1" t="s">
        <v>521</v>
      </c>
      <c r="F2691" s="1" t="s">
        <v>522</v>
      </c>
      <c r="G2691" s="1">
        <v>0.0</v>
      </c>
      <c r="H2691" s="2">
        <v>0.18541666666666667</v>
      </c>
    </row>
    <row r="2692">
      <c r="A2692" s="1" t="s">
        <v>2068</v>
      </c>
      <c r="B2692" s="1" t="s">
        <v>250</v>
      </c>
      <c r="C2692" s="1">
        <v>41.0</v>
      </c>
      <c r="D2692" s="1" t="s">
        <v>33</v>
      </c>
      <c r="E2692" s="1" t="s">
        <v>34</v>
      </c>
      <c r="F2692" s="1" t="s">
        <v>35</v>
      </c>
      <c r="G2692" s="1">
        <v>0.0</v>
      </c>
      <c r="H2692" s="2">
        <v>0.1451388888888889</v>
      </c>
    </row>
    <row r="2693">
      <c r="A2693" s="1" t="s">
        <v>2068</v>
      </c>
      <c r="B2693" s="1" t="s">
        <v>250</v>
      </c>
      <c r="C2693" s="1">
        <v>42.0</v>
      </c>
      <c r="D2693" s="1" t="s">
        <v>9</v>
      </c>
      <c r="E2693" s="1" t="s">
        <v>10</v>
      </c>
      <c r="F2693" s="1" t="s">
        <v>9</v>
      </c>
      <c r="G2693" s="1">
        <v>0.0</v>
      </c>
      <c r="H2693" s="2">
        <v>0.12638888888888888</v>
      </c>
    </row>
    <row r="2694">
      <c r="A2694" s="1" t="s">
        <v>2068</v>
      </c>
      <c r="B2694" s="1" t="s">
        <v>250</v>
      </c>
      <c r="C2694" s="1">
        <v>43.0</v>
      </c>
      <c r="D2694" s="1" t="s">
        <v>656</v>
      </c>
      <c r="E2694" s="1" t="s">
        <v>657</v>
      </c>
      <c r="F2694" s="1" t="s">
        <v>656</v>
      </c>
      <c r="G2694" s="1">
        <v>0.0</v>
      </c>
      <c r="H2694" s="2">
        <v>0.14097222222222222</v>
      </c>
    </row>
    <row r="2695">
      <c r="A2695" s="1" t="s">
        <v>2068</v>
      </c>
      <c r="B2695" s="1" t="s">
        <v>250</v>
      </c>
      <c r="C2695" s="1">
        <v>44.0</v>
      </c>
      <c r="D2695" s="1" t="s">
        <v>2094</v>
      </c>
      <c r="E2695" s="1" t="s">
        <v>2095</v>
      </c>
      <c r="F2695" s="1" t="s">
        <v>2094</v>
      </c>
      <c r="G2695" s="1">
        <v>0.0</v>
      </c>
      <c r="H2695" s="2">
        <v>0.12986111111111112</v>
      </c>
    </row>
    <row r="2696">
      <c r="A2696" s="1" t="s">
        <v>2068</v>
      </c>
      <c r="B2696" s="1" t="s">
        <v>250</v>
      </c>
      <c r="C2696" s="1">
        <v>45.0</v>
      </c>
      <c r="D2696" s="1" t="s">
        <v>169</v>
      </c>
      <c r="E2696" s="1" t="s">
        <v>170</v>
      </c>
      <c r="F2696" s="1" t="s">
        <v>171</v>
      </c>
      <c r="G2696" s="1">
        <v>0.0</v>
      </c>
      <c r="H2696" s="2">
        <v>0.1451388888888889</v>
      </c>
    </row>
    <row r="2697">
      <c r="A2697" s="1" t="s">
        <v>2068</v>
      </c>
      <c r="B2697" s="1" t="s">
        <v>250</v>
      </c>
      <c r="C2697" s="1">
        <v>46.0</v>
      </c>
      <c r="D2697" s="1" t="s">
        <v>2096</v>
      </c>
      <c r="E2697" s="1" t="s">
        <v>2097</v>
      </c>
      <c r="F2697" s="1" t="s">
        <v>2096</v>
      </c>
      <c r="G2697" s="1">
        <v>0.0</v>
      </c>
      <c r="H2697" s="2">
        <v>0.1326388888888889</v>
      </c>
    </row>
    <row r="2698">
      <c r="A2698" s="1" t="s">
        <v>2068</v>
      </c>
      <c r="B2698" s="1" t="s">
        <v>250</v>
      </c>
      <c r="C2698" s="1">
        <v>47.0</v>
      </c>
      <c r="D2698" s="1" t="s">
        <v>2098</v>
      </c>
      <c r="E2698" s="1" t="s">
        <v>2099</v>
      </c>
      <c r="F2698" s="1" t="s">
        <v>2098</v>
      </c>
      <c r="G2698" s="1">
        <v>1.0</v>
      </c>
      <c r="H2698" s="2">
        <v>0.12777777777777777</v>
      </c>
    </row>
    <row r="2699">
      <c r="A2699" s="1" t="s">
        <v>2068</v>
      </c>
      <c r="B2699" s="1" t="s">
        <v>250</v>
      </c>
      <c r="C2699" s="1">
        <v>48.0</v>
      </c>
      <c r="D2699" s="1" t="s">
        <v>534</v>
      </c>
      <c r="E2699" s="1" t="s">
        <v>109</v>
      </c>
      <c r="F2699" s="1" t="s">
        <v>110</v>
      </c>
      <c r="G2699" s="1">
        <v>0.0</v>
      </c>
      <c r="H2699" s="2">
        <v>0.12222222222222222</v>
      </c>
    </row>
    <row r="2700">
      <c r="A2700" s="1" t="s">
        <v>2068</v>
      </c>
      <c r="B2700" s="1" t="s">
        <v>250</v>
      </c>
      <c r="C2700" s="1">
        <v>49.0</v>
      </c>
      <c r="D2700" s="1" t="s">
        <v>2100</v>
      </c>
      <c r="E2700" s="1" t="s">
        <v>2101</v>
      </c>
      <c r="F2700" s="1" t="s">
        <v>2100</v>
      </c>
      <c r="G2700" s="1">
        <v>0.0</v>
      </c>
      <c r="H2700" s="2">
        <v>0.1451388888888889</v>
      </c>
    </row>
    <row r="2701">
      <c r="A2701" s="1" t="s">
        <v>2068</v>
      </c>
      <c r="B2701" s="1" t="s">
        <v>250</v>
      </c>
      <c r="C2701" s="1">
        <v>50.0</v>
      </c>
      <c r="D2701" s="1" t="s">
        <v>206</v>
      </c>
      <c r="E2701" s="1" t="s">
        <v>72</v>
      </c>
      <c r="F2701" s="1" t="s">
        <v>207</v>
      </c>
      <c r="G2701" s="1">
        <v>1.0</v>
      </c>
      <c r="H2701" s="2">
        <v>0.12361111111111112</v>
      </c>
    </row>
    <row r="2702">
      <c r="A2702" s="1" t="s">
        <v>2102</v>
      </c>
      <c r="B2702" s="1" t="s">
        <v>250</v>
      </c>
      <c r="C2702" s="1">
        <v>1.0</v>
      </c>
      <c r="D2702" s="1" t="s">
        <v>11</v>
      </c>
      <c r="E2702" s="1" t="s">
        <v>12</v>
      </c>
      <c r="F2702" s="1" t="s">
        <v>13</v>
      </c>
      <c r="G2702" s="1">
        <v>0.0</v>
      </c>
      <c r="H2702" s="2">
        <v>0.1388888888888889</v>
      </c>
    </row>
    <row r="2703">
      <c r="A2703" s="1" t="s">
        <v>2102</v>
      </c>
      <c r="B2703" s="1" t="s">
        <v>250</v>
      </c>
      <c r="C2703" s="1">
        <v>2.0</v>
      </c>
      <c r="D2703" s="1" t="s">
        <v>1767</v>
      </c>
      <c r="E2703" s="1" t="s">
        <v>1768</v>
      </c>
      <c r="F2703" s="1" t="s">
        <v>1767</v>
      </c>
      <c r="G2703" s="1">
        <v>0.0</v>
      </c>
      <c r="H2703" s="2">
        <v>0.1326388888888889</v>
      </c>
    </row>
    <row r="2704">
      <c r="A2704" s="1" t="s">
        <v>2102</v>
      </c>
      <c r="B2704" s="1" t="s">
        <v>250</v>
      </c>
      <c r="C2704" s="1">
        <v>3.0</v>
      </c>
      <c r="D2704" s="1" t="s">
        <v>14</v>
      </c>
      <c r="E2704" s="1" t="s">
        <v>15</v>
      </c>
      <c r="F2704" s="1" t="s">
        <v>16</v>
      </c>
      <c r="G2704" s="1">
        <v>1.0</v>
      </c>
      <c r="H2704" s="2">
        <v>0.12569444444444444</v>
      </c>
    </row>
    <row r="2705">
      <c r="A2705" s="1" t="s">
        <v>2102</v>
      </c>
      <c r="B2705" s="1" t="s">
        <v>250</v>
      </c>
      <c r="C2705" s="1">
        <v>4.0</v>
      </c>
      <c r="D2705" s="1" t="s">
        <v>2103</v>
      </c>
      <c r="E2705" s="1" t="s">
        <v>2104</v>
      </c>
      <c r="F2705" s="1" t="s">
        <v>2105</v>
      </c>
      <c r="G2705" s="1">
        <v>1.0</v>
      </c>
      <c r="H2705" s="2">
        <v>0.10069444444444445</v>
      </c>
    </row>
    <row r="2706">
      <c r="A2706" s="1" t="s">
        <v>2102</v>
      </c>
      <c r="B2706" s="1" t="s">
        <v>250</v>
      </c>
      <c r="C2706" s="1">
        <v>5.0</v>
      </c>
      <c r="D2706" s="1" t="s">
        <v>2106</v>
      </c>
      <c r="E2706" s="1" t="s">
        <v>2107</v>
      </c>
      <c r="F2706" s="1" t="s">
        <v>2108</v>
      </c>
      <c r="G2706" s="1">
        <v>0.0</v>
      </c>
      <c r="H2706" s="2">
        <v>0.1111111111111111</v>
      </c>
    </row>
    <row r="2707">
      <c r="A2707" s="1" t="s">
        <v>2102</v>
      </c>
      <c r="B2707" s="1" t="s">
        <v>250</v>
      </c>
      <c r="C2707" s="1">
        <v>6.0</v>
      </c>
      <c r="D2707" s="1" t="s">
        <v>2109</v>
      </c>
      <c r="E2707" s="1" t="s">
        <v>2110</v>
      </c>
      <c r="F2707" s="1" t="s">
        <v>2105</v>
      </c>
      <c r="G2707" s="1">
        <v>1.0</v>
      </c>
      <c r="H2707" s="2">
        <v>0.09444444444444444</v>
      </c>
    </row>
    <row r="2708">
      <c r="A2708" s="1" t="s">
        <v>2102</v>
      </c>
      <c r="B2708" s="1" t="s">
        <v>250</v>
      </c>
      <c r="C2708" s="1">
        <v>7.0</v>
      </c>
      <c r="D2708" s="1" t="s">
        <v>2111</v>
      </c>
      <c r="E2708" s="1" t="s">
        <v>2104</v>
      </c>
      <c r="F2708" s="1" t="s">
        <v>2105</v>
      </c>
      <c r="G2708" s="1">
        <v>1.0</v>
      </c>
      <c r="H2708" s="2">
        <v>0.11458333333333333</v>
      </c>
    </row>
    <row r="2709">
      <c r="A2709" s="1" t="s">
        <v>2102</v>
      </c>
      <c r="B2709" s="1" t="s">
        <v>250</v>
      </c>
      <c r="C2709" s="1">
        <v>8.0</v>
      </c>
      <c r="D2709" s="1" t="s">
        <v>2112</v>
      </c>
      <c r="E2709" s="1" t="s">
        <v>2113</v>
      </c>
      <c r="F2709" s="1" t="s">
        <v>2105</v>
      </c>
      <c r="G2709" s="1">
        <v>1.0</v>
      </c>
      <c r="H2709" s="2">
        <v>0.10555555555555556</v>
      </c>
    </row>
    <row r="2710">
      <c r="A2710" s="1" t="s">
        <v>2102</v>
      </c>
      <c r="B2710" s="1" t="s">
        <v>250</v>
      </c>
      <c r="C2710" s="1">
        <v>9.0</v>
      </c>
      <c r="D2710" s="1" t="s">
        <v>2114</v>
      </c>
      <c r="E2710" s="1" t="s">
        <v>2104</v>
      </c>
      <c r="F2710" s="1" t="s">
        <v>2105</v>
      </c>
      <c r="G2710" s="1">
        <v>1.0</v>
      </c>
      <c r="H2710" s="2">
        <v>0.09791666666666667</v>
      </c>
    </row>
    <row r="2711">
      <c r="A2711" s="1" t="s">
        <v>2102</v>
      </c>
      <c r="B2711" s="1" t="s">
        <v>250</v>
      </c>
      <c r="C2711" s="1">
        <v>10.0</v>
      </c>
      <c r="D2711" s="1" t="s">
        <v>2115</v>
      </c>
      <c r="E2711" s="1" t="s">
        <v>2104</v>
      </c>
      <c r="F2711" s="1" t="s">
        <v>2105</v>
      </c>
      <c r="G2711" s="1">
        <v>1.0</v>
      </c>
      <c r="H2711" s="2">
        <v>0.08194444444444444</v>
      </c>
    </row>
    <row r="2712">
      <c r="A2712" s="1" t="s">
        <v>2102</v>
      </c>
      <c r="B2712" s="1" t="s">
        <v>250</v>
      </c>
      <c r="C2712" s="1">
        <v>11.0</v>
      </c>
      <c r="D2712" s="1" t="s">
        <v>2116</v>
      </c>
      <c r="E2712" s="1" t="s">
        <v>2104</v>
      </c>
      <c r="F2712" s="1" t="s">
        <v>2105</v>
      </c>
      <c r="G2712" s="1">
        <v>1.0</v>
      </c>
      <c r="H2712" s="2">
        <v>0.10972222222222222</v>
      </c>
    </row>
    <row r="2713">
      <c r="A2713" s="1" t="s">
        <v>2102</v>
      </c>
      <c r="B2713" s="1" t="s">
        <v>250</v>
      </c>
      <c r="C2713" s="1">
        <v>12.0</v>
      </c>
      <c r="D2713" s="1" t="s">
        <v>2117</v>
      </c>
      <c r="E2713" s="1" t="s">
        <v>2104</v>
      </c>
      <c r="F2713" s="1" t="s">
        <v>2105</v>
      </c>
      <c r="G2713" s="1">
        <v>1.0</v>
      </c>
      <c r="H2713" s="2">
        <v>0.09722222222222222</v>
      </c>
    </row>
    <row r="2714">
      <c r="A2714" s="1" t="s">
        <v>2102</v>
      </c>
      <c r="B2714" s="1" t="s">
        <v>250</v>
      </c>
      <c r="C2714" s="1">
        <v>13.0</v>
      </c>
      <c r="D2714" s="1" t="s">
        <v>36</v>
      </c>
      <c r="E2714" s="1" t="s">
        <v>37</v>
      </c>
      <c r="F2714" s="1" t="s">
        <v>36</v>
      </c>
      <c r="G2714" s="1">
        <v>1.0</v>
      </c>
      <c r="H2714" s="2">
        <v>0.09166666666666666</v>
      </c>
    </row>
    <row r="2715">
      <c r="A2715" s="1" t="s">
        <v>2102</v>
      </c>
      <c r="B2715" s="1" t="s">
        <v>250</v>
      </c>
      <c r="C2715" s="1">
        <v>14.0</v>
      </c>
      <c r="D2715" s="1" t="s">
        <v>2118</v>
      </c>
      <c r="E2715" s="1" t="s">
        <v>2104</v>
      </c>
      <c r="F2715" s="1" t="s">
        <v>2105</v>
      </c>
      <c r="G2715" s="1">
        <v>1.0</v>
      </c>
      <c r="H2715" s="2">
        <v>0.10208333333333333</v>
      </c>
    </row>
    <row r="2716">
      <c r="A2716" s="1" t="s">
        <v>2102</v>
      </c>
      <c r="B2716" s="1" t="s">
        <v>250</v>
      </c>
      <c r="C2716" s="1">
        <v>15.0</v>
      </c>
      <c r="D2716" s="1" t="s">
        <v>2119</v>
      </c>
      <c r="E2716" s="1" t="s">
        <v>2104</v>
      </c>
      <c r="F2716" s="1" t="s">
        <v>2105</v>
      </c>
      <c r="G2716" s="1">
        <v>1.0</v>
      </c>
      <c r="H2716" s="2">
        <v>0.1</v>
      </c>
    </row>
    <row r="2717">
      <c r="A2717" s="1" t="s">
        <v>2102</v>
      </c>
      <c r="B2717" s="1" t="s">
        <v>250</v>
      </c>
      <c r="C2717" s="1">
        <v>16.0</v>
      </c>
      <c r="D2717" s="1" t="s">
        <v>17</v>
      </c>
      <c r="E2717" s="1" t="s">
        <v>18</v>
      </c>
      <c r="F2717" s="1" t="s">
        <v>19</v>
      </c>
      <c r="G2717" s="1">
        <v>1.0</v>
      </c>
      <c r="H2717" s="2">
        <v>0.12222222222222222</v>
      </c>
    </row>
    <row r="2718">
      <c r="A2718" s="1" t="s">
        <v>2102</v>
      </c>
      <c r="B2718" s="1" t="s">
        <v>250</v>
      </c>
      <c r="C2718" s="1">
        <v>17.0</v>
      </c>
      <c r="D2718" s="1" t="s">
        <v>2120</v>
      </c>
      <c r="E2718" s="1" t="s">
        <v>2121</v>
      </c>
      <c r="F2718" s="1" t="s">
        <v>2120</v>
      </c>
      <c r="G2718" s="1">
        <v>0.0</v>
      </c>
      <c r="H2718" s="2">
        <v>0.15416666666666667</v>
      </c>
    </row>
    <row r="2719">
      <c r="A2719" s="1" t="s">
        <v>2102</v>
      </c>
      <c r="B2719" s="1" t="s">
        <v>250</v>
      </c>
      <c r="C2719" s="1">
        <v>18.0</v>
      </c>
      <c r="D2719" s="1" t="s">
        <v>53</v>
      </c>
      <c r="E2719" s="1" t="s">
        <v>12</v>
      </c>
      <c r="F2719" s="1" t="s">
        <v>13</v>
      </c>
      <c r="G2719" s="1">
        <v>1.0</v>
      </c>
      <c r="H2719" s="2">
        <v>0.16458333333333333</v>
      </c>
    </row>
    <row r="2720">
      <c r="A2720" s="1" t="s">
        <v>2102</v>
      </c>
      <c r="B2720" s="1" t="s">
        <v>250</v>
      </c>
      <c r="C2720" s="1">
        <v>19.0</v>
      </c>
      <c r="D2720" s="1" t="s">
        <v>9</v>
      </c>
      <c r="E2720" s="1" t="s">
        <v>10</v>
      </c>
      <c r="F2720" s="1" t="s">
        <v>9</v>
      </c>
      <c r="G2720" s="1">
        <v>0.0</v>
      </c>
      <c r="H2720" s="2">
        <v>0.12638888888888888</v>
      </c>
    </row>
    <row r="2721">
      <c r="A2721" s="1" t="s">
        <v>2102</v>
      </c>
      <c r="B2721" s="1" t="s">
        <v>250</v>
      </c>
      <c r="C2721" s="1">
        <v>20.0</v>
      </c>
      <c r="D2721" s="1" t="s">
        <v>2122</v>
      </c>
      <c r="E2721" s="1" t="s">
        <v>2123</v>
      </c>
      <c r="F2721" s="1" t="s">
        <v>2122</v>
      </c>
      <c r="G2721" s="1">
        <v>0.0</v>
      </c>
      <c r="H2721" s="2">
        <v>0.10625</v>
      </c>
    </row>
    <row r="2722">
      <c r="A2722" s="1" t="s">
        <v>2102</v>
      </c>
      <c r="B2722" s="1" t="s">
        <v>250</v>
      </c>
      <c r="C2722" s="1">
        <v>21.0</v>
      </c>
      <c r="D2722" s="1" t="s">
        <v>2124</v>
      </c>
      <c r="E2722" s="1" t="s">
        <v>2125</v>
      </c>
      <c r="F2722" s="1" t="s">
        <v>2126</v>
      </c>
      <c r="G2722" s="1">
        <v>1.0</v>
      </c>
      <c r="H2722" s="2">
        <v>0.1284722222222222</v>
      </c>
    </row>
    <row r="2723">
      <c r="A2723" s="1" t="s">
        <v>2102</v>
      </c>
      <c r="B2723" s="1" t="s">
        <v>250</v>
      </c>
      <c r="C2723" s="1">
        <v>22.0</v>
      </c>
      <c r="D2723" s="1" t="s">
        <v>2127</v>
      </c>
      <c r="E2723" s="1" t="s">
        <v>2107</v>
      </c>
      <c r="F2723" s="1" t="s">
        <v>2127</v>
      </c>
      <c r="G2723" s="1">
        <v>0.0</v>
      </c>
      <c r="H2723" s="2">
        <v>0.12638888888888888</v>
      </c>
    </row>
    <row r="2724">
      <c r="A2724" s="1" t="s">
        <v>2102</v>
      </c>
      <c r="B2724" s="1" t="s">
        <v>250</v>
      </c>
      <c r="C2724" s="1">
        <v>23.0</v>
      </c>
      <c r="D2724" s="1" t="s">
        <v>2128</v>
      </c>
      <c r="E2724" s="1" t="s">
        <v>2129</v>
      </c>
      <c r="F2724" s="1" t="s">
        <v>2128</v>
      </c>
      <c r="G2724" s="1">
        <v>0.0</v>
      </c>
      <c r="H2724" s="2">
        <v>0.15763888888888888</v>
      </c>
    </row>
    <row r="2725">
      <c r="A2725" s="1" t="s">
        <v>2102</v>
      </c>
      <c r="B2725" s="1" t="s">
        <v>250</v>
      </c>
      <c r="C2725" s="1">
        <v>24.0</v>
      </c>
      <c r="D2725" s="1" t="s">
        <v>33</v>
      </c>
      <c r="E2725" s="1" t="s">
        <v>34</v>
      </c>
      <c r="F2725" s="1" t="s">
        <v>35</v>
      </c>
      <c r="G2725" s="1">
        <v>0.0</v>
      </c>
      <c r="H2725" s="2">
        <v>0.1451388888888889</v>
      </c>
    </row>
    <row r="2726">
      <c r="A2726" s="1" t="s">
        <v>2102</v>
      </c>
      <c r="B2726" s="1" t="s">
        <v>250</v>
      </c>
      <c r="C2726" s="1">
        <v>25.0</v>
      </c>
      <c r="D2726" s="1" t="s">
        <v>244</v>
      </c>
      <c r="E2726" s="1" t="s">
        <v>245</v>
      </c>
      <c r="F2726" s="1" t="s">
        <v>244</v>
      </c>
      <c r="G2726" s="1">
        <v>0.0</v>
      </c>
      <c r="H2726" s="2">
        <v>0.13819444444444445</v>
      </c>
    </row>
    <row r="2727">
      <c r="A2727" s="1" t="s">
        <v>2102</v>
      </c>
      <c r="B2727" s="1" t="s">
        <v>250</v>
      </c>
      <c r="C2727" s="1">
        <v>26.0</v>
      </c>
      <c r="D2727" s="1" t="s">
        <v>2130</v>
      </c>
      <c r="E2727" s="1" t="s">
        <v>2131</v>
      </c>
      <c r="F2727" s="1" t="s">
        <v>2132</v>
      </c>
      <c r="G2727" s="1">
        <v>1.0</v>
      </c>
      <c r="H2727" s="2">
        <v>0.10138888888888889</v>
      </c>
    </row>
    <row r="2728">
      <c r="A2728" s="1" t="s">
        <v>2102</v>
      </c>
      <c r="B2728" s="1" t="s">
        <v>250</v>
      </c>
      <c r="C2728" s="1">
        <v>27.0</v>
      </c>
      <c r="D2728" s="1" t="s">
        <v>2133</v>
      </c>
      <c r="E2728" s="1" t="s">
        <v>2134</v>
      </c>
      <c r="F2728" s="1" t="s">
        <v>2133</v>
      </c>
      <c r="G2728" s="1">
        <v>1.0</v>
      </c>
      <c r="H2728" s="2">
        <v>0.12708333333333333</v>
      </c>
    </row>
    <row r="2729">
      <c r="A2729" s="1" t="s">
        <v>2102</v>
      </c>
      <c r="B2729" s="1" t="s">
        <v>250</v>
      </c>
      <c r="C2729" s="1">
        <v>28.0</v>
      </c>
      <c r="D2729" s="1" t="s">
        <v>20</v>
      </c>
      <c r="E2729" s="1" t="s">
        <v>21</v>
      </c>
      <c r="F2729" s="1" t="s">
        <v>22</v>
      </c>
      <c r="G2729" s="1">
        <v>1.0</v>
      </c>
      <c r="H2729" s="2">
        <v>0.17152777777777778</v>
      </c>
    </row>
    <row r="2730">
      <c r="A2730" s="1" t="s">
        <v>2102</v>
      </c>
      <c r="B2730" s="1" t="s">
        <v>250</v>
      </c>
      <c r="C2730" s="1">
        <v>29.0</v>
      </c>
      <c r="D2730" s="1" t="s">
        <v>30</v>
      </c>
      <c r="E2730" s="1" t="s">
        <v>31</v>
      </c>
      <c r="F2730" s="1" t="s">
        <v>32</v>
      </c>
      <c r="G2730" s="1">
        <v>0.0</v>
      </c>
      <c r="H2730" s="2">
        <v>0.15833333333333333</v>
      </c>
    </row>
    <row r="2731">
      <c r="A2731" s="1" t="s">
        <v>2102</v>
      </c>
      <c r="B2731" s="1" t="s">
        <v>250</v>
      </c>
      <c r="C2731" s="1">
        <v>30.0</v>
      </c>
      <c r="D2731" s="1" t="s">
        <v>1769</v>
      </c>
      <c r="E2731" s="1" t="s">
        <v>1770</v>
      </c>
      <c r="F2731" s="1" t="s">
        <v>1769</v>
      </c>
      <c r="G2731" s="1">
        <v>0.0</v>
      </c>
      <c r="H2731" s="2">
        <v>0.12638888888888888</v>
      </c>
    </row>
    <row r="2732">
      <c r="A2732" s="1" t="s">
        <v>2102</v>
      </c>
      <c r="B2732" s="1" t="s">
        <v>250</v>
      </c>
      <c r="C2732" s="1">
        <v>31.0</v>
      </c>
      <c r="D2732" s="1" t="s">
        <v>25</v>
      </c>
      <c r="E2732" s="1" t="s">
        <v>26</v>
      </c>
      <c r="F2732" s="1" t="s">
        <v>25</v>
      </c>
      <c r="G2732" s="1">
        <v>1.0</v>
      </c>
      <c r="H2732" s="2">
        <v>0.11458333333333333</v>
      </c>
    </row>
    <row r="2733">
      <c r="A2733" s="1" t="s">
        <v>2102</v>
      </c>
      <c r="B2733" s="1" t="s">
        <v>250</v>
      </c>
      <c r="C2733" s="1">
        <v>32.0</v>
      </c>
      <c r="D2733" s="1" t="s">
        <v>2135</v>
      </c>
      <c r="E2733" s="1" t="s">
        <v>2136</v>
      </c>
      <c r="F2733" s="1" t="s">
        <v>2135</v>
      </c>
      <c r="G2733" s="1">
        <v>1.0</v>
      </c>
      <c r="H2733" s="2">
        <v>0.11666666666666667</v>
      </c>
    </row>
    <row r="2734">
      <c r="A2734" s="1" t="s">
        <v>2102</v>
      </c>
      <c r="B2734" s="1" t="s">
        <v>250</v>
      </c>
      <c r="C2734" s="1">
        <v>33.0</v>
      </c>
      <c r="D2734" s="1" t="s">
        <v>23</v>
      </c>
      <c r="E2734" s="1" t="s">
        <v>24</v>
      </c>
      <c r="F2734" s="1" t="s">
        <v>23</v>
      </c>
      <c r="G2734" s="1">
        <v>0.0</v>
      </c>
      <c r="H2734" s="2">
        <v>0.12013888888888889</v>
      </c>
    </row>
    <row r="2735">
      <c r="A2735" s="1" t="s">
        <v>2102</v>
      </c>
      <c r="B2735" s="1" t="s">
        <v>250</v>
      </c>
      <c r="C2735" s="1">
        <v>34.0</v>
      </c>
      <c r="D2735" s="1" t="s">
        <v>2126</v>
      </c>
      <c r="E2735" s="1" t="s">
        <v>2137</v>
      </c>
      <c r="F2735" s="1" t="s">
        <v>2126</v>
      </c>
      <c r="G2735" s="1">
        <v>1.0</v>
      </c>
      <c r="H2735" s="2">
        <v>0.11666666666666667</v>
      </c>
    </row>
    <row r="2736">
      <c r="A2736" s="1" t="s">
        <v>2102</v>
      </c>
      <c r="B2736" s="1" t="s">
        <v>250</v>
      </c>
      <c r="C2736" s="1">
        <v>35.0</v>
      </c>
      <c r="D2736" s="1" t="s">
        <v>2138</v>
      </c>
      <c r="E2736" s="1" t="s">
        <v>2139</v>
      </c>
      <c r="F2736" s="1" t="s">
        <v>2140</v>
      </c>
      <c r="G2736" s="1">
        <v>1.0</v>
      </c>
      <c r="H2736" s="2">
        <v>0.11388888888888889</v>
      </c>
    </row>
    <row r="2737">
      <c r="A2737" s="1" t="s">
        <v>2102</v>
      </c>
      <c r="B2737" s="1" t="s">
        <v>250</v>
      </c>
      <c r="C2737" s="1">
        <v>36.0</v>
      </c>
      <c r="D2737" s="1" t="s">
        <v>227</v>
      </c>
      <c r="E2737" s="1" t="s">
        <v>228</v>
      </c>
      <c r="F2737" s="1" t="s">
        <v>227</v>
      </c>
      <c r="G2737" s="1">
        <v>1.0</v>
      </c>
      <c r="H2737" s="2">
        <v>0.11597222222222223</v>
      </c>
    </row>
    <row r="2738">
      <c r="A2738" s="1" t="s">
        <v>2102</v>
      </c>
      <c r="B2738" s="1" t="s">
        <v>250</v>
      </c>
      <c r="C2738" s="1">
        <v>37.0</v>
      </c>
      <c r="D2738" s="1" t="s">
        <v>38</v>
      </c>
      <c r="E2738" s="1" t="s">
        <v>39</v>
      </c>
      <c r="F2738" s="1" t="s">
        <v>40</v>
      </c>
      <c r="G2738" s="1">
        <v>1.0</v>
      </c>
      <c r="H2738" s="2">
        <v>0.1125</v>
      </c>
    </row>
    <row r="2739">
      <c r="A2739" s="1" t="s">
        <v>2102</v>
      </c>
      <c r="B2739" s="1" t="s">
        <v>250</v>
      </c>
      <c r="C2739" s="1">
        <v>38.0</v>
      </c>
      <c r="D2739" s="1" t="s">
        <v>2141</v>
      </c>
      <c r="E2739" s="1" t="s">
        <v>2142</v>
      </c>
      <c r="F2739" s="1" t="s">
        <v>2141</v>
      </c>
      <c r="G2739" s="1">
        <v>0.0</v>
      </c>
      <c r="H2739" s="2">
        <v>0.16041666666666668</v>
      </c>
    </row>
    <row r="2740">
      <c r="A2740" s="1" t="s">
        <v>2102</v>
      </c>
      <c r="B2740" s="1" t="s">
        <v>250</v>
      </c>
      <c r="C2740" s="1">
        <v>39.0</v>
      </c>
      <c r="D2740" s="1" t="s">
        <v>274</v>
      </c>
      <c r="E2740" s="1" t="s">
        <v>266</v>
      </c>
      <c r="F2740" s="1" t="s">
        <v>274</v>
      </c>
      <c r="G2740" s="1">
        <v>0.0</v>
      </c>
      <c r="H2740" s="2">
        <v>0.1125</v>
      </c>
    </row>
    <row r="2741">
      <c r="A2741" s="1" t="s">
        <v>2102</v>
      </c>
      <c r="B2741" s="1" t="s">
        <v>250</v>
      </c>
      <c r="C2741" s="1">
        <v>40.0</v>
      </c>
      <c r="D2741" s="1" t="s">
        <v>44</v>
      </c>
      <c r="E2741" s="1" t="s">
        <v>45</v>
      </c>
      <c r="F2741" s="1" t="s">
        <v>44</v>
      </c>
      <c r="G2741" s="1">
        <v>0.0</v>
      </c>
      <c r="H2741" s="2">
        <v>0.12222222222222222</v>
      </c>
    </row>
    <row r="2742">
      <c r="A2742" s="1" t="s">
        <v>2102</v>
      </c>
      <c r="B2742" s="1" t="s">
        <v>250</v>
      </c>
      <c r="C2742" s="1">
        <v>41.0</v>
      </c>
      <c r="D2742" s="1" t="s">
        <v>2143</v>
      </c>
      <c r="E2742" s="1" t="s">
        <v>2144</v>
      </c>
      <c r="F2742" s="1" t="s">
        <v>2126</v>
      </c>
      <c r="G2742" s="1">
        <v>1.0</v>
      </c>
      <c r="H2742" s="2">
        <v>0.10833333333333334</v>
      </c>
    </row>
    <row r="2743">
      <c r="A2743" s="1" t="s">
        <v>2102</v>
      </c>
      <c r="B2743" s="1" t="s">
        <v>250</v>
      </c>
      <c r="C2743" s="1">
        <v>42.0</v>
      </c>
      <c r="D2743" s="1" t="s">
        <v>1025</v>
      </c>
      <c r="E2743" s="1" t="s">
        <v>1026</v>
      </c>
      <c r="F2743" s="1" t="s">
        <v>1025</v>
      </c>
      <c r="G2743" s="1">
        <v>0.0</v>
      </c>
      <c r="H2743" s="2">
        <v>0.12013888888888889</v>
      </c>
    </row>
    <row r="2744">
      <c r="A2744" s="1" t="s">
        <v>2102</v>
      </c>
      <c r="B2744" s="1" t="s">
        <v>250</v>
      </c>
      <c r="C2744" s="1">
        <v>43.0</v>
      </c>
      <c r="D2744" s="1" t="s">
        <v>2145</v>
      </c>
      <c r="E2744" s="1" t="s">
        <v>2129</v>
      </c>
      <c r="F2744" s="1" t="s">
        <v>2145</v>
      </c>
      <c r="G2744" s="1">
        <v>0.0</v>
      </c>
      <c r="H2744" s="2">
        <v>0.15763888888888888</v>
      </c>
    </row>
    <row r="2745">
      <c r="A2745" s="1" t="s">
        <v>2102</v>
      </c>
      <c r="B2745" s="1" t="s">
        <v>250</v>
      </c>
      <c r="C2745" s="1">
        <v>44.0</v>
      </c>
      <c r="D2745" s="1" t="s">
        <v>27</v>
      </c>
      <c r="E2745" s="1" t="s">
        <v>28</v>
      </c>
      <c r="F2745" s="1" t="s">
        <v>29</v>
      </c>
      <c r="G2745" s="1">
        <v>0.0</v>
      </c>
      <c r="H2745" s="2">
        <v>0.12708333333333333</v>
      </c>
    </row>
    <row r="2746">
      <c r="A2746" s="1" t="s">
        <v>2102</v>
      </c>
      <c r="B2746" s="1" t="s">
        <v>250</v>
      </c>
      <c r="C2746" s="1">
        <v>45.0</v>
      </c>
      <c r="D2746" s="1" t="s">
        <v>46</v>
      </c>
      <c r="E2746" s="1" t="s">
        <v>28</v>
      </c>
      <c r="F2746" s="1" t="s">
        <v>29</v>
      </c>
      <c r="G2746" s="1">
        <v>0.0</v>
      </c>
      <c r="H2746" s="2">
        <v>0.15347222222222223</v>
      </c>
    </row>
    <row r="2747">
      <c r="A2747" s="1" t="s">
        <v>2102</v>
      </c>
      <c r="B2747" s="1" t="s">
        <v>250</v>
      </c>
      <c r="C2747" s="1">
        <v>46.0</v>
      </c>
      <c r="D2747" s="1" t="s">
        <v>2146</v>
      </c>
      <c r="E2747" s="1" t="s">
        <v>2123</v>
      </c>
      <c r="F2747" s="1" t="s">
        <v>2146</v>
      </c>
      <c r="G2747" s="1">
        <v>0.0</v>
      </c>
      <c r="H2747" s="2">
        <v>0.11805555555555555</v>
      </c>
    </row>
    <row r="2748">
      <c r="A2748" s="1" t="s">
        <v>2102</v>
      </c>
      <c r="B2748" s="1" t="s">
        <v>250</v>
      </c>
      <c r="C2748" s="1">
        <v>47.0</v>
      </c>
      <c r="D2748" s="1" t="s">
        <v>2147</v>
      </c>
      <c r="E2748" s="1" t="s">
        <v>2148</v>
      </c>
      <c r="F2748" s="1" t="s">
        <v>2147</v>
      </c>
      <c r="G2748" s="1">
        <v>1.0</v>
      </c>
      <c r="H2748" s="2">
        <v>0.10972222222222222</v>
      </c>
    </row>
    <row r="2749">
      <c r="A2749" s="1" t="s">
        <v>2102</v>
      </c>
      <c r="B2749" s="1" t="s">
        <v>250</v>
      </c>
      <c r="C2749" s="1">
        <v>48.0</v>
      </c>
      <c r="D2749" s="1" t="s">
        <v>1787</v>
      </c>
      <c r="E2749" s="1" t="s">
        <v>1788</v>
      </c>
      <c r="F2749" s="1" t="s">
        <v>1787</v>
      </c>
      <c r="G2749" s="1">
        <v>0.0</v>
      </c>
      <c r="H2749" s="2">
        <v>0.12708333333333333</v>
      </c>
    </row>
    <row r="2750">
      <c r="A2750" s="1" t="s">
        <v>2102</v>
      </c>
      <c r="B2750" s="1" t="s">
        <v>250</v>
      </c>
      <c r="C2750" s="1">
        <v>49.0</v>
      </c>
      <c r="D2750" s="1" t="s">
        <v>2149</v>
      </c>
      <c r="E2750" s="1" t="s">
        <v>2150</v>
      </c>
      <c r="F2750" s="1" t="s">
        <v>2151</v>
      </c>
      <c r="G2750" s="1">
        <v>0.0</v>
      </c>
      <c r="H2750" s="2">
        <v>0.2222222222222222</v>
      </c>
    </row>
    <row r="2751">
      <c r="A2751" s="1" t="s">
        <v>2102</v>
      </c>
      <c r="B2751" s="1" t="s">
        <v>250</v>
      </c>
      <c r="C2751" s="1">
        <v>50.0</v>
      </c>
      <c r="D2751" s="1" t="s">
        <v>265</v>
      </c>
      <c r="E2751" s="1" t="s">
        <v>266</v>
      </c>
      <c r="F2751" s="1" t="s">
        <v>265</v>
      </c>
      <c r="G2751" s="1">
        <v>0.0</v>
      </c>
      <c r="H2751" s="2">
        <v>0.125</v>
      </c>
    </row>
    <row r="2752">
      <c r="A2752" s="1" t="s">
        <v>2152</v>
      </c>
      <c r="B2752" s="1" t="s">
        <v>250</v>
      </c>
      <c r="C2752" s="1">
        <v>1.0</v>
      </c>
      <c r="D2752" s="1" t="s">
        <v>14</v>
      </c>
      <c r="E2752" s="1" t="s">
        <v>15</v>
      </c>
      <c r="F2752" s="1" t="s">
        <v>16</v>
      </c>
      <c r="G2752" s="1">
        <v>1.0</v>
      </c>
      <c r="H2752" s="2">
        <v>0.12569444444444444</v>
      </c>
    </row>
    <row r="2753">
      <c r="A2753" s="1" t="s">
        <v>2152</v>
      </c>
      <c r="B2753" s="1" t="s">
        <v>250</v>
      </c>
      <c r="C2753" s="1">
        <v>2.0</v>
      </c>
      <c r="D2753" s="1" t="s">
        <v>253</v>
      </c>
      <c r="E2753" s="1" t="s">
        <v>254</v>
      </c>
      <c r="F2753" s="1" t="s">
        <v>253</v>
      </c>
      <c r="G2753" s="1">
        <v>0.0</v>
      </c>
      <c r="H2753" s="2">
        <v>0.1111111111111111</v>
      </c>
    </row>
    <row r="2754">
      <c r="A2754" s="1" t="s">
        <v>2152</v>
      </c>
      <c r="B2754" s="1" t="s">
        <v>250</v>
      </c>
      <c r="C2754" s="1">
        <v>3.0</v>
      </c>
      <c r="D2754" s="1" t="s">
        <v>251</v>
      </c>
      <c r="E2754" s="1" t="s">
        <v>252</v>
      </c>
      <c r="F2754" s="1" t="s">
        <v>251</v>
      </c>
      <c r="G2754" s="1">
        <v>0.0</v>
      </c>
      <c r="H2754" s="2">
        <v>0.10347222222222222</v>
      </c>
    </row>
    <row r="2755">
      <c r="A2755" s="1" t="s">
        <v>2152</v>
      </c>
      <c r="B2755" s="1" t="s">
        <v>250</v>
      </c>
      <c r="C2755" s="1">
        <v>4.0</v>
      </c>
      <c r="D2755" s="1" t="s">
        <v>17</v>
      </c>
      <c r="E2755" s="1" t="s">
        <v>18</v>
      </c>
      <c r="F2755" s="1" t="s">
        <v>19</v>
      </c>
      <c r="G2755" s="1">
        <v>1.0</v>
      </c>
      <c r="H2755" s="2">
        <v>0.12222222222222222</v>
      </c>
    </row>
    <row r="2756">
      <c r="A2756" s="1" t="s">
        <v>2152</v>
      </c>
      <c r="B2756" s="1" t="s">
        <v>250</v>
      </c>
      <c r="C2756" s="1">
        <v>5.0</v>
      </c>
      <c r="D2756" s="1" t="s">
        <v>11</v>
      </c>
      <c r="E2756" s="1" t="s">
        <v>12</v>
      </c>
      <c r="F2756" s="1" t="s">
        <v>13</v>
      </c>
      <c r="G2756" s="1">
        <v>0.0</v>
      </c>
      <c r="H2756" s="2">
        <v>0.1388888888888889</v>
      </c>
    </row>
    <row r="2757">
      <c r="A2757" s="1" t="s">
        <v>2152</v>
      </c>
      <c r="B2757" s="1" t="s">
        <v>250</v>
      </c>
      <c r="C2757" s="1">
        <v>6.0</v>
      </c>
      <c r="D2757" s="1" t="s">
        <v>36</v>
      </c>
      <c r="E2757" s="1" t="s">
        <v>37</v>
      </c>
      <c r="F2757" s="1" t="s">
        <v>36</v>
      </c>
      <c r="G2757" s="1">
        <v>1.0</v>
      </c>
      <c r="H2757" s="2">
        <v>0.09166666666666666</v>
      </c>
    </row>
    <row r="2758">
      <c r="A2758" s="1" t="s">
        <v>2152</v>
      </c>
      <c r="B2758" s="1" t="s">
        <v>250</v>
      </c>
      <c r="C2758" s="1">
        <v>7.0</v>
      </c>
      <c r="D2758" s="1" t="s">
        <v>20</v>
      </c>
      <c r="E2758" s="1" t="s">
        <v>21</v>
      </c>
      <c r="F2758" s="1" t="s">
        <v>22</v>
      </c>
      <c r="G2758" s="1">
        <v>1.0</v>
      </c>
      <c r="H2758" s="2">
        <v>0.17152777777777778</v>
      </c>
    </row>
    <row r="2759">
      <c r="A2759" s="1" t="s">
        <v>2152</v>
      </c>
      <c r="B2759" s="1" t="s">
        <v>250</v>
      </c>
      <c r="C2759" s="1">
        <v>8.0</v>
      </c>
      <c r="D2759" s="1" t="s">
        <v>44</v>
      </c>
      <c r="E2759" s="1" t="s">
        <v>45</v>
      </c>
      <c r="F2759" s="1" t="s">
        <v>44</v>
      </c>
      <c r="G2759" s="1">
        <v>0.0</v>
      </c>
      <c r="H2759" s="2">
        <v>0.12222222222222222</v>
      </c>
    </row>
    <row r="2760">
      <c r="A2760" s="1" t="s">
        <v>2152</v>
      </c>
      <c r="B2760" s="1" t="s">
        <v>250</v>
      </c>
      <c r="C2760" s="1">
        <v>9.0</v>
      </c>
      <c r="D2760" s="1" t="s">
        <v>33</v>
      </c>
      <c r="E2760" s="1" t="s">
        <v>34</v>
      </c>
      <c r="F2760" s="1" t="s">
        <v>35</v>
      </c>
      <c r="G2760" s="1">
        <v>0.0</v>
      </c>
      <c r="H2760" s="2">
        <v>0.1451388888888889</v>
      </c>
    </row>
    <row r="2761">
      <c r="A2761" s="1" t="s">
        <v>2152</v>
      </c>
      <c r="B2761" s="1" t="s">
        <v>250</v>
      </c>
      <c r="C2761" s="1">
        <v>10.0</v>
      </c>
      <c r="D2761" s="1" t="s">
        <v>25</v>
      </c>
      <c r="E2761" s="1" t="s">
        <v>26</v>
      </c>
      <c r="F2761" s="1" t="s">
        <v>25</v>
      </c>
      <c r="G2761" s="1">
        <v>1.0</v>
      </c>
      <c r="H2761" s="2">
        <v>0.11458333333333333</v>
      </c>
    </row>
    <row r="2762">
      <c r="A2762" s="1" t="s">
        <v>2152</v>
      </c>
      <c r="B2762" s="1" t="s">
        <v>250</v>
      </c>
      <c r="C2762" s="1">
        <v>11.0</v>
      </c>
      <c r="D2762" s="1" t="s">
        <v>105</v>
      </c>
      <c r="E2762" s="1" t="s">
        <v>106</v>
      </c>
      <c r="F2762" s="1" t="s">
        <v>105</v>
      </c>
      <c r="G2762" s="1">
        <v>0.0</v>
      </c>
      <c r="H2762" s="2">
        <v>0.11527777777777778</v>
      </c>
    </row>
    <row r="2763">
      <c r="A2763" s="1" t="s">
        <v>2152</v>
      </c>
      <c r="B2763" s="1" t="s">
        <v>250</v>
      </c>
      <c r="C2763" s="1">
        <v>12.0</v>
      </c>
      <c r="D2763" s="1" t="s">
        <v>255</v>
      </c>
      <c r="E2763" s="1" t="s">
        <v>256</v>
      </c>
      <c r="F2763" s="1" t="s">
        <v>255</v>
      </c>
      <c r="G2763" s="1">
        <v>0.0</v>
      </c>
      <c r="H2763" s="2">
        <v>0.12013888888888889</v>
      </c>
    </row>
    <row r="2764">
      <c r="A2764" s="1" t="s">
        <v>2152</v>
      </c>
      <c r="B2764" s="1" t="s">
        <v>250</v>
      </c>
      <c r="C2764" s="1">
        <v>13.0</v>
      </c>
      <c r="D2764" s="1" t="s">
        <v>23</v>
      </c>
      <c r="E2764" s="1" t="s">
        <v>24</v>
      </c>
      <c r="F2764" s="1" t="s">
        <v>23</v>
      </c>
      <c r="G2764" s="1">
        <v>0.0</v>
      </c>
      <c r="H2764" s="2">
        <v>0.12013888888888889</v>
      </c>
    </row>
    <row r="2765">
      <c r="A2765" s="1" t="s">
        <v>2152</v>
      </c>
      <c r="B2765" s="1" t="s">
        <v>250</v>
      </c>
      <c r="C2765" s="1">
        <v>14.0</v>
      </c>
      <c r="D2765" s="1" t="s">
        <v>9</v>
      </c>
      <c r="E2765" s="1" t="s">
        <v>10</v>
      </c>
      <c r="F2765" s="1" t="s">
        <v>9</v>
      </c>
      <c r="G2765" s="1">
        <v>0.0</v>
      </c>
      <c r="H2765" s="2">
        <v>0.12638888888888888</v>
      </c>
    </row>
    <row r="2766">
      <c r="A2766" s="1" t="s">
        <v>2152</v>
      </c>
      <c r="B2766" s="1" t="s">
        <v>250</v>
      </c>
      <c r="C2766" s="1">
        <v>15.0</v>
      </c>
      <c r="D2766" s="1" t="s">
        <v>127</v>
      </c>
      <c r="E2766" s="1" t="s">
        <v>128</v>
      </c>
      <c r="F2766" s="1" t="s">
        <v>127</v>
      </c>
      <c r="G2766" s="1">
        <v>1.0</v>
      </c>
      <c r="H2766" s="2">
        <v>0.17291666666666666</v>
      </c>
    </row>
    <row r="2767">
      <c r="A2767" s="1" t="s">
        <v>2152</v>
      </c>
      <c r="B2767" s="1" t="s">
        <v>250</v>
      </c>
      <c r="C2767" s="1">
        <v>16.0</v>
      </c>
      <c r="D2767" s="1" t="s">
        <v>270</v>
      </c>
      <c r="E2767" s="1" t="s">
        <v>271</v>
      </c>
      <c r="F2767" s="1" t="s">
        <v>270</v>
      </c>
      <c r="G2767" s="1">
        <v>0.0</v>
      </c>
      <c r="H2767" s="2">
        <v>0.14444444444444443</v>
      </c>
    </row>
    <row r="2768">
      <c r="A2768" s="1" t="s">
        <v>2152</v>
      </c>
      <c r="B2768" s="1" t="s">
        <v>250</v>
      </c>
      <c r="C2768" s="1">
        <v>17.0</v>
      </c>
      <c r="D2768" s="1" t="s">
        <v>257</v>
      </c>
      <c r="E2768" s="1" t="s">
        <v>258</v>
      </c>
      <c r="F2768" s="1" t="s">
        <v>257</v>
      </c>
      <c r="G2768" s="1">
        <v>0.0</v>
      </c>
      <c r="H2768" s="2">
        <v>0.12222222222222222</v>
      </c>
    </row>
    <row r="2769">
      <c r="A2769" s="1" t="s">
        <v>2152</v>
      </c>
      <c r="B2769" s="1" t="s">
        <v>250</v>
      </c>
      <c r="C2769" s="1">
        <v>18.0</v>
      </c>
      <c r="D2769" s="1" t="s">
        <v>265</v>
      </c>
      <c r="E2769" s="1" t="s">
        <v>266</v>
      </c>
      <c r="F2769" s="1" t="s">
        <v>265</v>
      </c>
      <c r="G2769" s="1">
        <v>0.0</v>
      </c>
      <c r="H2769" s="2">
        <v>0.125</v>
      </c>
    </row>
    <row r="2770">
      <c r="A2770" s="1" t="s">
        <v>2152</v>
      </c>
      <c r="B2770" s="1" t="s">
        <v>250</v>
      </c>
      <c r="C2770" s="1">
        <v>19.0</v>
      </c>
      <c r="D2770" s="1" t="s">
        <v>86</v>
      </c>
      <c r="E2770" s="1" t="s">
        <v>87</v>
      </c>
      <c r="F2770" s="1" t="s">
        <v>86</v>
      </c>
      <c r="G2770" s="1">
        <v>0.0</v>
      </c>
      <c r="H2770" s="2">
        <v>0.1388888888888889</v>
      </c>
    </row>
    <row r="2771">
      <c r="A2771" s="1" t="s">
        <v>2152</v>
      </c>
      <c r="B2771" s="1" t="s">
        <v>250</v>
      </c>
      <c r="C2771" s="1">
        <v>20.0</v>
      </c>
      <c r="D2771" s="1" t="s">
        <v>263</v>
      </c>
      <c r="E2771" s="1" t="s">
        <v>264</v>
      </c>
      <c r="F2771" s="1" t="s">
        <v>263</v>
      </c>
      <c r="G2771" s="1">
        <v>0.0</v>
      </c>
      <c r="H2771" s="2">
        <v>0.12361111111111112</v>
      </c>
    </row>
    <row r="2772">
      <c r="A2772" s="1" t="s">
        <v>2152</v>
      </c>
      <c r="B2772" s="1" t="s">
        <v>250</v>
      </c>
      <c r="C2772" s="1">
        <v>21.0</v>
      </c>
      <c r="D2772" s="1" t="s">
        <v>261</v>
      </c>
      <c r="E2772" s="1" t="s">
        <v>262</v>
      </c>
      <c r="F2772" s="1" t="s">
        <v>261</v>
      </c>
      <c r="G2772" s="1">
        <v>1.0</v>
      </c>
      <c r="H2772" s="2">
        <v>0.11041666666666666</v>
      </c>
    </row>
    <row r="2773">
      <c r="A2773" s="1" t="s">
        <v>2152</v>
      </c>
      <c r="B2773" s="1" t="s">
        <v>250</v>
      </c>
      <c r="C2773" s="1">
        <v>22.0</v>
      </c>
      <c r="D2773" s="1" t="s">
        <v>41</v>
      </c>
      <c r="E2773" s="1" t="s">
        <v>42</v>
      </c>
      <c r="F2773" s="1" t="s">
        <v>43</v>
      </c>
      <c r="G2773" s="1">
        <v>1.0</v>
      </c>
      <c r="H2773" s="2">
        <v>0.1361111111111111</v>
      </c>
    </row>
    <row r="2774">
      <c r="A2774" s="1" t="s">
        <v>2152</v>
      </c>
      <c r="B2774" s="1" t="s">
        <v>250</v>
      </c>
      <c r="C2774" s="1">
        <v>23.0</v>
      </c>
      <c r="D2774" s="1" t="s">
        <v>54</v>
      </c>
      <c r="E2774" s="1" t="s">
        <v>55</v>
      </c>
      <c r="F2774" s="1" t="s">
        <v>56</v>
      </c>
      <c r="G2774" s="1">
        <v>0.0</v>
      </c>
      <c r="H2774" s="2">
        <v>0.10972222222222222</v>
      </c>
    </row>
    <row r="2775">
      <c r="A2775" s="1" t="s">
        <v>2152</v>
      </c>
      <c r="B2775" s="1" t="s">
        <v>250</v>
      </c>
      <c r="C2775" s="1">
        <v>24.0</v>
      </c>
      <c r="D2775" s="1" t="s">
        <v>27</v>
      </c>
      <c r="E2775" s="1" t="s">
        <v>28</v>
      </c>
      <c r="F2775" s="1" t="s">
        <v>29</v>
      </c>
      <c r="G2775" s="1">
        <v>0.0</v>
      </c>
      <c r="H2775" s="2">
        <v>0.12708333333333333</v>
      </c>
    </row>
    <row r="2776">
      <c r="A2776" s="1" t="s">
        <v>2152</v>
      </c>
      <c r="B2776" s="1" t="s">
        <v>250</v>
      </c>
      <c r="C2776" s="1">
        <v>25.0</v>
      </c>
      <c r="D2776" s="1" t="s">
        <v>47</v>
      </c>
      <c r="E2776" s="1" t="s">
        <v>48</v>
      </c>
      <c r="F2776" s="1" t="s">
        <v>49</v>
      </c>
      <c r="G2776" s="1">
        <v>1.0</v>
      </c>
      <c r="H2776" s="2">
        <v>0.15486111111111112</v>
      </c>
    </row>
    <row r="2777">
      <c r="A2777" s="1" t="s">
        <v>2152</v>
      </c>
      <c r="B2777" s="1" t="s">
        <v>250</v>
      </c>
      <c r="C2777" s="1">
        <v>26.0</v>
      </c>
      <c r="D2777" s="1" t="s">
        <v>30</v>
      </c>
      <c r="E2777" s="1" t="s">
        <v>31</v>
      </c>
      <c r="F2777" s="1" t="s">
        <v>32</v>
      </c>
      <c r="G2777" s="1">
        <v>0.0</v>
      </c>
      <c r="H2777" s="2">
        <v>0.15833333333333333</v>
      </c>
    </row>
    <row r="2778">
      <c r="A2778" s="1" t="s">
        <v>2152</v>
      </c>
      <c r="B2778" s="1" t="s">
        <v>250</v>
      </c>
      <c r="C2778" s="1">
        <v>27.0</v>
      </c>
      <c r="D2778" s="1" t="s">
        <v>274</v>
      </c>
      <c r="E2778" s="1" t="s">
        <v>266</v>
      </c>
      <c r="F2778" s="1" t="s">
        <v>274</v>
      </c>
      <c r="G2778" s="1">
        <v>0.0</v>
      </c>
      <c r="H2778" s="2">
        <v>0.1125</v>
      </c>
    </row>
    <row r="2779">
      <c r="A2779" s="1" t="s">
        <v>2152</v>
      </c>
      <c r="B2779" s="1" t="s">
        <v>250</v>
      </c>
      <c r="C2779" s="1">
        <v>28.0</v>
      </c>
      <c r="D2779" s="1" t="s">
        <v>267</v>
      </c>
      <c r="E2779" s="1" t="s">
        <v>268</v>
      </c>
      <c r="F2779" s="1" t="s">
        <v>269</v>
      </c>
      <c r="G2779" s="1">
        <v>0.0</v>
      </c>
      <c r="H2779" s="2">
        <v>0.10138888888888889</v>
      </c>
    </row>
    <row r="2780">
      <c r="A2780" s="1" t="s">
        <v>2152</v>
      </c>
      <c r="B2780" s="1" t="s">
        <v>250</v>
      </c>
      <c r="C2780" s="1">
        <v>29.0</v>
      </c>
      <c r="D2780" s="1" t="s">
        <v>244</v>
      </c>
      <c r="E2780" s="1" t="s">
        <v>245</v>
      </c>
      <c r="F2780" s="1" t="s">
        <v>244</v>
      </c>
      <c r="G2780" s="1">
        <v>0.0</v>
      </c>
      <c r="H2780" s="2">
        <v>0.13819444444444445</v>
      </c>
    </row>
    <row r="2781">
      <c r="A2781" s="1" t="s">
        <v>2152</v>
      </c>
      <c r="B2781" s="1" t="s">
        <v>250</v>
      </c>
      <c r="C2781" s="1">
        <v>30.0</v>
      </c>
      <c r="D2781" s="1" t="s">
        <v>68</v>
      </c>
      <c r="E2781" s="1" t="s">
        <v>69</v>
      </c>
      <c r="F2781" s="1" t="s">
        <v>70</v>
      </c>
      <c r="G2781" s="1">
        <v>0.0</v>
      </c>
      <c r="H2781" s="2">
        <v>0.12638888888888888</v>
      </c>
    </row>
    <row r="2782">
      <c r="A2782" s="1" t="s">
        <v>2152</v>
      </c>
      <c r="B2782" s="1" t="s">
        <v>250</v>
      </c>
      <c r="C2782" s="1">
        <v>31.0</v>
      </c>
      <c r="D2782" s="1" t="s">
        <v>38</v>
      </c>
      <c r="E2782" s="1" t="s">
        <v>39</v>
      </c>
      <c r="F2782" s="1" t="s">
        <v>40</v>
      </c>
      <c r="G2782" s="1">
        <v>1.0</v>
      </c>
      <c r="H2782" s="2">
        <v>0.1125</v>
      </c>
    </row>
    <row r="2783">
      <c r="A2783" s="1" t="s">
        <v>2152</v>
      </c>
      <c r="B2783" s="1" t="s">
        <v>250</v>
      </c>
      <c r="C2783" s="1">
        <v>32.0</v>
      </c>
      <c r="D2783" s="1" t="s">
        <v>104</v>
      </c>
      <c r="E2783" s="1" t="s">
        <v>84</v>
      </c>
      <c r="F2783" s="1" t="s">
        <v>104</v>
      </c>
      <c r="G2783" s="1">
        <v>1.0</v>
      </c>
      <c r="H2783" s="2">
        <v>0.12152777777777778</v>
      </c>
    </row>
    <row r="2784">
      <c r="A2784" s="1" t="s">
        <v>2152</v>
      </c>
      <c r="B2784" s="1" t="s">
        <v>250</v>
      </c>
      <c r="C2784" s="1">
        <v>33.0</v>
      </c>
      <c r="D2784" s="1" t="s">
        <v>259</v>
      </c>
      <c r="E2784" s="1" t="s">
        <v>256</v>
      </c>
      <c r="F2784" s="1" t="s">
        <v>260</v>
      </c>
      <c r="G2784" s="1">
        <v>1.0</v>
      </c>
      <c r="H2784" s="2">
        <v>0.10902777777777778</v>
      </c>
    </row>
    <row r="2785">
      <c r="A2785" s="1" t="s">
        <v>2152</v>
      </c>
      <c r="B2785" s="1" t="s">
        <v>250</v>
      </c>
      <c r="C2785" s="1">
        <v>34.0</v>
      </c>
      <c r="D2785" s="1" t="s">
        <v>825</v>
      </c>
      <c r="E2785" s="1" t="s">
        <v>826</v>
      </c>
      <c r="F2785" s="1" t="s">
        <v>825</v>
      </c>
      <c r="G2785" s="1">
        <v>0.0</v>
      </c>
      <c r="H2785" s="2">
        <v>0.10694444444444444</v>
      </c>
    </row>
    <row r="2786">
      <c r="A2786" s="1" t="s">
        <v>2152</v>
      </c>
      <c r="B2786" s="1" t="s">
        <v>250</v>
      </c>
      <c r="C2786" s="1">
        <v>35.0</v>
      </c>
      <c r="D2786" s="1" t="s">
        <v>748</v>
      </c>
      <c r="E2786" s="1" t="s">
        <v>749</v>
      </c>
      <c r="F2786" s="1" t="s">
        <v>748</v>
      </c>
      <c r="G2786" s="1">
        <v>1.0</v>
      </c>
      <c r="H2786" s="2">
        <v>0.14930555555555555</v>
      </c>
    </row>
    <row r="2787">
      <c r="A2787" s="1" t="s">
        <v>2152</v>
      </c>
      <c r="B2787" s="1" t="s">
        <v>250</v>
      </c>
      <c r="C2787" s="1">
        <v>36.0</v>
      </c>
      <c r="D2787" s="1" t="s">
        <v>111</v>
      </c>
      <c r="E2787" s="1" t="s">
        <v>69</v>
      </c>
      <c r="F2787" s="1" t="s">
        <v>112</v>
      </c>
      <c r="G2787" s="1">
        <v>0.0</v>
      </c>
      <c r="H2787" s="2">
        <v>0.14930555555555555</v>
      </c>
    </row>
    <row r="2788">
      <c r="A2788" s="1" t="s">
        <v>2152</v>
      </c>
      <c r="B2788" s="1" t="s">
        <v>250</v>
      </c>
      <c r="C2788" s="1">
        <v>37.0</v>
      </c>
      <c r="D2788" s="1" t="s">
        <v>101</v>
      </c>
      <c r="E2788" s="1" t="s">
        <v>102</v>
      </c>
      <c r="F2788" s="1" t="s">
        <v>103</v>
      </c>
      <c r="G2788" s="1">
        <v>1.0</v>
      </c>
      <c r="H2788" s="2">
        <v>0.16458333333333333</v>
      </c>
    </row>
    <row r="2789">
      <c r="A2789" s="1" t="s">
        <v>2152</v>
      </c>
      <c r="B2789" s="1" t="s">
        <v>250</v>
      </c>
      <c r="C2789" s="1">
        <v>38.0</v>
      </c>
      <c r="D2789" s="1" t="s">
        <v>231</v>
      </c>
      <c r="E2789" s="1" t="s">
        <v>232</v>
      </c>
      <c r="F2789" s="1" t="s">
        <v>231</v>
      </c>
      <c r="G2789" s="1">
        <v>0.0</v>
      </c>
      <c r="H2789" s="2">
        <v>0.10902777777777778</v>
      </c>
    </row>
    <row r="2790">
      <c r="A2790" s="1" t="s">
        <v>2152</v>
      </c>
      <c r="B2790" s="1" t="s">
        <v>250</v>
      </c>
      <c r="C2790" s="1">
        <v>39.0</v>
      </c>
      <c r="D2790" s="1" t="s">
        <v>46</v>
      </c>
      <c r="E2790" s="1" t="s">
        <v>28</v>
      </c>
      <c r="F2790" s="1" t="s">
        <v>29</v>
      </c>
      <c r="G2790" s="1">
        <v>0.0</v>
      </c>
      <c r="H2790" s="2">
        <v>0.15347222222222223</v>
      </c>
    </row>
    <row r="2791">
      <c r="A2791" s="1" t="s">
        <v>2152</v>
      </c>
      <c r="B2791" s="1" t="s">
        <v>250</v>
      </c>
      <c r="C2791" s="1">
        <v>40.0</v>
      </c>
      <c r="D2791" s="1" t="s">
        <v>60</v>
      </c>
      <c r="E2791" s="1" t="s">
        <v>61</v>
      </c>
      <c r="F2791" s="1" t="s">
        <v>62</v>
      </c>
      <c r="G2791" s="1">
        <v>0.0</v>
      </c>
      <c r="H2791" s="2">
        <v>0.11041666666666666</v>
      </c>
    </row>
    <row r="2792">
      <c r="A2792" s="1" t="s">
        <v>2152</v>
      </c>
      <c r="B2792" s="1" t="s">
        <v>250</v>
      </c>
      <c r="C2792" s="1">
        <v>41.0</v>
      </c>
      <c r="D2792" s="1" t="s">
        <v>88</v>
      </c>
      <c r="E2792" s="1" t="s">
        <v>89</v>
      </c>
      <c r="F2792" s="1" t="s">
        <v>90</v>
      </c>
      <c r="G2792" s="1">
        <v>1.0</v>
      </c>
      <c r="H2792" s="2">
        <v>0.09652777777777778</v>
      </c>
    </row>
    <row r="2793">
      <c r="A2793" s="1" t="s">
        <v>2152</v>
      </c>
      <c r="B2793" s="1" t="s">
        <v>250</v>
      </c>
      <c r="C2793" s="1">
        <v>42.0</v>
      </c>
      <c r="D2793" s="1" t="s">
        <v>91</v>
      </c>
      <c r="E2793" s="1" t="s">
        <v>58</v>
      </c>
      <c r="F2793" s="1" t="s">
        <v>91</v>
      </c>
      <c r="G2793" s="1">
        <v>0.0</v>
      </c>
      <c r="H2793" s="2">
        <v>0.09305555555555556</v>
      </c>
    </row>
    <row r="2794">
      <c r="A2794" s="1" t="s">
        <v>2152</v>
      </c>
      <c r="B2794" s="1" t="s">
        <v>250</v>
      </c>
      <c r="C2794" s="1">
        <v>43.0</v>
      </c>
      <c r="D2794" s="1" t="s">
        <v>306</v>
      </c>
      <c r="E2794" s="1" t="s">
        <v>307</v>
      </c>
      <c r="F2794" s="1" t="s">
        <v>306</v>
      </c>
      <c r="G2794" s="1">
        <v>0.0</v>
      </c>
      <c r="H2794" s="2">
        <v>0.12152777777777778</v>
      </c>
    </row>
    <row r="2795">
      <c r="A2795" s="1" t="s">
        <v>2152</v>
      </c>
      <c r="B2795" s="1" t="s">
        <v>250</v>
      </c>
      <c r="C2795" s="1">
        <v>44.0</v>
      </c>
      <c r="D2795" s="1" t="s">
        <v>1965</v>
      </c>
      <c r="E2795" s="1" t="s">
        <v>1966</v>
      </c>
      <c r="F2795" s="1" t="s">
        <v>1967</v>
      </c>
      <c r="G2795" s="1">
        <v>1.0</v>
      </c>
      <c r="H2795" s="2">
        <v>0.14375</v>
      </c>
    </row>
    <row r="2796">
      <c r="A2796" s="1" t="s">
        <v>2152</v>
      </c>
      <c r="B2796" s="1" t="s">
        <v>250</v>
      </c>
      <c r="C2796" s="1">
        <v>45.0</v>
      </c>
      <c r="D2796" s="1" t="s">
        <v>83</v>
      </c>
      <c r="E2796" s="1" t="s">
        <v>84</v>
      </c>
      <c r="F2796" s="1" t="s">
        <v>85</v>
      </c>
      <c r="G2796" s="1">
        <v>1.0</v>
      </c>
      <c r="H2796" s="2">
        <v>0.16875</v>
      </c>
    </row>
    <row r="2797">
      <c r="A2797" s="1" t="s">
        <v>2152</v>
      </c>
      <c r="B2797" s="1" t="s">
        <v>250</v>
      </c>
      <c r="C2797" s="1">
        <v>46.0</v>
      </c>
      <c r="D2797" s="1" t="s">
        <v>57</v>
      </c>
      <c r="E2797" s="1" t="s">
        <v>58</v>
      </c>
      <c r="F2797" s="1" t="s">
        <v>59</v>
      </c>
      <c r="G2797" s="1">
        <v>1.0</v>
      </c>
      <c r="H2797" s="2">
        <v>0.16458333333333333</v>
      </c>
    </row>
    <row r="2798">
      <c r="A2798" s="1" t="s">
        <v>2152</v>
      </c>
      <c r="B2798" s="1" t="s">
        <v>250</v>
      </c>
      <c r="C2798" s="1">
        <v>47.0</v>
      </c>
      <c r="D2798" s="1" t="s">
        <v>279</v>
      </c>
      <c r="E2798" s="1" t="s">
        <v>280</v>
      </c>
      <c r="F2798" s="1" t="s">
        <v>279</v>
      </c>
      <c r="G2798" s="1">
        <v>0.0</v>
      </c>
      <c r="H2798" s="2">
        <v>0.11458333333333333</v>
      </c>
    </row>
    <row r="2799">
      <c r="A2799" s="1" t="s">
        <v>2152</v>
      </c>
      <c r="B2799" s="1" t="s">
        <v>250</v>
      </c>
      <c r="C2799" s="1">
        <v>48.0</v>
      </c>
      <c r="D2799" s="1" t="s">
        <v>272</v>
      </c>
      <c r="E2799" s="1" t="s">
        <v>273</v>
      </c>
      <c r="F2799" s="1" t="s">
        <v>272</v>
      </c>
      <c r="G2799" s="1">
        <v>0.0</v>
      </c>
      <c r="H2799" s="2">
        <v>0.125</v>
      </c>
    </row>
    <row r="2800">
      <c r="A2800" s="1" t="s">
        <v>2152</v>
      </c>
      <c r="B2800" s="1" t="s">
        <v>250</v>
      </c>
      <c r="C2800" s="1">
        <v>49.0</v>
      </c>
      <c r="D2800" s="1" t="s">
        <v>814</v>
      </c>
      <c r="E2800" s="1" t="s">
        <v>815</v>
      </c>
      <c r="F2800" s="1" t="s">
        <v>814</v>
      </c>
      <c r="G2800" s="1">
        <v>0.0</v>
      </c>
      <c r="H2800" s="2">
        <v>0.12152777777777778</v>
      </c>
    </row>
    <row r="2801">
      <c r="A2801" s="1" t="s">
        <v>2152</v>
      </c>
      <c r="B2801" s="1" t="s">
        <v>250</v>
      </c>
      <c r="C2801" s="1">
        <v>50.0</v>
      </c>
      <c r="D2801" s="1" t="s">
        <v>275</v>
      </c>
      <c r="E2801" s="1" t="s">
        <v>276</v>
      </c>
      <c r="F2801" s="1" t="s">
        <v>275</v>
      </c>
      <c r="G2801" s="1">
        <v>0.0</v>
      </c>
      <c r="H2801" s="2">
        <v>0.13402777777777777</v>
      </c>
    </row>
    <row r="2802">
      <c r="A2802" s="1" t="s">
        <v>2153</v>
      </c>
      <c r="B2802" s="1" t="s">
        <v>903</v>
      </c>
      <c r="C2802" s="1">
        <v>1.0</v>
      </c>
      <c r="D2802" s="1" t="s">
        <v>9</v>
      </c>
      <c r="E2802" s="1" t="s">
        <v>10</v>
      </c>
      <c r="F2802" s="1" t="s">
        <v>9</v>
      </c>
      <c r="G2802" s="1">
        <v>0.0</v>
      </c>
      <c r="H2802" s="2">
        <v>0.12638888888888888</v>
      </c>
    </row>
    <row r="2803">
      <c r="A2803" s="1" t="s">
        <v>2153</v>
      </c>
      <c r="B2803" s="1" t="s">
        <v>903</v>
      </c>
      <c r="C2803" s="1">
        <v>2.0</v>
      </c>
      <c r="D2803" s="1" t="s">
        <v>2154</v>
      </c>
      <c r="E2803" s="1" t="s">
        <v>2155</v>
      </c>
      <c r="F2803" s="1" t="s">
        <v>2154</v>
      </c>
      <c r="G2803" s="1">
        <v>0.0</v>
      </c>
      <c r="H2803" s="2">
        <v>0.12361111111111112</v>
      </c>
    </row>
    <row r="2804">
      <c r="A2804" s="1" t="s">
        <v>2153</v>
      </c>
      <c r="B2804" s="1" t="s">
        <v>903</v>
      </c>
      <c r="C2804" s="1">
        <v>3.0</v>
      </c>
      <c r="D2804" s="1" t="s">
        <v>996</v>
      </c>
      <c r="E2804" s="1">
        <v>831.0</v>
      </c>
      <c r="F2804" s="1" t="s">
        <v>996</v>
      </c>
      <c r="G2804" s="1">
        <v>0.0</v>
      </c>
      <c r="H2804" s="2">
        <v>0.16597222222222222</v>
      </c>
    </row>
    <row r="2805">
      <c r="A2805" s="1" t="s">
        <v>2153</v>
      </c>
      <c r="B2805" s="1" t="s">
        <v>903</v>
      </c>
      <c r="C2805" s="1">
        <v>4.0</v>
      </c>
      <c r="D2805" s="1" t="s">
        <v>997</v>
      </c>
      <c r="E2805" s="1" t="s">
        <v>998</v>
      </c>
      <c r="F2805" s="1" t="s">
        <v>999</v>
      </c>
      <c r="G2805" s="1">
        <v>0.0</v>
      </c>
      <c r="H2805" s="2">
        <v>0.11597222222222223</v>
      </c>
    </row>
    <row r="2806">
      <c r="A2806" s="1" t="s">
        <v>2153</v>
      </c>
      <c r="B2806" s="1" t="s">
        <v>903</v>
      </c>
      <c r="C2806" s="1">
        <v>5.0</v>
      </c>
      <c r="D2806" s="1" t="s">
        <v>2156</v>
      </c>
      <c r="E2806" s="1" t="s">
        <v>2157</v>
      </c>
      <c r="F2806" s="1" t="s">
        <v>2158</v>
      </c>
      <c r="G2806" s="1">
        <v>0.0</v>
      </c>
      <c r="H2806" s="2">
        <v>0.12152777777777778</v>
      </c>
    </row>
    <row r="2807">
      <c r="A2807" s="1" t="s">
        <v>2153</v>
      </c>
      <c r="B2807" s="1" t="s">
        <v>903</v>
      </c>
      <c r="C2807" s="1">
        <v>6.0</v>
      </c>
      <c r="D2807" s="1" t="s">
        <v>2159</v>
      </c>
      <c r="E2807" s="1" t="s">
        <v>2155</v>
      </c>
      <c r="F2807" s="1" t="s">
        <v>2159</v>
      </c>
      <c r="G2807" s="1">
        <v>0.0</v>
      </c>
      <c r="H2807" s="2">
        <v>0.11041666666666666</v>
      </c>
    </row>
    <row r="2808">
      <c r="A2808" s="1" t="s">
        <v>2153</v>
      </c>
      <c r="B2808" s="1" t="s">
        <v>903</v>
      </c>
      <c r="C2808" s="1">
        <v>7.0</v>
      </c>
      <c r="D2808" s="1" t="s">
        <v>2160</v>
      </c>
      <c r="E2808" s="1" t="s">
        <v>2161</v>
      </c>
      <c r="F2808" s="1" t="s">
        <v>2162</v>
      </c>
      <c r="G2808" s="1">
        <v>0.0</v>
      </c>
      <c r="H2808" s="2">
        <v>0.18194444444444444</v>
      </c>
    </row>
    <row r="2809">
      <c r="A2809" s="1" t="s">
        <v>2153</v>
      </c>
      <c r="B2809" s="1" t="s">
        <v>903</v>
      </c>
      <c r="C2809" s="1">
        <v>8.0</v>
      </c>
      <c r="D2809" s="1" t="s">
        <v>1998</v>
      </c>
      <c r="E2809" s="1" t="s">
        <v>1999</v>
      </c>
      <c r="F2809" s="1" t="s">
        <v>2000</v>
      </c>
      <c r="G2809" s="1">
        <v>0.0</v>
      </c>
      <c r="H2809" s="2">
        <v>0.22291666666666668</v>
      </c>
    </row>
    <row r="2810">
      <c r="A2810" s="1" t="s">
        <v>2153</v>
      </c>
      <c r="B2810" s="1" t="s">
        <v>903</v>
      </c>
      <c r="C2810" s="1">
        <v>9.0</v>
      </c>
      <c r="D2810" s="1" t="s">
        <v>30</v>
      </c>
      <c r="E2810" s="1" t="s">
        <v>31</v>
      </c>
      <c r="F2810" s="1" t="s">
        <v>32</v>
      </c>
      <c r="G2810" s="1">
        <v>0.0</v>
      </c>
      <c r="H2810" s="2">
        <v>0.15833333333333333</v>
      </c>
    </row>
    <row r="2811">
      <c r="A2811" s="1" t="s">
        <v>2153</v>
      </c>
      <c r="B2811" s="1" t="s">
        <v>903</v>
      </c>
      <c r="C2811" s="1">
        <v>10.0</v>
      </c>
      <c r="D2811" s="1" t="s">
        <v>99</v>
      </c>
      <c r="E2811" s="1" t="s">
        <v>100</v>
      </c>
      <c r="F2811" s="1" t="s">
        <v>99</v>
      </c>
      <c r="G2811" s="1">
        <v>0.0</v>
      </c>
      <c r="H2811" s="2">
        <v>0.11944444444444445</v>
      </c>
    </row>
    <row r="2812">
      <c r="A2812" s="1" t="s">
        <v>2153</v>
      </c>
      <c r="B2812" s="1" t="s">
        <v>903</v>
      </c>
      <c r="C2812" s="1">
        <v>11.0</v>
      </c>
      <c r="D2812" s="1" t="s">
        <v>2163</v>
      </c>
      <c r="E2812" s="1" t="s">
        <v>2164</v>
      </c>
      <c r="F2812" s="1" t="s">
        <v>2165</v>
      </c>
      <c r="G2812" s="1">
        <v>0.0</v>
      </c>
      <c r="H2812" s="2">
        <v>0.1986111111111111</v>
      </c>
    </row>
    <row r="2813">
      <c r="A2813" s="1" t="s">
        <v>2153</v>
      </c>
      <c r="B2813" s="1" t="s">
        <v>903</v>
      </c>
      <c r="C2813" s="1">
        <v>12.0</v>
      </c>
      <c r="D2813" s="1" t="s">
        <v>2008</v>
      </c>
      <c r="E2813" s="1" t="s">
        <v>2009</v>
      </c>
      <c r="F2813" s="1" t="s">
        <v>2010</v>
      </c>
      <c r="G2813" s="1">
        <v>0.0</v>
      </c>
      <c r="H2813" s="2">
        <v>0.16458333333333333</v>
      </c>
    </row>
    <row r="2814">
      <c r="A2814" s="1" t="s">
        <v>2153</v>
      </c>
      <c r="B2814" s="1" t="s">
        <v>903</v>
      </c>
      <c r="C2814" s="1">
        <v>13.0</v>
      </c>
      <c r="D2814" s="1" t="s">
        <v>2166</v>
      </c>
      <c r="E2814" s="1" t="s">
        <v>2167</v>
      </c>
      <c r="F2814" s="1" t="s">
        <v>2166</v>
      </c>
      <c r="G2814" s="1">
        <v>0.0</v>
      </c>
      <c r="H2814" s="2">
        <v>0.17777777777777778</v>
      </c>
    </row>
    <row r="2815">
      <c r="A2815" s="1" t="s">
        <v>2153</v>
      </c>
      <c r="B2815" s="1" t="s">
        <v>903</v>
      </c>
      <c r="C2815" s="1">
        <v>14.0</v>
      </c>
      <c r="D2815" s="1" t="s">
        <v>50</v>
      </c>
      <c r="E2815" s="1" t="s">
        <v>51</v>
      </c>
      <c r="F2815" s="1" t="s">
        <v>52</v>
      </c>
      <c r="G2815" s="1">
        <v>0.0</v>
      </c>
      <c r="H2815" s="2">
        <v>0.14722222222222223</v>
      </c>
    </row>
    <row r="2816">
      <c r="A2816" s="1" t="s">
        <v>2153</v>
      </c>
      <c r="B2816" s="1" t="s">
        <v>903</v>
      </c>
      <c r="C2816" s="1">
        <v>15.0</v>
      </c>
      <c r="D2816" s="1" t="s">
        <v>27</v>
      </c>
      <c r="E2816" s="1" t="s">
        <v>28</v>
      </c>
      <c r="F2816" s="1" t="s">
        <v>29</v>
      </c>
      <c r="G2816" s="1">
        <v>0.0</v>
      </c>
      <c r="H2816" s="2">
        <v>0.12708333333333333</v>
      </c>
    </row>
    <row r="2817">
      <c r="A2817" s="1" t="s">
        <v>2153</v>
      </c>
      <c r="B2817" s="1" t="s">
        <v>903</v>
      </c>
      <c r="C2817" s="1">
        <v>16.0</v>
      </c>
      <c r="D2817" s="1" t="s">
        <v>2001</v>
      </c>
      <c r="E2817" s="1" t="s">
        <v>2002</v>
      </c>
      <c r="F2817" s="1" t="s">
        <v>2001</v>
      </c>
      <c r="G2817" s="1">
        <v>0.0</v>
      </c>
      <c r="H2817" s="2">
        <v>0.15416666666666667</v>
      </c>
    </row>
    <row r="2818">
      <c r="A2818" s="1" t="s">
        <v>2153</v>
      </c>
      <c r="B2818" s="1" t="s">
        <v>903</v>
      </c>
      <c r="C2818" s="1">
        <v>17.0</v>
      </c>
      <c r="D2818" s="1" t="s">
        <v>2168</v>
      </c>
      <c r="E2818" s="1" t="s">
        <v>2169</v>
      </c>
      <c r="F2818" s="1" t="s">
        <v>2170</v>
      </c>
      <c r="G2818" s="1">
        <v>0.0</v>
      </c>
      <c r="H2818" s="2">
        <v>0.19375</v>
      </c>
    </row>
    <row r="2819">
      <c r="A2819" s="1" t="s">
        <v>2153</v>
      </c>
      <c r="B2819" s="1" t="s">
        <v>903</v>
      </c>
      <c r="C2819" s="1">
        <v>18.0</v>
      </c>
      <c r="D2819" s="1" t="s">
        <v>46</v>
      </c>
      <c r="E2819" s="1" t="s">
        <v>28</v>
      </c>
      <c r="F2819" s="1" t="s">
        <v>29</v>
      </c>
      <c r="G2819" s="1">
        <v>0.0</v>
      </c>
      <c r="H2819" s="2">
        <v>0.15347222222222223</v>
      </c>
    </row>
    <row r="2820">
      <c r="A2820" s="1" t="s">
        <v>2153</v>
      </c>
      <c r="B2820" s="1" t="s">
        <v>903</v>
      </c>
      <c r="C2820" s="1">
        <v>19.0</v>
      </c>
      <c r="D2820" s="1" t="s">
        <v>2171</v>
      </c>
      <c r="E2820" s="1" t="s">
        <v>2172</v>
      </c>
      <c r="F2820" s="1" t="s">
        <v>2171</v>
      </c>
      <c r="G2820" s="1">
        <v>0.0</v>
      </c>
      <c r="H2820" s="2">
        <v>0.17152777777777778</v>
      </c>
    </row>
    <row r="2821">
      <c r="A2821" s="1" t="s">
        <v>2153</v>
      </c>
      <c r="B2821" s="1" t="s">
        <v>903</v>
      </c>
      <c r="C2821" s="1">
        <v>20.0</v>
      </c>
      <c r="D2821" s="1" t="s">
        <v>244</v>
      </c>
      <c r="E2821" s="1" t="s">
        <v>245</v>
      </c>
      <c r="F2821" s="1" t="s">
        <v>244</v>
      </c>
      <c r="G2821" s="1">
        <v>0.0</v>
      </c>
      <c r="H2821" s="2">
        <v>0.13819444444444445</v>
      </c>
    </row>
    <row r="2822">
      <c r="A2822" s="1" t="s">
        <v>2153</v>
      </c>
      <c r="B2822" s="1" t="s">
        <v>903</v>
      </c>
      <c r="C2822" s="1">
        <v>21.0</v>
      </c>
      <c r="D2822" s="1" t="s">
        <v>76</v>
      </c>
      <c r="E2822" s="1" t="s">
        <v>77</v>
      </c>
      <c r="F2822" s="1" t="s">
        <v>76</v>
      </c>
      <c r="G2822" s="1">
        <v>1.0</v>
      </c>
      <c r="H2822" s="2">
        <v>0.14305555555555555</v>
      </c>
    </row>
    <row r="2823">
      <c r="A2823" s="1" t="s">
        <v>2153</v>
      </c>
      <c r="B2823" s="1" t="s">
        <v>903</v>
      </c>
      <c r="C2823" s="1">
        <v>22.0</v>
      </c>
      <c r="D2823" s="1" t="s">
        <v>23</v>
      </c>
      <c r="E2823" s="1" t="s">
        <v>24</v>
      </c>
      <c r="F2823" s="1" t="s">
        <v>23</v>
      </c>
      <c r="G2823" s="1">
        <v>0.0</v>
      </c>
      <c r="H2823" s="2">
        <v>0.12013888888888889</v>
      </c>
    </row>
    <row r="2824">
      <c r="A2824" s="1" t="s">
        <v>2153</v>
      </c>
      <c r="B2824" s="1" t="s">
        <v>903</v>
      </c>
      <c r="C2824" s="1">
        <v>23.0</v>
      </c>
      <c r="D2824" s="1" t="s">
        <v>121</v>
      </c>
      <c r="E2824" s="1" t="s">
        <v>122</v>
      </c>
      <c r="F2824" s="1" t="s">
        <v>123</v>
      </c>
      <c r="G2824" s="1">
        <v>0.0</v>
      </c>
      <c r="H2824" s="2">
        <v>0.13194444444444445</v>
      </c>
    </row>
    <row r="2825">
      <c r="A2825" s="1" t="s">
        <v>2153</v>
      </c>
      <c r="B2825" s="1" t="s">
        <v>903</v>
      </c>
      <c r="C2825" s="1">
        <v>24.0</v>
      </c>
      <c r="D2825" s="1" t="s">
        <v>2173</v>
      </c>
      <c r="E2825" s="1" t="s">
        <v>2174</v>
      </c>
      <c r="F2825" s="1" t="s">
        <v>2173</v>
      </c>
      <c r="G2825" s="1">
        <v>0.0</v>
      </c>
      <c r="H2825" s="2">
        <v>0.18680555555555556</v>
      </c>
    </row>
    <row r="2826">
      <c r="A2826" s="1" t="s">
        <v>2153</v>
      </c>
      <c r="B2826" s="1" t="s">
        <v>903</v>
      </c>
      <c r="C2826" s="1">
        <v>25.0</v>
      </c>
      <c r="D2826" s="1" t="s">
        <v>2175</v>
      </c>
      <c r="E2826" s="1" t="s">
        <v>2157</v>
      </c>
      <c r="F2826" s="1" t="s">
        <v>2158</v>
      </c>
      <c r="G2826" s="1">
        <v>0.0</v>
      </c>
      <c r="H2826" s="2">
        <v>0.12083333333333333</v>
      </c>
    </row>
    <row r="2827">
      <c r="A2827" s="1" t="s">
        <v>2153</v>
      </c>
      <c r="B2827" s="1" t="s">
        <v>903</v>
      </c>
      <c r="C2827" s="1">
        <v>26.0</v>
      </c>
      <c r="D2827" s="1" t="s">
        <v>2176</v>
      </c>
      <c r="E2827" s="1" t="s">
        <v>2177</v>
      </c>
      <c r="F2827" s="1" t="s">
        <v>2178</v>
      </c>
      <c r="G2827" s="1">
        <v>0.0</v>
      </c>
      <c r="H2827" s="2">
        <v>0.17569444444444443</v>
      </c>
    </row>
    <row r="2828">
      <c r="A2828" s="1" t="s">
        <v>2153</v>
      </c>
      <c r="B2828" s="1" t="s">
        <v>903</v>
      </c>
      <c r="C2828" s="1">
        <v>27.0</v>
      </c>
      <c r="D2828" s="1" t="s">
        <v>11</v>
      </c>
      <c r="E2828" s="1" t="s">
        <v>12</v>
      </c>
      <c r="F2828" s="1" t="s">
        <v>13</v>
      </c>
      <c r="G2828" s="1">
        <v>0.0</v>
      </c>
      <c r="H2828" s="2">
        <v>0.1388888888888889</v>
      </c>
    </row>
    <row r="2829">
      <c r="A2829" s="1" t="s">
        <v>2153</v>
      </c>
      <c r="B2829" s="1" t="s">
        <v>903</v>
      </c>
      <c r="C2829" s="1">
        <v>28.0</v>
      </c>
      <c r="D2829" s="1" t="s">
        <v>113</v>
      </c>
      <c r="E2829" s="1" t="s">
        <v>114</v>
      </c>
      <c r="F2829" s="1" t="s">
        <v>113</v>
      </c>
      <c r="G2829" s="1">
        <v>0.0</v>
      </c>
      <c r="H2829" s="2">
        <v>0.13125</v>
      </c>
    </row>
    <row r="2830">
      <c r="A2830" s="1" t="s">
        <v>2153</v>
      </c>
      <c r="B2830" s="1" t="s">
        <v>903</v>
      </c>
      <c r="C2830" s="1">
        <v>29.0</v>
      </c>
      <c r="D2830" s="1" t="s">
        <v>2179</v>
      </c>
      <c r="E2830" s="1" t="s">
        <v>2180</v>
      </c>
      <c r="F2830" s="1" t="s">
        <v>2181</v>
      </c>
      <c r="G2830" s="1">
        <v>0.0</v>
      </c>
      <c r="H2830" s="2">
        <v>0.16319444444444445</v>
      </c>
    </row>
    <row r="2831">
      <c r="A2831" s="1" t="s">
        <v>2153</v>
      </c>
      <c r="B2831" s="1" t="s">
        <v>903</v>
      </c>
      <c r="C2831" s="1">
        <v>30.0</v>
      </c>
      <c r="D2831" s="1" t="s">
        <v>14</v>
      </c>
      <c r="E2831" s="1" t="s">
        <v>15</v>
      </c>
      <c r="F2831" s="1" t="s">
        <v>16</v>
      </c>
      <c r="G2831" s="1">
        <v>1.0</v>
      </c>
      <c r="H2831" s="2">
        <v>0.12569444444444444</v>
      </c>
    </row>
    <row r="2832">
      <c r="A2832" s="1" t="s">
        <v>2153</v>
      </c>
      <c r="B2832" s="1" t="s">
        <v>903</v>
      </c>
      <c r="C2832" s="1">
        <v>31.0</v>
      </c>
      <c r="D2832" s="1" t="s">
        <v>2182</v>
      </c>
      <c r="E2832" s="1" t="s">
        <v>2183</v>
      </c>
      <c r="F2832" s="1" t="s">
        <v>2182</v>
      </c>
      <c r="G2832" s="1">
        <v>0.0</v>
      </c>
      <c r="H2832" s="2">
        <v>0.2423611111111111</v>
      </c>
    </row>
    <row r="2833">
      <c r="A2833" s="1" t="s">
        <v>2153</v>
      </c>
      <c r="B2833" s="1" t="s">
        <v>903</v>
      </c>
      <c r="C2833" s="1">
        <v>32.0</v>
      </c>
      <c r="D2833" s="1" t="s">
        <v>20</v>
      </c>
      <c r="E2833" s="1" t="s">
        <v>21</v>
      </c>
      <c r="F2833" s="1" t="s">
        <v>22</v>
      </c>
      <c r="G2833" s="1">
        <v>1.0</v>
      </c>
      <c r="H2833" s="2">
        <v>0.17152777777777778</v>
      </c>
    </row>
    <row r="2834">
      <c r="A2834" s="1" t="s">
        <v>2153</v>
      </c>
      <c r="B2834" s="1" t="s">
        <v>903</v>
      </c>
      <c r="C2834" s="1">
        <v>33.0</v>
      </c>
      <c r="D2834" s="1" t="s">
        <v>68</v>
      </c>
      <c r="E2834" s="1" t="s">
        <v>69</v>
      </c>
      <c r="F2834" s="1" t="s">
        <v>70</v>
      </c>
      <c r="G2834" s="1">
        <v>0.0</v>
      </c>
      <c r="H2834" s="2">
        <v>0.12638888888888888</v>
      </c>
    </row>
    <row r="2835">
      <c r="A2835" s="1" t="s">
        <v>2153</v>
      </c>
      <c r="B2835" s="1" t="s">
        <v>903</v>
      </c>
      <c r="C2835" s="1">
        <v>34.0</v>
      </c>
      <c r="D2835" s="1" t="s">
        <v>2184</v>
      </c>
      <c r="E2835" s="1" t="s">
        <v>2185</v>
      </c>
      <c r="F2835" s="1" t="s">
        <v>2186</v>
      </c>
      <c r="G2835" s="1">
        <v>0.0</v>
      </c>
      <c r="H2835" s="2">
        <v>0.18611111111111112</v>
      </c>
    </row>
    <row r="2836">
      <c r="A2836" s="1" t="s">
        <v>2153</v>
      </c>
      <c r="B2836" s="1" t="s">
        <v>903</v>
      </c>
      <c r="C2836" s="1">
        <v>35.0</v>
      </c>
      <c r="D2836" s="1" t="s">
        <v>33</v>
      </c>
      <c r="E2836" s="1" t="s">
        <v>34</v>
      </c>
      <c r="F2836" s="1" t="s">
        <v>35</v>
      </c>
      <c r="G2836" s="1">
        <v>0.0</v>
      </c>
      <c r="H2836" s="2">
        <v>0.1451388888888889</v>
      </c>
    </row>
    <row r="2837">
      <c r="A2837" s="1" t="s">
        <v>2153</v>
      </c>
      <c r="B2837" s="1" t="s">
        <v>903</v>
      </c>
      <c r="C2837" s="1">
        <v>36.0</v>
      </c>
      <c r="D2837" s="1" t="s">
        <v>2187</v>
      </c>
      <c r="E2837" s="1" t="s">
        <v>2174</v>
      </c>
      <c r="F2837" s="1" t="s">
        <v>2187</v>
      </c>
      <c r="G2837" s="1">
        <v>0.0</v>
      </c>
      <c r="H2837" s="2">
        <v>0.17430555555555555</v>
      </c>
    </row>
    <row r="2838">
      <c r="A2838" s="1" t="s">
        <v>2153</v>
      </c>
      <c r="B2838" s="1" t="s">
        <v>903</v>
      </c>
      <c r="C2838" s="1">
        <v>37.0</v>
      </c>
      <c r="D2838" s="1" t="s">
        <v>2188</v>
      </c>
      <c r="E2838" s="1" t="s">
        <v>2189</v>
      </c>
      <c r="F2838" s="1" t="s">
        <v>2190</v>
      </c>
      <c r="G2838" s="1">
        <v>0.0</v>
      </c>
      <c r="H2838" s="2">
        <v>0.15</v>
      </c>
    </row>
    <row r="2839">
      <c r="A2839" s="1" t="s">
        <v>2153</v>
      </c>
      <c r="B2839" s="1" t="s">
        <v>903</v>
      </c>
      <c r="C2839" s="1">
        <v>38.0</v>
      </c>
      <c r="D2839" s="1" t="s">
        <v>2191</v>
      </c>
      <c r="E2839" s="1" t="s">
        <v>2192</v>
      </c>
      <c r="F2839" s="1" t="s">
        <v>2158</v>
      </c>
      <c r="G2839" s="1">
        <v>0.0</v>
      </c>
      <c r="H2839" s="2">
        <v>0.14166666666666666</v>
      </c>
    </row>
    <row r="2840">
      <c r="A2840" s="1" t="s">
        <v>2153</v>
      </c>
      <c r="B2840" s="1" t="s">
        <v>903</v>
      </c>
      <c r="C2840" s="1">
        <v>39.0</v>
      </c>
      <c r="D2840" s="1" t="s">
        <v>124</v>
      </c>
      <c r="E2840" s="1" t="s">
        <v>125</v>
      </c>
      <c r="F2840" s="1" t="s">
        <v>126</v>
      </c>
      <c r="G2840" s="1">
        <v>1.0</v>
      </c>
      <c r="H2840" s="2">
        <v>0.15625</v>
      </c>
    </row>
    <row r="2841">
      <c r="A2841" s="1" t="s">
        <v>2153</v>
      </c>
      <c r="B2841" s="1" t="s">
        <v>903</v>
      </c>
      <c r="C2841" s="1">
        <v>40.0</v>
      </c>
      <c r="D2841" s="1" t="s">
        <v>2193</v>
      </c>
      <c r="E2841" s="1" t="s">
        <v>2180</v>
      </c>
      <c r="F2841" s="1" t="s">
        <v>2193</v>
      </c>
      <c r="G2841" s="1">
        <v>0.0</v>
      </c>
      <c r="H2841" s="2">
        <v>0.15902777777777777</v>
      </c>
    </row>
    <row r="2842">
      <c r="A2842" s="1" t="s">
        <v>2153</v>
      </c>
      <c r="B2842" s="1" t="s">
        <v>903</v>
      </c>
      <c r="C2842" s="1">
        <v>41.0</v>
      </c>
      <c r="D2842" s="1" t="s">
        <v>2194</v>
      </c>
      <c r="E2842" s="1" t="s">
        <v>2157</v>
      </c>
      <c r="F2842" s="1" t="s">
        <v>2158</v>
      </c>
      <c r="G2842" s="1">
        <v>0.0</v>
      </c>
      <c r="H2842" s="2">
        <v>0.11527777777777778</v>
      </c>
    </row>
    <row r="2843">
      <c r="A2843" s="1" t="s">
        <v>2153</v>
      </c>
      <c r="B2843" s="1" t="s">
        <v>903</v>
      </c>
      <c r="C2843" s="1">
        <v>42.0</v>
      </c>
      <c r="D2843" s="1" t="s">
        <v>1463</v>
      </c>
      <c r="E2843" s="1" t="s">
        <v>1464</v>
      </c>
      <c r="F2843" s="1" t="s">
        <v>1463</v>
      </c>
      <c r="G2843" s="1">
        <v>0.0</v>
      </c>
      <c r="H2843" s="2">
        <v>0.12013888888888889</v>
      </c>
    </row>
    <row r="2844">
      <c r="A2844" s="1" t="s">
        <v>2153</v>
      </c>
      <c r="B2844" s="1" t="s">
        <v>903</v>
      </c>
      <c r="C2844" s="1">
        <v>43.0</v>
      </c>
      <c r="D2844" s="1" t="s">
        <v>2195</v>
      </c>
      <c r="E2844" s="1" t="s">
        <v>2196</v>
      </c>
      <c r="F2844" s="1" t="s">
        <v>2197</v>
      </c>
      <c r="G2844" s="1">
        <v>0.0</v>
      </c>
      <c r="H2844" s="2">
        <v>0.20069444444444445</v>
      </c>
    </row>
    <row r="2845">
      <c r="A2845" s="1" t="s">
        <v>2153</v>
      </c>
      <c r="B2845" s="1" t="s">
        <v>903</v>
      </c>
      <c r="C2845" s="1">
        <v>44.0</v>
      </c>
      <c r="D2845" s="1" t="s">
        <v>2198</v>
      </c>
      <c r="E2845" s="1" t="s">
        <v>2199</v>
      </c>
      <c r="F2845" s="1" t="s">
        <v>2200</v>
      </c>
      <c r="G2845" s="1">
        <v>0.0</v>
      </c>
      <c r="H2845" s="2">
        <v>0.2076388888888889</v>
      </c>
    </row>
    <row r="2846">
      <c r="A2846" s="1" t="s">
        <v>2153</v>
      </c>
      <c r="B2846" s="1" t="s">
        <v>903</v>
      </c>
      <c r="C2846" s="1">
        <v>45.0</v>
      </c>
      <c r="D2846" s="1" t="s">
        <v>73</v>
      </c>
      <c r="E2846" s="1" t="s">
        <v>74</v>
      </c>
      <c r="F2846" s="1" t="s">
        <v>75</v>
      </c>
      <c r="G2846" s="1">
        <v>0.0</v>
      </c>
      <c r="H2846" s="2">
        <v>0.14930555555555555</v>
      </c>
    </row>
    <row r="2847">
      <c r="A2847" s="1" t="s">
        <v>2153</v>
      </c>
      <c r="B2847" s="1" t="s">
        <v>903</v>
      </c>
      <c r="C2847" s="1">
        <v>46.0</v>
      </c>
      <c r="D2847" s="1" t="s">
        <v>2201</v>
      </c>
      <c r="E2847" s="1" t="s">
        <v>2202</v>
      </c>
      <c r="F2847" s="1" t="s">
        <v>2201</v>
      </c>
      <c r="G2847" s="1">
        <v>0.0</v>
      </c>
      <c r="H2847" s="2">
        <v>0.17569444444444443</v>
      </c>
    </row>
    <row r="2848">
      <c r="A2848" s="1" t="s">
        <v>2153</v>
      </c>
      <c r="B2848" s="1" t="s">
        <v>903</v>
      </c>
      <c r="C2848" s="1">
        <v>47.0</v>
      </c>
      <c r="D2848" s="1" t="s">
        <v>2003</v>
      </c>
      <c r="E2848" s="1" t="s">
        <v>2004</v>
      </c>
      <c r="F2848" s="1" t="s">
        <v>2005</v>
      </c>
      <c r="G2848" s="1">
        <v>0.0</v>
      </c>
      <c r="H2848" s="2">
        <v>0.1326388888888889</v>
      </c>
    </row>
    <row r="2849">
      <c r="A2849" s="1" t="s">
        <v>2153</v>
      </c>
      <c r="B2849" s="1" t="s">
        <v>903</v>
      </c>
      <c r="C2849" s="1">
        <v>48.0</v>
      </c>
      <c r="D2849" s="1" t="s">
        <v>38</v>
      </c>
      <c r="E2849" s="1" t="s">
        <v>39</v>
      </c>
      <c r="F2849" s="1" t="s">
        <v>40</v>
      </c>
      <c r="G2849" s="1">
        <v>1.0</v>
      </c>
      <c r="H2849" s="2">
        <v>0.1125</v>
      </c>
    </row>
    <row r="2850">
      <c r="A2850" s="1" t="s">
        <v>2153</v>
      </c>
      <c r="B2850" s="1" t="s">
        <v>903</v>
      </c>
      <c r="C2850" s="1">
        <v>49.0</v>
      </c>
      <c r="D2850" s="1" t="s">
        <v>25</v>
      </c>
      <c r="E2850" s="1" t="s">
        <v>26</v>
      </c>
      <c r="F2850" s="1" t="s">
        <v>25</v>
      </c>
      <c r="G2850" s="1">
        <v>1.0</v>
      </c>
      <c r="H2850" s="2">
        <v>0.11458333333333333</v>
      </c>
    </row>
    <row r="2851">
      <c r="A2851" s="1" t="s">
        <v>2153</v>
      </c>
      <c r="B2851" s="1" t="s">
        <v>903</v>
      </c>
      <c r="C2851" s="1">
        <v>50.0</v>
      </c>
      <c r="D2851" s="1" t="s">
        <v>2203</v>
      </c>
      <c r="E2851" s="1" t="s">
        <v>2204</v>
      </c>
      <c r="F2851" s="1" t="s">
        <v>2203</v>
      </c>
      <c r="G2851" s="1">
        <v>0.0</v>
      </c>
      <c r="H2851" s="2">
        <v>0.1701388888888889</v>
      </c>
    </row>
    <row r="2852">
      <c r="A2852" s="1" t="s">
        <v>2205</v>
      </c>
      <c r="B2852" s="1" t="s">
        <v>903</v>
      </c>
      <c r="C2852" s="1">
        <v>1.0</v>
      </c>
      <c r="D2852" s="1" t="s">
        <v>2206</v>
      </c>
      <c r="E2852" s="1" t="s">
        <v>2207</v>
      </c>
      <c r="F2852" s="1" t="s">
        <v>2206</v>
      </c>
      <c r="G2852" s="1">
        <v>0.0</v>
      </c>
      <c r="H2852" s="2">
        <v>0.18472222222222223</v>
      </c>
    </row>
    <row r="2853">
      <c r="A2853" s="1" t="s">
        <v>2205</v>
      </c>
      <c r="B2853" s="1" t="s">
        <v>903</v>
      </c>
      <c r="C2853" s="1">
        <v>2.0</v>
      </c>
      <c r="D2853" s="1" t="s">
        <v>2208</v>
      </c>
      <c r="E2853" s="1" t="s">
        <v>2209</v>
      </c>
      <c r="F2853" s="1" t="s">
        <v>2208</v>
      </c>
      <c r="G2853" s="1">
        <v>0.0</v>
      </c>
      <c r="H2853" s="2">
        <v>0.15694444444444444</v>
      </c>
    </row>
    <row r="2854">
      <c r="A2854" s="1" t="s">
        <v>2205</v>
      </c>
      <c r="B2854" s="1" t="s">
        <v>903</v>
      </c>
      <c r="C2854" s="1">
        <v>3.0</v>
      </c>
      <c r="D2854" s="1" t="s">
        <v>2210</v>
      </c>
      <c r="E2854" s="1" t="s">
        <v>2211</v>
      </c>
      <c r="F2854" s="1" t="s">
        <v>2210</v>
      </c>
      <c r="G2854" s="1">
        <v>0.0</v>
      </c>
      <c r="H2854" s="2">
        <v>0.15</v>
      </c>
    </row>
    <row r="2855">
      <c r="A2855" s="1" t="s">
        <v>2205</v>
      </c>
      <c r="B2855" s="1" t="s">
        <v>903</v>
      </c>
      <c r="C2855" s="1">
        <v>4.0</v>
      </c>
      <c r="D2855" s="1" t="s">
        <v>2212</v>
      </c>
      <c r="E2855" s="1" t="s">
        <v>2213</v>
      </c>
      <c r="F2855" s="1" t="s">
        <v>2212</v>
      </c>
      <c r="G2855" s="1">
        <v>0.0</v>
      </c>
      <c r="H2855" s="2">
        <v>0.18194444444444444</v>
      </c>
    </row>
    <row r="2856">
      <c r="A2856" s="1" t="s">
        <v>2205</v>
      </c>
      <c r="B2856" s="1" t="s">
        <v>903</v>
      </c>
      <c r="C2856" s="1">
        <v>5.0</v>
      </c>
      <c r="D2856" s="1" t="s">
        <v>30</v>
      </c>
      <c r="E2856" s="1" t="s">
        <v>31</v>
      </c>
      <c r="F2856" s="1" t="s">
        <v>32</v>
      </c>
      <c r="G2856" s="1">
        <v>0.0</v>
      </c>
      <c r="H2856" s="2">
        <v>0.15833333333333333</v>
      </c>
    </row>
    <row r="2857">
      <c r="A2857" s="1" t="s">
        <v>2205</v>
      </c>
      <c r="B2857" s="1" t="s">
        <v>903</v>
      </c>
      <c r="C2857" s="1">
        <v>6.0</v>
      </c>
      <c r="D2857" s="1" t="s">
        <v>2214</v>
      </c>
      <c r="E2857" s="1" t="s">
        <v>2215</v>
      </c>
      <c r="F2857" s="1" t="s">
        <v>2214</v>
      </c>
      <c r="G2857" s="1">
        <v>0.0</v>
      </c>
      <c r="H2857" s="2">
        <v>0.15</v>
      </c>
    </row>
    <row r="2858">
      <c r="A2858" s="1" t="s">
        <v>2205</v>
      </c>
      <c r="B2858" s="1" t="s">
        <v>903</v>
      </c>
      <c r="C2858" s="1">
        <v>7.0</v>
      </c>
      <c r="D2858" s="1" t="s">
        <v>9</v>
      </c>
      <c r="E2858" s="1" t="s">
        <v>10</v>
      </c>
      <c r="F2858" s="1" t="s">
        <v>9</v>
      </c>
      <c r="G2858" s="1">
        <v>0.0</v>
      </c>
      <c r="H2858" s="2">
        <v>0.12638888888888888</v>
      </c>
    </row>
    <row r="2859">
      <c r="A2859" s="1" t="s">
        <v>2205</v>
      </c>
      <c r="B2859" s="1" t="s">
        <v>903</v>
      </c>
      <c r="C2859" s="1">
        <v>8.0</v>
      </c>
      <c r="D2859" s="1" t="s">
        <v>2216</v>
      </c>
      <c r="E2859" s="1" t="s">
        <v>2217</v>
      </c>
      <c r="F2859" s="1" t="s">
        <v>2218</v>
      </c>
      <c r="G2859" s="1">
        <v>0.0</v>
      </c>
      <c r="H2859" s="2">
        <v>0.17847222222222223</v>
      </c>
    </row>
    <row r="2860">
      <c r="A2860" s="1" t="s">
        <v>2205</v>
      </c>
      <c r="B2860" s="1" t="s">
        <v>903</v>
      </c>
      <c r="C2860" s="1">
        <v>9.0</v>
      </c>
      <c r="D2860" s="1" t="s">
        <v>2219</v>
      </c>
      <c r="E2860" s="1" t="s">
        <v>2220</v>
      </c>
      <c r="F2860" s="1" t="s">
        <v>2219</v>
      </c>
      <c r="G2860" s="1">
        <v>0.0</v>
      </c>
      <c r="H2860" s="2">
        <v>0.15</v>
      </c>
    </row>
    <row r="2861">
      <c r="A2861" s="1" t="s">
        <v>2205</v>
      </c>
      <c r="B2861" s="1" t="s">
        <v>903</v>
      </c>
      <c r="C2861" s="1">
        <v>10.0</v>
      </c>
      <c r="D2861" s="1" t="s">
        <v>997</v>
      </c>
      <c r="E2861" s="1" t="s">
        <v>998</v>
      </c>
      <c r="F2861" s="1" t="s">
        <v>999</v>
      </c>
      <c r="G2861" s="1">
        <v>0.0</v>
      </c>
      <c r="H2861" s="2">
        <v>0.11597222222222223</v>
      </c>
    </row>
    <row r="2862">
      <c r="A2862" s="1" t="s">
        <v>2205</v>
      </c>
      <c r="B2862" s="1" t="s">
        <v>903</v>
      </c>
      <c r="C2862" s="1">
        <v>11.0</v>
      </c>
      <c r="D2862" s="1" t="s">
        <v>38</v>
      </c>
      <c r="E2862" s="1" t="s">
        <v>39</v>
      </c>
      <c r="F2862" s="1" t="s">
        <v>40</v>
      </c>
      <c r="G2862" s="1">
        <v>1.0</v>
      </c>
      <c r="H2862" s="2">
        <v>0.1125</v>
      </c>
    </row>
    <row r="2863">
      <c r="A2863" s="1" t="s">
        <v>2205</v>
      </c>
      <c r="B2863" s="1" t="s">
        <v>903</v>
      </c>
      <c r="C2863" s="1">
        <v>12.0</v>
      </c>
      <c r="D2863" s="1" t="s">
        <v>2221</v>
      </c>
      <c r="E2863" s="1" t="s">
        <v>2222</v>
      </c>
      <c r="F2863" s="1" t="s">
        <v>2223</v>
      </c>
      <c r="G2863" s="1">
        <v>0.0</v>
      </c>
      <c r="H2863" s="2">
        <v>0.16875</v>
      </c>
    </row>
    <row r="2864">
      <c r="A2864" s="1" t="s">
        <v>2205</v>
      </c>
      <c r="B2864" s="1" t="s">
        <v>903</v>
      </c>
      <c r="C2864" s="1">
        <v>13.0</v>
      </c>
      <c r="D2864" s="1" t="s">
        <v>2224</v>
      </c>
      <c r="E2864" s="1" t="s">
        <v>2215</v>
      </c>
      <c r="F2864" s="1" t="s">
        <v>2224</v>
      </c>
      <c r="G2864" s="1">
        <v>0.0</v>
      </c>
      <c r="H2864" s="2">
        <v>0.12916666666666668</v>
      </c>
    </row>
    <row r="2865">
      <c r="A2865" s="1" t="s">
        <v>2205</v>
      </c>
      <c r="B2865" s="1" t="s">
        <v>903</v>
      </c>
      <c r="C2865" s="1">
        <v>14.0</v>
      </c>
      <c r="D2865" s="1" t="s">
        <v>2225</v>
      </c>
      <c r="E2865" s="1" t="s">
        <v>2226</v>
      </c>
      <c r="F2865" s="1" t="s">
        <v>2227</v>
      </c>
      <c r="G2865" s="1">
        <v>0.0</v>
      </c>
      <c r="H2865" s="2">
        <v>0.1451388888888889</v>
      </c>
    </row>
    <row r="2866">
      <c r="A2866" s="1" t="s">
        <v>2205</v>
      </c>
      <c r="B2866" s="1" t="s">
        <v>903</v>
      </c>
      <c r="C2866" s="1">
        <v>15.0</v>
      </c>
      <c r="D2866" s="1" t="s">
        <v>2228</v>
      </c>
      <c r="E2866" s="1" t="s">
        <v>2229</v>
      </c>
      <c r="F2866" s="1" t="s">
        <v>2228</v>
      </c>
      <c r="G2866" s="1">
        <v>0.0</v>
      </c>
      <c r="H2866" s="2">
        <v>0.13958333333333334</v>
      </c>
    </row>
    <row r="2867">
      <c r="A2867" s="1" t="s">
        <v>2205</v>
      </c>
      <c r="B2867" s="1" t="s">
        <v>903</v>
      </c>
      <c r="C2867" s="1">
        <v>16.0</v>
      </c>
      <c r="D2867" s="1" t="s">
        <v>2230</v>
      </c>
      <c r="E2867" s="1" t="s">
        <v>2222</v>
      </c>
      <c r="F2867" s="1" t="s">
        <v>2223</v>
      </c>
      <c r="G2867" s="1">
        <v>0.0</v>
      </c>
      <c r="H2867" s="2">
        <v>0.17222222222222222</v>
      </c>
    </row>
    <row r="2868">
      <c r="A2868" s="1" t="s">
        <v>2205</v>
      </c>
      <c r="B2868" s="1" t="s">
        <v>903</v>
      </c>
      <c r="C2868" s="1">
        <v>17.0</v>
      </c>
      <c r="D2868" s="1" t="s">
        <v>23</v>
      </c>
      <c r="E2868" s="1" t="s">
        <v>24</v>
      </c>
      <c r="F2868" s="1" t="s">
        <v>23</v>
      </c>
      <c r="G2868" s="1">
        <v>0.0</v>
      </c>
      <c r="H2868" s="2">
        <v>0.12013888888888889</v>
      </c>
    </row>
    <row r="2869">
      <c r="A2869" s="1" t="s">
        <v>2205</v>
      </c>
      <c r="B2869" s="1" t="s">
        <v>903</v>
      </c>
      <c r="C2869" s="1">
        <v>18.0</v>
      </c>
      <c r="D2869" s="1" t="s">
        <v>2231</v>
      </c>
      <c r="E2869" s="1" t="s">
        <v>2232</v>
      </c>
      <c r="F2869" s="1" t="s">
        <v>2231</v>
      </c>
      <c r="G2869" s="1">
        <v>0.0</v>
      </c>
      <c r="H2869" s="2">
        <v>0.15069444444444444</v>
      </c>
    </row>
    <row r="2870">
      <c r="A2870" s="1" t="s">
        <v>2205</v>
      </c>
      <c r="B2870" s="1" t="s">
        <v>903</v>
      </c>
      <c r="C2870" s="1">
        <v>19.0</v>
      </c>
      <c r="D2870" s="1" t="s">
        <v>2233</v>
      </c>
      <c r="E2870" s="1" t="s">
        <v>2234</v>
      </c>
      <c r="F2870" s="1" t="s">
        <v>2233</v>
      </c>
      <c r="G2870" s="1">
        <v>0.0</v>
      </c>
      <c r="H2870" s="2">
        <v>0.13402777777777777</v>
      </c>
    </row>
    <row r="2871">
      <c r="A2871" s="1" t="s">
        <v>2205</v>
      </c>
      <c r="B2871" s="1" t="s">
        <v>903</v>
      </c>
      <c r="C2871" s="1">
        <v>20.0</v>
      </c>
      <c r="D2871" s="1" t="s">
        <v>2235</v>
      </c>
      <c r="E2871" s="1" t="s">
        <v>2236</v>
      </c>
      <c r="F2871" s="1" t="s">
        <v>2235</v>
      </c>
      <c r="G2871" s="1">
        <v>0.0</v>
      </c>
      <c r="H2871" s="2">
        <v>0.1673611111111111</v>
      </c>
    </row>
    <row r="2872">
      <c r="A2872" s="1" t="s">
        <v>2205</v>
      </c>
      <c r="B2872" s="1" t="s">
        <v>903</v>
      </c>
      <c r="C2872" s="1">
        <v>21.0</v>
      </c>
      <c r="D2872" s="1" t="s">
        <v>1865</v>
      </c>
      <c r="E2872" s="1" t="s">
        <v>1866</v>
      </c>
      <c r="F2872" s="1" t="s">
        <v>1865</v>
      </c>
      <c r="G2872" s="1">
        <v>0.0</v>
      </c>
      <c r="H2872" s="2">
        <v>0.15555555555555556</v>
      </c>
    </row>
    <row r="2873">
      <c r="A2873" s="1" t="s">
        <v>2205</v>
      </c>
      <c r="B2873" s="1" t="s">
        <v>903</v>
      </c>
      <c r="C2873" s="1">
        <v>22.0</v>
      </c>
      <c r="D2873" s="1" t="s">
        <v>2237</v>
      </c>
      <c r="E2873" s="1" t="s">
        <v>2217</v>
      </c>
      <c r="F2873" s="1" t="s">
        <v>2238</v>
      </c>
      <c r="G2873" s="1">
        <v>0.0</v>
      </c>
      <c r="H2873" s="2">
        <v>0.17777777777777778</v>
      </c>
    </row>
    <row r="2874">
      <c r="A2874" s="1" t="s">
        <v>2205</v>
      </c>
      <c r="B2874" s="1" t="s">
        <v>903</v>
      </c>
      <c r="C2874" s="1">
        <v>23.0</v>
      </c>
      <c r="D2874" s="1" t="s">
        <v>2239</v>
      </c>
      <c r="E2874" s="1" t="s">
        <v>2213</v>
      </c>
      <c r="F2874" s="1" t="s">
        <v>2239</v>
      </c>
      <c r="G2874" s="1">
        <v>0.0</v>
      </c>
      <c r="H2874" s="2">
        <v>0.15833333333333333</v>
      </c>
    </row>
    <row r="2875">
      <c r="A2875" s="1" t="s">
        <v>2205</v>
      </c>
      <c r="B2875" s="1" t="s">
        <v>903</v>
      </c>
      <c r="C2875" s="1">
        <v>24.0</v>
      </c>
      <c r="D2875" s="1" t="s">
        <v>50</v>
      </c>
      <c r="E2875" s="1" t="s">
        <v>51</v>
      </c>
      <c r="F2875" s="1" t="s">
        <v>52</v>
      </c>
      <c r="G2875" s="1">
        <v>0.0</v>
      </c>
      <c r="H2875" s="2">
        <v>0.14722222222222223</v>
      </c>
    </row>
    <row r="2876">
      <c r="A2876" s="1" t="s">
        <v>2205</v>
      </c>
      <c r="B2876" s="1" t="s">
        <v>903</v>
      </c>
      <c r="C2876" s="1">
        <v>25.0</v>
      </c>
      <c r="D2876" s="1" t="s">
        <v>2240</v>
      </c>
      <c r="E2876" s="1" t="s">
        <v>2241</v>
      </c>
      <c r="F2876" s="1" t="s">
        <v>2240</v>
      </c>
      <c r="G2876" s="1">
        <v>0.0</v>
      </c>
      <c r="H2876" s="2">
        <v>0.1111111111111111</v>
      </c>
    </row>
    <row r="2877">
      <c r="A2877" s="1" t="s">
        <v>2205</v>
      </c>
      <c r="B2877" s="1" t="s">
        <v>903</v>
      </c>
      <c r="C2877" s="1">
        <v>26.0</v>
      </c>
      <c r="D2877" s="1" t="s">
        <v>124</v>
      </c>
      <c r="E2877" s="1" t="s">
        <v>125</v>
      </c>
      <c r="F2877" s="1" t="s">
        <v>126</v>
      </c>
      <c r="G2877" s="1">
        <v>1.0</v>
      </c>
      <c r="H2877" s="2">
        <v>0.15625</v>
      </c>
    </row>
    <row r="2878">
      <c r="A2878" s="1" t="s">
        <v>2205</v>
      </c>
      <c r="B2878" s="1" t="s">
        <v>903</v>
      </c>
      <c r="C2878" s="1">
        <v>27.0</v>
      </c>
      <c r="D2878" s="1" t="s">
        <v>2242</v>
      </c>
      <c r="E2878" s="1" t="s">
        <v>2243</v>
      </c>
      <c r="F2878" s="1" t="s">
        <v>2242</v>
      </c>
      <c r="G2878" s="1">
        <v>0.0</v>
      </c>
      <c r="H2878" s="2">
        <v>0.20694444444444443</v>
      </c>
    </row>
    <row r="2879">
      <c r="A2879" s="1" t="s">
        <v>2205</v>
      </c>
      <c r="B2879" s="1" t="s">
        <v>903</v>
      </c>
      <c r="C2879" s="1">
        <v>28.0</v>
      </c>
      <c r="D2879" s="1" t="s">
        <v>2244</v>
      </c>
      <c r="E2879" s="1" t="s">
        <v>2245</v>
      </c>
      <c r="F2879" s="1" t="s">
        <v>2246</v>
      </c>
      <c r="G2879" s="1">
        <v>0.0</v>
      </c>
      <c r="H2879" s="2">
        <v>0.16597222222222222</v>
      </c>
    </row>
    <row r="2880">
      <c r="A2880" s="1" t="s">
        <v>2205</v>
      </c>
      <c r="B2880" s="1" t="s">
        <v>903</v>
      </c>
      <c r="C2880" s="1">
        <v>29.0</v>
      </c>
      <c r="D2880" s="1" t="s">
        <v>2247</v>
      </c>
      <c r="E2880" s="1" t="s">
        <v>2248</v>
      </c>
      <c r="F2880" s="1" t="s">
        <v>2247</v>
      </c>
      <c r="G2880" s="1">
        <v>0.0</v>
      </c>
      <c r="H2880" s="2">
        <v>0.1673611111111111</v>
      </c>
    </row>
    <row r="2881">
      <c r="A2881" s="1" t="s">
        <v>2205</v>
      </c>
      <c r="B2881" s="1" t="s">
        <v>903</v>
      </c>
      <c r="C2881" s="1">
        <v>30.0</v>
      </c>
      <c r="D2881" s="1" t="s">
        <v>2249</v>
      </c>
      <c r="E2881" s="1" t="s">
        <v>2250</v>
      </c>
      <c r="F2881" s="1" t="s">
        <v>2249</v>
      </c>
      <c r="G2881" s="1">
        <v>0.0</v>
      </c>
      <c r="H2881" s="2">
        <v>0.20208333333333334</v>
      </c>
    </row>
    <row r="2882">
      <c r="A2882" s="1" t="s">
        <v>2205</v>
      </c>
      <c r="B2882" s="1" t="s">
        <v>903</v>
      </c>
      <c r="C2882" s="1">
        <v>31.0</v>
      </c>
      <c r="D2882" s="1" t="s">
        <v>2251</v>
      </c>
      <c r="E2882" s="1" t="s">
        <v>2252</v>
      </c>
      <c r="F2882" s="1" t="s">
        <v>2251</v>
      </c>
      <c r="G2882" s="1">
        <v>0.0</v>
      </c>
      <c r="H2882" s="2">
        <v>0.175</v>
      </c>
    </row>
    <row r="2883">
      <c r="A2883" s="1" t="s">
        <v>2205</v>
      </c>
      <c r="B2883" s="1" t="s">
        <v>903</v>
      </c>
      <c r="C2883" s="1">
        <v>32.0</v>
      </c>
      <c r="D2883" s="1" t="s">
        <v>2253</v>
      </c>
      <c r="E2883" s="1" t="s">
        <v>2254</v>
      </c>
      <c r="F2883" s="1" t="s">
        <v>2253</v>
      </c>
      <c r="G2883" s="1">
        <v>0.0</v>
      </c>
      <c r="H2883" s="2">
        <v>0.15555555555555556</v>
      </c>
    </row>
    <row r="2884">
      <c r="A2884" s="1" t="s">
        <v>2205</v>
      </c>
      <c r="B2884" s="1" t="s">
        <v>903</v>
      </c>
      <c r="C2884" s="1">
        <v>33.0</v>
      </c>
      <c r="D2884" s="1" t="s">
        <v>2255</v>
      </c>
      <c r="E2884" s="1" t="s">
        <v>2256</v>
      </c>
      <c r="F2884" s="1" t="s">
        <v>2255</v>
      </c>
      <c r="G2884" s="1">
        <v>0.0</v>
      </c>
      <c r="H2884" s="2">
        <v>0.15</v>
      </c>
    </row>
    <row r="2885">
      <c r="A2885" s="1" t="s">
        <v>2205</v>
      </c>
      <c r="B2885" s="1" t="s">
        <v>903</v>
      </c>
      <c r="C2885" s="1">
        <v>34.0</v>
      </c>
      <c r="D2885" s="1" t="s">
        <v>2257</v>
      </c>
      <c r="E2885" s="1" t="s">
        <v>2258</v>
      </c>
      <c r="F2885" s="1" t="s">
        <v>2257</v>
      </c>
      <c r="G2885" s="1">
        <v>0.0</v>
      </c>
      <c r="H2885" s="2">
        <v>0.13680555555555557</v>
      </c>
    </row>
    <row r="2886">
      <c r="A2886" s="1" t="s">
        <v>2205</v>
      </c>
      <c r="B2886" s="1" t="s">
        <v>903</v>
      </c>
      <c r="C2886" s="1">
        <v>35.0</v>
      </c>
      <c r="D2886" s="1" t="s">
        <v>2259</v>
      </c>
      <c r="E2886" s="1" t="s">
        <v>2260</v>
      </c>
      <c r="F2886" s="1" t="s">
        <v>2259</v>
      </c>
      <c r="G2886" s="1">
        <v>0.0</v>
      </c>
      <c r="H2886" s="2">
        <v>0.19236111111111112</v>
      </c>
    </row>
    <row r="2887">
      <c r="A2887" s="1" t="s">
        <v>2205</v>
      </c>
      <c r="B2887" s="1" t="s">
        <v>903</v>
      </c>
      <c r="C2887" s="1">
        <v>36.0</v>
      </c>
      <c r="D2887" s="1" t="s">
        <v>2261</v>
      </c>
      <c r="E2887" s="1" t="s">
        <v>2262</v>
      </c>
      <c r="F2887" s="1" t="s">
        <v>2263</v>
      </c>
      <c r="G2887" s="1">
        <v>0.0</v>
      </c>
      <c r="H2887" s="2">
        <v>0.10416666666666667</v>
      </c>
    </row>
    <row r="2888">
      <c r="A2888" s="1" t="s">
        <v>2205</v>
      </c>
      <c r="B2888" s="1" t="s">
        <v>903</v>
      </c>
      <c r="C2888" s="1">
        <v>37.0</v>
      </c>
      <c r="D2888" s="1" t="s">
        <v>2264</v>
      </c>
      <c r="E2888" s="1" t="s">
        <v>2265</v>
      </c>
      <c r="F2888" s="1" t="s">
        <v>2264</v>
      </c>
      <c r="G2888" s="1">
        <v>0.0</v>
      </c>
      <c r="H2888" s="2">
        <v>0.14791666666666667</v>
      </c>
    </row>
    <row r="2889">
      <c r="A2889" s="1" t="s">
        <v>2205</v>
      </c>
      <c r="B2889" s="1" t="s">
        <v>903</v>
      </c>
      <c r="C2889" s="1">
        <v>38.0</v>
      </c>
      <c r="D2889" s="1" t="s">
        <v>99</v>
      </c>
      <c r="E2889" s="1" t="s">
        <v>100</v>
      </c>
      <c r="F2889" s="1" t="s">
        <v>99</v>
      </c>
      <c r="G2889" s="1">
        <v>0.0</v>
      </c>
      <c r="H2889" s="2">
        <v>0.11944444444444445</v>
      </c>
    </row>
    <row r="2890">
      <c r="A2890" s="1" t="s">
        <v>2205</v>
      </c>
      <c r="B2890" s="1" t="s">
        <v>903</v>
      </c>
      <c r="C2890" s="1">
        <v>39.0</v>
      </c>
      <c r="D2890" s="1" t="s">
        <v>2266</v>
      </c>
      <c r="E2890" s="1" t="s">
        <v>2267</v>
      </c>
      <c r="F2890" s="1" t="s">
        <v>2268</v>
      </c>
      <c r="G2890" s="1">
        <v>0.0</v>
      </c>
      <c r="H2890" s="2">
        <v>0.14583333333333334</v>
      </c>
    </row>
    <row r="2891">
      <c r="A2891" s="1" t="s">
        <v>2205</v>
      </c>
      <c r="B2891" s="1" t="s">
        <v>903</v>
      </c>
      <c r="C2891" s="1">
        <v>40.0</v>
      </c>
      <c r="D2891" s="1" t="s">
        <v>2269</v>
      </c>
      <c r="E2891" s="1" t="s">
        <v>2270</v>
      </c>
      <c r="F2891" s="1" t="s">
        <v>2271</v>
      </c>
      <c r="G2891" s="1">
        <v>0.0</v>
      </c>
      <c r="H2891" s="2">
        <v>0.15902777777777777</v>
      </c>
    </row>
    <row r="2892">
      <c r="A2892" s="1" t="s">
        <v>2205</v>
      </c>
      <c r="B2892" s="1" t="s">
        <v>903</v>
      </c>
      <c r="C2892" s="1">
        <v>41.0</v>
      </c>
      <c r="D2892" s="1" t="s">
        <v>76</v>
      </c>
      <c r="E2892" s="1" t="s">
        <v>77</v>
      </c>
      <c r="F2892" s="1" t="s">
        <v>76</v>
      </c>
      <c r="G2892" s="1">
        <v>1.0</v>
      </c>
      <c r="H2892" s="2">
        <v>0.14305555555555555</v>
      </c>
    </row>
    <row r="2893">
      <c r="A2893" s="1" t="s">
        <v>2205</v>
      </c>
      <c r="B2893" s="1" t="s">
        <v>903</v>
      </c>
      <c r="C2893" s="1">
        <v>42.0</v>
      </c>
      <c r="D2893" s="1" t="s">
        <v>2272</v>
      </c>
      <c r="E2893" s="1" t="s">
        <v>2260</v>
      </c>
      <c r="F2893" s="1" t="s">
        <v>2272</v>
      </c>
      <c r="G2893" s="1">
        <v>0.0</v>
      </c>
      <c r="H2893" s="2">
        <v>0.15486111111111112</v>
      </c>
    </row>
    <row r="2894">
      <c r="A2894" s="1" t="s">
        <v>2205</v>
      </c>
      <c r="B2894" s="1" t="s">
        <v>903</v>
      </c>
      <c r="C2894" s="1">
        <v>43.0</v>
      </c>
      <c r="D2894" s="1" t="s">
        <v>1197</v>
      </c>
      <c r="E2894" s="1" t="s">
        <v>1198</v>
      </c>
      <c r="F2894" s="1" t="s">
        <v>1199</v>
      </c>
      <c r="G2894" s="1">
        <v>0.0</v>
      </c>
      <c r="H2894" s="2">
        <v>0.14166666666666666</v>
      </c>
    </row>
    <row r="2895">
      <c r="A2895" s="1" t="s">
        <v>2205</v>
      </c>
      <c r="B2895" s="1" t="s">
        <v>903</v>
      </c>
      <c r="C2895" s="1">
        <v>44.0</v>
      </c>
      <c r="D2895" s="1" t="s">
        <v>2273</v>
      </c>
      <c r="E2895" s="1" t="s">
        <v>2274</v>
      </c>
      <c r="F2895" s="1" t="s">
        <v>2275</v>
      </c>
      <c r="G2895" s="1">
        <v>0.0</v>
      </c>
      <c r="H2895" s="2">
        <v>0.16875</v>
      </c>
    </row>
    <row r="2896">
      <c r="A2896" s="1" t="s">
        <v>2205</v>
      </c>
      <c r="B2896" s="1" t="s">
        <v>903</v>
      </c>
      <c r="C2896" s="1">
        <v>45.0</v>
      </c>
      <c r="D2896" s="1" t="s">
        <v>20</v>
      </c>
      <c r="E2896" s="1" t="s">
        <v>21</v>
      </c>
      <c r="F2896" s="1" t="s">
        <v>22</v>
      </c>
      <c r="G2896" s="1">
        <v>1.0</v>
      </c>
      <c r="H2896" s="2">
        <v>0.17152777777777778</v>
      </c>
    </row>
    <row r="2897">
      <c r="A2897" s="1" t="s">
        <v>2205</v>
      </c>
      <c r="B2897" s="1" t="s">
        <v>903</v>
      </c>
      <c r="C2897" s="1">
        <v>46.0</v>
      </c>
      <c r="D2897" s="1" t="s">
        <v>2276</v>
      </c>
      <c r="E2897" s="1" t="s">
        <v>2277</v>
      </c>
      <c r="F2897" s="1" t="s">
        <v>2278</v>
      </c>
      <c r="G2897" s="1">
        <v>0.0</v>
      </c>
      <c r="H2897" s="2">
        <v>0.22152777777777777</v>
      </c>
    </row>
    <row r="2898">
      <c r="A2898" s="1" t="s">
        <v>2205</v>
      </c>
      <c r="B2898" s="1" t="s">
        <v>903</v>
      </c>
      <c r="C2898" s="1">
        <v>47.0</v>
      </c>
      <c r="D2898" s="1" t="s">
        <v>2279</v>
      </c>
      <c r="E2898" s="1" t="s">
        <v>2280</v>
      </c>
      <c r="F2898" s="1" t="s">
        <v>2279</v>
      </c>
      <c r="G2898" s="1">
        <v>0.0</v>
      </c>
      <c r="H2898" s="2">
        <v>0.16805555555555557</v>
      </c>
    </row>
    <row r="2899">
      <c r="A2899" s="1" t="s">
        <v>2205</v>
      </c>
      <c r="B2899" s="1" t="s">
        <v>903</v>
      </c>
      <c r="C2899" s="1">
        <v>48.0</v>
      </c>
      <c r="D2899" s="1" t="s">
        <v>47</v>
      </c>
      <c r="E2899" s="1" t="s">
        <v>48</v>
      </c>
      <c r="F2899" s="1" t="s">
        <v>49</v>
      </c>
      <c r="G2899" s="1">
        <v>1.0</v>
      </c>
      <c r="H2899" s="2">
        <v>0.15486111111111112</v>
      </c>
    </row>
    <row r="2900">
      <c r="A2900" s="1" t="s">
        <v>2205</v>
      </c>
      <c r="B2900" s="1" t="s">
        <v>903</v>
      </c>
      <c r="C2900" s="1">
        <v>49.0</v>
      </c>
      <c r="D2900" s="1" t="s">
        <v>57</v>
      </c>
      <c r="E2900" s="1" t="s">
        <v>58</v>
      </c>
      <c r="F2900" s="1" t="s">
        <v>59</v>
      </c>
      <c r="G2900" s="1">
        <v>1.0</v>
      </c>
      <c r="H2900" s="2">
        <v>0.16458333333333333</v>
      </c>
    </row>
    <row r="2901">
      <c r="A2901" s="1" t="s">
        <v>2205</v>
      </c>
      <c r="B2901" s="1" t="s">
        <v>903</v>
      </c>
      <c r="C2901" s="1">
        <v>50.0</v>
      </c>
      <c r="D2901" s="1" t="s">
        <v>27</v>
      </c>
      <c r="E2901" s="1" t="s">
        <v>28</v>
      </c>
      <c r="F2901" s="1" t="s">
        <v>29</v>
      </c>
      <c r="G2901" s="1">
        <v>0.0</v>
      </c>
      <c r="H2901" s="2">
        <v>0.12708333333333333</v>
      </c>
    </row>
    <row r="2902">
      <c r="A2902" s="1" t="s">
        <v>2281</v>
      </c>
      <c r="B2902" s="1" t="s">
        <v>250</v>
      </c>
      <c r="C2902" s="1">
        <v>1.0</v>
      </c>
      <c r="D2902" s="1" t="s">
        <v>2282</v>
      </c>
      <c r="E2902" s="1" t="s">
        <v>2283</v>
      </c>
      <c r="F2902" s="1" t="s">
        <v>2282</v>
      </c>
      <c r="G2902" s="1">
        <v>0.0</v>
      </c>
      <c r="H2902" s="2">
        <v>0.08194444444444444</v>
      </c>
    </row>
    <row r="2903">
      <c r="A2903" s="1" t="s">
        <v>2281</v>
      </c>
      <c r="B2903" s="1" t="s">
        <v>250</v>
      </c>
      <c r="C2903" s="1">
        <v>2.0</v>
      </c>
      <c r="D2903" s="1" t="s">
        <v>2284</v>
      </c>
      <c r="E2903" s="1" t="s">
        <v>2285</v>
      </c>
      <c r="F2903" s="1" t="s">
        <v>2284</v>
      </c>
      <c r="G2903" s="1">
        <v>0.0</v>
      </c>
      <c r="H2903" s="2">
        <v>0.13402777777777777</v>
      </c>
    </row>
    <row r="2904">
      <c r="A2904" s="1" t="s">
        <v>2281</v>
      </c>
      <c r="B2904" s="1" t="s">
        <v>250</v>
      </c>
      <c r="C2904" s="1">
        <v>3.0</v>
      </c>
      <c r="D2904" s="1" t="s">
        <v>2286</v>
      </c>
      <c r="E2904" s="1" t="s">
        <v>2287</v>
      </c>
      <c r="F2904" s="1" t="s">
        <v>2286</v>
      </c>
      <c r="G2904" s="1">
        <v>0.0</v>
      </c>
      <c r="H2904" s="2">
        <v>0.11597222222222223</v>
      </c>
    </row>
    <row r="2905">
      <c r="A2905" s="1" t="s">
        <v>2281</v>
      </c>
      <c r="B2905" s="1" t="s">
        <v>250</v>
      </c>
      <c r="C2905" s="1">
        <v>4.0</v>
      </c>
      <c r="D2905" s="1" t="s">
        <v>2288</v>
      </c>
      <c r="E2905" s="1" t="s">
        <v>2289</v>
      </c>
      <c r="F2905" s="1" t="s">
        <v>2290</v>
      </c>
      <c r="G2905" s="1">
        <v>0.0</v>
      </c>
      <c r="H2905" s="2">
        <v>0.2048611111111111</v>
      </c>
    </row>
    <row r="2906">
      <c r="A2906" s="1" t="s">
        <v>2281</v>
      </c>
      <c r="B2906" s="1" t="s">
        <v>250</v>
      </c>
      <c r="C2906" s="1">
        <v>5.0</v>
      </c>
      <c r="D2906" s="1" t="s">
        <v>2291</v>
      </c>
      <c r="E2906" s="1" t="s">
        <v>2292</v>
      </c>
      <c r="F2906" s="1" t="s">
        <v>2291</v>
      </c>
      <c r="G2906" s="1">
        <v>0.0</v>
      </c>
      <c r="H2906" s="2">
        <v>0.1111111111111111</v>
      </c>
    </row>
    <row r="2907">
      <c r="A2907" s="1" t="s">
        <v>2281</v>
      </c>
      <c r="B2907" s="1" t="s">
        <v>250</v>
      </c>
      <c r="C2907" s="1">
        <v>6.0</v>
      </c>
      <c r="D2907" s="1" t="s">
        <v>2293</v>
      </c>
      <c r="E2907" s="1" t="s">
        <v>2294</v>
      </c>
      <c r="F2907" s="1" t="s">
        <v>2293</v>
      </c>
      <c r="G2907" s="1">
        <v>1.0</v>
      </c>
      <c r="H2907" s="2">
        <v>0.12083333333333333</v>
      </c>
    </row>
    <row r="2908">
      <c r="A2908" s="1" t="s">
        <v>2281</v>
      </c>
      <c r="B2908" s="1" t="s">
        <v>250</v>
      </c>
      <c r="C2908" s="1">
        <v>7.0</v>
      </c>
      <c r="D2908" s="1" t="s">
        <v>17</v>
      </c>
      <c r="E2908" s="1" t="s">
        <v>18</v>
      </c>
      <c r="F2908" s="1" t="s">
        <v>19</v>
      </c>
      <c r="G2908" s="1">
        <v>1.0</v>
      </c>
      <c r="H2908" s="2">
        <v>0.12222222222222222</v>
      </c>
    </row>
    <row r="2909">
      <c r="A2909" s="1" t="s">
        <v>2281</v>
      </c>
      <c r="B2909" s="1" t="s">
        <v>250</v>
      </c>
      <c r="C2909" s="1">
        <v>8.0</v>
      </c>
      <c r="D2909" s="1" t="s">
        <v>2295</v>
      </c>
      <c r="E2909" s="1" t="s">
        <v>2289</v>
      </c>
      <c r="F2909" s="1" t="s">
        <v>2290</v>
      </c>
      <c r="G2909" s="1">
        <v>0.0</v>
      </c>
      <c r="H2909" s="2">
        <v>0.18333333333333332</v>
      </c>
    </row>
    <row r="2910">
      <c r="A2910" s="1" t="s">
        <v>2281</v>
      </c>
      <c r="B2910" s="1" t="s">
        <v>250</v>
      </c>
      <c r="C2910" s="1">
        <v>9.0</v>
      </c>
      <c r="D2910" s="1" t="s">
        <v>2296</v>
      </c>
      <c r="E2910" s="1" t="s">
        <v>2297</v>
      </c>
      <c r="F2910" s="1" t="s">
        <v>2296</v>
      </c>
      <c r="G2910" s="1">
        <v>1.0</v>
      </c>
      <c r="H2910" s="2">
        <v>0.12291666666666666</v>
      </c>
    </row>
    <row r="2911">
      <c r="A2911" s="1" t="s">
        <v>2281</v>
      </c>
      <c r="B2911" s="1" t="s">
        <v>250</v>
      </c>
      <c r="C2911" s="1">
        <v>10.0</v>
      </c>
      <c r="D2911" s="1" t="s">
        <v>2298</v>
      </c>
      <c r="E2911" s="1" t="s">
        <v>2299</v>
      </c>
      <c r="F2911" s="1" t="s">
        <v>2300</v>
      </c>
      <c r="G2911" s="1">
        <v>0.0</v>
      </c>
      <c r="H2911" s="2">
        <v>0.14166666666666666</v>
      </c>
    </row>
    <row r="2912">
      <c r="A2912" s="1" t="s">
        <v>2281</v>
      </c>
      <c r="B2912" s="1" t="s">
        <v>250</v>
      </c>
      <c r="C2912" s="1">
        <v>11.0</v>
      </c>
      <c r="D2912" s="1" t="s">
        <v>44</v>
      </c>
      <c r="E2912" s="1" t="s">
        <v>45</v>
      </c>
      <c r="F2912" s="1" t="s">
        <v>44</v>
      </c>
      <c r="G2912" s="1">
        <v>0.0</v>
      </c>
      <c r="H2912" s="2">
        <v>0.12222222222222222</v>
      </c>
    </row>
    <row r="2913">
      <c r="A2913" s="1" t="s">
        <v>2281</v>
      </c>
      <c r="B2913" s="1" t="s">
        <v>250</v>
      </c>
      <c r="C2913" s="1">
        <v>12.0</v>
      </c>
      <c r="D2913" s="1" t="s">
        <v>2301</v>
      </c>
      <c r="E2913" s="1" t="s">
        <v>2302</v>
      </c>
      <c r="F2913" s="1" t="s">
        <v>2301</v>
      </c>
      <c r="G2913" s="1">
        <v>0.0</v>
      </c>
      <c r="H2913" s="2">
        <v>0.1527777777777778</v>
      </c>
    </row>
    <row r="2914">
      <c r="A2914" s="1" t="s">
        <v>2281</v>
      </c>
      <c r="B2914" s="1" t="s">
        <v>250</v>
      </c>
      <c r="C2914" s="1">
        <v>13.0</v>
      </c>
      <c r="D2914" s="1" t="s">
        <v>2303</v>
      </c>
      <c r="E2914" s="1" t="s">
        <v>2304</v>
      </c>
      <c r="F2914" s="1" t="s">
        <v>2305</v>
      </c>
      <c r="G2914" s="1">
        <v>0.0</v>
      </c>
      <c r="H2914" s="2">
        <v>0.1527777777777778</v>
      </c>
    </row>
    <row r="2915">
      <c r="A2915" s="1" t="s">
        <v>2281</v>
      </c>
      <c r="B2915" s="1" t="s">
        <v>250</v>
      </c>
      <c r="C2915" s="1">
        <v>14.0</v>
      </c>
      <c r="D2915" s="1" t="s">
        <v>2306</v>
      </c>
      <c r="E2915" s="1" t="s">
        <v>2307</v>
      </c>
      <c r="F2915" s="1" t="s">
        <v>2306</v>
      </c>
      <c r="G2915" s="1">
        <v>0.0</v>
      </c>
      <c r="H2915" s="2">
        <v>0.14444444444444443</v>
      </c>
    </row>
    <row r="2916">
      <c r="A2916" s="1" t="s">
        <v>2281</v>
      </c>
      <c r="B2916" s="1" t="s">
        <v>250</v>
      </c>
      <c r="C2916" s="1">
        <v>15.0</v>
      </c>
      <c r="D2916" s="1" t="s">
        <v>341</v>
      </c>
      <c r="E2916" s="1" t="s">
        <v>342</v>
      </c>
      <c r="F2916" s="1" t="s">
        <v>343</v>
      </c>
      <c r="G2916" s="1">
        <v>0.0</v>
      </c>
      <c r="H2916" s="2">
        <v>0.11875</v>
      </c>
    </row>
    <row r="2917">
      <c r="A2917" s="1" t="s">
        <v>2281</v>
      </c>
      <c r="B2917" s="1" t="s">
        <v>250</v>
      </c>
      <c r="C2917" s="1">
        <v>16.0</v>
      </c>
      <c r="D2917" s="1" t="s">
        <v>2308</v>
      </c>
      <c r="E2917" s="1" t="s">
        <v>2285</v>
      </c>
      <c r="F2917" s="1" t="s">
        <v>2308</v>
      </c>
      <c r="G2917" s="1">
        <v>0.0</v>
      </c>
      <c r="H2917" s="2">
        <v>0.13402777777777777</v>
      </c>
    </row>
    <row r="2918">
      <c r="A2918" s="1" t="s">
        <v>2281</v>
      </c>
      <c r="B2918" s="1" t="s">
        <v>250</v>
      </c>
      <c r="C2918" s="1">
        <v>17.0</v>
      </c>
      <c r="D2918" s="1" t="s">
        <v>2309</v>
      </c>
      <c r="E2918" s="1" t="s">
        <v>2310</v>
      </c>
      <c r="F2918" s="1" t="s">
        <v>2309</v>
      </c>
      <c r="G2918" s="1">
        <v>0.0</v>
      </c>
      <c r="H2918" s="2">
        <v>0.16458333333333333</v>
      </c>
    </row>
    <row r="2919">
      <c r="A2919" s="1" t="s">
        <v>2281</v>
      </c>
      <c r="B2919" s="1" t="s">
        <v>250</v>
      </c>
      <c r="C2919" s="1">
        <v>18.0</v>
      </c>
      <c r="D2919" s="1" t="s">
        <v>2311</v>
      </c>
      <c r="E2919" s="1" t="s">
        <v>2312</v>
      </c>
      <c r="F2919" s="1" t="s">
        <v>2311</v>
      </c>
      <c r="G2919" s="1">
        <v>0.0</v>
      </c>
      <c r="H2919" s="2">
        <v>0.16666666666666666</v>
      </c>
    </row>
    <row r="2920">
      <c r="A2920" s="1" t="s">
        <v>2281</v>
      </c>
      <c r="B2920" s="1" t="s">
        <v>250</v>
      </c>
      <c r="C2920" s="1">
        <v>19.0</v>
      </c>
      <c r="D2920" s="1" t="s">
        <v>2313</v>
      </c>
      <c r="E2920" s="1" t="s">
        <v>2314</v>
      </c>
      <c r="F2920" s="1" t="s">
        <v>2315</v>
      </c>
      <c r="G2920" s="1">
        <v>0.0</v>
      </c>
      <c r="H2920" s="2">
        <v>0.11736111111111111</v>
      </c>
    </row>
    <row r="2921">
      <c r="A2921" s="1" t="s">
        <v>2281</v>
      </c>
      <c r="B2921" s="1" t="s">
        <v>250</v>
      </c>
      <c r="C2921" s="1">
        <v>20.0</v>
      </c>
      <c r="D2921" s="1" t="s">
        <v>91</v>
      </c>
      <c r="E2921" s="1" t="s">
        <v>58</v>
      </c>
      <c r="F2921" s="1" t="s">
        <v>91</v>
      </c>
      <c r="G2921" s="1">
        <v>0.0</v>
      </c>
      <c r="H2921" s="2">
        <v>0.09305555555555556</v>
      </c>
    </row>
    <row r="2922">
      <c r="A2922" s="1" t="s">
        <v>2281</v>
      </c>
      <c r="B2922" s="1" t="s">
        <v>250</v>
      </c>
      <c r="C2922" s="1">
        <v>21.0</v>
      </c>
      <c r="D2922" s="1" t="s">
        <v>2316</v>
      </c>
      <c r="E2922" s="1" t="s">
        <v>2317</v>
      </c>
      <c r="F2922" s="1" t="s">
        <v>2316</v>
      </c>
      <c r="G2922" s="1">
        <v>0.0</v>
      </c>
      <c r="H2922" s="2">
        <v>0.14444444444444443</v>
      </c>
    </row>
    <row r="2923">
      <c r="A2923" s="1" t="s">
        <v>2281</v>
      </c>
      <c r="B2923" s="1" t="s">
        <v>250</v>
      </c>
      <c r="C2923" s="1">
        <v>22.0</v>
      </c>
      <c r="D2923" s="1" t="s">
        <v>2318</v>
      </c>
      <c r="E2923" s="1" t="s">
        <v>2287</v>
      </c>
      <c r="F2923" s="1" t="s">
        <v>2318</v>
      </c>
      <c r="G2923" s="1">
        <v>0.0</v>
      </c>
      <c r="H2923" s="2">
        <v>0.1361111111111111</v>
      </c>
    </row>
    <row r="2924">
      <c r="A2924" s="1" t="s">
        <v>2281</v>
      </c>
      <c r="B2924" s="1" t="s">
        <v>250</v>
      </c>
      <c r="C2924" s="1">
        <v>23.0</v>
      </c>
      <c r="D2924" s="1" t="s">
        <v>2319</v>
      </c>
      <c r="E2924" s="1" t="s">
        <v>2320</v>
      </c>
      <c r="F2924" s="1" t="s">
        <v>2319</v>
      </c>
      <c r="G2924" s="1">
        <v>0.0</v>
      </c>
      <c r="H2924" s="2">
        <v>0.10416666666666667</v>
      </c>
    </row>
    <row r="2925">
      <c r="A2925" s="1" t="s">
        <v>2281</v>
      </c>
      <c r="B2925" s="1" t="s">
        <v>250</v>
      </c>
      <c r="C2925" s="1">
        <v>24.0</v>
      </c>
      <c r="D2925" s="1" t="s">
        <v>2321</v>
      </c>
      <c r="E2925" s="1" t="s">
        <v>2322</v>
      </c>
      <c r="F2925" s="1" t="s">
        <v>2321</v>
      </c>
      <c r="G2925" s="1">
        <v>0.0</v>
      </c>
      <c r="H2925" s="2">
        <v>0.1597222222222222</v>
      </c>
    </row>
    <row r="2926">
      <c r="A2926" s="1" t="s">
        <v>2281</v>
      </c>
      <c r="B2926" s="1" t="s">
        <v>250</v>
      </c>
      <c r="C2926" s="1">
        <v>25.0</v>
      </c>
      <c r="D2926" s="1" t="s">
        <v>2323</v>
      </c>
      <c r="E2926" s="1" t="s">
        <v>2324</v>
      </c>
      <c r="F2926" s="1" t="s">
        <v>2323</v>
      </c>
      <c r="G2926" s="1">
        <v>0.0</v>
      </c>
      <c r="H2926" s="2">
        <v>0.1388888888888889</v>
      </c>
    </row>
    <row r="2927">
      <c r="A2927" s="1" t="s">
        <v>2281</v>
      </c>
      <c r="B2927" s="1" t="s">
        <v>250</v>
      </c>
      <c r="C2927" s="1">
        <v>26.0</v>
      </c>
      <c r="D2927" s="1" t="s">
        <v>2325</v>
      </c>
      <c r="E2927" s="1" t="s">
        <v>2326</v>
      </c>
      <c r="F2927" s="1" t="s">
        <v>2325</v>
      </c>
      <c r="G2927" s="1">
        <v>0.0</v>
      </c>
      <c r="H2927" s="2">
        <v>0.11944444444444445</v>
      </c>
    </row>
    <row r="2928">
      <c r="A2928" s="1" t="s">
        <v>2281</v>
      </c>
      <c r="B2928" s="1" t="s">
        <v>250</v>
      </c>
      <c r="C2928" s="1">
        <v>27.0</v>
      </c>
      <c r="D2928" s="1" t="s">
        <v>33</v>
      </c>
      <c r="E2928" s="1" t="s">
        <v>34</v>
      </c>
      <c r="F2928" s="1" t="s">
        <v>35</v>
      </c>
      <c r="G2928" s="1">
        <v>0.0</v>
      </c>
      <c r="H2928" s="2">
        <v>0.1451388888888889</v>
      </c>
    </row>
    <row r="2929">
      <c r="A2929" s="1" t="s">
        <v>2281</v>
      </c>
      <c r="B2929" s="1" t="s">
        <v>250</v>
      </c>
      <c r="C2929" s="1">
        <v>28.0</v>
      </c>
      <c r="D2929" s="1" t="s">
        <v>2327</v>
      </c>
      <c r="E2929" s="1" t="s">
        <v>2328</v>
      </c>
      <c r="F2929" s="1" t="s">
        <v>2327</v>
      </c>
      <c r="G2929" s="1">
        <v>0.0</v>
      </c>
      <c r="H2929" s="2">
        <v>0.11944444444444445</v>
      </c>
    </row>
    <row r="2930">
      <c r="A2930" s="1" t="s">
        <v>2281</v>
      </c>
      <c r="B2930" s="1" t="s">
        <v>250</v>
      </c>
      <c r="C2930" s="1">
        <v>29.0</v>
      </c>
      <c r="D2930" s="1" t="s">
        <v>2329</v>
      </c>
      <c r="E2930" s="1" t="s">
        <v>2330</v>
      </c>
      <c r="F2930" s="1" t="s">
        <v>2329</v>
      </c>
      <c r="G2930" s="1">
        <v>0.0</v>
      </c>
      <c r="H2930" s="2">
        <v>0.13333333333333333</v>
      </c>
    </row>
    <row r="2931">
      <c r="A2931" s="1" t="s">
        <v>2281</v>
      </c>
      <c r="B2931" s="1" t="s">
        <v>250</v>
      </c>
      <c r="C2931" s="1">
        <v>30.0</v>
      </c>
      <c r="D2931" s="1" t="s">
        <v>25</v>
      </c>
      <c r="E2931" s="1" t="s">
        <v>26</v>
      </c>
      <c r="F2931" s="1" t="s">
        <v>25</v>
      </c>
      <c r="G2931" s="1">
        <v>1.0</v>
      </c>
      <c r="H2931" s="2">
        <v>0.11458333333333333</v>
      </c>
    </row>
    <row r="2932">
      <c r="A2932" s="1" t="s">
        <v>2281</v>
      </c>
      <c r="B2932" s="1" t="s">
        <v>250</v>
      </c>
      <c r="C2932" s="1">
        <v>31.0</v>
      </c>
      <c r="D2932" s="1" t="s">
        <v>2331</v>
      </c>
      <c r="E2932" s="1" t="s">
        <v>2332</v>
      </c>
      <c r="F2932" s="1" t="s">
        <v>2333</v>
      </c>
      <c r="G2932" s="1">
        <v>0.0</v>
      </c>
      <c r="H2932" s="2">
        <v>0.13541666666666666</v>
      </c>
    </row>
    <row r="2933">
      <c r="A2933" s="1" t="s">
        <v>2281</v>
      </c>
      <c r="B2933" s="1" t="s">
        <v>250</v>
      </c>
      <c r="C2933" s="1">
        <v>32.0</v>
      </c>
      <c r="D2933" s="1" t="s">
        <v>2334</v>
      </c>
      <c r="E2933" s="1" t="s">
        <v>2335</v>
      </c>
      <c r="F2933" s="1" t="s">
        <v>2334</v>
      </c>
      <c r="G2933" s="1">
        <v>0.0</v>
      </c>
      <c r="H2933" s="2">
        <v>0.1361111111111111</v>
      </c>
    </row>
    <row r="2934">
      <c r="A2934" s="1" t="s">
        <v>2281</v>
      </c>
      <c r="B2934" s="1" t="s">
        <v>250</v>
      </c>
      <c r="C2934" s="1">
        <v>33.0</v>
      </c>
      <c r="D2934" s="1" t="s">
        <v>2336</v>
      </c>
      <c r="E2934" s="1" t="s">
        <v>2307</v>
      </c>
      <c r="F2934" s="1" t="s">
        <v>2337</v>
      </c>
      <c r="G2934" s="1">
        <v>0.0</v>
      </c>
      <c r="H2934" s="2">
        <v>0.1</v>
      </c>
    </row>
    <row r="2935">
      <c r="A2935" s="1" t="s">
        <v>2281</v>
      </c>
      <c r="B2935" s="1" t="s">
        <v>250</v>
      </c>
      <c r="C2935" s="1">
        <v>34.0</v>
      </c>
      <c r="D2935" s="1" t="s">
        <v>2338</v>
      </c>
      <c r="E2935" s="1" t="s">
        <v>2339</v>
      </c>
      <c r="F2935" s="1">
        <v>19.0</v>
      </c>
      <c r="G2935" s="1">
        <v>0.0</v>
      </c>
      <c r="H2935" s="2">
        <v>0.16944444444444445</v>
      </c>
    </row>
    <row r="2936">
      <c r="A2936" s="1" t="s">
        <v>2281</v>
      </c>
      <c r="B2936" s="1" t="s">
        <v>250</v>
      </c>
      <c r="C2936" s="1">
        <v>35.0</v>
      </c>
      <c r="D2936" s="1" t="s">
        <v>2340</v>
      </c>
      <c r="E2936" s="1" t="s">
        <v>2339</v>
      </c>
      <c r="F2936" s="1" t="s">
        <v>2340</v>
      </c>
      <c r="G2936" s="1">
        <v>0.0</v>
      </c>
      <c r="H2936" s="2">
        <v>0.15486111111111112</v>
      </c>
    </row>
    <row r="2937">
      <c r="A2937" s="1" t="s">
        <v>2281</v>
      </c>
      <c r="B2937" s="1" t="s">
        <v>250</v>
      </c>
      <c r="C2937" s="1">
        <v>36.0</v>
      </c>
      <c r="D2937" s="1" t="s">
        <v>41</v>
      </c>
      <c r="E2937" s="1" t="s">
        <v>42</v>
      </c>
      <c r="F2937" s="1" t="s">
        <v>43</v>
      </c>
      <c r="G2937" s="1">
        <v>1.0</v>
      </c>
      <c r="H2937" s="2">
        <v>0.1361111111111111</v>
      </c>
    </row>
    <row r="2938">
      <c r="A2938" s="1" t="s">
        <v>2281</v>
      </c>
      <c r="B2938" s="1" t="s">
        <v>250</v>
      </c>
      <c r="C2938" s="1">
        <v>37.0</v>
      </c>
      <c r="D2938" s="1" t="s">
        <v>2341</v>
      </c>
      <c r="E2938" s="1" t="s">
        <v>2342</v>
      </c>
      <c r="F2938" s="1" t="s">
        <v>2341</v>
      </c>
      <c r="G2938" s="1">
        <v>0.0</v>
      </c>
      <c r="H2938" s="2">
        <v>0.1361111111111111</v>
      </c>
    </row>
    <row r="2939">
      <c r="A2939" s="1" t="s">
        <v>2281</v>
      </c>
      <c r="B2939" s="1" t="s">
        <v>250</v>
      </c>
      <c r="C2939" s="1">
        <v>38.0</v>
      </c>
      <c r="D2939" s="1" t="s">
        <v>2343</v>
      </c>
      <c r="E2939" s="1" t="s">
        <v>2344</v>
      </c>
      <c r="F2939" s="1" t="s">
        <v>2343</v>
      </c>
      <c r="G2939" s="1">
        <v>0.0</v>
      </c>
      <c r="H2939" s="2">
        <v>0.14722222222222223</v>
      </c>
    </row>
    <row r="2940">
      <c r="A2940" s="1" t="s">
        <v>2281</v>
      </c>
      <c r="B2940" s="1" t="s">
        <v>250</v>
      </c>
      <c r="C2940" s="1">
        <v>39.0</v>
      </c>
      <c r="D2940" s="1" t="s">
        <v>2345</v>
      </c>
      <c r="E2940" s="1" t="s">
        <v>2346</v>
      </c>
      <c r="F2940" s="1" t="s">
        <v>2345</v>
      </c>
      <c r="G2940" s="1">
        <v>0.0</v>
      </c>
      <c r="H2940" s="2">
        <v>0.13819444444444445</v>
      </c>
    </row>
    <row r="2941">
      <c r="A2941" s="1" t="s">
        <v>2281</v>
      </c>
      <c r="B2941" s="1" t="s">
        <v>250</v>
      </c>
      <c r="C2941" s="1">
        <v>40.0</v>
      </c>
      <c r="D2941" s="1" t="s">
        <v>2347</v>
      </c>
      <c r="E2941" s="1" t="s">
        <v>2348</v>
      </c>
      <c r="F2941" s="1" t="s">
        <v>2349</v>
      </c>
      <c r="G2941" s="1">
        <v>0.0</v>
      </c>
      <c r="H2941" s="2">
        <v>0.19930555555555557</v>
      </c>
    </row>
    <row r="2942">
      <c r="A2942" s="1" t="s">
        <v>2281</v>
      </c>
      <c r="B2942" s="1" t="s">
        <v>250</v>
      </c>
      <c r="C2942" s="1">
        <v>41.0</v>
      </c>
      <c r="D2942" s="1" t="s">
        <v>11</v>
      </c>
      <c r="E2942" s="1" t="s">
        <v>12</v>
      </c>
      <c r="F2942" s="1" t="s">
        <v>13</v>
      </c>
      <c r="G2942" s="1">
        <v>0.0</v>
      </c>
      <c r="H2942" s="2">
        <v>0.1388888888888889</v>
      </c>
    </row>
    <row r="2943">
      <c r="A2943" s="1" t="s">
        <v>2281</v>
      </c>
      <c r="B2943" s="1" t="s">
        <v>250</v>
      </c>
      <c r="C2943" s="1">
        <v>42.0</v>
      </c>
      <c r="D2943" s="1" t="s">
        <v>2350</v>
      </c>
      <c r="E2943" s="1" t="s">
        <v>2351</v>
      </c>
      <c r="F2943" s="1" t="s">
        <v>2350</v>
      </c>
      <c r="G2943" s="1">
        <v>0.0</v>
      </c>
      <c r="H2943" s="2">
        <v>0.14305555555555555</v>
      </c>
    </row>
    <row r="2944">
      <c r="A2944" s="1" t="s">
        <v>2281</v>
      </c>
      <c r="B2944" s="1" t="s">
        <v>250</v>
      </c>
      <c r="C2944" s="1">
        <v>43.0</v>
      </c>
      <c r="D2944" s="1" t="s">
        <v>2352</v>
      </c>
      <c r="E2944" s="1" t="s">
        <v>2353</v>
      </c>
      <c r="F2944" s="1" t="s">
        <v>2352</v>
      </c>
      <c r="G2944" s="1">
        <v>0.0</v>
      </c>
      <c r="H2944" s="2">
        <v>0.12361111111111112</v>
      </c>
    </row>
    <row r="2945">
      <c r="A2945" s="1" t="s">
        <v>2281</v>
      </c>
      <c r="B2945" s="1" t="s">
        <v>250</v>
      </c>
      <c r="C2945" s="1">
        <v>44.0</v>
      </c>
      <c r="D2945" s="1" t="s">
        <v>2354</v>
      </c>
      <c r="E2945" s="1" t="s">
        <v>2283</v>
      </c>
      <c r="F2945" s="1" t="s">
        <v>2354</v>
      </c>
      <c r="G2945" s="1">
        <v>1.0</v>
      </c>
      <c r="H2945" s="2">
        <v>0.14375</v>
      </c>
    </row>
    <row r="2946">
      <c r="A2946" s="1" t="s">
        <v>2281</v>
      </c>
      <c r="B2946" s="1" t="s">
        <v>250</v>
      </c>
      <c r="C2946" s="1">
        <v>45.0</v>
      </c>
      <c r="D2946" s="1" t="s">
        <v>2355</v>
      </c>
      <c r="E2946" s="1" t="s">
        <v>2307</v>
      </c>
      <c r="F2946" s="1" t="s">
        <v>2355</v>
      </c>
      <c r="G2946" s="1">
        <v>0.0</v>
      </c>
      <c r="H2946" s="2">
        <v>0.16111111111111112</v>
      </c>
    </row>
    <row r="2947">
      <c r="A2947" s="1" t="s">
        <v>2281</v>
      </c>
      <c r="B2947" s="1" t="s">
        <v>250</v>
      </c>
      <c r="C2947" s="1">
        <v>46.0</v>
      </c>
      <c r="D2947" s="1" t="s">
        <v>2356</v>
      </c>
      <c r="E2947" s="1" t="s">
        <v>2357</v>
      </c>
      <c r="F2947" s="1" t="s">
        <v>2358</v>
      </c>
      <c r="G2947" s="1">
        <v>0.0</v>
      </c>
      <c r="H2947" s="2">
        <v>0.11458333333333333</v>
      </c>
    </row>
    <row r="2948">
      <c r="A2948" s="1" t="s">
        <v>2281</v>
      </c>
      <c r="B2948" s="1" t="s">
        <v>250</v>
      </c>
      <c r="C2948" s="1">
        <v>47.0</v>
      </c>
      <c r="D2948" s="1" t="s">
        <v>2359</v>
      </c>
      <c r="E2948" s="1" t="s">
        <v>2360</v>
      </c>
      <c r="F2948" s="1" t="s">
        <v>2358</v>
      </c>
      <c r="G2948" s="1">
        <v>1.0</v>
      </c>
      <c r="H2948" s="2">
        <v>0.09166666666666666</v>
      </c>
    </row>
    <row r="2949">
      <c r="A2949" s="1" t="s">
        <v>2281</v>
      </c>
      <c r="B2949" s="1" t="s">
        <v>250</v>
      </c>
      <c r="C2949" s="1">
        <v>48.0</v>
      </c>
      <c r="D2949" s="1" t="s">
        <v>60</v>
      </c>
      <c r="E2949" s="1" t="s">
        <v>61</v>
      </c>
      <c r="F2949" s="1" t="s">
        <v>62</v>
      </c>
      <c r="G2949" s="1">
        <v>0.0</v>
      </c>
      <c r="H2949" s="2">
        <v>0.11041666666666666</v>
      </c>
    </row>
    <row r="2950">
      <c r="A2950" s="1" t="s">
        <v>2281</v>
      </c>
      <c r="B2950" s="1" t="s">
        <v>250</v>
      </c>
      <c r="C2950" s="1">
        <v>49.0</v>
      </c>
      <c r="D2950" s="1" t="s">
        <v>9</v>
      </c>
      <c r="E2950" s="1" t="s">
        <v>10</v>
      </c>
      <c r="F2950" s="1" t="s">
        <v>9</v>
      </c>
      <c r="G2950" s="1">
        <v>0.0</v>
      </c>
      <c r="H2950" s="2">
        <v>0.12638888888888888</v>
      </c>
    </row>
    <row r="2951">
      <c r="A2951" s="1" t="s">
        <v>2281</v>
      </c>
      <c r="B2951" s="1" t="s">
        <v>250</v>
      </c>
      <c r="C2951" s="1">
        <v>50.0</v>
      </c>
      <c r="D2951" s="1" t="s">
        <v>2361</v>
      </c>
      <c r="E2951" s="1" t="s">
        <v>2362</v>
      </c>
      <c r="F2951" s="1" t="s">
        <v>2363</v>
      </c>
      <c r="G2951" s="1">
        <v>0.0</v>
      </c>
      <c r="H2951" s="2">
        <v>0.12152777777777778</v>
      </c>
    </row>
    <row r="2952">
      <c r="A2952" s="1" t="s">
        <v>2364</v>
      </c>
      <c r="B2952" s="1" t="s">
        <v>250</v>
      </c>
      <c r="C2952" s="1">
        <v>1.0</v>
      </c>
      <c r="D2952" s="1" t="s">
        <v>14</v>
      </c>
      <c r="E2952" s="1" t="s">
        <v>15</v>
      </c>
      <c r="F2952" s="1" t="s">
        <v>16</v>
      </c>
      <c r="G2952" s="1">
        <v>1.0</v>
      </c>
      <c r="H2952" s="2">
        <v>0.12569444444444444</v>
      </c>
    </row>
    <row r="2953">
      <c r="A2953" s="1" t="s">
        <v>2364</v>
      </c>
      <c r="B2953" s="1" t="s">
        <v>250</v>
      </c>
      <c r="C2953" s="1">
        <v>2.0</v>
      </c>
      <c r="D2953" s="1" t="s">
        <v>9</v>
      </c>
      <c r="E2953" s="1" t="s">
        <v>10</v>
      </c>
      <c r="F2953" s="1" t="s">
        <v>9</v>
      </c>
      <c r="G2953" s="1">
        <v>0.0</v>
      </c>
      <c r="H2953" s="2">
        <v>0.12638888888888888</v>
      </c>
    </row>
    <row r="2954">
      <c r="A2954" s="1" t="s">
        <v>2364</v>
      </c>
      <c r="B2954" s="1" t="s">
        <v>250</v>
      </c>
      <c r="C2954" s="1">
        <v>3.0</v>
      </c>
      <c r="D2954" s="1" t="s">
        <v>11</v>
      </c>
      <c r="E2954" s="1" t="s">
        <v>12</v>
      </c>
      <c r="F2954" s="1" t="s">
        <v>13</v>
      </c>
      <c r="G2954" s="1">
        <v>0.0</v>
      </c>
      <c r="H2954" s="2">
        <v>0.1388888888888889</v>
      </c>
    </row>
    <row r="2955">
      <c r="A2955" s="1" t="s">
        <v>2364</v>
      </c>
      <c r="B2955" s="1" t="s">
        <v>250</v>
      </c>
      <c r="C2955" s="1">
        <v>4.0</v>
      </c>
      <c r="D2955" s="1" t="s">
        <v>20</v>
      </c>
      <c r="E2955" s="1" t="s">
        <v>21</v>
      </c>
      <c r="F2955" s="1" t="s">
        <v>22</v>
      </c>
      <c r="G2955" s="1">
        <v>1.0</v>
      </c>
      <c r="H2955" s="2">
        <v>0.17152777777777778</v>
      </c>
    </row>
    <row r="2956">
      <c r="A2956" s="1" t="s">
        <v>2364</v>
      </c>
      <c r="B2956" s="1" t="s">
        <v>250</v>
      </c>
      <c r="C2956" s="1">
        <v>5.0</v>
      </c>
      <c r="D2956" s="1" t="s">
        <v>17</v>
      </c>
      <c r="E2956" s="1" t="s">
        <v>18</v>
      </c>
      <c r="F2956" s="1" t="s">
        <v>19</v>
      </c>
      <c r="G2956" s="1">
        <v>1.0</v>
      </c>
      <c r="H2956" s="2">
        <v>0.12222222222222222</v>
      </c>
    </row>
    <row r="2957">
      <c r="A2957" s="1" t="s">
        <v>2364</v>
      </c>
      <c r="B2957" s="1" t="s">
        <v>250</v>
      </c>
      <c r="C2957" s="1">
        <v>6.0</v>
      </c>
      <c r="D2957" s="1" t="s">
        <v>227</v>
      </c>
      <c r="E2957" s="1" t="s">
        <v>228</v>
      </c>
      <c r="F2957" s="1" t="s">
        <v>227</v>
      </c>
      <c r="G2957" s="1">
        <v>1.0</v>
      </c>
      <c r="H2957" s="2">
        <v>0.11597222222222223</v>
      </c>
    </row>
    <row r="2958">
      <c r="A2958" s="1" t="s">
        <v>2364</v>
      </c>
      <c r="B2958" s="1" t="s">
        <v>250</v>
      </c>
      <c r="C2958" s="1">
        <v>7.0</v>
      </c>
      <c r="D2958" s="1" t="s">
        <v>23</v>
      </c>
      <c r="E2958" s="1" t="s">
        <v>24</v>
      </c>
      <c r="F2958" s="1" t="s">
        <v>23</v>
      </c>
      <c r="G2958" s="1">
        <v>0.0</v>
      </c>
      <c r="H2958" s="2">
        <v>0.12013888888888889</v>
      </c>
    </row>
    <row r="2959">
      <c r="A2959" s="1" t="s">
        <v>2364</v>
      </c>
      <c r="B2959" s="1" t="s">
        <v>250</v>
      </c>
      <c r="C2959" s="1">
        <v>8.0</v>
      </c>
      <c r="D2959" s="1" t="s">
        <v>1207</v>
      </c>
      <c r="E2959" s="1" t="s">
        <v>1208</v>
      </c>
      <c r="F2959" s="1" t="s">
        <v>1209</v>
      </c>
      <c r="G2959" s="1">
        <v>1.0</v>
      </c>
      <c r="H2959" s="2">
        <v>0.11666666666666667</v>
      </c>
    </row>
    <row r="2960">
      <c r="A2960" s="1" t="s">
        <v>2364</v>
      </c>
      <c r="B2960" s="1" t="s">
        <v>250</v>
      </c>
      <c r="C2960" s="1">
        <v>9.0</v>
      </c>
      <c r="D2960" s="1" t="s">
        <v>38</v>
      </c>
      <c r="E2960" s="1" t="s">
        <v>39</v>
      </c>
      <c r="F2960" s="1" t="s">
        <v>40</v>
      </c>
      <c r="G2960" s="1">
        <v>1.0</v>
      </c>
      <c r="H2960" s="2">
        <v>0.1125</v>
      </c>
    </row>
    <row r="2961">
      <c r="A2961" s="1" t="s">
        <v>2364</v>
      </c>
      <c r="B2961" s="1" t="s">
        <v>250</v>
      </c>
      <c r="C2961" s="1">
        <v>10.0</v>
      </c>
      <c r="D2961" s="1" t="s">
        <v>1210</v>
      </c>
      <c r="E2961" s="1" t="s">
        <v>1211</v>
      </c>
      <c r="F2961" s="1" t="s">
        <v>1210</v>
      </c>
      <c r="G2961" s="1">
        <v>1.0</v>
      </c>
      <c r="H2961" s="2">
        <v>0.1375</v>
      </c>
    </row>
    <row r="2962">
      <c r="A2962" s="1" t="s">
        <v>2364</v>
      </c>
      <c r="B2962" s="1" t="s">
        <v>250</v>
      </c>
      <c r="C2962" s="1">
        <v>11.0</v>
      </c>
      <c r="D2962" s="1" t="s">
        <v>46</v>
      </c>
      <c r="E2962" s="1" t="s">
        <v>28</v>
      </c>
      <c r="F2962" s="1" t="s">
        <v>29</v>
      </c>
      <c r="G2962" s="1">
        <v>0.0</v>
      </c>
      <c r="H2962" s="2">
        <v>0.15347222222222223</v>
      </c>
    </row>
    <row r="2963">
      <c r="A2963" s="1" t="s">
        <v>2364</v>
      </c>
      <c r="B2963" s="1" t="s">
        <v>250</v>
      </c>
      <c r="C2963" s="1">
        <v>12.0</v>
      </c>
      <c r="D2963" s="1" t="s">
        <v>30</v>
      </c>
      <c r="E2963" s="1" t="s">
        <v>31</v>
      </c>
      <c r="F2963" s="1" t="s">
        <v>32</v>
      </c>
      <c r="G2963" s="1">
        <v>0.0</v>
      </c>
      <c r="H2963" s="2">
        <v>0.15833333333333333</v>
      </c>
    </row>
    <row r="2964">
      <c r="A2964" s="1" t="s">
        <v>2364</v>
      </c>
      <c r="B2964" s="1" t="s">
        <v>250</v>
      </c>
      <c r="C2964" s="1">
        <v>13.0</v>
      </c>
      <c r="D2964" s="1" t="s">
        <v>1203</v>
      </c>
      <c r="E2964" s="1" t="s">
        <v>1204</v>
      </c>
      <c r="F2964" s="1" t="s">
        <v>1203</v>
      </c>
      <c r="G2964" s="1">
        <v>1.0</v>
      </c>
      <c r="H2964" s="2">
        <v>0.12708333333333333</v>
      </c>
    </row>
    <row r="2965">
      <c r="A2965" s="1" t="s">
        <v>2364</v>
      </c>
      <c r="B2965" s="1" t="s">
        <v>250</v>
      </c>
      <c r="C2965" s="1">
        <v>14.0</v>
      </c>
      <c r="D2965" s="1" t="s">
        <v>1230</v>
      </c>
      <c r="E2965" s="1" t="s">
        <v>1231</v>
      </c>
      <c r="F2965" s="1" t="s">
        <v>1209</v>
      </c>
      <c r="G2965" s="1">
        <v>1.0</v>
      </c>
      <c r="H2965" s="2">
        <v>0.10486111111111111</v>
      </c>
    </row>
    <row r="2966">
      <c r="A2966" s="1" t="s">
        <v>2364</v>
      </c>
      <c r="B2966" s="1" t="s">
        <v>250</v>
      </c>
      <c r="C2966" s="1">
        <v>15.0</v>
      </c>
      <c r="D2966" s="1" t="s">
        <v>1205</v>
      </c>
      <c r="E2966" s="1" t="s">
        <v>1206</v>
      </c>
      <c r="F2966" s="1" t="s">
        <v>1205</v>
      </c>
      <c r="G2966" s="1">
        <v>0.0</v>
      </c>
      <c r="H2966" s="2">
        <v>0.13680555555555557</v>
      </c>
    </row>
    <row r="2967">
      <c r="A2967" s="1" t="s">
        <v>2364</v>
      </c>
      <c r="B2967" s="1" t="s">
        <v>250</v>
      </c>
      <c r="C2967" s="1">
        <v>16.0</v>
      </c>
      <c r="D2967" s="1" t="s">
        <v>1201</v>
      </c>
      <c r="E2967" s="1" t="s">
        <v>1202</v>
      </c>
      <c r="F2967" s="1" t="s">
        <v>1201</v>
      </c>
      <c r="G2967" s="1">
        <v>0.0</v>
      </c>
      <c r="H2967" s="2">
        <v>0.13194444444444445</v>
      </c>
    </row>
    <row r="2968">
      <c r="A2968" s="1" t="s">
        <v>2364</v>
      </c>
      <c r="B2968" s="1" t="s">
        <v>250</v>
      </c>
      <c r="C2968" s="1">
        <v>17.0</v>
      </c>
      <c r="D2968" s="1" t="s">
        <v>1228</v>
      </c>
      <c r="E2968" s="1" t="s">
        <v>1229</v>
      </c>
      <c r="F2968" s="1" t="s">
        <v>1209</v>
      </c>
      <c r="G2968" s="1">
        <v>1.0</v>
      </c>
      <c r="H2968" s="2">
        <v>0.1326388888888889</v>
      </c>
    </row>
    <row r="2969">
      <c r="A2969" s="1" t="s">
        <v>2364</v>
      </c>
      <c r="B2969" s="1" t="s">
        <v>250</v>
      </c>
      <c r="C2969" s="1">
        <v>18.0</v>
      </c>
      <c r="D2969" s="1" t="s">
        <v>80</v>
      </c>
      <c r="E2969" s="1" t="s">
        <v>81</v>
      </c>
      <c r="F2969" s="1" t="s">
        <v>82</v>
      </c>
      <c r="G2969" s="1">
        <v>0.0</v>
      </c>
      <c r="H2969" s="2">
        <v>0.12083333333333333</v>
      </c>
    </row>
    <row r="2970">
      <c r="A2970" s="1" t="s">
        <v>2364</v>
      </c>
      <c r="B2970" s="1" t="s">
        <v>250</v>
      </c>
      <c r="C2970" s="1">
        <v>19.0</v>
      </c>
      <c r="D2970" s="1" t="s">
        <v>27</v>
      </c>
      <c r="E2970" s="1" t="s">
        <v>28</v>
      </c>
      <c r="F2970" s="1" t="s">
        <v>29</v>
      </c>
      <c r="G2970" s="1">
        <v>0.0</v>
      </c>
      <c r="H2970" s="2">
        <v>0.12708333333333333</v>
      </c>
    </row>
    <row r="2971">
      <c r="A2971" s="1" t="s">
        <v>2364</v>
      </c>
      <c r="B2971" s="1" t="s">
        <v>250</v>
      </c>
      <c r="C2971" s="1">
        <v>20.0</v>
      </c>
      <c r="D2971" s="1" t="s">
        <v>33</v>
      </c>
      <c r="E2971" s="1" t="s">
        <v>34</v>
      </c>
      <c r="F2971" s="1" t="s">
        <v>35</v>
      </c>
      <c r="G2971" s="1">
        <v>0.0</v>
      </c>
      <c r="H2971" s="2">
        <v>0.1451388888888889</v>
      </c>
    </row>
    <row r="2972">
      <c r="A2972" s="1" t="s">
        <v>2364</v>
      </c>
      <c r="B2972" s="1" t="s">
        <v>250</v>
      </c>
      <c r="C2972" s="1">
        <v>21.0</v>
      </c>
      <c r="D2972" s="1" t="s">
        <v>25</v>
      </c>
      <c r="E2972" s="1" t="s">
        <v>26</v>
      </c>
      <c r="F2972" s="1" t="s">
        <v>25</v>
      </c>
      <c r="G2972" s="1">
        <v>1.0</v>
      </c>
      <c r="H2972" s="2">
        <v>0.11458333333333333</v>
      </c>
    </row>
    <row r="2973">
      <c r="A2973" s="1" t="s">
        <v>2364</v>
      </c>
      <c r="B2973" s="1" t="s">
        <v>250</v>
      </c>
      <c r="C2973" s="1">
        <v>22.0</v>
      </c>
      <c r="D2973" s="1" t="s">
        <v>63</v>
      </c>
      <c r="E2973" s="1" t="s">
        <v>64</v>
      </c>
      <c r="F2973" s="1" t="s">
        <v>63</v>
      </c>
      <c r="G2973" s="1">
        <v>1.0</v>
      </c>
      <c r="H2973" s="2">
        <v>0.16805555555555557</v>
      </c>
    </row>
    <row r="2974">
      <c r="A2974" s="1" t="s">
        <v>2364</v>
      </c>
      <c r="B2974" s="1" t="s">
        <v>250</v>
      </c>
      <c r="C2974" s="1">
        <v>23.0</v>
      </c>
      <c r="D2974" s="1" t="s">
        <v>36</v>
      </c>
      <c r="E2974" s="1" t="s">
        <v>37</v>
      </c>
      <c r="F2974" s="1" t="s">
        <v>36</v>
      </c>
      <c r="G2974" s="1">
        <v>1.0</v>
      </c>
      <c r="H2974" s="2">
        <v>0.09166666666666666</v>
      </c>
    </row>
    <row r="2975">
      <c r="A2975" s="1" t="s">
        <v>2364</v>
      </c>
      <c r="B2975" s="1" t="s">
        <v>250</v>
      </c>
      <c r="C2975" s="1">
        <v>24.0</v>
      </c>
      <c r="D2975" s="1" t="s">
        <v>41</v>
      </c>
      <c r="E2975" s="1" t="s">
        <v>42</v>
      </c>
      <c r="F2975" s="1" t="s">
        <v>43</v>
      </c>
      <c r="G2975" s="1">
        <v>1.0</v>
      </c>
      <c r="H2975" s="2">
        <v>0.1361111111111111</v>
      </c>
    </row>
    <row r="2976">
      <c r="A2976" s="1" t="s">
        <v>2364</v>
      </c>
      <c r="B2976" s="1" t="s">
        <v>250</v>
      </c>
      <c r="C2976" s="1">
        <v>25.0</v>
      </c>
      <c r="D2976" s="1" t="s">
        <v>105</v>
      </c>
      <c r="E2976" s="1" t="s">
        <v>106</v>
      </c>
      <c r="F2976" s="1" t="s">
        <v>105</v>
      </c>
      <c r="G2976" s="1">
        <v>0.0</v>
      </c>
      <c r="H2976" s="2">
        <v>0.11527777777777778</v>
      </c>
    </row>
    <row r="2977">
      <c r="A2977" s="1" t="s">
        <v>2364</v>
      </c>
      <c r="B2977" s="1" t="s">
        <v>250</v>
      </c>
      <c r="C2977" s="1">
        <v>26.0</v>
      </c>
      <c r="D2977" s="1" t="s">
        <v>76</v>
      </c>
      <c r="E2977" s="1" t="s">
        <v>77</v>
      </c>
      <c r="F2977" s="1" t="s">
        <v>76</v>
      </c>
      <c r="G2977" s="1">
        <v>1.0</v>
      </c>
      <c r="H2977" s="2">
        <v>0.14305555555555555</v>
      </c>
    </row>
    <row r="2978">
      <c r="A2978" s="1" t="s">
        <v>2364</v>
      </c>
      <c r="B2978" s="1" t="s">
        <v>250</v>
      </c>
      <c r="C2978" s="1">
        <v>27.0</v>
      </c>
      <c r="D2978" s="1" t="s">
        <v>68</v>
      </c>
      <c r="E2978" s="1" t="s">
        <v>69</v>
      </c>
      <c r="F2978" s="1" t="s">
        <v>70</v>
      </c>
      <c r="G2978" s="1">
        <v>0.0</v>
      </c>
      <c r="H2978" s="2">
        <v>0.12638888888888888</v>
      </c>
    </row>
    <row r="2979">
      <c r="A2979" s="1" t="s">
        <v>2364</v>
      </c>
      <c r="B2979" s="1" t="s">
        <v>250</v>
      </c>
      <c r="C2979" s="1">
        <v>28.0</v>
      </c>
      <c r="D2979" s="1" t="s">
        <v>2365</v>
      </c>
      <c r="E2979" s="1" t="s">
        <v>2366</v>
      </c>
      <c r="F2979" s="1" t="s">
        <v>1209</v>
      </c>
      <c r="G2979" s="1">
        <v>1.0</v>
      </c>
      <c r="H2979" s="2">
        <v>0.09513888888888888</v>
      </c>
    </row>
    <row r="2980">
      <c r="A2980" s="1" t="s">
        <v>2364</v>
      </c>
      <c r="B2980" s="1" t="s">
        <v>250</v>
      </c>
      <c r="C2980" s="1">
        <v>29.0</v>
      </c>
      <c r="D2980" s="1" t="s">
        <v>47</v>
      </c>
      <c r="E2980" s="1" t="s">
        <v>48</v>
      </c>
      <c r="F2980" s="1" t="s">
        <v>49</v>
      </c>
      <c r="G2980" s="1">
        <v>1.0</v>
      </c>
      <c r="H2980" s="2">
        <v>0.15486111111111112</v>
      </c>
    </row>
    <row r="2981">
      <c r="A2981" s="1" t="s">
        <v>2364</v>
      </c>
      <c r="B2981" s="1" t="s">
        <v>250</v>
      </c>
      <c r="C2981" s="1">
        <v>30.0</v>
      </c>
      <c r="D2981" s="1" t="s">
        <v>2367</v>
      </c>
      <c r="E2981" s="1" t="s">
        <v>2368</v>
      </c>
      <c r="F2981" s="1" t="s">
        <v>1209</v>
      </c>
      <c r="G2981" s="1">
        <v>1.0</v>
      </c>
      <c r="H2981" s="2">
        <v>0.13402777777777777</v>
      </c>
    </row>
    <row r="2982">
      <c r="A2982" s="1" t="s">
        <v>2364</v>
      </c>
      <c r="B2982" s="1" t="s">
        <v>250</v>
      </c>
      <c r="C2982" s="1">
        <v>31.0</v>
      </c>
      <c r="D2982" s="1" t="s">
        <v>2369</v>
      </c>
      <c r="E2982" s="1" t="s">
        <v>2370</v>
      </c>
      <c r="F2982" s="1" t="s">
        <v>2371</v>
      </c>
      <c r="G2982" s="1">
        <v>0.0</v>
      </c>
      <c r="H2982" s="2">
        <v>0.13541666666666666</v>
      </c>
    </row>
    <row r="2983">
      <c r="A2983" s="1" t="s">
        <v>2364</v>
      </c>
      <c r="B2983" s="1" t="s">
        <v>250</v>
      </c>
      <c r="C2983" s="1">
        <v>32.0</v>
      </c>
      <c r="D2983" s="1" t="s">
        <v>57</v>
      </c>
      <c r="E2983" s="1" t="s">
        <v>58</v>
      </c>
      <c r="F2983" s="1" t="s">
        <v>59</v>
      </c>
      <c r="G2983" s="1">
        <v>1.0</v>
      </c>
      <c r="H2983" s="2">
        <v>0.16458333333333333</v>
      </c>
    </row>
    <row r="2984">
      <c r="A2984" s="1" t="s">
        <v>2364</v>
      </c>
      <c r="B2984" s="1" t="s">
        <v>250</v>
      </c>
      <c r="C2984" s="1">
        <v>33.0</v>
      </c>
      <c r="D2984" s="1" t="s">
        <v>2372</v>
      </c>
      <c r="E2984" s="1" t="s">
        <v>2368</v>
      </c>
      <c r="F2984" s="1" t="s">
        <v>1209</v>
      </c>
      <c r="G2984" s="1">
        <v>1.0</v>
      </c>
      <c r="H2984" s="2">
        <v>0.08263888888888889</v>
      </c>
    </row>
    <row r="2985">
      <c r="A2985" s="1" t="s">
        <v>2364</v>
      </c>
      <c r="B2985" s="1" t="s">
        <v>250</v>
      </c>
      <c r="C2985" s="1">
        <v>34.0</v>
      </c>
      <c r="D2985" s="1" t="s">
        <v>2373</v>
      </c>
      <c r="E2985" s="1" t="s">
        <v>2368</v>
      </c>
      <c r="F2985" s="1" t="s">
        <v>1209</v>
      </c>
      <c r="G2985" s="1">
        <v>1.0</v>
      </c>
      <c r="H2985" s="2">
        <v>0.125</v>
      </c>
    </row>
    <row r="2986">
      <c r="A2986" s="1" t="s">
        <v>2364</v>
      </c>
      <c r="B2986" s="1" t="s">
        <v>250</v>
      </c>
      <c r="C2986" s="1">
        <v>35.0</v>
      </c>
      <c r="D2986" s="1" t="s">
        <v>107</v>
      </c>
      <c r="E2986" s="1" t="s">
        <v>81</v>
      </c>
      <c r="F2986" s="1" t="s">
        <v>82</v>
      </c>
      <c r="G2986" s="1">
        <v>0.0</v>
      </c>
      <c r="H2986" s="2">
        <v>0.14375</v>
      </c>
    </row>
    <row r="2987">
      <c r="A2987" s="1" t="s">
        <v>2364</v>
      </c>
      <c r="B2987" s="1" t="s">
        <v>250</v>
      </c>
      <c r="C2987" s="1">
        <v>36.0</v>
      </c>
      <c r="D2987" s="1" t="s">
        <v>224</v>
      </c>
      <c r="E2987" s="1" t="s">
        <v>225</v>
      </c>
      <c r="F2987" s="1" t="s">
        <v>226</v>
      </c>
      <c r="G2987" s="1">
        <v>0.0</v>
      </c>
      <c r="H2987" s="2">
        <v>0.14444444444444443</v>
      </c>
    </row>
    <row r="2988">
      <c r="A2988" s="1" t="s">
        <v>2364</v>
      </c>
      <c r="B2988" s="1" t="s">
        <v>250</v>
      </c>
      <c r="C2988" s="1">
        <v>37.0</v>
      </c>
      <c r="D2988" s="1" t="s">
        <v>78</v>
      </c>
      <c r="E2988" s="1" t="s">
        <v>79</v>
      </c>
      <c r="F2988" s="1" t="s">
        <v>78</v>
      </c>
      <c r="G2988" s="1">
        <v>0.0</v>
      </c>
      <c r="H2988" s="2">
        <v>0.10208333333333333</v>
      </c>
    </row>
    <row r="2989">
      <c r="A2989" s="1" t="s">
        <v>2364</v>
      </c>
      <c r="B2989" s="1" t="s">
        <v>250</v>
      </c>
      <c r="C2989" s="1">
        <v>38.0</v>
      </c>
      <c r="D2989" s="1" t="s">
        <v>304</v>
      </c>
      <c r="E2989" s="1" t="s">
        <v>28</v>
      </c>
      <c r="F2989" s="1" t="s">
        <v>29</v>
      </c>
      <c r="G2989" s="1">
        <v>0.0</v>
      </c>
      <c r="H2989" s="2">
        <v>0.13402777777777777</v>
      </c>
    </row>
    <row r="2990">
      <c r="A2990" s="1" t="s">
        <v>2364</v>
      </c>
      <c r="B2990" s="1" t="s">
        <v>250</v>
      </c>
      <c r="C2990" s="1">
        <v>39.0</v>
      </c>
      <c r="D2990" s="1" t="s">
        <v>111</v>
      </c>
      <c r="E2990" s="1" t="s">
        <v>69</v>
      </c>
      <c r="F2990" s="1" t="s">
        <v>112</v>
      </c>
      <c r="G2990" s="1">
        <v>0.0</v>
      </c>
      <c r="H2990" s="2">
        <v>0.14930555555555555</v>
      </c>
    </row>
    <row r="2991">
      <c r="A2991" s="1" t="s">
        <v>2364</v>
      </c>
      <c r="B2991" s="1" t="s">
        <v>250</v>
      </c>
      <c r="C2991" s="1">
        <v>40.0</v>
      </c>
      <c r="D2991" s="1" t="s">
        <v>2374</v>
      </c>
      <c r="E2991" s="1" t="s">
        <v>2375</v>
      </c>
      <c r="F2991" s="1" t="s">
        <v>1209</v>
      </c>
      <c r="G2991" s="1">
        <v>1.0</v>
      </c>
      <c r="H2991" s="2">
        <v>0.12152777777777778</v>
      </c>
    </row>
    <row r="2992">
      <c r="A2992" s="1" t="s">
        <v>2364</v>
      </c>
      <c r="B2992" s="1" t="s">
        <v>250</v>
      </c>
      <c r="C2992" s="1">
        <v>41.0</v>
      </c>
      <c r="D2992" s="1" t="s">
        <v>1216</v>
      </c>
      <c r="E2992" s="1" t="s">
        <v>1217</v>
      </c>
      <c r="F2992" s="1" t="s">
        <v>1218</v>
      </c>
      <c r="G2992" s="1">
        <v>1.0</v>
      </c>
      <c r="H2992" s="2">
        <v>0.14583333333333334</v>
      </c>
    </row>
    <row r="2993">
      <c r="A2993" s="1" t="s">
        <v>2364</v>
      </c>
      <c r="B2993" s="1" t="s">
        <v>250</v>
      </c>
      <c r="C2993" s="1">
        <v>42.0</v>
      </c>
      <c r="D2993" s="1" t="s">
        <v>83</v>
      </c>
      <c r="E2993" s="1" t="s">
        <v>84</v>
      </c>
      <c r="F2993" s="1" t="s">
        <v>85</v>
      </c>
      <c r="G2993" s="1">
        <v>1.0</v>
      </c>
      <c r="H2993" s="2">
        <v>0.16875</v>
      </c>
    </row>
    <row r="2994">
      <c r="A2994" s="1" t="s">
        <v>2364</v>
      </c>
      <c r="B2994" s="1" t="s">
        <v>250</v>
      </c>
      <c r="C2994" s="1">
        <v>43.0</v>
      </c>
      <c r="D2994" s="1" t="s">
        <v>2376</v>
      </c>
      <c r="E2994" s="1" t="s">
        <v>2368</v>
      </c>
      <c r="F2994" s="1" t="s">
        <v>1209</v>
      </c>
      <c r="G2994" s="1">
        <v>1.0</v>
      </c>
      <c r="H2994" s="2">
        <v>0.12152777777777778</v>
      </c>
    </row>
    <row r="2995">
      <c r="A2995" s="1" t="s">
        <v>2364</v>
      </c>
      <c r="B2995" s="1" t="s">
        <v>250</v>
      </c>
      <c r="C2995" s="1">
        <v>44.0</v>
      </c>
      <c r="D2995" s="1" t="s">
        <v>50</v>
      </c>
      <c r="E2995" s="1" t="s">
        <v>51</v>
      </c>
      <c r="F2995" s="1" t="s">
        <v>52</v>
      </c>
      <c r="G2995" s="1">
        <v>0.0</v>
      </c>
      <c r="H2995" s="2">
        <v>0.14722222222222223</v>
      </c>
    </row>
    <row r="2996">
      <c r="A2996" s="1" t="s">
        <v>2364</v>
      </c>
      <c r="B2996" s="1" t="s">
        <v>250</v>
      </c>
      <c r="C2996" s="1">
        <v>45.0</v>
      </c>
      <c r="D2996" s="1" t="s">
        <v>222</v>
      </c>
      <c r="E2996" s="1" t="s">
        <v>223</v>
      </c>
      <c r="F2996" s="1" t="s">
        <v>222</v>
      </c>
      <c r="G2996" s="1">
        <v>0.0</v>
      </c>
      <c r="H2996" s="2">
        <v>0.13472222222222222</v>
      </c>
    </row>
    <row r="2997">
      <c r="A2997" s="1" t="s">
        <v>2364</v>
      </c>
      <c r="B2997" s="1" t="s">
        <v>250</v>
      </c>
      <c r="C2997" s="1">
        <v>46.0</v>
      </c>
      <c r="D2997" s="1" t="s">
        <v>101</v>
      </c>
      <c r="E2997" s="1" t="s">
        <v>102</v>
      </c>
      <c r="F2997" s="1" t="s">
        <v>103</v>
      </c>
      <c r="G2997" s="1">
        <v>1.0</v>
      </c>
      <c r="H2997" s="2">
        <v>0.16458333333333333</v>
      </c>
    </row>
    <row r="2998">
      <c r="A2998" s="1" t="s">
        <v>2364</v>
      </c>
      <c r="B2998" s="1" t="s">
        <v>250</v>
      </c>
      <c r="C2998" s="1">
        <v>47.0</v>
      </c>
      <c r="D2998" s="1" t="s">
        <v>1214</v>
      </c>
      <c r="E2998" s="1" t="s">
        <v>1215</v>
      </c>
      <c r="F2998" s="1" t="s">
        <v>1214</v>
      </c>
      <c r="G2998" s="1">
        <v>0.0</v>
      </c>
      <c r="H2998" s="2">
        <v>0.1388888888888889</v>
      </c>
    </row>
    <row r="2999">
      <c r="A2999" s="1" t="s">
        <v>2364</v>
      </c>
      <c r="B2999" s="1" t="s">
        <v>250</v>
      </c>
      <c r="C2999" s="1">
        <v>48.0</v>
      </c>
      <c r="D2999" s="1" t="s">
        <v>91</v>
      </c>
      <c r="E2999" s="1" t="s">
        <v>58</v>
      </c>
      <c r="F2999" s="1" t="s">
        <v>91</v>
      </c>
      <c r="G2999" s="1">
        <v>0.0</v>
      </c>
      <c r="H2999" s="2">
        <v>0.09305555555555556</v>
      </c>
    </row>
    <row r="3000">
      <c r="A3000" s="1" t="s">
        <v>2364</v>
      </c>
      <c r="B3000" s="1" t="s">
        <v>250</v>
      </c>
      <c r="C3000" s="1">
        <v>49.0</v>
      </c>
      <c r="D3000" s="1" t="s">
        <v>53</v>
      </c>
      <c r="E3000" s="1" t="s">
        <v>12</v>
      </c>
      <c r="F3000" s="1" t="s">
        <v>13</v>
      </c>
      <c r="G3000" s="1">
        <v>1.0</v>
      </c>
      <c r="H3000" s="2">
        <v>0.16458333333333333</v>
      </c>
    </row>
    <row r="3001">
      <c r="A3001" s="1" t="s">
        <v>2364</v>
      </c>
      <c r="B3001" s="1" t="s">
        <v>250</v>
      </c>
      <c r="C3001" s="1">
        <v>50.0</v>
      </c>
      <c r="D3001" s="1" t="s">
        <v>2377</v>
      </c>
      <c r="E3001" s="1" t="s">
        <v>2378</v>
      </c>
      <c r="F3001" s="1" t="s">
        <v>1209</v>
      </c>
      <c r="G3001" s="1">
        <v>1.0</v>
      </c>
      <c r="H3001" s="2">
        <v>0.14791666666666667</v>
      </c>
    </row>
    <row r="3002">
      <c r="A3002" s="1" t="s">
        <v>2379</v>
      </c>
      <c r="B3002" s="1" t="s">
        <v>484</v>
      </c>
      <c r="C3002" s="1">
        <v>1.0</v>
      </c>
      <c r="D3002" s="1" t="s">
        <v>14</v>
      </c>
      <c r="E3002" s="1" t="s">
        <v>15</v>
      </c>
      <c r="F3002" s="1" t="s">
        <v>16</v>
      </c>
      <c r="G3002" s="1">
        <v>1.0</v>
      </c>
      <c r="H3002" s="2">
        <v>0.12569444444444444</v>
      </c>
    </row>
    <row r="3003">
      <c r="A3003" s="1" t="s">
        <v>2379</v>
      </c>
      <c r="B3003" s="1" t="s">
        <v>484</v>
      </c>
      <c r="C3003" s="1">
        <v>2.0</v>
      </c>
      <c r="D3003" s="1" t="s">
        <v>9</v>
      </c>
      <c r="E3003" s="1" t="s">
        <v>10</v>
      </c>
      <c r="F3003" s="1" t="s">
        <v>9</v>
      </c>
      <c r="G3003" s="1">
        <v>0.0</v>
      </c>
      <c r="H3003" s="2">
        <v>0.12638888888888888</v>
      </c>
    </row>
    <row r="3004">
      <c r="A3004" s="1" t="s">
        <v>2379</v>
      </c>
      <c r="B3004" s="1" t="s">
        <v>484</v>
      </c>
      <c r="C3004" s="1">
        <v>3.0</v>
      </c>
      <c r="D3004" s="1" t="s">
        <v>25</v>
      </c>
      <c r="E3004" s="1" t="s">
        <v>26</v>
      </c>
      <c r="F3004" s="1" t="s">
        <v>25</v>
      </c>
      <c r="G3004" s="1">
        <v>1.0</v>
      </c>
      <c r="H3004" s="2">
        <v>0.11458333333333333</v>
      </c>
    </row>
    <row r="3005">
      <c r="A3005" s="1" t="s">
        <v>2379</v>
      </c>
      <c r="B3005" s="1" t="s">
        <v>484</v>
      </c>
      <c r="C3005" s="1">
        <v>4.0</v>
      </c>
      <c r="D3005" s="1" t="s">
        <v>11</v>
      </c>
      <c r="E3005" s="1" t="s">
        <v>12</v>
      </c>
      <c r="F3005" s="1" t="s">
        <v>13</v>
      </c>
      <c r="G3005" s="1">
        <v>0.0</v>
      </c>
      <c r="H3005" s="2">
        <v>0.1388888888888889</v>
      </c>
    </row>
    <row r="3006">
      <c r="A3006" s="1" t="s">
        <v>2379</v>
      </c>
      <c r="B3006" s="1" t="s">
        <v>484</v>
      </c>
      <c r="C3006" s="1">
        <v>5.0</v>
      </c>
      <c r="D3006" s="1" t="s">
        <v>38</v>
      </c>
      <c r="E3006" s="1" t="s">
        <v>39</v>
      </c>
      <c r="F3006" s="1" t="s">
        <v>40</v>
      </c>
      <c r="G3006" s="1">
        <v>1.0</v>
      </c>
      <c r="H3006" s="2">
        <v>0.1125</v>
      </c>
    </row>
    <row r="3007">
      <c r="A3007" s="1" t="s">
        <v>2379</v>
      </c>
      <c r="B3007" s="1" t="s">
        <v>484</v>
      </c>
      <c r="C3007" s="1">
        <v>6.0</v>
      </c>
      <c r="D3007" s="1" t="s">
        <v>20</v>
      </c>
      <c r="E3007" s="1" t="s">
        <v>21</v>
      </c>
      <c r="F3007" s="1" t="s">
        <v>22</v>
      </c>
      <c r="G3007" s="1">
        <v>1.0</v>
      </c>
      <c r="H3007" s="2">
        <v>0.17152777777777778</v>
      </c>
    </row>
    <row r="3008">
      <c r="A3008" s="1" t="s">
        <v>2379</v>
      </c>
      <c r="B3008" s="1" t="s">
        <v>484</v>
      </c>
      <c r="C3008" s="1">
        <v>7.0</v>
      </c>
      <c r="D3008" s="1" t="s">
        <v>41</v>
      </c>
      <c r="E3008" s="1" t="s">
        <v>42</v>
      </c>
      <c r="F3008" s="1" t="s">
        <v>43</v>
      </c>
      <c r="G3008" s="1">
        <v>1.0</v>
      </c>
      <c r="H3008" s="2">
        <v>0.1361111111111111</v>
      </c>
    </row>
    <row r="3009">
      <c r="A3009" s="1" t="s">
        <v>2379</v>
      </c>
      <c r="B3009" s="1" t="s">
        <v>484</v>
      </c>
      <c r="C3009" s="1">
        <v>8.0</v>
      </c>
      <c r="D3009" s="1" t="s">
        <v>78</v>
      </c>
      <c r="E3009" s="1" t="s">
        <v>79</v>
      </c>
      <c r="F3009" s="1" t="s">
        <v>78</v>
      </c>
      <c r="G3009" s="1">
        <v>0.0</v>
      </c>
      <c r="H3009" s="2">
        <v>0.10208333333333333</v>
      </c>
    </row>
    <row r="3010">
      <c r="A3010" s="1" t="s">
        <v>2379</v>
      </c>
      <c r="B3010" s="1" t="s">
        <v>484</v>
      </c>
      <c r="C3010" s="1">
        <v>9.0</v>
      </c>
      <c r="D3010" s="1" t="s">
        <v>17</v>
      </c>
      <c r="E3010" s="1" t="s">
        <v>18</v>
      </c>
      <c r="F3010" s="1" t="s">
        <v>19</v>
      </c>
      <c r="G3010" s="1">
        <v>1.0</v>
      </c>
      <c r="H3010" s="2">
        <v>0.12222222222222222</v>
      </c>
    </row>
    <row r="3011">
      <c r="A3011" s="1" t="s">
        <v>2379</v>
      </c>
      <c r="B3011" s="1" t="s">
        <v>484</v>
      </c>
      <c r="C3011" s="1">
        <v>10.0</v>
      </c>
      <c r="D3011" s="1" t="s">
        <v>63</v>
      </c>
      <c r="E3011" s="1" t="s">
        <v>64</v>
      </c>
      <c r="F3011" s="1" t="s">
        <v>63</v>
      </c>
      <c r="G3011" s="1">
        <v>1.0</v>
      </c>
      <c r="H3011" s="2">
        <v>0.16805555555555557</v>
      </c>
    </row>
    <row r="3012">
      <c r="A3012" s="1" t="s">
        <v>2379</v>
      </c>
      <c r="B3012" s="1" t="s">
        <v>484</v>
      </c>
      <c r="C3012" s="1">
        <v>11.0</v>
      </c>
      <c r="D3012" s="1" t="s">
        <v>88</v>
      </c>
      <c r="E3012" s="1" t="s">
        <v>89</v>
      </c>
      <c r="F3012" s="1" t="s">
        <v>90</v>
      </c>
      <c r="G3012" s="1">
        <v>1.0</v>
      </c>
      <c r="H3012" s="2">
        <v>0.09652777777777778</v>
      </c>
    </row>
    <row r="3013">
      <c r="A3013" s="1" t="s">
        <v>2379</v>
      </c>
      <c r="B3013" s="1" t="s">
        <v>484</v>
      </c>
      <c r="C3013" s="1">
        <v>12.0</v>
      </c>
      <c r="D3013" s="1" t="s">
        <v>487</v>
      </c>
      <c r="E3013" s="1" t="s">
        <v>488</v>
      </c>
      <c r="F3013" s="1" t="s">
        <v>489</v>
      </c>
      <c r="G3013" s="1">
        <v>1.0</v>
      </c>
      <c r="H3013" s="2">
        <v>0.13680555555555557</v>
      </c>
    </row>
    <row r="3014">
      <c r="A3014" s="1" t="s">
        <v>2379</v>
      </c>
      <c r="B3014" s="1" t="s">
        <v>484</v>
      </c>
      <c r="C3014" s="1">
        <v>13.0</v>
      </c>
      <c r="D3014" s="1" t="s">
        <v>36</v>
      </c>
      <c r="E3014" s="1" t="s">
        <v>37</v>
      </c>
      <c r="F3014" s="1" t="s">
        <v>36</v>
      </c>
      <c r="G3014" s="1">
        <v>1.0</v>
      </c>
      <c r="H3014" s="2">
        <v>0.09166666666666666</v>
      </c>
    </row>
    <row r="3015">
      <c r="A3015" s="1" t="s">
        <v>2379</v>
      </c>
      <c r="B3015" s="1" t="s">
        <v>484</v>
      </c>
      <c r="C3015" s="1">
        <v>14.0</v>
      </c>
      <c r="D3015" s="1" t="s">
        <v>492</v>
      </c>
      <c r="E3015" s="1" t="s">
        <v>493</v>
      </c>
      <c r="F3015" s="1" t="s">
        <v>489</v>
      </c>
      <c r="G3015" s="1">
        <v>1.0</v>
      </c>
      <c r="H3015" s="2">
        <v>0.13680555555555557</v>
      </c>
    </row>
    <row r="3016">
      <c r="A3016" s="1" t="s">
        <v>2379</v>
      </c>
      <c r="B3016" s="1" t="s">
        <v>484</v>
      </c>
      <c r="C3016" s="1">
        <v>15.0</v>
      </c>
      <c r="D3016" s="1" t="s">
        <v>115</v>
      </c>
      <c r="E3016" s="1" t="s">
        <v>116</v>
      </c>
      <c r="F3016" s="1" t="s">
        <v>117</v>
      </c>
      <c r="G3016" s="1">
        <v>1.0</v>
      </c>
      <c r="H3016" s="2">
        <v>0.11597222222222223</v>
      </c>
    </row>
    <row r="3017">
      <c r="A3017" s="1" t="s">
        <v>2379</v>
      </c>
      <c r="B3017" s="1" t="s">
        <v>484</v>
      </c>
      <c r="C3017" s="1">
        <v>16.0</v>
      </c>
      <c r="D3017" s="1" t="s">
        <v>30</v>
      </c>
      <c r="E3017" s="1" t="s">
        <v>31</v>
      </c>
      <c r="F3017" s="1" t="s">
        <v>32</v>
      </c>
      <c r="G3017" s="1">
        <v>0.0</v>
      </c>
      <c r="H3017" s="2">
        <v>0.15833333333333333</v>
      </c>
    </row>
    <row r="3018">
      <c r="A3018" s="1" t="s">
        <v>2379</v>
      </c>
      <c r="B3018" s="1" t="s">
        <v>484</v>
      </c>
      <c r="C3018" s="1">
        <v>17.0</v>
      </c>
      <c r="D3018" s="1" t="s">
        <v>101</v>
      </c>
      <c r="E3018" s="1" t="s">
        <v>102</v>
      </c>
      <c r="F3018" s="1" t="s">
        <v>103</v>
      </c>
      <c r="G3018" s="1">
        <v>1.0</v>
      </c>
      <c r="H3018" s="2">
        <v>0.16458333333333333</v>
      </c>
    </row>
    <row r="3019">
      <c r="A3019" s="1" t="s">
        <v>2379</v>
      </c>
      <c r="B3019" s="1" t="s">
        <v>484</v>
      </c>
      <c r="C3019" s="1">
        <v>18.0</v>
      </c>
      <c r="D3019" s="1" t="s">
        <v>485</v>
      </c>
      <c r="E3019" s="1" t="s">
        <v>486</v>
      </c>
      <c r="F3019" s="1" t="s">
        <v>485</v>
      </c>
      <c r="G3019" s="1">
        <v>1.0</v>
      </c>
      <c r="H3019" s="2">
        <v>0.12013888888888889</v>
      </c>
    </row>
    <row r="3020">
      <c r="A3020" s="1" t="s">
        <v>2379</v>
      </c>
      <c r="B3020" s="1" t="s">
        <v>484</v>
      </c>
      <c r="C3020" s="1">
        <v>19.0</v>
      </c>
      <c r="D3020" s="1" t="s">
        <v>233</v>
      </c>
      <c r="E3020" s="1" t="s">
        <v>234</v>
      </c>
      <c r="F3020" s="1" t="s">
        <v>233</v>
      </c>
      <c r="G3020" s="1">
        <v>1.0</v>
      </c>
      <c r="H3020" s="2">
        <v>0.16875</v>
      </c>
    </row>
    <row r="3021">
      <c r="A3021" s="1" t="s">
        <v>2379</v>
      </c>
      <c r="B3021" s="1" t="s">
        <v>484</v>
      </c>
      <c r="C3021" s="1">
        <v>20.0</v>
      </c>
      <c r="D3021" s="1" t="s">
        <v>23</v>
      </c>
      <c r="E3021" s="1" t="s">
        <v>24</v>
      </c>
      <c r="F3021" s="1" t="s">
        <v>23</v>
      </c>
      <c r="G3021" s="1">
        <v>0.0</v>
      </c>
      <c r="H3021" s="2">
        <v>0.12013888888888889</v>
      </c>
    </row>
    <row r="3022">
      <c r="A3022" s="1" t="s">
        <v>2379</v>
      </c>
      <c r="B3022" s="1" t="s">
        <v>484</v>
      </c>
      <c r="C3022" s="1">
        <v>21.0</v>
      </c>
      <c r="D3022" s="1" t="s">
        <v>54</v>
      </c>
      <c r="E3022" s="1" t="s">
        <v>55</v>
      </c>
      <c r="F3022" s="1" t="s">
        <v>56</v>
      </c>
      <c r="G3022" s="1">
        <v>0.0</v>
      </c>
      <c r="H3022" s="2">
        <v>0.10972222222222222</v>
      </c>
    </row>
    <row r="3023">
      <c r="A3023" s="1" t="s">
        <v>2379</v>
      </c>
      <c r="B3023" s="1" t="s">
        <v>484</v>
      </c>
      <c r="C3023" s="1">
        <v>22.0</v>
      </c>
      <c r="D3023" s="1" t="s">
        <v>76</v>
      </c>
      <c r="E3023" s="1" t="s">
        <v>77</v>
      </c>
      <c r="F3023" s="1" t="s">
        <v>76</v>
      </c>
      <c r="G3023" s="1">
        <v>1.0</v>
      </c>
      <c r="H3023" s="2">
        <v>0.14305555555555555</v>
      </c>
    </row>
    <row r="3024">
      <c r="A3024" s="1" t="s">
        <v>2379</v>
      </c>
      <c r="B3024" s="1" t="s">
        <v>484</v>
      </c>
      <c r="C3024" s="1">
        <v>23.0</v>
      </c>
      <c r="D3024" s="1" t="s">
        <v>2380</v>
      </c>
      <c r="E3024" s="1" t="s">
        <v>2381</v>
      </c>
      <c r="F3024" s="1" t="s">
        <v>2382</v>
      </c>
      <c r="G3024" s="1">
        <v>1.0</v>
      </c>
      <c r="H3024" s="2">
        <v>0.11319444444444444</v>
      </c>
    </row>
    <row r="3025">
      <c r="A3025" s="1" t="s">
        <v>2379</v>
      </c>
      <c r="B3025" s="1" t="s">
        <v>484</v>
      </c>
      <c r="C3025" s="1">
        <v>24.0</v>
      </c>
      <c r="D3025" s="1" t="s">
        <v>73</v>
      </c>
      <c r="E3025" s="1" t="s">
        <v>74</v>
      </c>
      <c r="F3025" s="1" t="s">
        <v>75</v>
      </c>
      <c r="G3025" s="1">
        <v>0.0</v>
      </c>
      <c r="H3025" s="2">
        <v>0.14930555555555555</v>
      </c>
    </row>
    <row r="3026">
      <c r="A3026" s="1" t="s">
        <v>2379</v>
      </c>
      <c r="B3026" s="1" t="s">
        <v>484</v>
      </c>
      <c r="C3026" s="1">
        <v>25.0</v>
      </c>
      <c r="D3026" s="1" t="s">
        <v>50</v>
      </c>
      <c r="E3026" s="1" t="s">
        <v>51</v>
      </c>
      <c r="F3026" s="1" t="s">
        <v>52</v>
      </c>
      <c r="G3026" s="1">
        <v>0.0</v>
      </c>
      <c r="H3026" s="2">
        <v>0.14722222222222223</v>
      </c>
    </row>
    <row r="3027">
      <c r="A3027" s="1" t="s">
        <v>2379</v>
      </c>
      <c r="B3027" s="1" t="s">
        <v>484</v>
      </c>
      <c r="C3027" s="1">
        <v>26.0</v>
      </c>
      <c r="D3027" s="1" t="s">
        <v>27</v>
      </c>
      <c r="E3027" s="1" t="s">
        <v>28</v>
      </c>
      <c r="F3027" s="1" t="s">
        <v>29</v>
      </c>
      <c r="G3027" s="1">
        <v>0.0</v>
      </c>
      <c r="H3027" s="2">
        <v>0.12708333333333333</v>
      </c>
    </row>
    <row r="3028">
      <c r="A3028" s="1" t="s">
        <v>2379</v>
      </c>
      <c r="B3028" s="1" t="s">
        <v>484</v>
      </c>
      <c r="C3028" s="1">
        <v>27.0</v>
      </c>
      <c r="D3028" s="1" t="s">
        <v>53</v>
      </c>
      <c r="E3028" s="1" t="s">
        <v>12</v>
      </c>
      <c r="F3028" s="1" t="s">
        <v>13</v>
      </c>
      <c r="G3028" s="1">
        <v>1.0</v>
      </c>
      <c r="H3028" s="2">
        <v>0.16458333333333333</v>
      </c>
    </row>
    <row r="3029">
      <c r="A3029" s="1" t="s">
        <v>2379</v>
      </c>
      <c r="B3029" s="1" t="s">
        <v>484</v>
      </c>
      <c r="C3029" s="1">
        <v>28.0</v>
      </c>
      <c r="D3029" s="1" t="s">
        <v>80</v>
      </c>
      <c r="E3029" s="1" t="s">
        <v>81</v>
      </c>
      <c r="F3029" s="1" t="s">
        <v>82</v>
      </c>
      <c r="G3029" s="1">
        <v>0.0</v>
      </c>
      <c r="H3029" s="2">
        <v>0.12083333333333333</v>
      </c>
    </row>
    <row r="3030">
      <c r="A3030" s="1" t="s">
        <v>2379</v>
      </c>
      <c r="B3030" s="1" t="s">
        <v>484</v>
      </c>
      <c r="C3030" s="1">
        <v>29.0</v>
      </c>
      <c r="D3030" s="1" t="s">
        <v>490</v>
      </c>
      <c r="E3030" s="1" t="s">
        <v>491</v>
      </c>
      <c r="F3030" s="1" t="s">
        <v>22</v>
      </c>
      <c r="G3030" s="1">
        <v>1.0</v>
      </c>
      <c r="H3030" s="2">
        <v>0.1527777777777778</v>
      </c>
    </row>
    <row r="3031">
      <c r="A3031" s="1" t="s">
        <v>2379</v>
      </c>
      <c r="B3031" s="1" t="s">
        <v>484</v>
      </c>
      <c r="C3031" s="1">
        <v>30.0</v>
      </c>
      <c r="D3031" s="1" t="s">
        <v>489</v>
      </c>
      <c r="E3031" s="1" t="s">
        <v>496</v>
      </c>
      <c r="F3031" s="1" t="s">
        <v>489</v>
      </c>
      <c r="G3031" s="1">
        <v>1.0</v>
      </c>
      <c r="H3031" s="2">
        <v>0.10972222222222222</v>
      </c>
    </row>
    <row r="3032">
      <c r="A3032" s="1" t="s">
        <v>2379</v>
      </c>
      <c r="B3032" s="1" t="s">
        <v>484</v>
      </c>
      <c r="C3032" s="1">
        <v>31.0</v>
      </c>
      <c r="D3032" s="1" t="s">
        <v>92</v>
      </c>
      <c r="E3032" s="1" t="s">
        <v>93</v>
      </c>
      <c r="F3032" s="1" t="s">
        <v>92</v>
      </c>
      <c r="G3032" s="1">
        <v>1.0</v>
      </c>
      <c r="H3032" s="2">
        <v>0.11319444444444444</v>
      </c>
    </row>
    <row r="3033">
      <c r="A3033" s="1" t="s">
        <v>2379</v>
      </c>
      <c r="B3033" s="1" t="s">
        <v>484</v>
      </c>
      <c r="C3033" s="1">
        <v>32.0</v>
      </c>
      <c r="D3033" s="1" t="s">
        <v>47</v>
      </c>
      <c r="E3033" s="1" t="s">
        <v>48</v>
      </c>
      <c r="F3033" s="1" t="s">
        <v>49</v>
      </c>
      <c r="G3033" s="1">
        <v>1.0</v>
      </c>
      <c r="H3033" s="2">
        <v>0.15486111111111112</v>
      </c>
    </row>
    <row r="3034">
      <c r="A3034" s="1" t="s">
        <v>2379</v>
      </c>
      <c r="B3034" s="1" t="s">
        <v>484</v>
      </c>
      <c r="C3034" s="1">
        <v>33.0</v>
      </c>
      <c r="D3034" s="1" t="s">
        <v>57</v>
      </c>
      <c r="E3034" s="1" t="s">
        <v>58</v>
      </c>
      <c r="F3034" s="1" t="s">
        <v>59</v>
      </c>
      <c r="G3034" s="1">
        <v>1.0</v>
      </c>
      <c r="H3034" s="2">
        <v>0.16458333333333333</v>
      </c>
    </row>
    <row r="3035">
      <c r="A3035" s="1" t="s">
        <v>2379</v>
      </c>
      <c r="B3035" s="1" t="s">
        <v>484</v>
      </c>
      <c r="C3035" s="1">
        <v>34.0</v>
      </c>
      <c r="D3035" s="1" t="s">
        <v>60</v>
      </c>
      <c r="E3035" s="1" t="s">
        <v>61</v>
      </c>
      <c r="F3035" s="1" t="s">
        <v>62</v>
      </c>
      <c r="G3035" s="1">
        <v>0.0</v>
      </c>
      <c r="H3035" s="2">
        <v>0.11041666666666666</v>
      </c>
    </row>
    <row r="3036">
      <c r="A3036" s="1" t="s">
        <v>2379</v>
      </c>
      <c r="B3036" s="1" t="s">
        <v>484</v>
      </c>
      <c r="C3036" s="1">
        <v>35.0</v>
      </c>
      <c r="D3036" s="1" t="s">
        <v>83</v>
      </c>
      <c r="E3036" s="1" t="s">
        <v>84</v>
      </c>
      <c r="F3036" s="1" t="s">
        <v>85</v>
      </c>
      <c r="G3036" s="1">
        <v>1.0</v>
      </c>
      <c r="H3036" s="2">
        <v>0.16875</v>
      </c>
    </row>
    <row r="3037">
      <c r="A3037" s="1" t="s">
        <v>2379</v>
      </c>
      <c r="B3037" s="1" t="s">
        <v>484</v>
      </c>
      <c r="C3037" s="1">
        <v>36.0</v>
      </c>
      <c r="D3037" s="1" t="s">
        <v>99</v>
      </c>
      <c r="E3037" s="1" t="s">
        <v>100</v>
      </c>
      <c r="F3037" s="1" t="s">
        <v>99</v>
      </c>
      <c r="G3037" s="1">
        <v>0.0</v>
      </c>
      <c r="H3037" s="2">
        <v>0.11944444444444445</v>
      </c>
    </row>
    <row r="3038">
      <c r="A3038" s="1" t="s">
        <v>2379</v>
      </c>
      <c r="B3038" s="1" t="s">
        <v>484</v>
      </c>
      <c r="C3038" s="1">
        <v>37.0</v>
      </c>
      <c r="D3038" s="1" t="s">
        <v>494</v>
      </c>
      <c r="E3038" s="1" t="s">
        <v>495</v>
      </c>
      <c r="F3038" s="1" t="s">
        <v>75</v>
      </c>
      <c r="G3038" s="1">
        <v>0.0</v>
      </c>
      <c r="H3038" s="2">
        <v>0.10902777777777778</v>
      </c>
    </row>
    <row r="3039">
      <c r="A3039" s="1" t="s">
        <v>2379</v>
      </c>
      <c r="B3039" s="1" t="s">
        <v>484</v>
      </c>
      <c r="C3039" s="1">
        <v>38.0</v>
      </c>
      <c r="D3039" s="1" t="s">
        <v>104</v>
      </c>
      <c r="E3039" s="1" t="s">
        <v>84</v>
      </c>
      <c r="F3039" s="1" t="s">
        <v>104</v>
      </c>
      <c r="G3039" s="1">
        <v>1.0</v>
      </c>
      <c r="H3039" s="2">
        <v>0.12152777777777778</v>
      </c>
    </row>
    <row r="3040">
      <c r="A3040" s="1" t="s">
        <v>2379</v>
      </c>
      <c r="B3040" s="1" t="s">
        <v>484</v>
      </c>
      <c r="C3040" s="1">
        <v>39.0</v>
      </c>
      <c r="D3040" s="1" t="s">
        <v>46</v>
      </c>
      <c r="E3040" s="1" t="s">
        <v>28</v>
      </c>
      <c r="F3040" s="1" t="s">
        <v>29</v>
      </c>
      <c r="G3040" s="1">
        <v>0.0</v>
      </c>
      <c r="H3040" s="2">
        <v>0.15347222222222223</v>
      </c>
    </row>
    <row r="3041">
      <c r="A3041" s="1" t="s">
        <v>2379</v>
      </c>
      <c r="B3041" s="1" t="s">
        <v>484</v>
      </c>
      <c r="C3041" s="1">
        <v>40.0</v>
      </c>
      <c r="D3041" s="1" t="s">
        <v>107</v>
      </c>
      <c r="E3041" s="1" t="s">
        <v>81</v>
      </c>
      <c r="F3041" s="1" t="s">
        <v>82</v>
      </c>
      <c r="G3041" s="1">
        <v>0.0</v>
      </c>
      <c r="H3041" s="2">
        <v>0.14375</v>
      </c>
    </row>
    <row r="3042">
      <c r="A3042" s="1" t="s">
        <v>2379</v>
      </c>
      <c r="B3042" s="1" t="s">
        <v>484</v>
      </c>
      <c r="C3042" s="1">
        <v>41.0</v>
      </c>
      <c r="D3042" s="1" t="s">
        <v>94</v>
      </c>
      <c r="E3042" s="1" t="s">
        <v>84</v>
      </c>
      <c r="F3042" s="1" t="s">
        <v>95</v>
      </c>
      <c r="G3042" s="1">
        <v>1.0</v>
      </c>
      <c r="H3042" s="2">
        <v>0.21666666666666667</v>
      </c>
    </row>
    <row r="3043">
      <c r="A3043" s="1" t="s">
        <v>2379</v>
      </c>
      <c r="B3043" s="1" t="s">
        <v>484</v>
      </c>
      <c r="C3043" s="1">
        <v>42.0</v>
      </c>
      <c r="D3043" s="1" t="s">
        <v>2383</v>
      </c>
      <c r="E3043" s="1" t="s">
        <v>2384</v>
      </c>
      <c r="F3043" s="1" t="s">
        <v>489</v>
      </c>
      <c r="G3043" s="1">
        <v>1.0</v>
      </c>
      <c r="H3043" s="2">
        <v>0.11736111111111111</v>
      </c>
    </row>
    <row r="3044">
      <c r="A3044" s="1" t="s">
        <v>2379</v>
      </c>
      <c r="B3044" s="1" t="s">
        <v>484</v>
      </c>
      <c r="C3044" s="1">
        <v>43.0</v>
      </c>
      <c r="D3044" s="1" t="s">
        <v>2385</v>
      </c>
      <c r="E3044" s="1" t="s">
        <v>2386</v>
      </c>
      <c r="F3044" s="1" t="s">
        <v>2387</v>
      </c>
      <c r="G3044" s="1">
        <v>1.0</v>
      </c>
      <c r="H3044" s="2">
        <v>0.11180555555555556</v>
      </c>
    </row>
    <row r="3045">
      <c r="A3045" s="1" t="s">
        <v>2379</v>
      </c>
      <c r="B3045" s="1" t="s">
        <v>484</v>
      </c>
      <c r="C3045" s="1">
        <v>44.0</v>
      </c>
      <c r="D3045" s="1" t="s">
        <v>96</v>
      </c>
      <c r="E3045" s="1" t="s">
        <v>97</v>
      </c>
      <c r="F3045" s="1" t="s">
        <v>98</v>
      </c>
      <c r="G3045" s="1">
        <v>1.0</v>
      </c>
      <c r="H3045" s="2">
        <v>0.12430555555555556</v>
      </c>
    </row>
    <row r="3046">
      <c r="A3046" s="1" t="s">
        <v>2379</v>
      </c>
      <c r="B3046" s="1" t="s">
        <v>484</v>
      </c>
      <c r="C3046" s="1">
        <v>45.0</v>
      </c>
      <c r="D3046" s="1" t="s">
        <v>2388</v>
      </c>
      <c r="E3046" s="1" t="s">
        <v>2389</v>
      </c>
      <c r="F3046" s="1" t="s">
        <v>2390</v>
      </c>
      <c r="G3046" s="1">
        <v>1.0</v>
      </c>
      <c r="H3046" s="2">
        <v>0.125</v>
      </c>
    </row>
    <row r="3047">
      <c r="A3047" s="1" t="s">
        <v>2379</v>
      </c>
      <c r="B3047" s="1" t="s">
        <v>484</v>
      </c>
      <c r="C3047" s="1">
        <v>46.0</v>
      </c>
      <c r="D3047" s="1" t="s">
        <v>44</v>
      </c>
      <c r="E3047" s="1" t="s">
        <v>45</v>
      </c>
      <c r="F3047" s="1" t="s">
        <v>44</v>
      </c>
      <c r="G3047" s="1">
        <v>0.0</v>
      </c>
      <c r="H3047" s="2">
        <v>0.12222222222222222</v>
      </c>
    </row>
    <row r="3048">
      <c r="A3048" s="1" t="s">
        <v>2379</v>
      </c>
      <c r="B3048" s="1" t="s">
        <v>484</v>
      </c>
      <c r="C3048" s="1">
        <v>47.0</v>
      </c>
      <c r="D3048" s="1" t="s">
        <v>2391</v>
      </c>
      <c r="E3048" s="1" t="s">
        <v>2392</v>
      </c>
      <c r="F3048" s="1" t="s">
        <v>103</v>
      </c>
      <c r="G3048" s="1">
        <v>1.0</v>
      </c>
      <c r="H3048" s="2">
        <v>0.1423611111111111</v>
      </c>
    </row>
    <row r="3049">
      <c r="A3049" s="1" t="s">
        <v>2379</v>
      </c>
      <c r="B3049" s="1" t="s">
        <v>484</v>
      </c>
      <c r="C3049" s="1">
        <v>48.0</v>
      </c>
      <c r="D3049" s="1" t="s">
        <v>1506</v>
      </c>
      <c r="E3049" s="1" t="s">
        <v>1507</v>
      </c>
      <c r="F3049" s="1" t="s">
        <v>1506</v>
      </c>
      <c r="G3049" s="1">
        <v>1.0</v>
      </c>
      <c r="H3049" s="2">
        <v>0.1284722222222222</v>
      </c>
    </row>
    <row r="3050">
      <c r="A3050" s="1" t="s">
        <v>2379</v>
      </c>
      <c r="B3050" s="1" t="s">
        <v>484</v>
      </c>
      <c r="C3050" s="1">
        <v>49.0</v>
      </c>
      <c r="D3050" s="1" t="s">
        <v>2393</v>
      </c>
      <c r="E3050" s="1" t="s">
        <v>2394</v>
      </c>
      <c r="F3050" s="1" t="s">
        <v>43</v>
      </c>
      <c r="G3050" s="1">
        <v>1.0</v>
      </c>
      <c r="H3050" s="2">
        <v>0.1527777777777778</v>
      </c>
    </row>
    <row r="3051">
      <c r="A3051" s="1" t="s">
        <v>2379</v>
      </c>
      <c r="B3051" s="1" t="s">
        <v>484</v>
      </c>
      <c r="C3051" s="1">
        <v>50.0</v>
      </c>
      <c r="D3051" s="1" t="s">
        <v>2395</v>
      </c>
      <c r="E3051" s="1" t="s">
        <v>2396</v>
      </c>
      <c r="F3051" s="1" t="s">
        <v>2397</v>
      </c>
      <c r="G3051" s="1">
        <v>1.0</v>
      </c>
      <c r="H3051" s="2">
        <v>0.15555555555555556</v>
      </c>
    </row>
    <row r="3052">
      <c r="A3052" s="1" t="s">
        <v>2398</v>
      </c>
      <c r="B3052" s="1" t="s">
        <v>133</v>
      </c>
      <c r="C3052" s="1">
        <v>1.0</v>
      </c>
      <c r="D3052" s="1" t="s">
        <v>129</v>
      </c>
      <c r="E3052" s="1" t="s">
        <v>130</v>
      </c>
      <c r="F3052" s="1" t="s">
        <v>131</v>
      </c>
      <c r="G3052" s="1">
        <v>0.0</v>
      </c>
      <c r="H3052" s="2">
        <v>0.1451388888888889</v>
      </c>
    </row>
    <row r="3053">
      <c r="A3053" s="1" t="s">
        <v>2398</v>
      </c>
      <c r="B3053" s="1" t="s">
        <v>133</v>
      </c>
      <c r="C3053" s="1">
        <v>2.0</v>
      </c>
      <c r="D3053" s="1" t="s">
        <v>136</v>
      </c>
      <c r="E3053" s="1" t="s">
        <v>137</v>
      </c>
      <c r="F3053" s="1" t="s">
        <v>138</v>
      </c>
      <c r="G3053" s="1">
        <v>0.0</v>
      </c>
      <c r="H3053" s="2">
        <v>0.16111111111111112</v>
      </c>
    </row>
    <row r="3054">
      <c r="A3054" s="1" t="s">
        <v>2398</v>
      </c>
      <c r="B3054" s="1" t="s">
        <v>133</v>
      </c>
      <c r="C3054" s="1">
        <v>3.0</v>
      </c>
      <c r="D3054" s="1" t="s">
        <v>71</v>
      </c>
      <c r="E3054" s="1" t="s">
        <v>72</v>
      </c>
      <c r="F3054" s="1" t="s">
        <v>67</v>
      </c>
      <c r="G3054" s="1">
        <v>0.0</v>
      </c>
      <c r="H3054" s="2">
        <v>0.11944444444444445</v>
      </c>
    </row>
    <row r="3055">
      <c r="A3055" s="1" t="s">
        <v>2398</v>
      </c>
      <c r="B3055" s="1" t="s">
        <v>133</v>
      </c>
      <c r="C3055" s="1">
        <v>4.0</v>
      </c>
      <c r="D3055" s="1" t="s">
        <v>108</v>
      </c>
      <c r="E3055" s="1" t="s">
        <v>109</v>
      </c>
      <c r="F3055" s="1" t="s">
        <v>110</v>
      </c>
      <c r="G3055" s="1">
        <v>0.0</v>
      </c>
      <c r="H3055" s="2">
        <v>0.10416666666666667</v>
      </c>
    </row>
    <row r="3056">
      <c r="A3056" s="1" t="s">
        <v>2398</v>
      </c>
      <c r="B3056" s="1" t="s">
        <v>133</v>
      </c>
      <c r="C3056" s="1">
        <v>5.0</v>
      </c>
      <c r="D3056" s="1" t="s">
        <v>141</v>
      </c>
      <c r="E3056" s="1" t="s">
        <v>142</v>
      </c>
      <c r="F3056" s="1" t="s">
        <v>141</v>
      </c>
      <c r="G3056" s="1">
        <v>0.0</v>
      </c>
      <c r="H3056" s="2">
        <v>0.13680555555555557</v>
      </c>
    </row>
    <row r="3057">
      <c r="A3057" s="1" t="s">
        <v>2398</v>
      </c>
      <c r="B3057" s="1" t="s">
        <v>133</v>
      </c>
      <c r="C3057" s="1">
        <v>6.0</v>
      </c>
      <c r="D3057" s="1" t="s">
        <v>134</v>
      </c>
      <c r="E3057" s="1" t="s">
        <v>135</v>
      </c>
      <c r="F3057" s="1" t="s">
        <v>134</v>
      </c>
      <c r="G3057" s="1">
        <v>1.0</v>
      </c>
      <c r="H3057" s="2">
        <v>0.12430555555555556</v>
      </c>
    </row>
    <row r="3058">
      <c r="A3058" s="1" t="s">
        <v>2398</v>
      </c>
      <c r="B3058" s="1" t="s">
        <v>133</v>
      </c>
      <c r="C3058" s="1">
        <v>7.0</v>
      </c>
      <c r="D3058" s="1" t="s">
        <v>65</v>
      </c>
      <c r="E3058" s="1" t="s">
        <v>66</v>
      </c>
      <c r="F3058" s="1" t="s">
        <v>67</v>
      </c>
      <c r="G3058" s="1">
        <v>1.0</v>
      </c>
      <c r="H3058" s="2">
        <v>0.2048611111111111</v>
      </c>
    </row>
    <row r="3059">
      <c r="A3059" s="1" t="s">
        <v>2398</v>
      </c>
      <c r="B3059" s="1" t="s">
        <v>133</v>
      </c>
      <c r="C3059" s="1">
        <v>8.0</v>
      </c>
      <c r="D3059" s="1" t="s">
        <v>143</v>
      </c>
      <c r="E3059" s="1" t="s">
        <v>144</v>
      </c>
      <c r="F3059" s="1" t="s">
        <v>143</v>
      </c>
      <c r="G3059" s="1">
        <v>0.0</v>
      </c>
      <c r="H3059" s="2">
        <v>0.14027777777777778</v>
      </c>
    </row>
    <row r="3060">
      <c r="A3060" s="1" t="s">
        <v>2398</v>
      </c>
      <c r="B3060" s="1" t="s">
        <v>133</v>
      </c>
      <c r="C3060" s="1">
        <v>9.0</v>
      </c>
      <c r="D3060" s="1" t="s">
        <v>154</v>
      </c>
      <c r="E3060" s="1" t="s">
        <v>155</v>
      </c>
      <c r="F3060" s="1" t="s">
        <v>156</v>
      </c>
      <c r="G3060" s="1">
        <v>1.0</v>
      </c>
      <c r="H3060" s="2">
        <v>0.23958333333333334</v>
      </c>
    </row>
    <row r="3061">
      <c r="A3061" s="1" t="s">
        <v>2398</v>
      </c>
      <c r="B3061" s="1" t="s">
        <v>133</v>
      </c>
      <c r="C3061" s="1">
        <v>10.0</v>
      </c>
      <c r="D3061" s="1" t="s">
        <v>157</v>
      </c>
      <c r="E3061" s="1" t="s">
        <v>158</v>
      </c>
      <c r="F3061" s="1" t="s">
        <v>159</v>
      </c>
      <c r="G3061" s="1">
        <v>0.0</v>
      </c>
      <c r="H3061" s="2">
        <v>0.12777777777777777</v>
      </c>
    </row>
    <row r="3062">
      <c r="A3062" s="1" t="s">
        <v>2398</v>
      </c>
      <c r="B3062" s="1" t="s">
        <v>133</v>
      </c>
      <c r="C3062" s="1">
        <v>11.0</v>
      </c>
      <c r="D3062" s="1" t="s">
        <v>131</v>
      </c>
      <c r="E3062" s="1" t="s">
        <v>150</v>
      </c>
      <c r="F3062" s="1" t="s">
        <v>131</v>
      </c>
      <c r="G3062" s="1">
        <v>0.0</v>
      </c>
      <c r="H3062" s="2">
        <v>0.12638888888888888</v>
      </c>
    </row>
    <row r="3063">
      <c r="A3063" s="1" t="s">
        <v>2398</v>
      </c>
      <c r="B3063" s="1" t="s">
        <v>133</v>
      </c>
      <c r="C3063" s="1">
        <v>12.0</v>
      </c>
      <c r="D3063" s="1" t="s">
        <v>86</v>
      </c>
      <c r="E3063" s="1" t="s">
        <v>87</v>
      </c>
      <c r="F3063" s="1" t="s">
        <v>86</v>
      </c>
      <c r="G3063" s="1">
        <v>0.0</v>
      </c>
      <c r="H3063" s="2">
        <v>0.1388888888888889</v>
      </c>
    </row>
    <row r="3064">
      <c r="A3064" s="1" t="s">
        <v>2398</v>
      </c>
      <c r="B3064" s="1" t="s">
        <v>133</v>
      </c>
      <c r="C3064" s="1">
        <v>13.0</v>
      </c>
      <c r="D3064" s="1" t="s">
        <v>145</v>
      </c>
      <c r="E3064" s="1" t="s">
        <v>146</v>
      </c>
      <c r="F3064" s="1" t="s">
        <v>145</v>
      </c>
      <c r="G3064" s="1">
        <v>0.0</v>
      </c>
      <c r="H3064" s="2">
        <v>0.15625</v>
      </c>
    </row>
    <row r="3065">
      <c r="A3065" s="1" t="s">
        <v>2398</v>
      </c>
      <c r="B3065" s="1" t="s">
        <v>133</v>
      </c>
      <c r="C3065" s="1">
        <v>14.0</v>
      </c>
      <c r="D3065" s="1" t="s">
        <v>139</v>
      </c>
      <c r="E3065" s="1" t="s">
        <v>140</v>
      </c>
      <c r="F3065" s="1" t="s">
        <v>139</v>
      </c>
      <c r="G3065" s="1">
        <v>0.0</v>
      </c>
      <c r="H3065" s="2">
        <v>0.10138888888888889</v>
      </c>
    </row>
    <row r="3066">
      <c r="A3066" s="1" t="s">
        <v>2398</v>
      </c>
      <c r="B3066" s="1" t="s">
        <v>133</v>
      </c>
      <c r="C3066" s="1">
        <v>15.0</v>
      </c>
      <c r="D3066" s="1" t="s">
        <v>151</v>
      </c>
      <c r="E3066" s="1" t="s">
        <v>152</v>
      </c>
      <c r="F3066" s="1" t="s">
        <v>153</v>
      </c>
      <c r="G3066" s="1">
        <v>1.0</v>
      </c>
      <c r="H3066" s="2">
        <v>0.1486111111111111</v>
      </c>
    </row>
    <row r="3067">
      <c r="A3067" s="1" t="s">
        <v>2398</v>
      </c>
      <c r="B3067" s="1" t="s">
        <v>133</v>
      </c>
      <c r="C3067" s="1">
        <v>16.0</v>
      </c>
      <c r="D3067" s="1" t="s">
        <v>147</v>
      </c>
      <c r="E3067" s="1" t="s">
        <v>148</v>
      </c>
      <c r="F3067" s="1" t="s">
        <v>149</v>
      </c>
      <c r="G3067" s="1">
        <v>0.0</v>
      </c>
      <c r="H3067" s="2">
        <v>0.17291666666666666</v>
      </c>
    </row>
    <row r="3068">
      <c r="A3068" s="1" t="s">
        <v>2398</v>
      </c>
      <c r="B3068" s="1" t="s">
        <v>133</v>
      </c>
      <c r="C3068" s="1">
        <v>17.0</v>
      </c>
      <c r="D3068" s="1" t="s">
        <v>169</v>
      </c>
      <c r="E3068" s="1" t="s">
        <v>170</v>
      </c>
      <c r="F3068" s="1" t="s">
        <v>171</v>
      </c>
      <c r="G3068" s="1">
        <v>0.0</v>
      </c>
      <c r="H3068" s="2">
        <v>0.1451388888888889</v>
      </c>
    </row>
    <row r="3069">
      <c r="A3069" s="1" t="s">
        <v>2398</v>
      </c>
      <c r="B3069" s="1" t="s">
        <v>133</v>
      </c>
      <c r="C3069" s="1">
        <v>18.0</v>
      </c>
      <c r="D3069" s="1" t="s">
        <v>160</v>
      </c>
      <c r="E3069" s="1" t="s">
        <v>109</v>
      </c>
      <c r="F3069" s="1" t="s">
        <v>110</v>
      </c>
      <c r="G3069" s="1">
        <v>0.0</v>
      </c>
      <c r="H3069" s="2">
        <v>0.1388888888888889</v>
      </c>
    </row>
    <row r="3070">
      <c r="A3070" s="1" t="s">
        <v>2398</v>
      </c>
      <c r="B3070" s="1" t="s">
        <v>133</v>
      </c>
      <c r="C3070" s="1">
        <v>19.0</v>
      </c>
      <c r="D3070" s="1" t="s">
        <v>173</v>
      </c>
      <c r="E3070" s="1" t="s">
        <v>109</v>
      </c>
      <c r="F3070" s="1" t="s">
        <v>110</v>
      </c>
      <c r="G3070" s="1">
        <v>0.0</v>
      </c>
      <c r="H3070" s="2">
        <v>0.10902777777777778</v>
      </c>
    </row>
    <row r="3071">
      <c r="A3071" s="1" t="s">
        <v>2398</v>
      </c>
      <c r="B3071" s="1" t="s">
        <v>133</v>
      </c>
      <c r="C3071" s="1">
        <v>20.0</v>
      </c>
      <c r="D3071" s="1" t="s">
        <v>165</v>
      </c>
      <c r="E3071" s="1" t="s">
        <v>166</v>
      </c>
      <c r="F3071" s="1" t="s">
        <v>165</v>
      </c>
      <c r="G3071" s="1">
        <v>0.0</v>
      </c>
      <c r="H3071" s="2">
        <v>0.13819444444444445</v>
      </c>
    </row>
    <row r="3072">
      <c r="A3072" s="1" t="s">
        <v>2398</v>
      </c>
      <c r="B3072" s="1" t="s">
        <v>133</v>
      </c>
      <c r="C3072" s="1">
        <v>21.0</v>
      </c>
      <c r="D3072" s="1" t="s">
        <v>172</v>
      </c>
      <c r="E3072" s="1" t="s">
        <v>72</v>
      </c>
      <c r="F3072" s="1" t="s">
        <v>67</v>
      </c>
      <c r="G3072" s="1">
        <v>1.0</v>
      </c>
      <c r="H3072" s="2">
        <v>0.11319444444444444</v>
      </c>
    </row>
    <row r="3073">
      <c r="A3073" s="1" t="s">
        <v>2398</v>
      </c>
      <c r="B3073" s="1" t="s">
        <v>133</v>
      </c>
      <c r="C3073" s="1">
        <v>22.0</v>
      </c>
      <c r="D3073" s="1" t="s">
        <v>190</v>
      </c>
      <c r="E3073" s="1" t="s">
        <v>191</v>
      </c>
      <c r="F3073" s="1" t="s">
        <v>190</v>
      </c>
      <c r="G3073" s="1">
        <v>0.0</v>
      </c>
      <c r="H3073" s="2">
        <v>0.14652777777777778</v>
      </c>
    </row>
    <row r="3074">
      <c r="A3074" s="1" t="s">
        <v>2398</v>
      </c>
      <c r="B3074" s="1" t="s">
        <v>133</v>
      </c>
      <c r="C3074" s="1">
        <v>23.0</v>
      </c>
      <c r="D3074" s="1" t="s">
        <v>179</v>
      </c>
      <c r="E3074" s="1" t="s">
        <v>180</v>
      </c>
      <c r="F3074" s="1" t="s">
        <v>181</v>
      </c>
      <c r="G3074" s="1">
        <v>1.0</v>
      </c>
      <c r="H3074" s="2">
        <v>0.20069444444444445</v>
      </c>
    </row>
    <row r="3075">
      <c r="A3075" s="1" t="s">
        <v>2398</v>
      </c>
      <c r="B3075" s="1" t="s">
        <v>133</v>
      </c>
      <c r="C3075" s="1">
        <v>24.0</v>
      </c>
      <c r="D3075" s="1" t="s">
        <v>33</v>
      </c>
      <c r="E3075" s="1" t="s">
        <v>34</v>
      </c>
      <c r="F3075" s="1" t="s">
        <v>35</v>
      </c>
      <c r="G3075" s="1">
        <v>0.0</v>
      </c>
      <c r="H3075" s="2">
        <v>0.1451388888888889</v>
      </c>
    </row>
    <row r="3076">
      <c r="A3076" s="1" t="s">
        <v>2398</v>
      </c>
      <c r="B3076" s="1" t="s">
        <v>133</v>
      </c>
      <c r="C3076" s="1">
        <v>25.0</v>
      </c>
      <c r="D3076" s="1" t="s">
        <v>161</v>
      </c>
      <c r="E3076" s="1" t="s">
        <v>162</v>
      </c>
      <c r="F3076" s="1" t="s">
        <v>161</v>
      </c>
      <c r="G3076" s="1">
        <v>0.0</v>
      </c>
      <c r="H3076" s="2">
        <v>0.15694444444444444</v>
      </c>
    </row>
    <row r="3077">
      <c r="A3077" s="1" t="s">
        <v>2398</v>
      </c>
      <c r="B3077" s="1" t="s">
        <v>133</v>
      </c>
      <c r="C3077" s="1">
        <v>26.0</v>
      </c>
      <c r="D3077" s="1" t="s">
        <v>9</v>
      </c>
      <c r="E3077" s="1" t="s">
        <v>10</v>
      </c>
      <c r="F3077" s="1" t="s">
        <v>9</v>
      </c>
      <c r="G3077" s="1">
        <v>0.0</v>
      </c>
      <c r="H3077" s="2">
        <v>0.12638888888888888</v>
      </c>
    </row>
    <row r="3078">
      <c r="A3078" s="1" t="s">
        <v>2398</v>
      </c>
      <c r="B3078" s="1" t="s">
        <v>133</v>
      </c>
      <c r="C3078" s="1">
        <v>27.0</v>
      </c>
      <c r="D3078" s="1" t="s">
        <v>163</v>
      </c>
      <c r="E3078" s="1" t="s">
        <v>164</v>
      </c>
      <c r="F3078" s="1" t="s">
        <v>163</v>
      </c>
      <c r="G3078" s="1">
        <v>1.0</v>
      </c>
      <c r="H3078" s="2">
        <v>0.14722222222222223</v>
      </c>
    </row>
    <row r="3079">
      <c r="A3079" s="1" t="s">
        <v>2398</v>
      </c>
      <c r="B3079" s="1" t="s">
        <v>133</v>
      </c>
      <c r="C3079" s="1">
        <v>28.0</v>
      </c>
      <c r="D3079" s="1" t="s">
        <v>192</v>
      </c>
      <c r="E3079" s="1" t="s">
        <v>193</v>
      </c>
      <c r="F3079" s="1" t="s">
        <v>131</v>
      </c>
      <c r="G3079" s="1">
        <v>0.0</v>
      </c>
      <c r="H3079" s="2">
        <v>0.12430555555555556</v>
      </c>
    </row>
    <row r="3080">
      <c r="A3080" s="1" t="s">
        <v>2398</v>
      </c>
      <c r="B3080" s="1" t="s">
        <v>133</v>
      </c>
      <c r="C3080" s="1">
        <v>29.0</v>
      </c>
      <c r="D3080" s="1" t="s">
        <v>177</v>
      </c>
      <c r="E3080" s="1" t="s">
        <v>178</v>
      </c>
      <c r="F3080" s="1" t="s">
        <v>67</v>
      </c>
      <c r="G3080" s="1">
        <v>1.0</v>
      </c>
      <c r="H3080" s="2">
        <v>0.14583333333333334</v>
      </c>
    </row>
    <row r="3081">
      <c r="A3081" s="1" t="s">
        <v>2398</v>
      </c>
      <c r="B3081" s="1" t="s">
        <v>133</v>
      </c>
      <c r="C3081" s="1">
        <v>30.0</v>
      </c>
      <c r="D3081" s="1" t="s">
        <v>194</v>
      </c>
      <c r="E3081" s="1" t="s">
        <v>195</v>
      </c>
      <c r="F3081" s="1" t="s">
        <v>194</v>
      </c>
      <c r="G3081" s="1">
        <v>0.0</v>
      </c>
      <c r="H3081" s="2">
        <v>0.13472222222222222</v>
      </c>
    </row>
    <row r="3082">
      <c r="A3082" s="1" t="s">
        <v>2398</v>
      </c>
      <c r="B3082" s="1" t="s">
        <v>133</v>
      </c>
      <c r="C3082" s="1">
        <v>31.0</v>
      </c>
      <c r="D3082" s="1" t="s">
        <v>167</v>
      </c>
      <c r="E3082" s="1" t="s">
        <v>168</v>
      </c>
      <c r="F3082" s="1" t="s">
        <v>167</v>
      </c>
      <c r="G3082" s="1">
        <v>0.0</v>
      </c>
      <c r="H3082" s="2">
        <v>0.14166666666666666</v>
      </c>
    </row>
    <row r="3083">
      <c r="A3083" s="1" t="s">
        <v>2398</v>
      </c>
      <c r="B3083" s="1" t="s">
        <v>133</v>
      </c>
      <c r="C3083" s="1">
        <v>32.0</v>
      </c>
      <c r="D3083" s="1" t="s">
        <v>656</v>
      </c>
      <c r="E3083" s="1" t="s">
        <v>657</v>
      </c>
      <c r="F3083" s="1" t="s">
        <v>656</v>
      </c>
      <c r="G3083" s="1">
        <v>0.0</v>
      </c>
      <c r="H3083" s="2">
        <v>0.14097222222222222</v>
      </c>
    </row>
    <row r="3084">
      <c r="A3084" s="1" t="s">
        <v>2398</v>
      </c>
      <c r="B3084" s="1" t="s">
        <v>133</v>
      </c>
      <c r="C3084" s="1">
        <v>33.0</v>
      </c>
      <c r="D3084" s="1" t="s">
        <v>212</v>
      </c>
      <c r="E3084" s="1" t="s">
        <v>213</v>
      </c>
      <c r="F3084" s="1" t="s">
        <v>214</v>
      </c>
      <c r="G3084" s="1">
        <v>1.0</v>
      </c>
      <c r="H3084" s="2">
        <v>0.2111111111111111</v>
      </c>
    </row>
    <row r="3085">
      <c r="A3085" s="1" t="s">
        <v>2398</v>
      </c>
      <c r="B3085" s="1" t="s">
        <v>133</v>
      </c>
      <c r="C3085" s="1">
        <v>34.0</v>
      </c>
      <c r="D3085" s="1" t="s">
        <v>535</v>
      </c>
      <c r="E3085" s="1" t="s">
        <v>536</v>
      </c>
      <c r="F3085" s="1" t="s">
        <v>537</v>
      </c>
      <c r="G3085" s="1">
        <v>0.0</v>
      </c>
      <c r="H3085" s="2">
        <v>0.17222222222222222</v>
      </c>
    </row>
    <row r="3086">
      <c r="A3086" s="1" t="s">
        <v>2398</v>
      </c>
      <c r="B3086" s="1" t="s">
        <v>133</v>
      </c>
      <c r="C3086" s="1">
        <v>35.0</v>
      </c>
      <c r="D3086" s="1" t="s">
        <v>184</v>
      </c>
      <c r="E3086" s="1" t="s">
        <v>185</v>
      </c>
      <c r="F3086" s="1" t="s">
        <v>184</v>
      </c>
      <c r="G3086" s="1">
        <v>0.0</v>
      </c>
      <c r="H3086" s="2">
        <v>0.10972222222222222</v>
      </c>
    </row>
    <row r="3087">
      <c r="A3087" s="1" t="s">
        <v>2398</v>
      </c>
      <c r="B3087" s="1" t="s">
        <v>133</v>
      </c>
      <c r="C3087" s="1">
        <v>36.0</v>
      </c>
      <c r="D3087" s="1" t="s">
        <v>17</v>
      </c>
      <c r="E3087" s="1" t="s">
        <v>18</v>
      </c>
      <c r="F3087" s="1" t="s">
        <v>19</v>
      </c>
      <c r="G3087" s="1">
        <v>1.0</v>
      </c>
      <c r="H3087" s="2">
        <v>0.12222222222222222</v>
      </c>
    </row>
    <row r="3088">
      <c r="A3088" s="1" t="s">
        <v>2398</v>
      </c>
      <c r="B3088" s="1" t="s">
        <v>133</v>
      </c>
      <c r="C3088" s="1">
        <v>37.0</v>
      </c>
      <c r="D3088" s="1" t="s">
        <v>208</v>
      </c>
      <c r="E3088" s="1" t="s">
        <v>209</v>
      </c>
      <c r="F3088" s="1" t="s">
        <v>208</v>
      </c>
      <c r="G3088" s="1">
        <v>1.0</v>
      </c>
      <c r="H3088" s="2">
        <v>0.10694444444444444</v>
      </c>
    </row>
    <row r="3089">
      <c r="A3089" s="1" t="s">
        <v>2398</v>
      </c>
      <c r="B3089" s="1" t="s">
        <v>133</v>
      </c>
      <c r="C3089" s="1">
        <v>38.0</v>
      </c>
      <c r="D3089" s="1" t="s">
        <v>548</v>
      </c>
      <c r="E3089" s="1" t="s">
        <v>549</v>
      </c>
      <c r="F3089" s="1" t="s">
        <v>214</v>
      </c>
      <c r="G3089" s="1">
        <v>1.0</v>
      </c>
      <c r="H3089" s="2">
        <v>0.13958333333333334</v>
      </c>
    </row>
    <row r="3090">
      <c r="A3090" s="1" t="s">
        <v>2398</v>
      </c>
      <c r="B3090" s="1" t="s">
        <v>133</v>
      </c>
      <c r="C3090" s="1">
        <v>39.0</v>
      </c>
      <c r="D3090" s="1" t="s">
        <v>322</v>
      </c>
      <c r="E3090" s="1" t="s">
        <v>323</v>
      </c>
      <c r="F3090" s="1" t="s">
        <v>322</v>
      </c>
      <c r="G3090" s="1">
        <v>0.0</v>
      </c>
      <c r="H3090" s="2">
        <v>0.10902777777777778</v>
      </c>
    </row>
    <row r="3091">
      <c r="A3091" s="1" t="s">
        <v>2398</v>
      </c>
      <c r="B3091" s="1" t="s">
        <v>133</v>
      </c>
      <c r="C3091" s="1">
        <v>40.0</v>
      </c>
      <c r="D3091" s="1" t="s">
        <v>512</v>
      </c>
      <c r="E3091" s="1" t="s">
        <v>513</v>
      </c>
      <c r="F3091" s="1" t="s">
        <v>512</v>
      </c>
      <c r="G3091" s="1">
        <v>0.0</v>
      </c>
      <c r="H3091" s="2">
        <v>0.14583333333333334</v>
      </c>
    </row>
    <row r="3092">
      <c r="A3092" s="1" t="s">
        <v>2398</v>
      </c>
      <c r="B3092" s="1" t="s">
        <v>133</v>
      </c>
      <c r="C3092" s="1">
        <v>41.0</v>
      </c>
      <c r="D3092" s="1" t="s">
        <v>203</v>
      </c>
      <c r="E3092" s="1" t="s">
        <v>204</v>
      </c>
      <c r="F3092" s="1" t="s">
        <v>205</v>
      </c>
      <c r="G3092" s="1">
        <v>0.0</v>
      </c>
      <c r="H3092" s="2">
        <v>0.22916666666666666</v>
      </c>
    </row>
    <row r="3093">
      <c r="A3093" s="1" t="s">
        <v>2398</v>
      </c>
      <c r="B3093" s="1" t="s">
        <v>133</v>
      </c>
      <c r="C3093" s="1">
        <v>42.0</v>
      </c>
      <c r="D3093" s="1" t="s">
        <v>27</v>
      </c>
      <c r="E3093" s="1" t="s">
        <v>28</v>
      </c>
      <c r="F3093" s="1" t="s">
        <v>29</v>
      </c>
      <c r="G3093" s="1">
        <v>0.0</v>
      </c>
      <c r="H3093" s="2">
        <v>0.12708333333333333</v>
      </c>
    </row>
    <row r="3094">
      <c r="A3094" s="1" t="s">
        <v>2398</v>
      </c>
      <c r="B3094" s="1" t="s">
        <v>133</v>
      </c>
      <c r="C3094" s="1">
        <v>43.0</v>
      </c>
      <c r="D3094" s="1" t="s">
        <v>503</v>
      </c>
      <c r="E3094" s="1" t="s">
        <v>504</v>
      </c>
      <c r="F3094" s="1" t="s">
        <v>207</v>
      </c>
      <c r="G3094" s="1">
        <v>1.0</v>
      </c>
      <c r="H3094" s="2">
        <v>0.14027777777777778</v>
      </c>
    </row>
    <row r="3095">
      <c r="A3095" s="1" t="s">
        <v>2398</v>
      </c>
      <c r="B3095" s="1" t="s">
        <v>133</v>
      </c>
      <c r="C3095" s="1">
        <v>44.0</v>
      </c>
      <c r="D3095" s="1" t="s">
        <v>510</v>
      </c>
      <c r="E3095" s="1" t="s">
        <v>511</v>
      </c>
      <c r="F3095" s="1" t="s">
        <v>159</v>
      </c>
      <c r="G3095" s="1">
        <v>0.0</v>
      </c>
      <c r="H3095" s="2">
        <v>0.14027777777777778</v>
      </c>
    </row>
    <row r="3096">
      <c r="A3096" s="1" t="s">
        <v>2398</v>
      </c>
      <c r="B3096" s="1" t="s">
        <v>133</v>
      </c>
      <c r="C3096" s="1">
        <v>45.0</v>
      </c>
      <c r="D3096" s="1" t="s">
        <v>329</v>
      </c>
      <c r="E3096" s="1" t="s">
        <v>109</v>
      </c>
      <c r="F3096" s="1" t="s">
        <v>110</v>
      </c>
      <c r="G3096" s="1">
        <v>0.0</v>
      </c>
      <c r="H3096" s="2">
        <v>0.1423611111111111</v>
      </c>
    </row>
    <row r="3097">
      <c r="A3097" s="1" t="s">
        <v>2398</v>
      </c>
      <c r="B3097" s="1" t="s">
        <v>133</v>
      </c>
      <c r="C3097" s="1">
        <v>46.0</v>
      </c>
      <c r="D3097" s="1" t="s">
        <v>172</v>
      </c>
      <c r="E3097" s="1" t="s">
        <v>130</v>
      </c>
      <c r="F3097" s="1" t="s">
        <v>131</v>
      </c>
      <c r="G3097" s="1">
        <v>0.0</v>
      </c>
      <c r="H3097" s="2">
        <v>0.10972222222222222</v>
      </c>
    </row>
    <row r="3098">
      <c r="A3098" s="1" t="s">
        <v>2398</v>
      </c>
      <c r="B3098" s="1" t="s">
        <v>133</v>
      </c>
      <c r="C3098" s="1">
        <v>47.0</v>
      </c>
      <c r="D3098" s="1" t="s">
        <v>2399</v>
      </c>
      <c r="E3098" s="1" t="s">
        <v>2400</v>
      </c>
      <c r="F3098" s="1" t="s">
        <v>2399</v>
      </c>
      <c r="G3098" s="1">
        <v>0.0</v>
      </c>
      <c r="H3098" s="2">
        <v>0.16597222222222222</v>
      </c>
    </row>
    <row r="3099">
      <c r="A3099" s="1" t="s">
        <v>2398</v>
      </c>
      <c r="B3099" s="1" t="s">
        <v>133</v>
      </c>
      <c r="C3099" s="1">
        <v>48.0</v>
      </c>
      <c r="D3099" s="1" t="s">
        <v>206</v>
      </c>
      <c r="E3099" s="1" t="s">
        <v>72</v>
      </c>
      <c r="F3099" s="1" t="s">
        <v>207</v>
      </c>
      <c r="G3099" s="1">
        <v>1.0</v>
      </c>
      <c r="H3099" s="2">
        <v>0.12361111111111112</v>
      </c>
    </row>
    <row r="3100">
      <c r="A3100" s="1" t="s">
        <v>2398</v>
      </c>
      <c r="B3100" s="1" t="s">
        <v>133</v>
      </c>
      <c r="C3100" s="1">
        <v>49.0</v>
      </c>
      <c r="D3100" s="1" t="s">
        <v>182</v>
      </c>
      <c r="E3100" s="1" t="s">
        <v>183</v>
      </c>
      <c r="F3100" s="1" t="s">
        <v>182</v>
      </c>
      <c r="G3100" s="1">
        <v>1.0</v>
      </c>
      <c r="H3100" s="2">
        <v>0.12986111111111112</v>
      </c>
    </row>
    <row r="3101">
      <c r="A3101" s="1" t="s">
        <v>2398</v>
      </c>
      <c r="B3101" s="1" t="s">
        <v>133</v>
      </c>
      <c r="C3101" s="1">
        <v>50.0</v>
      </c>
      <c r="D3101" s="1" t="s">
        <v>11</v>
      </c>
      <c r="E3101" s="1" t="s">
        <v>12</v>
      </c>
      <c r="F3101" s="1" t="s">
        <v>13</v>
      </c>
      <c r="G3101" s="1">
        <v>0.0</v>
      </c>
      <c r="H3101" s="2">
        <v>0.1388888888888889</v>
      </c>
    </row>
    <row r="3102">
      <c r="A3102" s="1" t="s">
        <v>2401</v>
      </c>
      <c r="B3102" s="1" t="s">
        <v>903</v>
      </c>
      <c r="C3102" s="1">
        <v>1.0</v>
      </c>
      <c r="D3102" s="1" t="s">
        <v>2402</v>
      </c>
      <c r="E3102" s="1" t="s">
        <v>2403</v>
      </c>
      <c r="F3102" s="1" t="s">
        <v>2404</v>
      </c>
      <c r="G3102" s="1">
        <v>0.0</v>
      </c>
      <c r="H3102" s="2">
        <v>0.15</v>
      </c>
    </row>
    <row r="3103">
      <c r="A3103" s="1" t="s">
        <v>2401</v>
      </c>
      <c r="B3103" s="1" t="s">
        <v>903</v>
      </c>
      <c r="C3103" s="1">
        <v>2.0</v>
      </c>
      <c r="D3103" s="1" t="s">
        <v>96</v>
      </c>
      <c r="E3103" s="1" t="s">
        <v>97</v>
      </c>
      <c r="F3103" s="1" t="s">
        <v>98</v>
      </c>
      <c r="G3103" s="1">
        <v>1.0</v>
      </c>
      <c r="H3103" s="2">
        <v>0.12430555555555556</v>
      </c>
    </row>
    <row r="3104">
      <c r="A3104" s="1" t="s">
        <v>2401</v>
      </c>
      <c r="B3104" s="1" t="s">
        <v>903</v>
      </c>
      <c r="C3104" s="1">
        <v>3.0</v>
      </c>
      <c r="D3104" s="1" t="s">
        <v>9</v>
      </c>
      <c r="E3104" s="1" t="s">
        <v>10</v>
      </c>
      <c r="F3104" s="1" t="s">
        <v>9</v>
      </c>
      <c r="G3104" s="1">
        <v>0.0</v>
      </c>
      <c r="H3104" s="2">
        <v>0.12638888888888888</v>
      </c>
    </row>
    <row r="3105">
      <c r="A3105" s="1" t="s">
        <v>2401</v>
      </c>
      <c r="B3105" s="1" t="s">
        <v>903</v>
      </c>
      <c r="C3105" s="1">
        <v>4.0</v>
      </c>
      <c r="D3105" s="1" t="s">
        <v>124</v>
      </c>
      <c r="E3105" s="1" t="s">
        <v>125</v>
      </c>
      <c r="F3105" s="1" t="s">
        <v>126</v>
      </c>
      <c r="G3105" s="1">
        <v>1.0</v>
      </c>
      <c r="H3105" s="2">
        <v>0.15625</v>
      </c>
    </row>
    <row r="3106">
      <c r="A3106" s="1" t="s">
        <v>2401</v>
      </c>
      <c r="B3106" s="1" t="s">
        <v>903</v>
      </c>
      <c r="C3106" s="1">
        <v>5.0</v>
      </c>
      <c r="D3106" s="1" t="s">
        <v>2405</v>
      </c>
      <c r="E3106" s="1" t="s">
        <v>2406</v>
      </c>
      <c r="F3106" s="1" t="s">
        <v>2407</v>
      </c>
      <c r="G3106" s="1">
        <v>0.0</v>
      </c>
      <c r="H3106" s="2">
        <v>0.16041666666666668</v>
      </c>
    </row>
    <row r="3107">
      <c r="A3107" s="1" t="s">
        <v>2401</v>
      </c>
      <c r="B3107" s="1" t="s">
        <v>903</v>
      </c>
      <c r="C3107" s="1">
        <v>6.0</v>
      </c>
      <c r="D3107" s="1" t="s">
        <v>30</v>
      </c>
      <c r="E3107" s="1" t="s">
        <v>31</v>
      </c>
      <c r="F3107" s="1" t="s">
        <v>32</v>
      </c>
      <c r="G3107" s="1">
        <v>0.0</v>
      </c>
      <c r="H3107" s="2">
        <v>0.15833333333333333</v>
      </c>
    </row>
    <row r="3108">
      <c r="A3108" s="1" t="s">
        <v>2401</v>
      </c>
      <c r="B3108" s="1" t="s">
        <v>903</v>
      </c>
      <c r="C3108" s="1">
        <v>7.0</v>
      </c>
      <c r="D3108" s="1" t="s">
        <v>997</v>
      </c>
      <c r="E3108" s="1" t="s">
        <v>998</v>
      </c>
      <c r="F3108" s="1" t="s">
        <v>999</v>
      </c>
      <c r="G3108" s="1">
        <v>0.0</v>
      </c>
      <c r="H3108" s="2">
        <v>0.11597222222222223</v>
      </c>
    </row>
    <row r="3109">
      <c r="A3109" s="1" t="s">
        <v>2401</v>
      </c>
      <c r="B3109" s="1" t="s">
        <v>903</v>
      </c>
      <c r="C3109" s="1">
        <v>8.0</v>
      </c>
      <c r="D3109" s="1" t="s">
        <v>23</v>
      </c>
      <c r="E3109" s="1" t="s">
        <v>24</v>
      </c>
      <c r="F3109" s="1" t="s">
        <v>23</v>
      </c>
      <c r="G3109" s="1">
        <v>0.0</v>
      </c>
      <c r="H3109" s="2">
        <v>0.12013888888888889</v>
      </c>
    </row>
    <row r="3110">
      <c r="A3110" s="1" t="s">
        <v>2401</v>
      </c>
      <c r="B3110" s="1" t="s">
        <v>903</v>
      </c>
      <c r="C3110" s="1">
        <v>9.0</v>
      </c>
      <c r="D3110" s="1" t="s">
        <v>2408</v>
      </c>
      <c r="E3110" s="1" t="s">
        <v>2409</v>
      </c>
      <c r="F3110" s="1" t="s">
        <v>2408</v>
      </c>
      <c r="G3110" s="1">
        <v>0.0</v>
      </c>
      <c r="H3110" s="2">
        <v>0.2048611111111111</v>
      </c>
    </row>
    <row r="3111">
      <c r="A3111" s="1" t="s">
        <v>2401</v>
      </c>
      <c r="B3111" s="1" t="s">
        <v>903</v>
      </c>
      <c r="C3111" s="1">
        <v>10.0</v>
      </c>
      <c r="D3111" s="1" t="s">
        <v>2410</v>
      </c>
      <c r="E3111" s="1" t="s">
        <v>2409</v>
      </c>
      <c r="F3111" s="1" t="s">
        <v>2410</v>
      </c>
      <c r="G3111" s="1">
        <v>0.0</v>
      </c>
      <c r="H3111" s="2">
        <v>0.20694444444444443</v>
      </c>
    </row>
    <row r="3112">
      <c r="A3112" s="1" t="s">
        <v>2401</v>
      </c>
      <c r="B3112" s="1" t="s">
        <v>903</v>
      </c>
      <c r="C3112" s="1">
        <v>11.0</v>
      </c>
      <c r="D3112" s="1" t="s">
        <v>2411</v>
      </c>
      <c r="E3112" s="1" t="s">
        <v>2412</v>
      </c>
      <c r="F3112" s="1" t="s">
        <v>2411</v>
      </c>
      <c r="G3112" s="1">
        <v>0.0</v>
      </c>
      <c r="H3112" s="2">
        <v>0.175</v>
      </c>
    </row>
    <row r="3113">
      <c r="A3113" s="1" t="s">
        <v>2401</v>
      </c>
      <c r="B3113" s="1" t="s">
        <v>903</v>
      </c>
      <c r="C3113" s="1">
        <v>12.0</v>
      </c>
      <c r="D3113" s="1" t="s">
        <v>50</v>
      </c>
      <c r="E3113" s="1" t="s">
        <v>51</v>
      </c>
      <c r="F3113" s="1" t="s">
        <v>52</v>
      </c>
      <c r="G3113" s="1">
        <v>0.0</v>
      </c>
      <c r="H3113" s="2">
        <v>0.14722222222222223</v>
      </c>
    </row>
    <row r="3114">
      <c r="A3114" s="1" t="s">
        <v>2401</v>
      </c>
      <c r="B3114" s="1" t="s">
        <v>903</v>
      </c>
      <c r="C3114" s="1">
        <v>13.0</v>
      </c>
      <c r="D3114" s="1" t="s">
        <v>468</v>
      </c>
      <c r="E3114" s="1" t="s">
        <v>125</v>
      </c>
      <c r="F3114" s="1" t="s">
        <v>126</v>
      </c>
      <c r="G3114" s="1">
        <v>1.0</v>
      </c>
      <c r="H3114" s="2">
        <v>0.12638888888888888</v>
      </c>
    </row>
    <row r="3115">
      <c r="A3115" s="1" t="s">
        <v>2401</v>
      </c>
      <c r="B3115" s="1" t="s">
        <v>903</v>
      </c>
      <c r="C3115" s="1">
        <v>14.0</v>
      </c>
      <c r="D3115" s="1" t="s">
        <v>2413</v>
      </c>
      <c r="E3115" s="1" t="s">
        <v>2414</v>
      </c>
      <c r="F3115" s="1" t="s">
        <v>2413</v>
      </c>
      <c r="G3115" s="1">
        <v>0.0</v>
      </c>
      <c r="H3115" s="2">
        <v>0.19166666666666668</v>
      </c>
    </row>
    <row r="3116">
      <c r="A3116" s="1" t="s">
        <v>2401</v>
      </c>
      <c r="B3116" s="1" t="s">
        <v>903</v>
      </c>
      <c r="C3116" s="1">
        <v>15.0</v>
      </c>
      <c r="D3116" s="1" t="s">
        <v>2415</v>
      </c>
      <c r="E3116" s="1" t="s">
        <v>125</v>
      </c>
      <c r="F3116" s="1" t="s">
        <v>126</v>
      </c>
      <c r="G3116" s="1">
        <v>0.0</v>
      </c>
      <c r="H3116" s="2">
        <v>0.13680555555555557</v>
      </c>
    </row>
    <row r="3117">
      <c r="A3117" s="1" t="s">
        <v>2401</v>
      </c>
      <c r="B3117" s="1" t="s">
        <v>903</v>
      </c>
      <c r="C3117" s="1">
        <v>16.0</v>
      </c>
      <c r="D3117" s="1" t="s">
        <v>479</v>
      </c>
      <c r="E3117" s="1" t="s">
        <v>480</v>
      </c>
      <c r="F3117" s="1" t="s">
        <v>126</v>
      </c>
      <c r="G3117" s="1">
        <v>0.0</v>
      </c>
      <c r="H3117" s="2">
        <v>0.1361111111111111</v>
      </c>
    </row>
    <row r="3118">
      <c r="A3118" s="1" t="s">
        <v>2401</v>
      </c>
      <c r="B3118" s="1" t="s">
        <v>903</v>
      </c>
      <c r="C3118" s="1">
        <v>17.0</v>
      </c>
      <c r="D3118" s="1" t="s">
        <v>99</v>
      </c>
      <c r="E3118" s="1" t="s">
        <v>100</v>
      </c>
      <c r="F3118" s="1" t="s">
        <v>99</v>
      </c>
      <c r="G3118" s="1">
        <v>0.0</v>
      </c>
      <c r="H3118" s="2">
        <v>0.11944444444444445</v>
      </c>
    </row>
    <row r="3119">
      <c r="A3119" s="1" t="s">
        <v>2401</v>
      </c>
      <c r="B3119" s="1" t="s">
        <v>903</v>
      </c>
      <c r="C3119" s="1">
        <v>18.0</v>
      </c>
      <c r="D3119" s="1" t="s">
        <v>46</v>
      </c>
      <c r="E3119" s="1" t="s">
        <v>28</v>
      </c>
      <c r="F3119" s="1" t="s">
        <v>29</v>
      </c>
      <c r="G3119" s="1">
        <v>0.0</v>
      </c>
      <c r="H3119" s="2">
        <v>0.15347222222222223</v>
      </c>
    </row>
    <row r="3120">
      <c r="A3120" s="1" t="s">
        <v>2401</v>
      </c>
      <c r="B3120" s="1" t="s">
        <v>903</v>
      </c>
      <c r="C3120" s="1">
        <v>19.0</v>
      </c>
      <c r="D3120" s="1">
        <v>28.0</v>
      </c>
      <c r="E3120" s="1" t="s">
        <v>2014</v>
      </c>
      <c r="F3120" s="1" t="s">
        <v>126</v>
      </c>
      <c r="G3120" s="1">
        <v>0.0</v>
      </c>
      <c r="H3120" s="2">
        <v>0.09236111111111112</v>
      </c>
    </row>
    <row r="3121">
      <c r="A3121" s="1" t="s">
        <v>2401</v>
      </c>
      <c r="B3121" s="1" t="s">
        <v>903</v>
      </c>
      <c r="C3121" s="1">
        <v>20.0</v>
      </c>
      <c r="D3121" s="1" t="s">
        <v>2416</v>
      </c>
      <c r="E3121" s="1" t="s">
        <v>2417</v>
      </c>
      <c r="F3121" s="1" t="s">
        <v>2416</v>
      </c>
      <c r="G3121" s="1">
        <v>0.0</v>
      </c>
      <c r="H3121" s="2">
        <v>0.1527777777777778</v>
      </c>
    </row>
    <row r="3122">
      <c r="A3122" s="1" t="s">
        <v>2401</v>
      </c>
      <c r="B3122" s="1" t="s">
        <v>903</v>
      </c>
      <c r="C3122" s="1">
        <v>21.0</v>
      </c>
      <c r="D3122" s="1" t="s">
        <v>121</v>
      </c>
      <c r="E3122" s="1" t="s">
        <v>122</v>
      </c>
      <c r="F3122" s="1" t="s">
        <v>123</v>
      </c>
      <c r="G3122" s="1">
        <v>0.0</v>
      </c>
      <c r="H3122" s="2">
        <v>0.13194444444444445</v>
      </c>
    </row>
    <row r="3123">
      <c r="A3123" s="1" t="s">
        <v>2401</v>
      </c>
      <c r="B3123" s="1" t="s">
        <v>903</v>
      </c>
      <c r="C3123" s="1">
        <v>22.0</v>
      </c>
      <c r="D3123" s="1" t="s">
        <v>113</v>
      </c>
      <c r="E3123" s="1" t="s">
        <v>114</v>
      </c>
      <c r="F3123" s="1" t="s">
        <v>113</v>
      </c>
      <c r="G3123" s="1">
        <v>0.0</v>
      </c>
      <c r="H3123" s="2">
        <v>0.13125</v>
      </c>
    </row>
    <row r="3124">
      <c r="A3124" s="1" t="s">
        <v>2401</v>
      </c>
      <c r="B3124" s="1" t="s">
        <v>903</v>
      </c>
      <c r="C3124" s="1">
        <v>23.0</v>
      </c>
      <c r="D3124" s="1" t="s">
        <v>2015</v>
      </c>
      <c r="E3124" s="1" t="s">
        <v>125</v>
      </c>
      <c r="F3124" s="1" t="s">
        <v>126</v>
      </c>
      <c r="G3124" s="1">
        <v>1.0</v>
      </c>
      <c r="H3124" s="2">
        <v>0.11319444444444444</v>
      </c>
    </row>
    <row r="3125">
      <c r="A3125" s="1" t="s">
        <v>2401</v>
      </c>
      <c r="B3125" s="1" t="s">
        <v>903</v>
      </c>
      <c r="C3125" s="1">
        <v>24.0</v>
      </c>
      <c r="D3125" s="1" t="s">
        <v>44</v>
      </c>
      <c r="E3125" s="1" t="s">
        <v>45</v>
      </c>
      <c r="F3125" s="1" t="s">
        <v>44</v>
      </c>
      <c r="G3125" s="1">
        <v>0.0</v>
      </c>
      <c r="H3125" s="2">
        <v>0.12222222222222222</v>
      </c>
    </row>
    <row r="3126">
      <c r="A3126" s="1" t="s">
        <v>2401</v>
      </c>
      <c r="B3126" s="1" t="s">
        <v>903</v>
      </c>
      <c r="C3126" s="1">
        <v>25.0</v>
      </c>
      <c r="D3126" s="1" t="s">
        <v>469</v>
      </c>
      <c r="E3126" s="1" t="s">
        <v>470</v>
      </c>
      <c r="F3126" s="1" t="s">
        <v>126</v>
      </c>
      <c r="G3126" s="1">
        <v>0.0</v>
      </c>
      <c r="H3126" s="2">
        <v>0.13333333333333333</v>
      </c>
    </row>
    <row r="3127">
      <c r="A3127" s="1" t="s">
        <v>2401</v>
      </c>
      <c r="B3127" s="1" t="s">
        <v>903</v>
      </c>
      <c r="C3127" s="1">
        <v>26.0</v>
      </c>
      <c r="D3127" s="1" t="s">
        <v>2418</v>
      </c>
      <c r="E3127" s="1" t="s">
        <v>2409</v>
      </c>
      <c r="F3127" s="1" t="s">
        <v>2418</v>
      </c>
      <c r="G3127" s="1">
        <v>0.0</v>
      </c>
      <c r="H3127" s="2">
        <v>0.17152777777777778</v>
      </c>
    </row>
    <row r="3128">
      <c r="A3128" s="1" t="s">
        <v>2401</v>
      </c>
      <c r="B3128" s="1" t="s">
        <v>903</v>
      </c>
      <c r="C3128" s="1">
        <v>27.0</v>
      </c>
      <c r="D3128" s="1" t="s">
        <v>2419</v>
      </c>
      <c r="E3128" s="1" t="s">
        <v>2420</v>
      </c>
      <c r="F3128" s="1" t="s">
        <v>126</v>
      </c>
      <c r="G3128" s="1">
        <v>1.0</v>
      </c>
      <c r="H3128" s="2">
        <v>0.20277777777777778</v>
      </c>
    </row>
    <row r="3129">
      <c r="A3129" s="1" t="s">
        <v>2401</v>
      </c>
      <c r="B3129" s="1" t="s">
        <v>903</v>
      </c>
      <c r="C3129" s="1">
        <v>28.0</v>
      </c>
      <c r="D3129" s="1" t="s">
        <v>76</v>
      </c>
      <c r="E3129" s="1" t="s">
        <v>77</v>
      </c>
      <c r="F3129" s="1" t="s">
        <v>76</v>
      </c>
      <c r="G3129" s="1">
        <v>1.0</v>
      </c>
      <c r="H3129" s="2">
        <v>0.14305555555555555</v>
      </c>
    </row>
    <row r="3130">
      <c r="A3130" s="1" t="s">
        <v>2401</v>
      </c>
      <c r="B3130" s="1" t="s">
        <v>903</v>
      </c>
      <c r="C3130" s="1">
        <v>29.0</v>
      </c>
      <c r="D3130" s="1" t="s">
        <v>68</v>
      </c>
      <c r="E3130" s="1" t="s">
        <v>69</v>
      </c>
      <c r="F3130" s="1" t="s">
        <v>70</v>
      </c>
      <c r="G3130" s="1">
        <v>0.0</v>
      </c>
      <c r="H3130" s="2">
        <v>0.12638888888888888</v>
      </c>
    </row>
    <row r="3131">
      <c r="A3131" s="1" t="s">
        <v>2401</v>
      </c>
      <c r="B3131" s="1" t="s">
        <v>903</v>
      </c>
      <c r="C3131" s="1">
        <v>30.0</v>
      </c>
      <c r="D3131" s="1" t="s">
        <v>27</v>
      </c>
      <c r="E3131" s="1" t="s">
        <v>28</v>
      </c>
      <c r="F3131" s="1" t="s">
        <v>29</v>
      </c>
      <c r="G3131" s="1">
        <v>0.0</v>
      </c>
      <c r="H3131" s="2">
        <v>0.12708333333333333</v>
      </c>
    </row>
    <row r="3132">
      <c r="A3132" s="1" t="s">
        <v>2401</v>
      </c>
      <c r="B3132" s="1" t="s">
        <v>903</v>
      </c>
      <c r="C3132" s="1">
        <v>31.0</v>
      </c>
      <c r="D3132" s="1" t="s">
        <v>2421</v>
      </c>
      <c r="E3132" s="1" t="s">
        <v>125</v>
      </c>
      <c r="F3132" s="1" t="s">
        <v>126</v>
      </c>
      <c r="G3132" s="1">
        <v>1.0</v>
      </c>
      <c r="H3132" s="2">
        <v>0.15208333333333332</v>
      </c>
    </row>
    <row r="3133">
      <c r="A3133" s="1" t="s">
        <v>2401</v>
      </c>
      <c r="B3133" s="1" t="s">
        <v>903</v>
      </c>
      <c r="C3133" s="1">
        <v>32.0</v>
      </c>
      <c r="D3133" s="1" t="s">
        <v>2422</v>
      </c>
      <c r="E3133" s="1" t="s">
        <v>2423</v>
      </c>
      <c r="F3133" s="1" t="s">
        <v>2407</v>
      </c>
      <c r="G3133" s="1">
        <v>0.0</v>
      </c>
      <c r="H3133" s="2">
        <v>0.12430555555555556</v>
      </c>
    </row>
    <row r="3134">
      <c r="A3134" s="1" t="s">
        <v>2401</v>
      </c>
      <c r="B3134" s="1" t="s">
        <v>903</v>
      </c>
      <c r="C3134" s="1">
        <v>33.0</v>
      </c>
      <c r="D3134" s="1" t="s">
        <v>33</v>
      </c>
      <c r="E3134" s="1" t="s">
        <v>34</v>
      </c>
      <c r="F3134" s="1" t="s">
        <v>35</v>
      </c>
      <c r="G3134" s="1">
        <v>0.0</v>
      </c>
      <c r="H3134" s="2">
        <v>0.1451388888888889</v>
      </c>
    </row>
    <row r="3135">
      <c r="A3135" s="1" t="s">
        <v>2401</v>
      </c>
      <c r="B3135" s="1" t="s">
        <v>903</v>
      </c>
      <c r="C3135" s="1">
        <v>34.0</v>
      </c>
      <c r="D3135" s="1" t="s">
        <v>2424</v>
      </c>
      <c r="E3135" s="1" t="s">
        <v>2409</v>
      </c>
      <c r="F3135" s="1" t="s">
        <v>2424</v>
      </c>
      <c r="G3135" s="1">
        <v>0.0</v>
      </c>
      <c r="H3135" s="2">
        <v>0.20208333333333334</v>
      </c>
    </row>
    <row r="3136">
      <c r="A3136" s="1" t="s">
        <v>2401</v>
      </c>
      <c r="B3136" s="1" t="s">
        <v>903</v>
      </c>
      <c r="C3136" s="1">
        <v>35.0</v>
      </c>
      <c r="D3136" s="1" t="s">
        <v>2425</v>
      </c>
      <c r="E3136" s="1" t="s">
        <v>2426</v>
      </c>
      <c r="F3136" s="1" t="s">
        <v>2425</v>
      </c>
      <c r="G3136" s="1">
        <v>0.0</v>
      </c>
      <c r="H3136" s="2">
        <v>0.14305555555555555</v>
      </c>
    </row>
    <row r="3137">
      <c r="A3137" s="1" t="s">
        <v>2401</v>
      </c>
      <c r="B3137" s="1" t="s">
        <v>903</v>
      </c>
      <c r="C3137" s="1">
        <v>36.0</v>
      </c>
      <c r="D3137" s="1" t="s">
        <v>2427</v>
      </c>
      <c r="E3137" s="1" t="s">
        <v>125</v>
      </c>
      <c r="F3137" s="1" t="s">
        <v>126</v>
      </c>
      <c r="G3137" s="1">
        <v>0.0</v>
      </c>
      <c r="H3137" s="2">
        <v>0.09722222222222222</v>
      </c>
    </row>
    <row r="3138">
      <c r="A3138" s="1" t="s">
        <v>2401</v>
      </c>
      <c r="B3138" s="1" t="s">
        <v>903</v>
      </c>
      <c r="C3138" s="1">
        <v>37.0</v>
      </c>
      <c r="D3138" s="1" t="s">
        <v>2428</v>
      </c>
      <c r="E3138" s="1" t="s">
        <v>2429</v>
      </c>
      <c r="F3138" s="1" t="s">
        <v>2428</v>
      </c>
      <c r="G3138" s="1">
        <v>0.0</v>
      </c>
      <c r="H3138" s="2">
        <v>0.1701388888888889</v>
      </c>
    </row>
    <row r="3139">
      <c r="A3139" s="1" t="s">
        <v>2401</v>
      </c>
      <c r="B3139" s="1" t="s">
        <v>903</v>
      </c>
      <c r="C3139" s="1">
        <v>38.0</v>
      </c>
      <c r="D3139" s="1" t="s">
        <v>2430</v>
      </c>
      <c r="E3139" s="1" t="s">
        <v>1600</v>
      </c>
      <c r="F3139" s="1" t="s">
        <v>2431</v>
      </c>
      <c r="G3139" s="1">
        <v>1.0</v>
      </c>
      <c r="H3139" s="2">
        <v>0.12361111111111112</v>
      </c>
    </row>
    <row r="3140">
      <c r="A3140" s="1" t="s">
        <v>2401</v>
      </c>
      <c r="B3140" s="1" t="s">
        <v>903</v>
      </c>
      <c r="C3140" s="1">
        <v>39.0</v>
      </c>
      <c r="D3140" s="1" t="s">
        <v>1192</v>
      </c>
      <c r="E3140" s="1" t="s">
        <v>1193</v>
      </c>
      <c r="F3140" s="1" t="s">
        <v>1192</v>
      </c>
      <c r="G3140" s="1">
        <v>0.0</v>
      </c>
      <c r="H3140" s="2">
        <v>0.12986111111111112</v>
      </c>
    </row>
    <row r="3141">
      <c r="A3141" s="1" t="s">
        <v>2401</v>
      </c>
      <c r="B3141" s="1" t="s">
        <v>903</v>
      </c>
      <c r="C3141" s="1">
        <v>40.0</v>
      </c>
      <c r="D3141" s="1" t="s">
        <v>2432</v>
      </c>
      <c r="E3141" s="1" t="s">
        <v>2433</v>
      </c>
      <c r="F3141" s="1" t="s">
        <v>2434</v>
      </c>
      <c r="G3141" s="1">
        <v>0.0</v>
      </c>
      <c r="H3141" s="2">
        <v>0.11736111111111111</v>
      </c>
    </row>
    <row r="3142">
      <c r="A3142" s="1" t="s">
        <v>2401</v>
      </c>
      <c r="B3142" s="1" t="s">
        <v>903</v>
      </c>
      <c r="C3142" s="1">
        <v>41.0</v>
      </c>
      <c r="D3142" s="1" t="s">
        <v>118</v>
      </c>
      <c r="E3142" s="1" t="s">
        <v>119</v>
      </c>
      <c r="F3142" s="1" t="s">
        <v>120</v>
      </c>
      <c r="G3142" s="1">
        <v>0.0</v>
      </c>
      <c r="H3142" s="2">
        <v>0.13472222222222222</v>
      </c>
    </row>
    <row r="3143">
      <c r="A3143" s="1" t="s">
        <v>2401</v>
      </c>
      <c r="B3143" s="1" t="s">
        <v>903</v>
      </c>
      <c r="C3143" s="1">
        <v>42.0</v>
      </c>
      <c r="D3143" s="1" t="s">
        <v>2435</v>
      </c>
      <c r="E3143" s="1" t="s">
        <v>2436</v>
      </c>
      <c r="F3143" s="1" t="s">
        <v>2437</v>
      </c>
      <c r="G3143" s="1">
        <v>0.0</v>
      </c>
      <c r="H3143" s="2">
        <v>0.12569444444444444</v>
      </c>
    </row>
    <row r="3144">
      <c r="A3144" s="1" t="s">
        <v>2401</v>
      </c>
      <c r="B3144" s="1" t="s">
        <v>903</v>
      </c>
      <c r="C3144" s="1">
        <v>43.0</v>
      </c>
      <c r="D3144" s="1" t="s">
        <v>2438</v>
      </c>
      <c r="E3144" s="1" t="s">
        <v>2439</v>
      </c>
      <c r="F3144" s="1" t="s">
        <v>2440</v>
      </c>
      <c r="G3144" s="1">
        <v>0.0</v>
      </c>
      <c r="H3144" s="2">
        <v>0.15416666666666667</v>
      </c>
    </row>
    <row r="3145">
      <c r="A3145" s="1" t="s">
        <v>2401</v>
      </c>
      <c r="B3145" s="1" t="s">
        <v>903</v>
      </c>
      <c r="C3145" s="1">
        <v>44.0</v>
      </c>
      <c r="D3145" s="1" t="s">
        <v>2441</v>
      </c>
      <c r="E3145" s="1" t="s">
        <v>2423</v>
      </c>
      <c r="F3145" s="1" t="s">
        <v>2407</v>
      </c>
      <c r="G3145" s="1">
        <v>0.0</v>
      </c>
      <c r="H3145" s="2">
        <v>0.1486111111111111</v>
      </c>
    </row>
    <row r="3146">
      <c r="A3146" s="1" t="s">
        <v>2401</v>
      </c>
      <c r="B3146" s="1" t="s">
        <v>903</v>
      </c>
      <c r="C3146" s="1">
        <v>45.0</v>
      </c>
      <c r="D3146" s="1" t="s">
        <v>57</v>
      </c>
      <c r="E3146" s="1" t="s">
        <v>58</v>
      </c>
      <c r="F3146" s="1" t="s">
        <v>59</v>
      </c>
      <c r="G3146" s="1">
        <v>1.0</v>
      </c>
      <c r="H3146" s="2">
        <v>0.16458333333333333</v>
      </c>
    </row>
    <row r="3147">
      <c r="A3147" s="1" t="s">
        <v>2401</v>
      </c>
      <c r="B3147" s="1" t="s">
        <v>903</v>
      </c>
      <c r="C3147" s="1">
        <v>46.0</v>
      </c>
      <c r="D3147" s="1" t="s">
        <v>2442</v>
      </c>
      <c r="E3147" s="1" t="s">
        <v>2443</v>
      </c>
      <c r="F3147" s="1" t="s">
        <v>2442</v>
      </c>
      <c r="G3147" s="1">
        <v>0.0</v>
      </c>
      <c r="H3147" s="2">
        <v>0.18055555555555555</v>
      </c>
    </row>
    <row r="3148">
      <c r="A3148" s="1" t="s">
        <v>2401</v>
      </c>
      <c r="B3148" s="1" t="s">
        <v>903</v>
      </c>
      <c r="C3148" s="1">
        <v>47.0</v>
      </c>
      <c r="D3148" s="1" t="s">
        <v>2444</v>
      </c>
      <c r="E3148" s="1" t="s">
        <v>2445</v>
      </c>
      <c r="F3148" s="1" t="s">
        <v>2444</v>
      </c>
      <c r="G3148" s="1">
        <v>0.0</v>
      </c>
      <c r="H3148" s="2">
        <v>0.1375</v>
      </c>
    </row>
    <row r="3149">
      <c r="A3149" s="1" t="s">
        <v>2401</v>
      </c>
      <c r="B3149" s="1" t="s">
        <v>903</v>
      </c>
      <c r="C3149" s="1">
        <v>48.0</v>
      </c>
      <c r="D3149" s="1" t="s">
        <v>2446</v>
      </c>
      <c r="E3149" s="1" t="s">
        <v>2447</v>
      </c>
      <c r="F3149" s="1" t="s">
        <v>2446</v>
      </c>
      <c r="G3149" s="1">
        <v>0.0</v>
      </c>
      <c r="H3149" s="2">
        <v>0.16111111111111112</v>
      </c>
    </row>
    <row r="3150">
      <c r="A3150" s="1" t="s">
        <v>2401</v>
      </c>
      <c r="B3150" s="1" t="s">
        <v>903</v>
      </c>
      <c r="C3150" s="1">
        <v>49.0</v>
      </c>
      <c r="D3150" s="1" t="s">
        <v>2448</v>
      </c>
      <c r="E3150" s="1" t="s">
        <v>2449</v>
      </c>
      <c r="F3150" s="1" t="s">
        <v>2448</v>
      </c>
      <c r="G3150" s="1">
        <v>0.0</v>
      </c>
      <c r="H3150" s="2">
        <v>0.1527777777777778</v>
      </c>
    </row>
    <row r="3151">
      <c r="A3151" s="1" t="s">
        <v>2401</v>
      </c>
      <c r="B3151" s="1" t="s">
        <v>903</v>
      </c>
      <c r="C3151" s="1">
        <v>50.0</v>
      </c>
      <c r="D3151" s="1" t="s">
        <v>11</v>
      </c>
      <c r="E3151" s="1" t="s">
        <v>12</v>
      </c>
      <c r="F3151" s="1" t="s">
        <v>13</v>
      </c>
      <c r="G3151" s="1">
        <v>0.0</v>
      </c>
      <c r="H3151" s="2">
        <v>0.1388888888888889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IFERROR(__xludf.DUMMYFUNCTION("QUERY('SpotifyTopSongsByCountry - May '!A1:H3151)"),"Country")</f>
        <v>Country</v>
      </c>
      <c r="B1" t="str">
        <f>IFERROR(__xludf.DUMMYFUNCTION("""COMPUTED_VALUE"""),"Continent")</f>
        <v>Continent</v>
      </c>
      <c r="C1" t="str">
        <f>IFERROR(__xludf.DUMMYFUNCTION("""COMPUTED_VALUE"""),"Rank")</f>
        <v>Rank</v>
      </c>
      <c r="D1" t="str">
        <f>IFERROR(__xludf.DUMMYFUNCTION("""COMPUTED_VALUE"""),"Title")</f>
        <v>Title</v>
      </c>
      <c r="E1" t="str">
        <f>IFERROR(__xludf.DUMMYFUNCTION("""COMPUTED_VALUE"""),"Artists")</f>
        <v>Artists</v>
      </c>
      <c r="F1" t="str">
        <f>IFERROR(__xludf.DUMMYFUNCTION("""COMPUTED_VALUE"""),"Album")</f>
        <v>Album</v>
      </c>
      <c r="G1" t="str">
        <f>IFERROR(__xludf.DUMMYFUNCTION("""COMPUTED_VALUE"""),"Explicit")</f>
        <v>Explicit</v>
      </c>
      <c r="H1" t="str">
        <f>IFERROR(__xludf.DUMMYFUNCTION("""COMPUTED_VALUE"""),"Duration")</f>
        <v>Duration</v>
      </c>
    </row>
    <row r="2">
      <c r="A2" t="str">
        <f>IFERROR(__xludf.DUMMYFUNCTION("""COMPUTED_VALUE"""),"Global")</f>
        <v>Global</v>
      </c>
      <c r="B2" t="str">
        <f>IFERROR(__xludf.DUMMYFUNCTION("""COMPUTED_VALUE"""),"Global")</f>
        <v>Global</v>
      </c>
      <c r="C2">
        <f>IFERROR(__xludf.DUMMYFUNCTION("""COMPUTED_VALUE"""),1.0)</f>
        <v>1</v>
      </c>
      <c r="D2" t="str">
        <f>IFERROR(__xludf.DUMMYFUNCTION("""COMPUTED_VALUE"""),"Rain On Me (with Ariana Grande)")</f>
        <v>Rain On Me (with Ariana Grande)</v>
      </c>
      <c r="E2" t="str">
        <f>IFERROR(__xludf.DUMMYFUNCTION("""COMPUTED_VALUE"""),"Lady Gaga, Ariana Grande")</f>
        <v>Lady Gaga, Ariana Grande</v>
      </c>
      <c r="F2" t="str">
        <f>IFERROR(__xludf.DUMMYFUNCTION("""COMPUTED_VALUE"""),"Rain On Me (with Ariana Grande)")</f>
        <v>Rain On Me (with Ariana Grande)</v>
      </c>
      <c r="G2">
        <f>IFERROR(__xludf.DUMMYFUNCTION("""COMPUTED_VALUE"""),0.0)</f>
        <v>0</v>
      </c>
      <c r="H2" s="5">
        <f>IFERROR(__xludf.DUMMYFUNCTION("""COMPUTED_VALUE"""),0.12638888888977817)</f>
        <v>0.1263888889</v>
      </c>
    </row>
    <row r="3">
      <c r="A3" t="str">
        <f>IFERROR(__xludf.DUMMYFUNCTION("""COMPUTED_VALUE"""),"Global")</f>
        <v>Global</v>
      </c>
      <c r="B3" t="str">
        <f>IFERROR(__xludf.DUMMYFUNCTION("""COMPUTED_VALUE"""),"Global")</f>
        <v>Global</v>
      </c>
      <c r="C3">
        <f>IFERROR(__xludf.DUMMYFUNCTION("""COMPUTED_VALUE"""),2.0)</f>
        <v>2</v>
      </c>
      <c r="D3" t="str">
        <f>IFERROR(__xludf.DUMMYFUNCTION("""COMPUTED_VALUE"""),"Blinding Lights")</f>
        <v>Blinding Lights</v>
      </c>
      <c r="E3" t="str">
        <f>IFERROR(__xludf.DUMMYFUNCTION("""COMPUTED_VALUE"""),"The Weeknd")</f>
        <v>The Weeknd</v>
      </c>
      <c r="F3" t="str">
        <f>IFERROR(__xludf.DUMMYFUNCTION("""COMPUTED_VALUE"""),"After Hours")</f>
        <v>After Hours</v>
      </c>
      <c r="G3">
        <f>IFERROR(__xludf.DUMMYFUNCTION("""COMPUTED_VALUE"""),0.0)</f>
        <v>0</v>
      </c>
      <c r="H3" s="5">
        <f>IFERROR(__xludf.DUMMYFUNCTION("""COMPUTED_VALUE"""),0.13888888889050577)</f>
        <v>0.1388888889</v>
      </c>
    </row>
    <row r="4">
      <c r="A4" t="str">
        <f>IFERROR(__xludf.DUMMYFUNCTION("""COMPUTED_VALUE"""),"Global")</f>
        <v>Global</v>
      </c>
      <c r="B4" t="str">
        <f>IFERROR(__xludf.DUMMYFUNCTION("""COMPUTED_VALUE"""),"Global")</f>
        <v>Global</v>
      </c>
      <c r="C4">
        <f>IFERROR(__xludf.DUMMYFUNCTION("""COMPUTED_VALUE"""),3.0)</f>
        <v>3</v>
      </c>
      <c r="D4" t="str">
        <f>IFERROR(__xludf.DUMMYFUNCTION("""COMPUTED_VALUE"""),"ROCKSTAR (feat. Roddy Ricch)")</f>
        <v>ROCKSTAR (feat. Roddy Ricch)</v>
      </c>
      <c r="E4" t="str">
        <f>IFERROR(__xludf.DUMMYFUNCTION("""COMPUTED_VALUE"""),"DaBaby, Roddy Ricch")</f>
        <v>DaBaby, Roddy Ricch</v>
      </c>
      <c r="F4" t="str">
        <f>IFERROR(__xludf.DUMMYFUNCTION("""COMPUTED_VALUE"""),"BLAME IT ON BABY")</f>
        <v>BLAME IT ON BABY</v>
      </c>
      <c r="G4">
        <f>IFERROR(__xludf.DUMMYFUNCTION("""COMPUTED_VALUE"""),1.0)</f>
        <v>1</v>
      </c>
      <c r="H4" s="5">
        <f>IFERROR(__xludf.DUMMYFUNCTION("""COMPUTED_VALUE"""),0.1256944444430701)</f>
        <v>0.1256944444</v>
      </c>
    </row>
    <row r="5">
      <c r="A5" t="str">
        <f>IFERROR(__xludf.DUMMYFUNCTION("""COMPUTED_VALUE"""),"Global")</f>
        <v>Global</v>
      </c>
      <c r="B5" t="str">
        <f>IFERROR(__xludf.DUMMYFUNCTION("""COMPUTED_VALUE"""),"Global")</f>
        <v>Global</v>
      </c>
      <c r="C5">
        <f>IFERROR(__xludf.DUMMYFUNCTION("""COMPUTED_VALUE"""),4.0)</f>
        <v>4</v>
      </c>
      <c r="D5" t="str">
        <f>IFERROR(__xludf.DUMMYFUNCTION("""COMPUTED_VALUE"""),"Roses - Imanbek Remix")</f>
        <v>Roses - Imanbek Remix</v>
      </c>
      <c r="E5" t="str">
        <f>IFERROR(__xludf.DUMMYFUNCTION("""COMPUTED_VALUE"""),"SAINt JHN, Imanbek")</f>
        <v>SAINt JHN, Imanbek</v>
      </c>
      <c r="F5" t="str">
        <f>IFERROR(__xludf.DUMMYFUNCTION("""COMPUTED_VALUE"""),"Roses (Imanbek Remix)")</f>
        <v>Roses (Imanbek Remix)</v>
      </c>
      <c r="G5">
        <f>IFERROR(__xludf.DUMMYFUNCTION("""COMPUTED_VALUE"""),1.0)</f>
        <v>1</v>
      </c>
      <c r="H5" s="5">
        <f>IFERROR(__xludf.DUMMYFUNCTION("""COMPUTED_VALUE"""),0.12222222222044365)</f>
        <v>0.1222222222</v>
      </c>
    </row>
    <row r="6">
      <c r="A6" t="str">
        <f>IFERROR(__xludf.DUMMYFUNCTION("""COMPUTED_VALUE"""),"Global")</f>
        <v>Global</v>
      </c>
      <c r="B6" t="str">
        <f>IFERROR(__xludf.DUMMYFUNCTION("""COMPUTED_VALUE"""),"Global")</f>
        <v>Global</v>
      </c>
      <c r="C6">
        <f>IFERROR(__xludf.DUMMYFUNCTION("""COMPUTED_VALUE"""),5.0)</f>
        <v>5</v>
      </c>
      <c r="D6" t="str">
        <f>IFERROR(__xludf.DUMMYFUNCTION("""COMPUTED_VALUE"""),"Toosie Slide")</f>
        <v>Toosie Slide</v>
      </c>
      <c r="E6" t="str">
        <f>IFERROR(__xludf.DUMMYFUNCTION("""COMPUTED_VALUE"""),"Drake")</f>
        <v>Drake</v>
      </c>
      <c r="F6" t="str">
        <f>IFERROR(__xludf.DUMMYFUNCTION("""COMPUTED_VALUE"""),"Dark Lane Demo Tapes")</f>
        <v>Dark Lane Demo Tapes</v>
      </c>
      <c r="G6">
        <f>IFERROR(__xludf.DUMMYFUNCTION("""COMPUTED_VALUE"""),1.0)</f>
        <v>1</v>
      </c>
      <c r="H6" s="5">
        <f>IFERROR(__xludf.DUMMYFUNCTION("""COMPUTED_VALUE"""),0.17152777777664596)</f>
        <v>0.1715277778</v>
      </c>
    </row>
    <row r="7">
      <c r="A7" t="str">
        <f>IFERROR(__xludf.DUMMYFUNCTION("""COMPUTED_VALUE"""),"Global")</f>
        <v>Global</v>
      </c>
      <c r="B7" t="str">
        <f>IFERROR(__xludf.DUMMYFUNCTION("""COMPUTED_VALUE"""),"Global")</f>
        <v>Global</v>
      </c>
      <c r="C7">
        <f>IFERROR(__xludf.DUMMYFUNCTION("""COMPUTED_VALUE"""),6.0)</f>
        <v>6</v>
      </c>
      <c r="D7" t="str">
        <f>IFERROR(__xludf.DUMMYFUNCTION("""COMPUTED_VALUE"""),"death bed (coffee for your head) (feat. beabadoobee)")</f>
        <v>death bed (coffee for your head) (feat. beabadoobee)</v>
      </c>
      <c r="E7" t="str">
        <f>IFERROR(__xludf.DUMMYFUNCTION("""COMPUTED_VALUE"""),"Powfu, beabadoobee")</f>
        <v>Powfu, beabadoobee</v>
      </c>
      <c r="F7" t="str">
        <f>IFERROR(__xludf.DUMMYFUNCTION("""COMPUTED_VALUE"""),"death bed (coffee for your head) (feat. beabadoobee)")</f>
        <v>death bed (coffee for your head) (feat. beabadoobee)</v>
      </c>
      <c r="G7">
        <f>IFERROR(__xludf.DUMMYFUNCTION("""COMPUTED_VALUE"""),0.0)</f>
        <v>0</v>
      </c>
      <c r="H7" s="5">
        <f>IFERROR(__xludf.DUMMYFUNCTION("""COMPUTED_VALUE"""),0.12013888888759539)</f>
        <v>0.1201388889</v>
      </c>
    </row>
    <row r="8">
      <c r="A8" t="str">
        <f>IFERROR(__xludf.DUMMYFUNCTION("""COMPUTED_VALUE"""),"Global")</f>
        <v>Global</v>
      </c>
      <c r="B8" t="str">
        <f>IFERROR(__xludf.DUMMYFUNCTION("""COMPUTED_VALUE"""),"Global")</f>
        <v>Global</v>
      </c>
      <c r="C8">
        <f>IFERROR(__xludf.DUMMYFUNCTION("""COMPUTED_VALUE"""),7.0)</f>
        <v>7</v>
      </c>
      <c r="D8" t="str">
        <f>IFERROR(__xludf.DUMMYFUNCTION("""COMPUTED_VALUE"""),"THE SCOTTS")</f>
        <v>THE SCOTTS</v>
      </c>
      <c r="E8" t="str">
        <f>IFERROR(__xludf.DUMMYFUNCTION("""COMPUTED_VALUE"""),"THE SCOTTS, Travis Scott, Kid Cudi")</f>
        <v>THE SCOTTS, Travis Scott, Kid Cudi</v>
      </c>
      <c r="F8" t="str">
        <f>IFERROR(__xludf.DUMMYFUNCTION("""COMPUTED_VALUE"""),"THE SCOTTS")</f>
        <v>THE SCOTTS</v>
      </c>
      <c r="G8">
        <f>IFERROR(__xludf.DUMMYFUNCTION("""COMPUTED_VALUE"""),1.0)</f>
        <v>1</v>
      </c>
      <c r="H8" s="5">
        <f>IFERROR(__xludf.DUMMYFUNCTION("""COMPUTED_VALUE"""),0.11458333333212067)</f>
        <v>0.1145833333</v>
      </c>
    </row>
    <row r="9">
      <c r="A9" t="str">
        <f>IFERROR(__xludf.DUMMYFUNCTION("""COMPUTED_VALUE"""),"Global")</f>
        <v>Global</v>
      </c>
      <c r="B9" t="str">
        <f>IFERROR(__xludf.DUMMYFUNCTION("""COMPUTED_VALUE"""),"Global")</f>
        <v>Global</v>
      </c>
      <c r="C9">
        <f>IFERROR(__xludf.DUMMYFUNCTION("""COMPUTED_VALUE"""),8.0)</f>
        <v>8</v>
      </c>
      <c r="D9" t="str">
        <f>IFERROR(__xludf.DUMMYFUNCTION("""COMPUTED_VALUE"""),"Don't Start Now")</f>
        <v>Don't Start Now</v>
      </c>
      <c r="E9" t="str">
        <f>IFERROR(__xludf.DUMMYFUNCTION("""COMPUTED_VALUE"""),"Dua Lipa")</f>
        <v>Dua Lipa</v>
      </c>
      <c r="F9" t="str">
        <f>IFERROR(__xludf.DUMMYFUNCTION("""COMPUTED_VALUE"""),"Future Nostalgia")</f>
        <v>Future Nostalgia</v>
      </c>
      <c r="G9">
        <f>IFERROR(__xludf.DUMMYFUNCTION("""COMPUTED_VALUE"""),0.0)</f>
        <v>0</v>
      </c>
      <c r="H9" s="5">
        <f>IFERROR(__xludf.DUMMYFUNCTION("""COMPUTED_VALUE"""),0.12708333333284827)</f>
        <v>0.1270833333</v>
      </c>
    </row>
    <row r="10">
      <c r="A10" t="str">
        <f>IFERROR(__xludf.DUMMYFUNCTION("""COMPUTED_VALUE"""),"Global")</f>
        <v>Global</v>
      </c>
      <c r="B10" t="str">
        <f>IFERROR(__xludf.DUMMYFUNCTION("""COMPUTED_VALUE"""),"Global")</f>
        <v>Global</v>
      </c>
      <c r="C10">
        <f>IFERROR(__xludf.DUMMYFUNCTION("""COMPUTED_VALUE"""),9.0)</f>
        <v>9</v>
      </c>
      <c r="D10" t="str">
        <f>IFERROR(__xludf.DUMMYFUNCTION("""COMPUTED_VALUE"""),"Stuck with U (with Justin Bieber)")</f>
        <v>Stuck with U (with Justin Bieber)</v>
      </c>
      <c r="E10" t="str">
        <f>IFERROR(__xludf.DUMMYFUNCTION("""COMPUTED_VALUE"""),"Ariana Grande, Justin Bieber")</f>
        <v>Ariana Grande, Justin Bieber</v>
      </c>
      <c r="F10" t="str">
        <f>IFERROR(__xludf.DUMMYFUNCTION("""COMPUTED_VALUE"""),"Stuck with U")</f>
        <v>Stuck with U</v>
      </c>
      <c r="G10">
        <f>IFERROR(__xludf.DUMMYFUNCTION("""COMPUTED_VALUE"""),0.0)</f>
        <v>0</v>
      </c>
      <c r="H10" s="5">
        <f>IFERROR(__xludf.DUMMYFUNCTION("""COMPUTED_VALUE"""),0.15833333333284827)</f>
        <v>0.1583333333</v>
      </c>
    </row>
    <row r="11">
      <c r="A11" t="str">
        <f>IFERROR(__xludf.DUMMYFUNCTION("""COMPUTED_VALUE"""),"Global")</f>
        <v>Global</v>
      </c>
      <c r="B11" t="str">
        <f>IFERROR(__xludf.DUMMYFUNCTION("""COMPUTED_VALUE"""),"Global")</f>
        <v>Global</v>
      </c>
      <c r="C11">
        <f>IFERROR(__xludf.DUMMYFUNCTION("""COMPUTED_VALUE"""),10.0)</f>
        <v>10</v>
      </c>
      <c r="D11" t="str">
        <f>IFERROR(__xludf.DUMMYFUNCTION("""COMPUTED_VALUE"""),"Dance Monkey")</f>
        <v>Dance Monkey</v>
      </c>
      <c r="E11" t="str">
        <f>IFERROR(__xludf.DUMMYFUNCTION("""COMPUTED_VALUE"""),"Tones And I")</f>
        <v>Tones And I</v>
      </c>
      <c r="F11" t="str">
        <f>IFERROR(__xludf.DUMMYFUNCTION("""COMPUTED_VALUE"""),"Dance Monkey (Stripped Back) / Dance Monkey")</f>
        <v>Dance Monkey (Stripped Back) / Dance Monkey</v>
      </c>
      <c r="G11">
        <f>IFERROR(__xludf.DUMMYFUNCTION("""COMPUTED_VALUE"""),0.0)</f>
        <v>0</v>
      </c>
      <c r="H11" s="5">
        <f>IFERROR(__xludf.DUMMYFUNCTION("""COMPUTED_VALUE"""),0.14513888888905058)</f>
        <v>0.1451388889</v>
      </c>
    </row>
    <row r="12">
      <c r="A12" t="str">
        <f>IFERROR(__xludf.DUMMYFUNCTION("""COMPUTED_VALUE"""),"Global")</f>
        <v>Global</v>
      </c>
      <c r="B12" t="str">
        <f>IFERROR(__xludf.DUMMYFUNCTION("""COMPUTED_VALUE"""),"Global")</f>
        <v>Global</v>
      </c>
      <c r="C12">
        <f>IFERROR(__xludf.DUMMYFUNCTION("""COMPUTED_VALUE"""),11.0)</f>
        <v>11</v>
      </c>
      <c r="D12" t="str">
        <f>IFERROR(__xludf.DUMMYFUNCTION("""COMPUTED_VALUE"""),"GOOBA")</f>
        <v>GOOBA</v>
      </c>
      <c r="E12" t="str">
        <f>IFERROR(__xludf.DUMMYFUNCTION("""COMPUTED_VALUE"""),"6ix9ine")</f>
        <v>6ix9ine</v>
      </c>
      <c r="F12" t="str">
        <f>IFERROR(__xludf.DUMMYFUNCTION("""COMPUTED_VALUE"""),"GOOBA")</f>
        <v>GOOBA</v>
      </c>
      <c r="G12">
        <f>IFERROR(__xludf.DUMMYFUNCTION("""COMPUTED_VALUE"""),1.0)</f>
        <v>1</v>
      </c>
      <c r="H12" s="5">
        <f>IFERROR(__xludf.DUMMYFUNCTION("""COMPUTED_VALUE"""),0.09166666666715173)</f>
        <v>0.09166666667</v>
      </c>
    </row>
    <row r="13">
      <c r="A13" t="str">
        <f>IFERROR(__xludf.DUMMYFUNCTION("""COMPUTED_VALUE"""),"Global")</f>
        <v>Global</v>
      </c>
      <c r="B13" t="str">
        <f>IFERROR(__xludf.DUMMYFUNCTION("""COMPUTED_VALUE"""),"Global")</f>
        <v>Global</v>
      </c>
      <c r="C13">
        <f>IFERROR(__xludf.DUMMYFUNCTION("""COMPUTED_VALUE"""),12.0)</f>
        <v>12</v>
      </c>
      <c r="D13" t="str">
        <f>IFERROR(__xludf.DUMMYFUNCTION("""COMPUTED_VALUE"""),"Blueberry Faygo")</f>
        <v>Blueberry Faygo</v>
      </c>
      <c r="E13" t="str">
        <f>IFERROR(__xludf.DUMMYFUNCTION("""COMPUTED_VALUE"""),"Lil Mosey")</f>
        <v>Lil Mosey</v>
      </c>
      <c r="F13" t="str">
        <f>IFERROR(__xludf.DUMMYFUNCTION("""COMPUTED_VALUE"""),"Certified Hitmaker")</f>
        <v>Certified Hitmaker</v>
      </c>
      <c r="G13">
        <f>IFERROR(__xludf.DUMMYFUNCTION("""COMPUTED_VALUE"""),1.0)</f>
        <v>1</v>
      </c>
      <c r="H13" s="5">
        <f>IFERROR(__xludf.DUMMYFUNCTION("""COMPUTED_VALUE"""),0.1124999999992724)</f>
        <v>0.1125</v>
      </c>
    </row>
    <row r="14">
      <c r="A14" t="str">
        <f>IFERROR(__xludf.DUMMYFUNCTION("""COMPUTED_VALUE"""),"Global")</f>
        <v>Global</v>
      </c>
      <c r="B14" t="str">
        <f>IFERROR(__xludf.DUMMYFUNCTION("""COMPUTED_VALUE"""),"Global")</f>
        <v>Global</v>
      </c>
      <c r="C14">
        <f>IFERROR(__xludf.DUMMYFUNCTION("""COMPUTED_VALUE"""),13.0)</f>
        <v>13</v>
      </c>
      <c r="D14" t="str">
        <f>IFERROR(__xludf.DUMMYFUNCTION("""COMPUTED_VALUE"""),"The Box")</f>
        <v>The Box</v>
      </c>
      <c r="E14" t="str">
        <f>IFERROR(__xludf.DUMMYFUNCTION("""COMPUTED_VALUE"""),"Roddy Ricch")</f>
        <v>Roddy Ricch</v>
      </c>
      <c r="F14" t="str">
        <f>IFERROR(__xludf.DUMMYFUNCTION("""COMPUTED_VALUE"""),"Please Excuse Me For Being Antisocial")</f>
        <v>Please Excuse Me For Being Antisocial</v>
      </c>
      <c r="G14">
        <f>IFERROR(__xludf.DUMMYFUNCTION("""COMPUTED_VALUE"""),1.0)</f>
        <v>1</v>
      </c>
      <c r="H14" s="5">
        <f>IFERROR(__xludf.DUMMYFUNCTION("""COMPUTED_VALUE"""),0.13611111111094942)</f>
        <v>0.1361111111</v>
      </c>
    </row>
    <row r="15">
      <c r="A15" t="str">
        <f>IFERROR(__xludf.DUMMYFUNCTION("""COMPUTED_VALUE"""),"Global")</f>
        <v>Global</v>
      </c>
      <c r="B15" t="str">
        <f>IFERROR(__xludf.DUMMYFUNCTION("""COMPUTED_VALUE"""),"Global")</f>
        <v>Global</v>
      </c>
      <c r="C15">
        <f>IFERROR(__xludf.DUMMYFUNCTION("""COMPUTED_VALUE"""),14.0)</f>
        <v>14</v>
      </c>
      <c r="D15" t="str">
        <f>IFERROR(__xludf.DUMMYFUNCTION("""COMPUTED_VALUE"""),"ily (i love you baby) (feat. Emilee)")</f>
        <v>ily (i love you baby) (feat. Emilee)</v>
      </c>
      <c r="E15" t="str">
        <f>IFERROR(__xludf.DUMMYFUNCTION("""COMPUTED_VALUE"""),"Surf Mesa, Emilee")</f>
        <v>Surf Mesa, Emilee</v>
      </c>
      <c r="F15" t="str">
        <f>IFERROR(__xludf.DUMMYFUNCTION("""COMPUTED_VALUE"""),"ily (i love you baby) (feat. Emilee)")</f>
        <v>ily (i love you baby) (feat. Emilee)</v>
      </c>
      <c r="G15">
        <f>IFERROR(__xludf.DUMMYFUNCTION("""COMPUTED_VALUE"""),0.0)</f>
        <v>0</v>
      </c>
      <c r="H15" s="5">
        <f>IFERROR(__xludf.DUMMYFUNCTION("""COMPUTED_VALUE"""),0.12222222222044365)</f>
        <v>0.1222222222</v>
      </c>
    </row>
    <row r="16">
      <c r="A16" t="str">
        <f>IFERROR(__xludf.DUMMYFUNCTION("""COMPUTED_VALUE"""),"Global")</f>
        <v>Global</v>
      </c>
      <c r="B16" t="str">
        <f>IFERROR(__xludf.DUMMYFUNCTION("""COMPUTED_VALUE"""),"Global")</f>
        <v>Global</v>
      </c>
      <c r="C16">
        <f>IFERROR(__xludf.DUMMYFUNCTION("""COMPUTED_VALUE"""),15.0)</f>
        <v>15</v>
      </c>
      <c r="D16" t="str">
        <f>IFERROR(__xludf.DUMMYFUNCTION("""COMPUTED_VALUE"""),"Break My Heart")</f>
        <v>Break My Heart</v>
      </c>
      <c r="E16" t="str">
        <f>IFERROR(__xludf.DUMMYFUNCTION("""COMPUTED_VALUE"""),"Dua Lipa")</f>
        <v>Dua Lipa</v>
      </c>
      <c r="F16" t="str">
        <f>IFERROR(__xludf.DUMMYFUNCTION("""COMPUTED_VALUE"""),"Future Nostalgia")</f>
        <v>Future Nostalgia</v>
      </c>
      <c r="G16">
        <f>IFERROR(__xludf.DUMMYFUNCTION("""COMPUTED_VALUE"""),0.0)</f>
        <v>0</v>
      </c>
      <c r="H16" s="5">
        <f>IFERROR(__xludf.DUMMYFUNCTION("""COMPUTED_VALUE"""),0.15347222222044365)</f>
        <v>0.1534722222</v>
      </c>
    </row>
    <row r="17">
      <c r="A17" t="str">
        <f>IFERROR(__xludf.DUMMYFUNCTION("""COMPUTED_VALUE"""),"Global")</f>
        <v>Global</v>
      </c>
      <c r="B17" t="str">
        <f>IFERROR(__xludf.DUMMYFUNCTION("""COMPUTED_VALUE"""),"Global")</f>
        <v>Global</v>
      </c>
      <c r="C17">
        <f>IFERROR(__xludf.DUMMYFUNCTION("""COMPUTED_VALUE"""),16.0)</f>
        <v>16</v>
      </c>
      <c r="D17" t="str">
        <f>IFERROR(__xludf.DUMMYFUNCTION("""COMPUTED_VALUE"""),"Supalonely")</f>
        <v>Supalonely</v>
      </c>
      <c r="E17" t="str">
        <f>IFERROR(__xludf.DUMMYFUNCTION("""COMPUTED_VALUE"""),"BENEE, Gus Dapperton")</f>
        <v>BENEE, Gus Dapperton</v>
      </c>
      <c r="F17" t="str">
        <f>IFERROR(__xludf.DUMMYFUNCTION("""COMPUTED_VALUE"""),"STELLA &amp; STEVE")</f>
        <v>STELLA &amp; STEVE</v>
      </c>
      <c r="G17">
        <f>IFERROR(__xludf.DUMMYFUNCTION("""COMPUTED_VALUE"""),1.0)</f>
        <v>1</v>
      </c>
      <c r="H17" s="5">
        <f>IFERROR(__xludf.DUMMYFUNCTION("""COMPUTED_VALUE"""),0.15486111111022183)</f>
        <v>0.1548611111</v>
      </c>
    </row>
    <row r="18">
      <c r="A18" t="str">
        <f>IFERROR(__xludf.DUMMYFUNCTION("""COMPUTED_VALUE"""),"Global")</f>
        <v>Global</v>
      </c>
      <c r="B18" t="str">
        <f>IFERROR(__xludf.DUMMYFUNCTION("""COMPUTED_VALUE"""),"Global")</f>
        <v>Global</v>
      </c>
      <c r="C18">
        <f>IFERROR(__xludf.DUMMYFUNCTION("""COMPUTED_VALUE"""),17.0)</f>
        <v>17</v>
      </c>
      <c r="D18" t="str">
        <f>IFERROR(__xludf.DUMMYFUNCTION("""COMPUTED_VALUE"""),"Intentions (feat. Quavo)")</f>
        <v>Intentions (feat. Quavo)</v>
      </c>
      <c r="E18" t="str">
        <f>IFERROR(__xludf.DUMMYFUNCTION("""COMPUTED_VALUE"""),"Justin Bieber, Quavo")</f>
        <v>Justin Bieber, Quavo</v>
      </c>
      <c r="F18" t="str">
        <f>IFERROR(__xludf.DUMMYFUNCTION("""COMPUTED_VALUE"""),"Changes")</f>
        <v>Changes</v>
      </c>
      <c r="G18">
        <f>IFERROR(__xludf.DUMMYFUNCTION("""COMPUTED_VALUE"""),0.0)</f>
        <v>0</v>
      </c>
      <c r="H18" s="5">
        <f>IFERROR(__xludf.DUMMYFUNCTION("""COMPUTED_VALUE"""),0.14722222222189885)</f>
        <v>0.1472222222</v>
      </c>
    </row>
    <row r="19">
      <c r="A19" t="str">
        <f>IFERROR(__xludf.DUMMYFUNCTION("""COMPUTED_VALUE"""),"Global")</f>
        <v>Global</v>
      </c>
      <c r="B19" t="str">
        <f>IFERROR(__xludf.DUMMYFUNCTION("""COMPUTED_VALUE"""),"Global")</f>
        <v>Global</v>
      </c>
      <c r="C19">
        <f>IFERROR(__xludf.DUMMYFUNCTION("""COMPUTED_VALUE"""),18.0)</f>
        <v>18</v>
      </c>
      <c r="D19" t="str">
        <f>IFERROR(__xludf.DUMMYFUNCTION("""COMPUTED_VALUE"""),"In Your Eyes")</f>
        <v>In Your Eyes</v>
      </c>
      <c r="E19" t="str">
        <f>IFERROR(__xludf.DUMMYFUNCTION("""COMPUTED_VALUE"""),"The Weeknd")</f>
        <v>The Weeknd</v>
      </c>
      <c r="F19" t="str">
        <f>IFERROR(__xludf.DUMMYFUNCTION("""COMPUTED_VALUE"""),"After Hours")</f>
        <v>After Hours</v>
      </c>
      <c r="G19">
        <f>IFERROR(__xludf.DUMMYFUNCTION("""COMPUTED_VALUE"""),1.0)</f>
        <v>1</v>
      </c>
      <c r="H19" s="5">
        <f>IFERROR(__xludf.DUMMYFUNCTION("""COMPUTED_VALUE"""),0.16458333333503106)</f>
        <v>0.1645833333</v>
      </c>
    </row>
    <row r="20">
      <c r="A20" t="str">
        <f>IFERROR(__xludf.DUMMYFUNCTION("""COMPUTED_VALUE"""),"Global")</f>
        <v>Global</v>
      </c>
      <c r="B20" t="str">
        <f>IFERROR(__xludf.DUMMYFUNCTION("""COMPUTED_VALUE"""),"Global")</f>
        <v>Global</v>
      </c>
      <c r="C20">
        <f>IFERROR(__xludf.DUMMYFUNCTION("""COMPUTED_VALUE"""),19.0)</f>
        <v>19</v>
      </c>
      <c r="D20" t="str">
        <f>IFERROR(__xludf.DUMMYFUNCTION("""COMPUTED_VALUE"""),"Sunday Best")</f>
        <v>Sunday Best</v>
      </c>
      <c r="E20" t="str">
        <f>IFERROR(__xludf.DUMMYFUNCTION("""COMPUTED_VALUE"""),"Surfaces")</f>
        <v>Surfaces</v>
      </c>
      <c r="F20" t="str">
        <f>IFERROR(__xludf.DUMMYFUNCTION("""COMPUTED_VALUE"""),"Where the Light Is")</f>
        <v>Where the Light Is</v>
      </c>
      <c r="G20">
        <f>IFERROR(__xludf.DUMMYFUNCTION("""COMPUTED_VALUE"""),0.0)</f>
        <v>0</v>
      </c>
      <c r="H20" s="5">
        <f>IFERROR(__xludf.DUMMYFUNCTION("""COMPUTED_VALUE"""),0.10972222222335404)</f>
        <v>0.1097222222</v>
      </c>
    </row>
    <row r="21">
      <c r="A21" t="str">
        <f>IFERROR(__xludf.DUMMYFUNCTION("""COMPUTED_VALUE"""),"Global")</f>
        <v>Global</v>
      </c>
      <c r="B21" t="str">
        <f>IFERROR(__xludf.DUMMYFUNCTION("""COMPUTED_VALUE"""),"Global")</f>
        <v>Global</v>
      </c>
      <c r="C21">
        <f>IFERROR(__xludf.DUMMYFUNCTION("""COMPUTED_VALUE"""),20.0)</f>
        <v>20</v>
      </c>
      <c r="D21" t="str">
        <f>IFERROR(__xludf.DUMMYFUNCTION("""COMPUTED_VALUE"""),"Say So")</f>
        <v>Say So</v>
      </c>
      <c r="E21" t="str">
        <f>IFERROR(__xludf.DUMMYFUNCTION("""COMPUTED_VALUE"""),"Doja Cat")</f>
        <v>Doja Cat</v>
      </c>
      <c r="F21" t="str">
        <f>IFERROR(__xludf.DUMMYFUNCTION("""COMPUTED_VALUE"""),"Hot Pink")</f>
        <v>Hot Pink</v>
      </c>
      <c r="G21">
        <f>IFERROR(__xludf.DUMMYFUNCTION("""COMPUTED_VALUE"""),1.0)</f>
        <v>1</v>
      </c>
      <c r="H21" s="5">
        <f>IFERROR(__xludf.DUMMYFUNCTION("""COMPUTED_VALUE"""),0.16458333333503106)</f>
        <v>0.1645833333</v>
      </c>
    </row>
    <row r="22">
      <c r="A22" t="str">
        <f>IFERROR(__xludf.DUMMYFUNCTION("""COMPUTED_VALUE"""),"Global")</f>
        <v>Global</v>
      </c>
      <c r="B22" t="str">
        <f>IFERROR(__xludf.DUMMYFUNCTION("""COMPUTED_VALUE"""),"Global")</f>
        <v>Global</v>
      </c>
      <c r="C22">
        <f>IFERROR(__xludf.DUMMYFUNCTION("""COMPUTED_VALUE"""),21.0)</f>
        <v>21</v>
      </c>
      <c r="D22" t="str">
        <f>IFERROR(__xludf.DUMMYFUNCTION("""COMPUTED_VALUE"""),"Falling")</f>
        <v>Falling</v>
      </c>
      <c r="E22" t="str">
        <f>IFERROR(__xludf.DUMMYFUNCTION("""COMPUTED_VALUE"""),"Trevor Daniel")</f>
        <v>Trevor Daniel</v>
      </c>
      <c r="F22" t="str">
        <f>IFERROR(__xludf.DUMMYFUNCTION("""COMPUTED_VALUE"""),"Nicotine")</f>
        <v>Nicotine</v>
      </c>
      <c r="G22">
        <f>IFERROR(__xludf.DUMMYFUNCTION("""COMPUTED_VALUE"""),0.0)</f>
        <v>0</v>
      </c>
      <c r="H22" s="5">
        <f>IFERROR(__xludf.DUMMYFUNCTION("""COMPUTED_VALUE"""),0.11041666666642413)</f>
        <v>0.1104166667</v>
      </c>
    </row>
    <row r="23">
      <c r="A23" t="str">
        <f>IFERROR(__xludf.DUMMYFUNCTION("""COMPUTED_VALUE"""),"Global")</f>
        <v>Global</v>
      </c>
      <c r="B23" t="str">
        <f>IFERROR(__xludf.DUMMYFUNCTION("""COMPUTED_VALUE"""),"Global")</f>
        <v>Global</v>
      </c>
      <c r="C23">
        <f>IFERROR(__xludf.DUMMYFUNCTION("""COMPUTED_VALUE"""),22.0)</f>
        <v>22</v>
      </c>
      <c r="D23" t="str">
        <f>IFERROR(__xludf.DUMMYFUNCTION("""COMPUTED_VALUE"""),"Savage Remix (feat. Beyoncé)")</f>
        <v>Savage Remix (feat. Beyoncé)</v>
      </c>
      <c r="E23" t="str">
        <f>IFERROR(__xludf.DUMMYFUNCTION("""COMPUTED_VALUE"""),"Megan Thee Stallion, Beyoncé")</f>
        <v>Megan Thee Stallion, Beyoncé</v>
      </c>
      <c r="F23" t="str">
        <f>IFERROR(__xludf.DUMMYFUNCTION("""COMPUTED_VALUE"""),"Savage Remix (feat. Beyoncé)")</f>
        <v>Savage Remix (feat. Beyoncé)</v>
      </c>
      <c r="G23">
        <f>IFERROR(__xludf.DUMMYFUNCTION("""COMPUTED_VALUE"""),1.0)</f>
        <v>1</v>
      </c>
      <c r="H23" s="5">
        <f>IFERROR(__xludf.DUMMYFUNCTION("""COMPUTED_VALUE"""),0.16805555555401952)</f>
        <v>0.1680555556</v>
      </c>
    </row>
    <row r="24">
      <c r="A24" t="str">
        <f>IFERROR(__xludf.DUMMYFUNCTION("""COMPUTED_VALUE"""),"Global")</f>
        <v>Global</v>
      </c>
      <c r="B24" t="str">
        <f>IFERROR(__xludf.DUMMYFUNCTION("""COMPUTED_VALUE"""),"Global")</f>
        <v>Global</v>
      </c>
      <c r="C24">
        <f>IFERROR(__xludf.DUMMYFUNCTION("""COMPUTED_VALUE"""),23.0)</f>
        <v>23</v>
      </c>
      <c r="D24" t="str">
        <f>IFERROR(__xludf.DUMMYFUNCTION("""COMPUTED_VALUE"""),"Safaera")</f>
        <v>Safaera</v>
      </c>
      <c r="E24" t="str">
        <f>IFERROR(__xludf.DUMMYFUNCTION("""COMPUTED_VALUE"""),"Bad Bunny, Jowell &amp; Randy, Nengo Flow")</f>
        <v>Bad Bunny, Jowell &amp; Randy, Nengo Flow</v>
      </c>
      <c r="F24" t="str">
        <f>IFERROR(__xludf.DUMMYFUNCTION("""COMPUTED_VALUE"""),"YHLQMDLG")</f>
        <v>YHLQMDLG</v>
      </c>
      <c r="G24">
        <f>IFERROR(__xludf.DUMMYFUNCTION("""COMPUTED_VALUE"""),1.0)</f>
        <v>1</v>
      </c>
      <c r="H24" s="5">
        <f>IFERROR(__xludf.DUMMYFUNCTION("""COMPUTED_VALUE"""),0.20486111110949423)</f>
        <v>0.2048611111</v>
      </c>
    </row>
    <row r="25">
      <c r="A25" t="str">
        <f>IFERROR(__xludf.DUMMYFUNCTION("""COMPUTED_VALUE"""),"Global")</f>
        <v>Global</v>
      </c>
      <c r="B25" t="str">
        <f>IFERROR(__xludf.DUMMYFUNCTION("""COMPUTED_VALUE"""),"Global")</f>
        <v>Global</v>
      </c>
      <c r="C25">
        <f>IFERROR(__xludf.DUMMYFUNCTION("""COMPUTED_VALUE"""),24.0)</f>
        <v>24</v>
      </c>
      <c r="D25" t="str">
        <f>IFERROR(__xludf.DUMMYFUNCTION("""COMPUTED_VALUE"""),"Someone You Loved")</f>
        <v>Someone You Loved</v>
      </c>
      <c r="E25" t="str">
        <f>IFERROR(__xludf.DUMMYFUNCTION("""COMPUTED_VALUE"""),"Lewis Capaldi")</f>
        <v>Lewis Capaldi</v>
      </c>
      <c r="F25" t="str">
        <f>IFERROR(__xludf.DUMMYFUNCTION("""COMPUTED_VALUE"""),"Divinely Uninspired To A Hellish Extent")</f>
        <v>Divinely Uninspired To A Hellish Extent</v>
      </c>
      <c r="G25">
        <f>IFERROR(__xludf.DUMMYFUNCTION("""COMPUTED_VALUE"""),0.0)</f>
        <v>0</v>
      </c>
      <c r="H25" s="5">
        <f>IFERROR(__xludf.DUMMYFUNCTION("""COMPUTED_VALUE"""),0.12638888888977817)</f>
        <v>0.1263888889</v>
      </c>
    </row>
    <row r="26">
      <c r="A26" t="str">
        <f>IFERROR(__xludf.DUMMYFUNCTION("""COMPUTED_VALUE"""),"Global")</f>
        <v>Global</v>
      </c>
      <c r="B26" t="str">
        <f>IFERROR(__xludf.DUMMYFUNCTION("""COMPUTED_VALUE"""),"Global")</f>
        <v>Global</v>
      </c>
      <c r="C26">
        <f>IFERROR(__xludf.DUMMYFUNCTION("""COMPUTED_VALUE"""),25.0)</f>
        <v>25</v>
      </c>
      <c r="D26" t="str">
        <f>IFERROR(__xludf.DUMMYFUNCTION("""COMPUTED_VALUE"""),"Yo Perreo Sola")</f>
        <v>Yo Perreo Sola</v>
      </c>
      <c r="E26" t="str">
        <f>IFERROR(__xludf.DUMMYFUNCTION("""COMPUTED_VALUE"""),"Bad Bunny")</f>
        <v>Bad Bunny</v>
      </c>
      <c r="F26" t="str">
        <f>IFERROR(__xludf.DUMMYFUNCTION("""COMPUTED_VALUE"""),"YHLQMDLG")</f>
        <v>YHLQMDLG</v>
      </c>
      <c r="G26">
        <f>IFERROR(__xludf.DUMMYFUNCTION("""COMPUTED_VALUE"""),0.0)</f>
        <v>0</v>
      </c>
      <c r="H26" s="5">
        <f>IFERROR(__xludf.DUMMYFUNCTION("""COMPUTED_VALUE"""),0.11944444444452529)</f>
        <v>0.1194444444</v>
      </c>
    </row>
    <row r="27">
      <c r="A27" t="str">
        <f>IFERROR(__xludf.DUMMYFUNCTION("""COMPUTED_VALUE"""),"Global")</f>
        <v>Global</v>
      </c>
      <c r="B27" t="str">
        <f>IFERROR(__xludf.DUMMYFUNCTION("""COMPUTED_VALUE"""),"Global")</f>
        <v>Global</v>
      </c>
      <c r="C27">
        <f>IFERROR(__xludf.DUMMYFUNCTION("""COMPUTED_VALUE"""),26.0)</f>
        <v>26</v>
      </c>
      <c r="D27" t="str">
        <f>IFERROR(__xludf.DUMMYFUNCTION("""COMPUTED_VALUE"""),"Circles")</f>
        <v>Circles</v>
      </c>
      <c r="E27" t="str">
        <f>IFERROR(__xludf.DUMMYFUNCTION("""COMPUTED_VALUE"""),"Post Malone")</f>
        <v>Post Malone</v>
      </c>
      <c r="F27" t="str">
        <f>IFERROR(__xludf.DUMMYFUNCTION("""COMPUTED_VALUE"""),"Hollywood's Bleeding")</f>
        <v>Hollywood's Bleeding</v>
      </c>
      <c r="G27">
        <f>IFERROR(__xludf.DUMMYFUNCTION("""COMPUTED_VALUE"""),0.0)</f>
        <v>0</v>
      </c>
      <c r="H27" s="5">
        <f>IFERROR(__xludf.DUMMYFUNCTION("""COMPUTED_VALUE"""),0.14930555555474712)</f>
        <v>0.1493055556</v>
      </c>
    </row>
    <row r="28">
      <c r="A28" t="str">
        <f>IFERROR(__xludf.DUMMYFUNCTION("""COMPUTED_VALUE"""),"Global")</f>
        <v>Global</v>
      </c>
      <c r="B28" t="str">
        <f>IFERROR(__xludf.DUMMYFUNCTION("""COMPUTED_VALUE"""),"Global")</f>
        <v>Global</v>
      </c>
      <c r="C28">
        <f>IFERROR(__xludf.DUMMYFUNCTION("""COMPUTED_VALUE"""),27.0)</f>
        <v>27</v>
      </c>
      <c r="D28" t="str">
        <f>IFERROR(__xludf.DUMMYFUNCTION("""COMPUTED_VALUE"""),"Say So (feat. Nicki Minaj)")</f>
        <v>Say So (feat. Nicki Minaj)</v>
      </c>
      <c r="E28" t="str">
        <f>IFERROR(__xludf.DUMMYFUNCTION("""COMPUTED_VALUE"""),"Doja Cat, Nicki Minaj")</f>
        <v>Doja Cat, Nicki Minaj</v>
      </c>
      <c r="F28" t="str">
        <f>IFERROR(__xludf.DUMMYFUNCTION("""COMPUTED_VALUE"""),"Say So (feat. Nicki Minaj)")</f>
        <v>Say So (feat. Nicki Minaj)</v>
      </c>
      <c r="G28">
        <f>IFERROR(__xludf.DUMMYFUNCTION("""COMPUTED_VALUE"""),1.0)</f>
        <v>1</v>
      </c>
      <c r="H28" s="5">
        <f>IFERROR(__xludf.DUMMYFUNCTION("""COMPUTED_VALUE"""),0.1430555555562023)</f>
        <v>0.1430555556</v>
      </c>
    </row>
    <row r="29">
      <c r="A29" t="str">
        <f>IFERROR(__xludf.DUMMYFUNCTION("""COMPUTED_VALUE"""),"Global")</f>
        <v>Global</v>
      </c>
      <c r="B29" t="str">
        <f>IFERROR(__xludf.DUMMYFUNCTION("""COMPUTED_VALUE"""),"Global")</f>
        <v>Global</v>
      </c>
      <c r="C29">
        <f>IFERROR(__xludf.DUMMYFUNCTION("""COMPUTED_VALUE"""),28.0)</f>
        <v>28</v>
      </c>
      <c r="D29" t="str">
        <f>IFERROR(__xludf.DUMMYFUNCTION("""COMPUTED_VALUE"""),"Party Girl")</f>
        <v>Party Girl</v>
      </c>
      <c r="E29" t="str">
        <f>IFERROR(__xludf.DUMMYFUNCTION("""COMPUTED_VALUE"""),"StaySolidRocky")</f>
        <v>StaySolidRocky</v>
      </c>
      <c r="F29" t="str">
        <f>IFERROR(__xludf.DUMMYFUNCTION("""COMPUTED_VALUE"""),"Party Girl")</f>
        <v>Party Girl</v>
      </c>
      <c r="G29">
        <f>IFERROR(__xludf.DUMMYFUNCTION("""COMPUTED_VALUE"""),0.0)</f>
        <v>0</v>
      </c>
      <c r="H29" s="5">
        <f>IFERROR(__xludf.DUMMYFUNCTION("""COMPUTED_VALUE"""),0.10208333333503106)</f>
        <v>0.1020833333</v>
      </c>
    </row>
    <row r="30">
      <c r="A30" t="str">
        <f>IFERROR(__xludf.DUMMYFUNCTION("""COMPUTED_VALUE"""),"Global")</f>
        <v>Global</v>
      </c>
      <c r="B30" t="str">
        <f>IFERROR(__xludf.DUMMYFUNCTION("""COMPUTED_VALUE"""),"Global")</f>
        <v>Global</v>
      </c>
      <c r="C30">
        <f>IFERROR(__xludf.DUMMYFUNCTION("""COMPUTED_VALUE"""),29.0)</f>
        <v>29</v>
      </c>
      <c r="D30" t="str">
        <f>IFERROR(__xludf.DUMMYFUNCTION("""COMPUTED_VALUE"""),"Watermelon Sugar")</f>
        <v>Watermelon Sugar</v>
      </c>
      <c r="E30" t="str">
        <f>IFERROR(__xludf.DUMMYFUNCTION("""COMPUTED_VALUE"""),"Harry Styles")</f>
        <v>Harry Styles</v>
      </c>
      <c r="F30" t="str">
        <f>IFERROR(__xludf.DUMMYFUNCTION("""COMPUTED_VALUE"""),"Fine Line")</f>
        <v>Fine Line</v>
      </c>
      <c r="G30">
        <f>IFERROR(__xludf.DUMMYFUNCTION("""COMPUTED_VALUE"""),0.0)</f>
        <v>0</v>
      </c>
      <c r="H30" s="5">
        <f>IFERROR(__xludf.DUMMYFUNCTION("""COMPUTED_VALUE"""),0.12083333333430346)</f>
        <v>0.1208333333</v>
      </c>
    </row>
    <row r="31">
      <c r="A31" t="str">
        <f>IFERROR(__xludf.DUMMYFUNCTION("""COMPUTED_VALUE"""),"Global")</f>
        <v>Global</v>
      </c>
      <c r="B31" t="str">
        <f>IFERROR(__xludf.DUMMYFUNCTION("""COMPUTED_VALUE"""),"Global")</f>
        <v>Global</v>
      </c>
      <c r="C31">
        <f>IFERROR(__xludf.DUMMYFUNCTION("""COMPUTED_VALUE"""),30.0)</f>
        <v>30</v>
      </c>
      <c r="D31" t="str">
        <f>IFERROR(__xludf.DUMMYFUNCTION("""COMPUTED_VALUE"""),"goosebumps")</f>
        <v>goosebumps</v>
      </c>
      <c r="E31" t="str">
        <f>IFERROR(__xludf.DUMMYFUNCTION("""COMPUTED_VALUE"""),"Travis Scott")</f>
        <v>Travis Scott</v>
      </c>
      <c r="F31" t="str">
        <f>IFERROR(__xludf.DUMMYFUNCTION("""COMPUTED_VALUE"""),"Birds In The Trap Sing McKnight")</f>
        <v>Birds In The Trap Sing McKnight</v>
      </c>
      <c r="G31">
        <f>IFERROR(__xludf.DUMMYFUNCTION("""COMPUTED_VALUE"""),1.0)</f>
        <v>1</v>
      </c>
      <c r="H31" s="5">
        <f>IFERROR(__xludf.DUMMYFUNCTION("""COMPUTED_VALUE"""),0.1687500000007276)</f>
        <v>0.16875</v>
      </c>
    </row>
    <row r="32">
      <c r="A32" t="str">
        <f>IFERROR(__xludf.DUMMYFUNCTION("""COMPUTED_VALUE"""),"Global")</f>
        <v>Global</v>
      </c>
      <c r="B32" t="str">
        <f>IFERROR(__xludf.DUMMYFUNCTION("""COMPUTED_VALUE"""),"Global")</f>
        <v>Global</v>
      </c>
      <c r="C32">
        <f>IFERROR(__xludf.DUMMYFUNCTION("""COMPUTED_VALUE"""),31.0)</f>
        <v>31</v>
      </c>
      <c r="D32" t="str">
        <f>IFERROR(__xludf.DUMMYFUNCTION("""COMPUTED_VALUE"""),"Tusa")</f>
        <v>Tusa</v>
      </c>
      <c r="E32" t="str">
        <f>IFERROR(__xludf.DUMMYFUNCTION("""COMPUTED_VALUE"""),"KAROL G, Nicki Minaj")</f>
        <v>KAROL G, Nicki Minaj</v>
      </c>
      <c r="F32" t="str">
        <f>IFERROR(__xludf.DUMMYFUNCTION("""COMPUTED_VALUE"""),"Tusa")</f>
        <v>Tusa</v>
      </c>
      <c r="G32">
        <f>IFERROR(__xludf.DUMMYFUNCTION("""COMPUTED_VALUE"""),0.0)</f>
        <v>0</v>
      </c>
      <c r="H32" s="5">
        <f>IFERROR(__xludf.DUMMYFUNCTION("""COMPUTED_VALUE"""),0.13888888889050577)</f>
        <v>0.1388888889</v>
      </c>
    </row>
    <row r="33">
      <c r="A33" t="str">
        <f>IFERROR(__xludf.DUMMYFUNCTION("""COMPUTED_VALUE"""),"Global")</f>
        <v>Global</v>
      </c>
      <c r="B33" t="str">
        <f>IFERROR(__xludf.DUMMYFUNCTION("""COMPUTED_VALUE"""),"Global")</f>
        <v>Global</v>
      </c>
      <c r="C33">
        <f>IFERROR(__xludf.DUMMYFUNCTION("""COMPUTED_VALUE"""),32.0)</f>
        <v>32</v>
      </c>
      <c r="D33" t="str">
        <f>IFERROR(__xludf.DUMMYFUNCTION("""COMPUTED_VALUE"""),"WHATS POPPIN")</f>
        <v>WHATS POPPIN</v>
      </c>
      <c r="E33" t="str">
        <f>IFERROR(__xludf.DUMMYFUNCTION("""COMPUTED_VALUE"""),"Jack Harlow")</f>
        <v>Jack Harlow</v>
      </c>
      <c r="F33" t="str">
        <f>IFERROR(__xludf.DUMMYFUNCTION("""COMPUTED_VALUE"""),"Sweet Action")</f>
        <v>Sweet Action</v>
      </c>
      <c r="G33">
        <f>IFERROR(__xludf.DUMMYFUNCTION("""COMPUTED_VALUE"""),1.0)</f>
        <v>1</v>
      </c>
      <c r="H33" s="5">
        <f>IFERROR(__xludf.DUMMYFUNCTION("""COMPUTED_VALUE"""),0.09652777777955635)</f>
        <v>0.09652777778</v>
      </c>
    </row>
    <row r="34">
      <c r="A34" t="str">
        <f>IFERROR(__xludf.DUMMYFUNCTION("""COMPUTED_VALUE"""),"Global")</f>
        <v>Global</v>
      </c>
      <c r="B34" t="str">
        <f>IFERROR(__xludf.DUMMYFUNCTION("""COMPUTED_VALUE"""),"Global")</f>
        <v>Global</v>
      </c>
      <c r="C34">
        <f>IFERROR(__xludf.DUMMYFUNCTION("""COMPUTED_VALUE"""),33.0)</f>
        <v>33</v>
      </c>
      <c r="D34" t="str">
        <f>IFERROR(__xludf.DUMMYFUNCTION("""COMPUTED_VALUE"""),"Boss Bitch")</f>
        <v>Boss Bitch</v>
      </c>
      <c r="E34" t="str">
        <f>IFERROR(__xludf.DUMMYFUNCTION("""COMPUTED_VALUE"""),"Doja Cat")</f>
        <v>Doja Cat</v>
      </c>
      <c r="F34" t="str">
        <f>IFERROR(__xludf.DUMMYFUNCTION("""COMPUTED_VALUE"""),"Boss Bitch")</f>
        <v>Boss Bitch</v>
      </c>
      <c r="G34">
        <f>IFERROR(__xludf.DUMMYFUNCTION("""COMPUTED_VALUE"""),0.0)</f>
        <v>0</v>
      </c>
      <c r="H34" s="5">
        <f>IFERROR(__xludf.DUMMYFUNCTION("""COMPUTED_VALUE"""),0.0930555555569299)</f>
        <v>0.09305555556</v>
      </c>
    </row>
    <row r="35">
      <c r="A35" t="str">
        <f>IFERROR(__xludf.DUMMYFUNCTION("""COMPUTED_VALUE"""),"Global")</f>
        <v>Global</v>
      </c>
      <c r="B35" t="str">
        <f>IFERROR(__xludf.DUMMYFUNCTION("""COMPUTED_VALUE"""),"Global")</f>
        <v>Global</v>
      </c>
      <c r="C35">
        <f>IFERROR(__xludf.DUMMYFUNCTION("""COMPUTED_VALUE"""),34.0)</f>
        <v>34</v>
      </c>
      <c r="D35" t="str">
        <f>IFERROR(__xludf.DUMMYFUNCTION("""COMPUTED_VALUE"""),"ROXANNE")</f>
        <v>ROXANNE</v>
      </c>
      <c r="E35" t="str">
        <f>IFERROR(__xludf.DUMMYFUNCTION("""COMPUTED_VALUE"""),"Arizona Zervas")</f>
        <v>Arizona Zervas</v>
      </c>
      <c r="F35" t="str">
        <f>IFERROR(__xludf.DUMMYFUNCTION("""COMPUTED_VALUE"""),"ROXANNE")</f>
        <v>ROXANNE</v>
      </c>
      <c r="G35">
        <f>IFERROR(__xludf.DUMMYFUNCTION("""COMPUTED_VALUE"""),1.0)</f>
        <v>1</v>
      </c>
      <c r="H35" s="5">
        <f>IFERROR(__xludf.DUMMYFUNCTION("""COMPUTED_VALUE"""),0.11319444444598048)</f>
        <v>0.1131944444</v>
      </c>
    </row>
    <row r="36">
      <c r="A36" t="str">
        <f>IFERROR(__xludf.DUMMYFUNCTION("""COMPUTED_VALUE"""),"Global")</f>
        <v>Global</v>
      </c>
      <c r="B36" t="str">
        <f>IFERROR(__xludf.DUMMYFUNCTION("""COMPUTED_VALUE"""),"Global")</f>
        <v>Global</v>
      </c>
      <c r="C36">
        <f>IFERROR(__xludf.DUMMYFUNCTION("""COMPUTED_VALUE"""),35.0)</f>
        <v>35</v>
      </c>
      <c r="D36" t="str">
        <f>IFERROR(__xludf.DUMMYFUNCTION("""COMPUTED_VALUE"""),"SICKO MODE")</f>
        <v>SICKO MODE</v>
      </c>
      <c r="E36" t="str">
        <f>IFERROR(__xludf.DUMMYFUNCTION("""COMPUTED_VALUE"""),"Travis Scott")</f>
        <v>Travis Scott</v>
      </c>
      <c r="F36" t="str">
        <f>IFERROR(__xludf.DUMMYFUNCTION("""COMPUTED_VALUE"""),"ASTROWORLD")</f>
        <v>ASTROWORLD</v>
      </c>
      <c r="G36">
        <f>IFERROR(__xludf.DUMMYFUNCTION("""COMPUTED_VALUE"""),1.0)</f>
        <v>1</v>
      </c>
      <c r="H36" s="5">
        <f>IFERROR(__xludf.DUMMYFUNCTION("""COMPUTED_VALUE"""),0.21666666666715173)</f>
        <v>0.2166666667</v>
      </c>
    </row>
    <row r="37">
      <c r="A37" t="str">
        <f>IFERROR(__xludf.DUMMYFUNCTION("""COMPUTED_VALUE"""),"Global")</f>
        <v>Global</v>
      </c>
      <c r="B37" t="str">
        <f>IFERROR(__xludf.DUMMYFUNCTION("""COMPUTED_VALUE"""),"Global")</f>
        <v>Global</v>
      </c>
      <c r="C37">
        <f>IFERROR(__xludf.DUMMYFUNCTION("""COMPUTED_VALUE"""),36.0)</f>
        <v>36</v>
      </c>
      <c r="D37" t="str">
        <f>IFERROR(__xludf.DUMMYFUNCTION("""COMPUTED_VALUE"""),"Play Date")</f>
        <v>Play Date</v>
      </c>
      <c r="E37" t="str">
        <f>IFERROR(__xludf.DUMMYFUNCTION("""COMPUTED_VALUE"""),"Melanie Martinez")</f>
        <v>Melanie Martinez</v>
      </c>
      <c r="F37" t="str">
        <f>IFERROR(__xludf.DUMMYFUNCTION("""COMPUTED_VALUE"""),"Cry Baby (Deluxe Edition)")</f>
        <v>Cry Baby (Deluxe Edition)</v>
      </c>
      <c r="G37">
        <f>IFERROR(__xludf.DUMMYFUNCTION("""COMPUTED_VALUE"""),1.0)</f>
        <v>1</v>
      </c>
      <c r="H37" s="5">
        <f>IFERROR(__xludf.DUMMYFUNCTION("""COMPUTED_VALUE"""),0.1243055555569299)</f>
        <v>0.1243055556</v>
      </c>
    </row>
    <row r="38">
      <c r="A38" t="str">
        <f>IFERROR(__xludf.DUMMYFUNCTION("""COMPUTED_VALUE"""),"Global")</f>
        <v>Global</v>
      </c>
      <c r="B38" t="str">
        <f>IFERROR(__xludf.DUMMYFUNCTION("""COMPUTED_VALUE"""),"Global")</f>
        <v>Global</v>
      </c>
      <c r="C38">
        <f>IFERROR(__xludf.DUMMYFUNCTION("""COMPUTED_VALUE"""),37.0)</f>
        <v>37</v>
      </c>
      <c r="D38" t="str">
        <f>IFERROR(__xludf.DUMMYFUNCTION("""COMPUTED_VALUE"""),"Be Kind (with Halsey)")</f>
        <v>Be Kind (with Halsey)</v>
      </c>
      <c r="E38" t="str">
        <f>IFERROR(__xludf.DUMMYFUNCTION("""COMPUTED_VALUE"""),"Marshmello, Halsey")</f>
        <v>Marshmello, Halsey</v>
      </c>
      <c r="F38" t="str">
        <f>IFERROR(__xludf.DUMMYFUNCTION("""COMPUTED_VALUE"""),"Be Kind (with Halsey)")</f>
        <v>Be Kind (with Halsey)</v>
      </c>
      <c r="G38">
        <f>IFERROR(__xludf.DUMMYFUNCTION("""COMPUTED_VALUE"""),0.0)</f>
        <v>0</v>
      </c>
      <c r="H38" s="5">
        <f>IFERROR(__xludf.DUMMYFUNCTION("""COMPUTED_VALUE"""),0.11944444444452529)</f>
        <v>0.1194444444</v>
      </c>
    </row>
    <row r="39">
      <c r="A39" t="str">
        <f>IFERROR(__xludf.DUMMYFUNCTION("""COMPUTED_VALUE"""),"Global")</f>
        <v>Global</v>
      </c>
      <c r="B39" t="str">
        <f>IFERROR(__xludf.DUMMYFUNCTION("""COMPUTED_VALUE"""),"Global")</f>
        <v>Global</v>
      </c>
      <c r="C39">
        <f>IFERROR(__xludf.DUMMYFUNCTION("""COMPUTED_VALUE"""),38.0)</f>
        <v>38</v>
      </c>
      <c r="D39" t="str">
        <f>IFERROR(__xludf.DUMMYFUNCTION("""COMPUTED_VALUE"""),"Life Is Good (feat. Drake)")</f>
        <v>Life Is Good (feat. Drake)</v>
      </c>
      <c r="E39" t="str">
        <f>IFERROR(__xludf.DUMMYFUNCTION("""COMPUTED_VALUE"""),"Future, Drake")</f>
        <v>Future, Drake</v>
      </c>
      <c r="F39" t="str">
        <f>IFERROR(__xludf.DUMMYFUNCTION("""COMPUTED_VALUE"""),"High Off Life")</f>
        <v>High Off Life</v>
      </c>
      <c r="G39">
        <f>IFERROR(__xludf.DUMMYFUNCTION("""COMPUTED_VALUE"""),1.0)</f>
        <v>1</v>
      </c>
      <c r="H39" s="5">
        <f>IFERROR(__xludf.DUMMYFUNCTION("""COMPUTED_VALUE"""),0.16458333333503106)</f>
        <v>0.1645833333</v>
      </c>
    </row>
    <row r="40">
      <c r="A40" t="str">
        <f>IFERROR(__xludf.DUMMYFUNCTION("""COMPUTED_VALUE"""),"Global")</f>
        <v>Global</v>
      </c>
      <c r="B40" t="str">
        <f>IFERROR(__xludf.DUMMYFUNCTION("""COMPUTED_VALUE"""),"Global")</f>
        <v>Global</v>
      </c>
      <c r="C40">
        <f>IFERROR(__xludf.DUMMYFUNCTION("""COMPUTED_VALUE"""),39.0)</f>
        <v>39</v>
      </c>
      <c r="D40" t="str">
        <f>IFERROR(__xludf.DUMMYFUNCTION("""COMPUTED_VALUE"""),"HIGHEST IN THE ROOM")</f>
        <v>HIGHEST IN THE ROOM</v>
      </c>
      <c r="E40" t="str">
        <f>IFERROR(__xludf.DUMMYFUNCTION("""COMPUTED_VALUE"""),"Travis Scott")</f>
        <v>Travis Scott</v>
      </c>
      <c r="F40" t="str">
        <f>IFERROR(__xludf.DUMMYFUNCTION("""COMPUTED_VALUE"""),"HIGHEST IN THE ROOM")</f>
        <v>HIGHEST IN THE ROOM</v>
      </c>
      <c r="G40">
        <f>IFERROR(__xludf.DUMMYFUNCTION("""COMPUTED_VALUE"""),1.0)</f>
        <v>1</v>
      </c>
      <c r="H40" s="5">
        <f>IFERROR(__xludf.DUMMYFUNCTION("""COMPUTED_VALUE"""),0.12152777777737356)</f>
        <v>0.1215277778</v>
      </c>
    </row>
    <row r="41">
      <c r="A41" t="str">
        <f>IFERROR(__xludf.DUMMYFUNCTION("""COMPUTED_VALUE"""),"Global")</f>
        <v>Global</v>
      </c>
      <c r="B41" t="str">
        <f>IFERROR(__xludf.DUMMYFUNCTION("""COMPUTED_VALUE"""),"Global")</f>
        <v>Global</v>
      </c>
      <c r="C41">
        <f>IFERROR(__xludf.DUMMYFUNCTION("""COMPUTED_VALUE"""),40.0)</f>
        <v>40</v>
      </c>
      <c r="D41" t="str">
        <f>IFERROR(__xludf.DUMMYFUNCTION("""COMPUTED_VALUE"""),"Breaking Me")</f>
        <v>Breaking Me</v>
      </c>
      <c r="E41" t="str">
        <f>IFERROR(__xludf.DUMMYFUNCTION("""COMPUTED_VALUE"""),"Topic, A7S")</f>
        <v>Topic, A7S</v>
      </c>
      <c r="F41" t="str">
        <f>IFERROR(__xludf.DUMMYFUNCTION("""COMPUTED_VALUE"""),"Breaking Me")</f>
        <v>Breaking Me</v>
      </c>
      <c r="G41">
        <f>IFERROR(__xludf.DUMMYFUNCTION("""COMPUTED_VALUE"""),0.0)</f>
        <v>0</v>
      </c>
      <c r="H41" s="5">
        <f>IFERROR(__xludf.DUMMYFUNCTION("""COMPUTED_VALUE"""),0.11527777777882875)</f>
        <v>0.1152777778</v>
      </c>
    </row>
    <row r="42">
      <c r="A42" t="str">
        <f>IFERROR(__xludf.DUMMYFUNCTION("""COMPUTED_VALUE"""),"Global")</f>
        <v>Global</v>
      </c>
      <c r="B42" t="str">
        <f>IFERROR(__xludf.DUMMYFUNCTION("""COMPUTED_VALUE"""),"Global")</f>
        <v>Global</v>
      </c>
      <c r="C42">
        <f>IFERROR(__xludf.DUMMYFUNCTION("""COMPUTED_VALUE"""),41.0)</f>
        <v>41</v>
      </c>
      <c r="D42" t="str">
        <f>IFERROR(__xludf.DUMMYFUNCTION("""COMPUTED_VALUE"""),"Adore You")</f>
        <v>Adore You</v>
      </c>
      <c r="E42" t="str">
        <f>IFERROR(__xludf.DUMMYFUNCTION("""COMPUTED_VALUE"""),"Harry Styles")</f>
        <v>Harry Styles</v>
      </c>
      <c r="F42" t="str">
        <f>IFERROR(__xludf.DUMMYFUNCTION("""COMPUTED_VALUE"""),"Fine Line")</f>
        <v>Fine Line</v>
      </c>
      <c r="G42">
        <f>IFERROR(__xludf.DUMMYFUNCTION("""COMPUTED_VALUE"""),0.0)</f>
        <v>0</v>
      </c>
      <c r="H42" s="5">
        <f>IFERROR(__xludf.DUMMYFUNCTION("""COMPUTED_VALUE"""),0.1437499999992724)</f>
        <v>0.14375</v>
      </c>
    </row>
    <row r="43">
      <c r="A43" t="str">
        <f>IFERROR(__xludf.DUMMYFUNCTION("""COMPUTED_VALUE"""),"Global")</f>
        <v>Global</v>
      </c>
      <c r="B43" t="str">
        <f>IFERROR(__xludf.DUMMYFUNCTION("""COMPUTED_VALUE"""),"Global")</f>
        <v>Global</v>
      </c>
      <c r="C43">
        <f>IFERROR(__xludf.DUMMYFUNCTION("""COMPUTED_VALUE"""),42.0)</f>
        <v>42</v>
      </c>
      <c r="D43" t="str">
        <f>IFERROR(__xludf.DUMMYFUNCTION("""COMPUTED_VALUE"""),"Rojo")</f>
        <v>Rojo</v>
      </c>
      <c r="E43" t="str">
        <f>IFERROR(__xludf.DUMMYFUNCTION("""COMPUTED_VALUE"""),"J Balvin")</f>
        <v>J Balvin</v>
      </c>
      <c r="F43" t="str">
        <f>IFERROR(__xludf.DUMMYFUNCTION("""COMPUTED_VALUE"""),"Colores")</f>
        <v>Colores</v>
      </c>
      <c r="G43">
        <f>IFERROR(__xludf.DUMMYFUNCTION("""COMPUTED_VALUE"""),0.0)</f>
        <v>0</v>
      </c>
      <c r="H43" s="5">
        <f>IFERROR(__xludf.DUMMYFUNCTION("""COMPUTED_VALUE"""),0.10416666666787933)</f>
        <v>0.1041666667</v>
      </c>
    </row>
    <row r="44">
      <c r="A44" t="str">
        <f>IFERROR(__xludf.DUMMYFUNCTION("""COMPUTED_VALUE"""),"Global")</f>
        <v>Global</v>
      </c>
      <c r="B44" t="str">
        <f>IFERROR(__xludf.DUMMYFUNCTION("""COMPUTED_VALUE"""),"Global")</f>
        <v>Global</v>
      </c>
      <c r="C44">
        <f>IFERROR(__xludf.DUMMYFUNCTION("""COMPUTED_VALUE"""),43.0)</f>
        <v>43</v>
      </c>
      <c r="D44" t="str">
        <f>IFERROR(__xludf.DUMMYFUNCTION("""COMPUTED_VALUE"""),"Before You Go")</f>
        <v>Before You Go</v>
      </c>
      <c r="E44" t="str">
        <f>IFERROR(__xludf.DUMMYFUNCTION("""COMPUTED_VALUE"""),"Lewis Capaldi")</f>
        <v>Lewis Capaldi</v>
      </c>
      <c r="F44" t="str">
        <f>IFERROR(__xludf.DUMMYFUNCTION("""COMPUTED_VALUE"""),"Divinely Uninspired To A Hellish Extent (Extended Edition)")</f>
        <v>Divinely Uninspired To A Hellish Extent (Extended Edition)</v>
      </c>
      <c r="G44">
        <f>IFERROR(__xludf.DUMMYFUNCTION("""COMPUTED_VALUE"""),0.0)</f>
        <v>0</v>
      </c>
      <c r="H44" s="5">
        <f>IFERROR(__xludf.DUMMYFUNCTION("""COMPUTED_VALUE"""),0.14930555555474712)</f>
        <v>0.1493055556</v>
      </c>
    </row>
    <row r="45">
      <c r="A45" t="str">
        <f>IFERROR(__xludf.DUMMYFUNCTION("""COMPUTED_VALUE"""),"Global")</f>
        <v>Global</v>
      </c>
      <c r="B45" t="str">
        <f>IFERROR(__xludf.DUMMYFUNCTION("""COMPUTED_VALUE"""),"Global")</f>
        <v>Global</v>
      </c>
      <c r="C45">
        <f>IFERROR(__xludf.DUMMYFUNCTION("""COMPUTED_VALUE"""),44.0)</f>
        <v>44</v>
      </c>
      <c r="D45" t="str">
        <f>IFERROR(__xludf.DUMMYFUNCTION("""COMPUTED_VALUE"""),"Memories")</f>
        <v>Memories</v>
      </c>
      <c r="E45" t="str">
        <f>IFERROR(__xludf.DUMMYFUNCTION("""COMPUTED_VALUE"""),"Maroon 5")</f>
        <v>Maroon 5</v>
      </c>
      <c r="F45" t="str">
        <f>IFERROR(__xludf.DUMMYFUNCTION("""COMPUTED_VALUE"""),"Memories")</f>
        <v>Memories</v>
      </c>
      <c r="G45">
        <f>IFERROR(__xludf.DUMMYFUNCTION("""COMPUTED_VALUE"""),0.0)</f>
        <v>0</v>
      </c>
      <c r="H45" s="5">
        <f>IFERROR(__xludf.DUMMYFUNCTION("""COMPUTED_VALUE"""),0.1312499999985448)</f>
        <v>0.13125</v>
      </c>
    </row>
    <row r="46">
      <c r="A46" t="str">
        <f>IFERROR(__xludf.DUMMYFUNCTION("""COMPUTED_VALUE"""),"Global")</f>
        <v>Global</v>
      </c>
      <c r="B46" t="str">
        <f>IFERROR(__xludf.DUMMYFUNCTION("""COMPUTED_VALUE"""),"Global")</f>
        <v>Global</v>
      </c>
      <c r="C46">
        <f>IFERROR(__xludf.DUMMYFUNCTION("""COMPUTED_VALUE"""),45.0)</f>
        <v>45</v>
      </c>
      <c r="D46" t="str">
        <f>IFERROR(__xludf.DUMMYFUNCTION("""COMPUTED_VALUE"""),"After Party")</f>
        <v>After Party</v>
      </c>
      <c r="E46" t="str">
        <f>IFERROR(__xludf.DUMMYFUNCTION("""COMPUTED_VALUE"""),"Don Toliver")</f>
        <v>Don Toliver</v>
      </c>
      <c r="F46" t="str">
        <f>IFERROR(__xludf.DUMMYFUNCTION("""COMPUTED_VALUE"""),"Heaven Or Hell")</f>
        <v>Heaven Or Hell</v>
      </c>
      <c r="G46">
        <f>IFERROR(__xludf.DUMMYFUNCTION("""COMPUTED_VALUE"""),1.0)</f>
        <v>1</v>
      </c>
      <c r="H46" s="5">
        <f>IFERROR(__xludf.DUMMYFUNCTION("""COMPUTED_VALUE"""),0.11597222222189885)</f>
        <v>0.1159722222</v>
      </c>
    </row>
    <row r="47">
      <c r="A47" t="str">
        <f>IFERROR(__xludf.DUMMYFUNCTION("""COMPUTED_VALUE"""),"Global")</f>
        <v>Global</v>
      </c>
      <c r="B47" t="str">
        <f>IFERROR(__xludf.DUMMYFUNCTION("""COMPUTED_VALUE"""),"Global")</f>
        <v>Global</v>
      </c>
      <c r="C47">
        <f>IFERROR(__xludf.DUMMYFUNCTION("""COMPUTED_VALUE"""),46.0)</f>
        <v>46</v>
      </c>
      <c r="D47" t="str">
        <f>IFERROR(__xludf.DUMMYFUNCTION("""COMPUTED_VALUE"""),"bad guy")</f>
        <v>bad guy</v>
      </c>
      <c r="E47" t="str">
        <f>IFERROR(__xludf.DUMMYFUNCTION("""COMPUTED_VALUE"""),"Billie Eilish")</f>
        <v>Billie Eilish</v>
      </c>
      <c r="F47" t="str">
        <f>IFERROR(__xludf.DUMMYFUNCTION("""COMPUTED_VALUE"""),"WHEN WE ALL FALL ASLEEP, WHERE DO WE GO?")</f>
        <v>WHEN WE ALL FALL ASLEEP, WHERE DO WE GO?</v>
      </c>
      <c r="G47">
        <f>IFERROR(__xludf.DUMMYFUNCTION("""COMPUTED_VALUE"""),0.0)</f>
        <v>0</v>
      </c>
      <c r="H47" s="5">
        <f>IFERROR(__xludf.DUMMYFUNCTION("""COMPUTED_VALUE"""),0.13472222222117125)</f>
        <v>0.1347222222</v>
      </c>
    </row>
    <row r="48">
      <c r="A48" t="str">
        <f>IFERROR(__xludf.DUMMYFUNCTION("""COMPUTED_VALUE"""),"Global")</f>
        <v>Global</v>
      </c>
      <c r="B48" t="str">
        <f>IFERROR(__xludf.DUMMYFUNCTION("""COMPUTED_VALUE"""),"Global")</f>
        <v>Global</v>
      </c>
      <c r="C48">
        <f>IFERROR(__xludf.DUMMYFUNCTION("""COMPUTED_VALUE"""),47.0)</f>
        <v>47</v>
      </c>
      <c r="D48" t="str">
        <f>IFERROR(__xludf.DUMMYFUNCTION("""COMPUTED_VALUE"""),"Señorita")</f>
        <v>Señorita</v>
      </c>
      <c r="E48" t="str">
        <f>IFERROR(__xludf.DUMMYFUNCTION("""COMPUTED_VALUE"""),"Shawn Mendes, Camila Cabello")</f>
        <v>Shawn Mendes, Camila Cabello</v>
      </c>
      <c r="F48" t="str">
        <f>IFERROR(__xludf.DUMMYFUNCTION("""COMPUTED_VALUE"""),"Shawn Mendes (Deluxe)")</f>
        <v>Shawn Mendes (Deluxe)</v>
      </c>
      <c r="G48">
        <f>IFERROR(__xludf.DUMMYFUNCTION("""COMPUTED_VALUE"""),0.0)</f>
        <v>0</v>
      </c>
      <c r="H48" s="5">
        <f>IFERROR(__xludf.DUMMYFUNCTION("""COMPUTED_VALUE"""),0.13194444444525288)</f>
        <v>0.1319444444</v>
      </c>
    </row>
    <row r="49">
      <c r="A49" t="str">
        <f>IFERROR(__xludf.DUMMYFUNCTION("""COMPUTED_VALUE"""),"Global")</f>
        <v>Global</v>
      </c>
      <c r="B49" t="str">
        <f>IFERROR(__xludf.DUMMYFUNCTION("""COMPUTED_VALUE"""),"Global")</f>
        <v>Global</v>
      </c>
      <c r="C49">
        <f>IFERROR(__xludf.DUMMYFUNCTION("""COMPUTED_VALUE"""),48.0)</f>
        <v>48</v>
      </c>
      <c r="D49" t="str">
        <f>IFERROR(__xludf.DUMMYFUNCTION("""COMPUTED_VALUE"""),"Daechwita")</f>
        <v>Daechwita</v>
      </c>
      <c r="E49" t="str">
        <f>IFERROR(__xludf.DUMMYFUNCTION("""COMPUTED_VALUE"""),"Agust D")</f>
        <v>Agust D</v>
      </c>
      <c r="F49" t="str">
        <f>IFERROR(__xludf.DUMMYFUNCTION("""COMPUTED_VALUE"""),"D-2")</f>
        <v>D-2</v>
      </c>
      <c r="G49">
        <f>IFERROR(__xludf.DUMMYFUNCTION("""COMPUTED_VALUE"""),1.0)</f>
        <v>1</v>
      </c>
      <c r="H49" s="5">
        <f>IFERROR(__xludf.DUMMYFUNCTION("""COMPUTED_VALUE"""),0.15625)</f>
        <v>0.15625</v>
      </c>
    </row>
    <row r="50">
      <c r="A50" t="str">
        <f>IFERROR(__xludf.DUMMYFUNCTION("""COMPUTED_VALUE"""),"Global")</f>
        <v>Global</v>
      </c>
      <c r="B50" t="str">
        <f>IFERROR(__xludf.DUMMYFUNCTION("""COMPUTED_VALUE"""),"Global")</f>
        <v>Global</v>
      </c>
      <c r="C50">
        <f>IFERROR(__xludf.DUMMYFUNCTION("""COMPUTED_VALUE"""),49.0)</f>
        <v>49</v>
      </c>
      <c r="D50" t="str">
        <f>IFERROR(__xludf.DUMMYFUNCTION("""COMPUTED_VALUE"""),"MAMACITA")</f>
        <v>MAMACITA</v>
      </c>
      <c r="E50" t="str">
        <f>IFERROR(__xludf.DUMMYFUNCTION("""COMPUTED_VALUE"""),"Black Eyed Peas, Ozuna, J. Rey Soul")</f>
        <v>Black Eyed Peas, Ozuna, J. Rey Soul</v>
      </c>
      <c r="F50" t="str">
        <f>IFERROR(__xludf.DUMMYFUNCTION("""COMPUTED_VALUE"""),"MAMACITA")</f>
        <v>MAMACITA</v>
      </c>
      <c r="G50">
        <f>IFERROR(__xludf.DUMMYFUNCTION("""COMPUTED_VALUE"""),1.0)</f>
        <v>1</v>
      </c>
      <c r="H50" s="5">
        <f>IFERROR(__xludf.DUMMYFUNCTION("""COMPUTED_VALUE"""),0.17291666666642413)</f>
        <v>0.1729166667</v>
      </c>
    </row>
    <row r="51">
      <c r="A51" t="str">
        <f>IFERROR(__xludf.DUMMYFUNCTION("""COMPUTED_VALUE"""),"Global")</f>
        <v>Global</v>
      </c>
      <c r="B51" t="str">
        <f>IFERROR(__xludf.DUMMYFUNCTION("""COMPUTED_VALUE"""),"Global")</f>
        <v>Global</v>
      </c>
      <c r="C51">
        <f>IFERROR(__xludf.DUMMYFUNCTION("""COMPUTED_VALUE"""),50.0)</f>
        <v>50</v>
      </c>
      <c r="D51" t="str">
        <f>IFERROR(__xludf.DUMMYFUNCTION("""COMPUTED_VALUE"""),"Favorito")</f>
        <v>Favorito</v>
      </c>
      <c r="E51" t="str">
        <f>IFERROR(__xludf.DUMMYFUNCTION("""COMPUTED_VALUE"""),"Camilo")</f>
        <v>Camilo</v>
      </c>
      <c r="F51" t="str">
        <f>IFERROR(__xludf.DUMMYFUNCTION("""COMPUTED_VALUE"""),"Por Primera Vez")</f>
        <v>Por Primera Vez</v>
      </c>
      <c r="G51">
        <f>IFERROR(__xludf.DUMMYFUNCTION("""COMPUTED_VALUE"""),0.0)</f>
        <v>0</v>
      </c>
      <c r="H51" s="5">
        <f>IFERROR(__xludf.DUMMYFUNCTION("""COMPUTED_VALUE"""),0.14513888888905058)</f>
        <v>0.1451388889</v>
      </c>
    </row>
    <row r="52">
      <c r="A52" t="str">
        <f>IFERROR(__xludf.DUMMYFUNCTION("""COMPUTED_VALUE"""),"Argentina")</f>
        <v>Argentina</v>
      </c>
      <c r="B52" t="str">
        <f>IFERROR(__xludf.DUMMYFUNCTION("""COMPUTED_VALUE"""),"South America")</f>
        <v>South America</v>
      </c>
      <c r="C52">
        <f>IFERROR(__xludf.DUMMYFUNCTION("""COMPUTED_VALUE"""),1.0)</f>
        <v>1</v>
      </c>
      <c r="D52" t="str">
        <f>IFERROR(__xludf.DUMMYFUNCTION("""COMPUTED_VALUE"""),"Colocao")</f>
        <v>Colocao</v>
      </c>
      <c r="E52" t="str">
        <f>IFERROR(__xludf.DUMMYFUNCTION("""COMPUTED_VALUE"""),"Nicki Nicole")</f>
        <v>Nicki Nicole</v>
      </c>
      <c r="F52" t="str">
        <f>IFERROR(__xludf.DUMMYFUNCTION("""COMPUTED_VALUE"""),"Colocao")</f>
        <v>Colocao</v>
      </c>
      <c r="G52">
        <f>IFERROR(__xludf.DUMMYFUNCTION("""COMPUTED_VALUE"""),1.0)</f>
        <v>1</v>
      </c>
      <c r="H52" s="5">
        <f>IFERROR(__xludf.DUMMYFUNCTION("""COMPUTED_VALUE"""),0.1243055555569299)</f>
        <v>0.1243055556</v>
      </c>
    </row>
    <row r="53">
      <c r="A53" t="str">
        <f>IFERROR(__xludf.DUMMYFUNCTION("""COMPUTED_VALUE"""),"Argentina")</f>
        <v>Argentina</v>
      </c>
      <c r="B53" t="str">
        <f>IFERROR(__xludf.DUMMYFUNCTION("""COMPUTED_VALUE"""),"South America")</f>
        <v>South America</v>
      </c>
      <c r="C53">
        <f>IFERROR(__xludf.DUMMYFUNCTION("""COMPUTED_VALUE"""),2.0)</f>
        <v>2</v>
      </c>
      <c r="D53" t="str">
        <f>IFERROR(__xludf.DUMMYFUNCTION("""COMPUTED_VALUE"""),"Favorito")</f>
        <v>Favorito</v>
      </c>
      <c r="E53" t="str">
        <f>IFERROR(__xludf.DUMMYFUNCTION("""COMPUTED_VALUE"""),"Camilo")</f>
        <v>Camilo</v>
      </c>
      <c r="F53" t="str">
        <f>IFERROR(__xludf.DUMMYFUNCTION("""COMPUTED_VALUE"""),"Por Primera Vez")</f>
        <v>Por Primera Vez</v>
      </c>
      <c r="G53">
        <f>IFERROR(__xludf.DUMMYFUNCTION("""COMPUTED_VALUE"""),0.0)</f>
        <v>0</v>
      </c>
      <c r="H53" s="5">
        <f>IFERROR(__xludf.DUMMYFUNCTION("""COMPUTED_VALUE"""),0.14513888888905058)</f>
        <v>0.1451388889</v>
      </c>
    </row>
    <row r="54">
      <c r="A54" t="str">
        <f>IFERROR(__xludf.DUMMYFUNCTION("""COMPUTED_VALUE"""),"Argentina")</f>
        <v>Argentina</v>
      </c>
      <c r="B54" t="str">
        <f>IFERROR(__xludf.DUMMYFUNCTION("""COMPUTED_VALUE"""),"South America")</f>
        <v>South America</v>
      </c>
      <c r="C54">
        <f>IFERROR(__xludf.DUMMYFUNCTION("""COMPUTED_VALUE"""),3.0)</f>
        <v>3</v>
      </c>
      <c r="D54" t="str">
        <f>IFERROR(__xludf.DUMMYFUNCTION("""COMPUTED_VALUE"""),"PORFA")</f>
        <v>PORFA</v>
      </c>
      <c r="E54" t="str">
        <f>IFERROR(__xludf.DUMMYFUNCTION("""COMPUTED_VALUE"""),"Feid, Justin Quiles")</f>
        <v>Feid, Justin Quiles</v>
      </c>
      <c r="F54" t="str">
        <f>IFERROR(__xludf.DUMMYFUNCTION("""COMPUTED_VALUE"""),"FERXXO (VOL 1: M.O.R)")</f>
        <v>FERXXO (VOL 1: M.O.R)</v>
      </c>
      <c r="G54">
        <f>IFERROR(__xludf.DUMMYFUNCTION("""COMPUTED_VALUE"""),0.0)</f>
        <v>0</v>
      </c>
      <c r="H54" s="5">
        <f>IFERROR(__xludf.DUMMYFUNCTION("""COMPUTED_VALUE"""),0.16111111111240461)</f>
        <v>0.1611111111</v>
      </c>
    </row>
    <row r="55">
      <c r="A55" t="str">
        <f>IFERROR(__xludf.DUMMYFUNCTION("""COMPUTED_VALUE"""),"Argentina")</f>
        <v>Argentina</v>
      </c>
      <c r="B55" t="str">
        <f>IFERROR(__xludf.DUMMYFUNCTION("""COMPUTED_VALUE"""),"South America")</f>
        <v>South America</v>
      </c>
      <c r="C55">
        <f>IFERROR(__xludf.DUMMYFUNCTION("""COMPUTED_VALUE"""),4.0)</f>
        <v>4</v>
      </c>
      <c r="D55" t="str">
        <f>IFERROR(__xludf.DUMMYFUNCTION("""COMPUTED_VALUE"""),"Yo Perreo Sola")</f>
        <v>Yo Perreo Sola</v>
      </c>
      <c r="E55" t="str">
        <f>IFERROR(__xludf.DUMMYFUNCTION("""COMPUTED_VALUE"""),"Bad Bunny")</f>
        <v>Bad Bunny</v>
      </c>
      <c r="F55" t="str">
        <f>IFERROR(__xludf.DUMMYFUNCTION("""COMPUTED_VALUE"""),"YHLQMDLG")</f>
        <v>YHLQMDLG</v>
      </c>
      <c r="G55">
        <f>IFERROR(__xludf.DUMMYFUNCTION("""COMPUTED_VALUE"""),0.0)</f>
        <v>0</v>
      </c>
      <c r="H55" s="5">
        <f>IFERROR(__xludf.DUMMYFUNCTION("""COMPUTED_VALUE"""),0.11944444444452529)</f>
        <v>0.1194444444</v>
      </c>
    </row>
    <row r="56">
      <c r="A56" t="str">
        <f>IFERROR(__xludf.DUMMYFUNCTION("""COMPUTED_VALUE"""),"Argentina")</f>
        <v>Argentina</v>
      </c>
      <c r="B56" t="str">
        <f>IFERROR(__xludf.DUMMYFUNCTION("""COMPUTED_VALUE"""),"South America")</f>
        <v>South America</v>
      </c>
      <c r="C56">
        <f>IFERROR(__xludf.DUMMYFUNCTION("""COMPUTED_VALUE"""),5.0)</f>
        <v>5</v>
      </c>
      <c r="D56" t="str">
        <f>IFERROR(__xludf.DUMMYFUNCTION("""COMPUTED_VALUE"""),"C.R.O: Bzrp Music Session, Vol. 29")</f>
        <v>C.R.O: Bzrp Music Session, Vol. 29</v>
      </c>
      <c r="E56" t="str">
        <f>IFERROR(__xludf.DUMMYFUNCTION("""COMPUTED_VALUE"""),"Bizarrap, C.R.O")</f>
        <v>Bizarrap, C.R.O</v>
      </c>
      <c r="F56" t="str">
        <f>IFERROR(__xludf.DUMMYFUNCTION("""COMPUTED_VALUE"""),"C.R.O: Bzrp Music Session, Vol. 29")</f>
        <v>C.R.O: Bzrp Music Session, Vol. 29</v>
      </c>
      <c r="G56">
        <f>IFERROR(__xludf.DUMMYFUNCTION("""COMPUTED_VALUE"""),0.0)</f>
        <v>0</v>
      </c>
      <c r="H56" s="5">
        <f>IFERROR(__xludf.DUMMYFUNCTION("""COMPUTED_VALUE"""),0.10138888888832298)</f>
        <v>0.1013888889</v>
      </c>
    </row>
    <row r="57">
      <c r="A57" t="str">
        <f>IFERROR(__xludf.DUMMYFUNCTION("""COMPUTED_VALUE"""),"Argentina")</f>
        <v>Argentina</v>
      </c>
      <c r="B57" t="str">
        <f>IFERROR(__xludf.DUMMYFUNCTION("""COMPUTED_VALUE"""),"South America")</f>
        <v>South America</v>
      </c>
      <c r="C57">
        <f>IFERROR(__xludf.DUMMYFUNCTION("""COMPUTED_VALUE"""),6.0)</f>
        <v>6</v>
      </c>
      <c r="D57" t="str">
        <f>IFERROR(__xludf.DUMMYFUNCTION("""COMPUTED_VALUE"""),"Elegí (feat. Dímelo Flow)")</f>
        <v>Elegí (feat. Dímelo Flow)</v>
      </c>
      <c r="E57" t="str">
        <f>IFERROR(__xludf.DUMMYFUNCTION("""COMPUTED_VALUE"""),"Rauw Alejandro, Dalex, Lenny Tavárez, Dímelo Flow")</f>
        <v>Rauw Alejandro, Dalex, Lenny Tavárez, Dímelo Flow</v>
      </c>
      <c r="F57" t="str">
        <f>IFERROR(__xludf.DUMMYFUNCTION("""COMPUTED_VALUE"""),"Elegí (feat. Dímelo Flow)")</f>
        <v>Elegí (feat. Dímelo Flow)</v>
      </c>
      <c r="G57">
        <f>IFERROR(__xludf.DUMMYFUNCTION("""COMPUTED_VALUE"""),0.0)</f>
        <v>0</v>
      </c>
      <c r="H57" s="5">
        <f>IFERROR(__xludf.DUMMYFUNCTION("""COMPUTED_VALUE"""),0.13680555555401952)</f>
        <v>0.1368055556</v>
      </c>
    </row>
    <row r="58">
      <c r="A58" t="str">
        <f>IFERROR(__xludf.DUMMYFUNCTION("""COMPUTED_VALUE"""),"Argentina")</f>
        <v>Argentina</v>
      </c>
      <c r="B58" t="str">
        <f>IFERROR(__xludf.DUMMYFUNCTION("""COMPUTED_VALUE"""),"South America")</f>
        <v>South America</v>
      </c>
      <c r="C58">
        <f>IFERROR(__xludf.DUMMYFUNCTION("""COMPUTED_VALUE"""),7.0)</f>
        <v>7</v>
      </c>
      <c r="D58" t="str">
        <f>IFERROR(__xludf.DUMMYFUNCTION("""COMPUTED_VALUE"""),"Rojo")</f>
        <v>Rojo</v>
      </c>
      <c r="E58" t="str">
        <f>IFERROR(__xludf.DUMMYFUNCTION("""COMPUTED_VALUE"""),"J Balvin")</f>
        <v>J Balvin</v>
      </c>
      <c r="F58" t="str">
        <f>IFERROR(__xludf.DUMMYFUNCTION("""COMPUTED_VALUE"""),"Colores")</f>
        <v>Colores</v>
      </c>
      <c r="G58">
        <f>IFERROR(__xludf.DUMMYFUNCTION("""COMPUTED_VALUE"""),0.0)</f>
        <v>0</v>
      </c>
      <c r="H58" s="5">
        <f>IFERROR(__xludf.DUMMYFUNCTION("""COMPUTED_VALUE"""),0.10416666666787933)</f>
        <v>0.1041666667</v>
      </c>
    </row>
    <row r="59">
      <c r="A59" t="str">
        <f>IFERROR(__xludf.DUMMYFUNCTION("""COMPUTED_VALUE"""),"Argentina")</f>
        <v>Argentina</v>
      </c>
      <c r="B59" t="str">
        <f>IFERROR(__xludf.DUMMYFUNCTION("""COMPUTED_VALUE"""),"South America")</f>
        <v>South America</v>
      </c>
      <c r="C59">
        <f>IFERROR(__xludf.DUMMYFUNCTION("""COMPUTED_VALUE"""),8.0)</f>
        <v>8</v>
      </c>
      <c r="D59" t="str">
        <f>IFERROR(__xludf.DUMMYFUNCTION("""COMPUTED_VALUE"""),"Safaera")</f>
        <v>Safaera</v>
      </c>
      <c r="E59" t="str">
        <f>IFERROR(__xludf.DUMMYFUNCTION("""COMPUTED_VALUE"""),"Bad Bunny, Jowell &amp; Randy, Nengo Flow")</f>
        <v>Bad Bunny, Jowell &amp; Randy, Nengo Flow</v>
      </c>
      <c r="F59" t="str">
        <f>IFERROR(__xludf.DUMMYFUNCTION("""COMPUTED_VALUE"""),"YHLQMDLG")</f>
        <v>YHLQMDLG</v>
      </c>
      <c r="G59">
        <f>IFERROR(__xludf.DUMMYFUNCTION("""COMPUTED_VALUE"""),1.0)</f>
        <v>1</v>
      </c>
      <c r="H59" s="5">
        <f>IFERROR(__xludf.DUMMYFUNCTION("""COMPUTED_VALUE"""),0.20486111110949423)</f>
        <v>0.2048611111</v>
      </c>
    </row>
    <row r="60">
      <c r="A60" t="str">
        <f>IFERROR(__xludf.DUMMYFUNCTION("""COMPUTED_VALUE"""),"Argentina")</f>
        <v>Argentina</v>
      </c>
      <c r="B60" t="str">
        <f>IFERROR(__xludf.DUMMYFUNCTION("""COMPUTED_VALUE"""),"South America")</f>
        <v>South America</v>
      </c>
      <c r="C60">
        <f>IFERROR(__xludf.DUMMYFUNCTION("""COMPUTED_VALUE"""),9.0)</f>
        <v>9</v>
      </c>
      <c r="D60" t="str">
        <f>IFERROR(__xludf.DUMMYFUNCTION("""COMPUTED_VALUE"""),"Tattoo")</f>
        <v>Tattoo</v>
      </c>
      <c r="E60" t="str">
        <f>IFERROR(__xludf.DUMMYFUNCTION("""COMPUTED_VALUE"""),"Rauw Alejandro")</f>
        <v>Rauw Alejandro</v>
      </c>
      <c r="F60" t="str">
        <f>IFERROR(__xludf.DUMMYFUNCTION("""COMPUTED_VALUE"""),"Tattoo")</f>
        <v>Tattoo</v>
      </c>
      <c r="G60">
        <f>IFERROR(__xludf.DUMMYFUNCTION("""COMPUTED_VALUE"""),0.0)</f>
        <v>0</v>
      </c>
      <c r="H60" s="5">
        <f>IFERROR(__xludf.DUMMYFUNCTION("""COMPUTED_VALUE"""),0.14027777777664596)</f>
        <v>0.1402777778</v>
      </c>
    </row>
    <row r="61">
      <c r="A61" t="str">
        <f>IFERROR(__xludf.DUMMYFUNCTION("""COMPUTED_VALUE"""),"Argentina")</f>
        <v>Argentina</v>
      </c>
      <c r="B61" t="str">
        <f>IFERROR(__xludf.DUMMYFUNCTION("""COMPUTED_VALUE"""),"South America")</f>
        <v>South America</v>
      </c>
      <c r="C61">
        <f>IFERROR(__xludf.DUMMYFUNCTION("""COMPUTED_VALUE"""),10.0)</f>
        <v>10</v>
      </c>
      <c r="D61" t="str">
        <f>IFERROR(__xludf.DUMMYFUNCTION("""COMPUTED_VALUE"""),"Inolvidable")</f>
        <v>Inolvidable</v>
      </c>
      <c r="E61" t="str">
        <f>IFERROR(__xludf.DUMMYFUNCTION("""COMPUTED_VALUE"""),"Ovy On The Drums, Beéle")</f>
        <v>Ovy On The Drums, Beéle</v>
      </c>
      <c r="F61" t="str">
        <f>IFERROR(__xludf.DUMMYFUNCTION("""COMPUTED_VALUE"""),"Inolvidable")</f>
        <v>Inolvidable</v>
      </c>
      <c r="G61">
        <f>IFERROR(__xludf.DUMMYFUNCTION("""COMPUTED_VALUE"""),0.0)</f>
        <v>0</v>
      </c>
      <c r="H61" s="5">
        <f>IFERROR(__xludf.DUMMYFUNCTION("""COMPUTED_VALUE"""),0.15625)</f>
        <v>0.15625</v>
      </c>
    </row>
    <row r="62">
      <c r="A62" t="str">
        <f>IFERROR(__xludf.DUMMYFUNCTION("""COMPUTED_VALUE"""),"Argentina")</f>
        <v>Argentina</v>
      </c>
      <c r="B62" t="str">
        <f>IFERROR(__xludf.DUMMYFUNCTION("""COMPUTED_VALUE"""),"South America")</f>
        <v>South America</v>
      </c>
      <c r="C62">
        <f>IFERROR(__xludf.DUMMYFUNCTION("""COMPUTED_VALUE"""),11.0)</f>
        <v>11</v>
      </c>
      <c r="D62" t="str">
        <f>IFERROR(__xludf.DUMMYFUNCTION("""COMPUTED_VALUE"""),"Tusa")</f>
        <v>Tusa</v>
      </c>
      <c r="E62" t="str">
        <f>IFERROR(__xludf.DUMMYFUNCTION("""COMPUTED_VALUE"""),"KAROL G, Nicki Minaj")</f>
        <v>KAROL G, Nicki Minaj</v>
      </c>
      <c r="F62" t="str">
        <f>IFERROR(__xludf.DUMMYFUNCTION("""COMPUTED_VALUE"""),"Tusa")</f>
        <v>Tusa</v>
      </c>
      <c r="G62">
        <f>IFERROR(__xludf.DUMMYFUNCTION("""COMPUTED_VALUE"""),0.0)</f>
        <v>0</v>
      </c>
      <c r="H62" s="5">
        <f>IFERROR(__xludf.DUMMYFUNCTION("""COMPUTED_VALUE"""),0.13888888889050577)</f>
        <v>0.1388888889</v>
      </c>
    </row>
    <row r="63">
      <c r="A63" t="str">
        <f>IFERROR(__xludf.DUMMYFUNCTION("""COMPUTED_VALUE"""),"Argentina")</f>
        <v>Argentina</v>
      </c>
      <c r="B63" t="str">
        <f>IFERROR(__xludf.DUMMYFUNCTION("""COMPUTED_VALUE"""),"South America")</f>
        <v>South America</v>
      </c>
      <c r="C63">
        <f>IFERROR(__xludf.DUMMYFUNCTION("""COMPUTED_VALUE"""),12.0)</f>
        <v>12</v>
      </c>
      <c r="D63" t="str">
        <f>IFERROR(__xludf.DUMMYFUNCTION("""COMPUTED_VALUE"""),"Hola - Remix")</f>
        <v>Hola - Remix</v>
      </c>
      <c r="E63" t="str">
        <f>IFERROR(__xludf.DUMMYFUNCTION("""COMPUTED_VALUE"""),"Dalex, Lenny Tavárez, Chencho Corleone, Juhn, Dímelo Flow")</f>
        <v>Dalex, Lenny Tavárez, Chencho Corleone, Juhn, Dímelo Flow</v>
      </c>
      <c r="F63" t="str">
        <f>IFERROR(__xludf.DUMMYFUNCTION("""COMPUTED_VALUE"""),"Hola (Remix)")</f>
        <v>Hola (Remix)</v>
      </c>
      <c r="G63">
        <f>IFERROR(__xludf.DUMMYFUNCTION("""COMPUTED_VALUE"""),0.0)</f>
        <v>0</v>
      </c>
      <c r="H63" s="5">
        <f>IFERROR(__xludf.DUMMYFUNCTION("""COMPUTED_VALUE"""),0.17291666666642413)</f>
        <v>0.1729166667</v>
      </c>
    </row>
    <row r="64">
      <c r="A64" t="str">
        <f>IFERROR(__xludf.DUMMYFUNCTION("""COMPUTED_VALUE"""),"Argentina")</f>
        <v>Argentina</v>
      </c>
      <c r="B64" t="str">
        <f>IFERROR(__xludf.DUMMYFUNCTION("""COMPUTED_VALUE"""),"South America")</f>
        <v>South America</v>
      </c>
      <c r="C64">
        <f>IFERROR(__xludf.DUMMYFUNCTION("""COMPUTED_VALUE"""),13.0)</f>
        <v>13</v>
      </c>
      <c r="D64" t="str">
        <f>IFERROR(__xludf.DUMMYFUNCTION("""COMPUTED_VALUE"""),"Por Primera Vez")</f>
        <v>Por Primera Vez</v>
      </c>
      <c r="E64" t="str">
        <f>IFERROR(__xludf.DUMMYFUNCTION("""COMPUTED_VALUE"""),"Camilo, Evaluna Montaner")</f>
        <v>Camilo, Evaluna Montaner</v>
      </c>
      <c r="F64" t="str">
        <f>IFERROR(__xludf.DUMMYFUNCTION("""COMPUTED_VALUE"""),"Por Primera Vez")</f>
        <v>Por Primera Vez</v>
      </c>
      <c r="G64">
        <f>IFERROR(__xludf.DUMMYFUNCTION("""COMPUTED_VALUE"""),0.0)</f>
        <v>0</v>
      </c>
      <c r="H64" s="5">
        <f>IFERROR(__xludf.DUMMYFUNCTION("""COMPUTED_VALUE"""),0.12638888888977817)</f>
        <v>0.1263888889</v>
      </c>
    </row>
    <row r="65">
      <c r="A65" t="str">
        <f>IFERROR(__xludf.DUMMYFUNCTION("""COMPUTED_VALUE"""),"Argentina")</f>
        <v>Argentina</v>
      </c>
      <c r="B65" t="str">
        <f>IFERROR(__xludf.DUMMYFUNCTION("""COMPUTED_VALUE"""),"South America")</f>
        <v>South America</v>
      </c>
      <c r="C65">
        <f>IFERROR(__xludf.DUMMYFUNCTION("""COMPUTED_VALUE"""),14.0)</f>
        <v>14</v>
      </c>
      <c r="D65" t="str">
        <f>IFERROR(__xludf.DUMMYFUNCTION("""COMPUTED_VALUE"""),"Diosa")</f>
        <v>Diosa</v>
      </c>
      <c r="E65" t="str">
        <f>IFERROR(__xludf.DUMMYFUNCTION("""COMPUTED_VALUE"""),"Myke Towers")</f>
        <v>Myke Towers</v>
      </c>
      <c r="F65" t="str">
        <f>IFERROR(__xludf.DUMMYFUNCTION("""COMPUTED_VALUE"""),"Easy Money Baby")</f>
        <v>Easy Money Baby</v>
      </c>
      <c r="G65">
        <f>IFERROR(__xludf.DUMMYFUNCTION("""COMPUTED_VALUE"""),1.0)</f>
        <v>1</v>
      </c>
      <c r="H65" s="5">
        <f>IFERROR(__xludf.DUMMYFUNCTION("""COMPUTED_VALUE"""),0.14861111111167702)</f>
        <v>0.1486111111</v>
      </c>
    </row>
    <row r="66">
      <c r="A66" t="str">
        <f>IFERROR(__xludf.DUMMYFUNCTION("""COMPUTED_VALUE"""),"Argentina")</f>
        <v>Argentina</v>
      </c>
      <c r="B66" t="str">
        <f>IFERROR(__xludf.DUMMYFUNCTION("""COMPUTED_VALUE"""),"South America")</f>
        <v>South America</v>
      </c>
      <c r="C66">
        <f>IFERROR(__xludf.DUMMYFUNCTION("""COMPUTED_VALUE"""),15.0)</f>
        <v>15</v>
      </c>
      <c r="D66" t="str">
        <f>IFERROR(__xludf.DUMMYFUNCTION("""COMPUTED_VALUE"""),"La Jeepeta - Remix")</f>
        <v>La Jeepeta - Remix</v>
      </c>
      <c r="E66" t="str">
        <f>IFERROR(__xludf.DUMMYFUNCTION("""COMPUTED_VALUE"""),"Nio Garcia, Anuel AA, Myke Towers, Brray, Juanka")</f>
        <v>Nio Garcia, Anuel AA, Myke Towers, Brray, Juanka</v>
      </c>
      <c r="F66" t="str">
        <f>IFERROR(__xludf.DUMMYFUNCTION("""COMPUTED_VALUE"""),"La Jeepeta (Remix)")</f>
        <v>La Jeepeta (Remix)</v>
      </c>
      <c r="G66">
        <f>IFERROR(__xludf.DUMMYFUNCTION("""COMPUTED_VALUE"""),1.0)</f>
        <v>1</v>
      </c>
      <c r="H66" s="5">
        <f>IFERROR(__xludf.DUMMYFUNCTION("""COMPUTED_VALUE"""),0.23958333333212067)</f>
        <v>0.2395833333</v>
      </c>
    </row>
    <row r="67">
      <c r="A67" t="str">
        <f>IFERROR(__xludf.DUMMYFUNCTION("""COMPUTED_VALUE"""),"Argentina")</f>
        <v>Argentina</v>
      </c>
      <c r="B67" t="str">
        <f>IFERROR(__xludf.DUMMYFUNCTION("""COMPUTED_VALUE"""),"South America")</f>
        <v>South America</v>
      </c>
      <c r="C67">
        <f>IFERROR(__xludf.DUMMYFUNCTION("""COMPUTED_VALUE"""),16.0)</f>
        <v>16</v>
      </c>
      <c r="D67" t="str">
        <f>IFERROR(__xludf.DUMMYFUNCTION("""COMPUTED_VALUE"""),"Relación")</f>
        <v>Relación</v>
      </c>
      <c r="E67" t="str">
        <f>IFERROR(__xludf.DUMMYFUNCTION("""COMPUTED_VALUE"""),"Sech")</f>
        <v>Sech</v>
      </c>
      <c r="F67" t="str">
        <f>IFERROR(__xludf.DUMMYFUNCTION("""COMPUTED_VALUE"""),"1 of 1")</f>
        <v>1 of 1</v>
      </c>
      <c r="G67">
        <f>IFERROR(__xludf.DUMMYFUNCTION("""COMPUTED_VALUE"""),0.0)</f>
        <v>0</v>
      </c>
      <c r="H67" s="5">
        <f>IFERROR(__xludf.DUMMYFUNCTION("""COMPUTED_VALUE"""),0.12777777777955635)</f>
        <v>0.1277777778</v>
      </c>
    </row>
    <row r="68">
      <c r="A68" t="str">
        <f>IFERROR(__xludf.DUMMYFUNCTION("""COMPUTED_VALUE"""),"Argentina")</f>
        <v>Argentina</v>
      </c>
      <c r="B68" t="str">
        <f>IFERROR(__xludf.DUMMYFUNCTION("""COMPUTED_VALUE"""),"South America")</f>
        <v>South America</v>
      </c>
      <c r="C68">
        <f>IFERROR(__xludf.DUMMYFUNCTION("""COMPUTED_VALUE"""),17.0)</f>
        <v>17</v>
      </c>
      <c r="D68" t="str">
        <f>IFERROR(__xludf.DUMMYFUNCTION("""COMPUTED_VALUE"""),"Morado")</f>
        <v>Morado</v>
      </c>
      <c r="E68" t="str">
        <f>IFERROR(__xludf.DUMMYFUNCTION("""COMPUTED_VALUE"""),"J Balvin")</f>
        <v>J Balvin</v>
      </c>
      <c r="F68" t="str">
        <f>IFERROR(__xludf.DUMMYFUNCTION("""COMPUTED_VALUE"""),"Colores")</f>
        <v>Colores</v>
      </c>
      <c r="G68">
        <f>IFERROR(__xludf.DUMMYFUNCTION("""COMPUTED_VALUE"""),0.0)</f>
        <v>0</v>
      </c>
      <c r="H68" s="5">
        <f>IFERROR(__xludf.DUMMYFUNCTION("""COMPUTED_VALUE"""),0.13888888889050577)</f>
        <v>0.1388888889</v>
      </c>
    </row>
    <row r="69">
      <c r="A69" t="str">
        <f>IFERROR(__xludf.DUMMYFUNCTION("""COMPUTED_VALUE"""),"Argentina")</f>
        <v>Argentina</v>
      </c>
      <c r="B69" t="str">
        <f>IFERROR(__xludf.DUMMYFUNCTION("""COMPUTED_VALUE"""),"South America")</f>
        <v>South America</v>
      </c>
      <c r="C69">
        <f>IFERROR(__xludf.DUMMYFUNCTION("""COMPUTED_VALUE"""),18.0)</f>
        <v>18</v>
      </c>
      <c r="D69" t="str">
        <f>IFERROR(__xludf.DUMMYFUNCTION("""COMPUTED_VALUE"""),"Sigues Con El")</f>
        <v>Sigues Con El</v>
      </c>
      <c r="E69" t="str">
        <f>IFERROR(__xludf.DUMMYFUNCTION("""COMPUTED_VALUE"""),"Dímelo Flow, Arcangel, Sech")</f>
        <v>Dímelo Flow, Arcangel, Sech</v>
      </c>
      <c r="F69" t="str">
        <f>IFERROR(__xludf.DUMMYFUNCTION("""COMPUTED_VALUE"""),"Sigues Con El")</f>
        <v>Sigues Con El</v>
      </c>
      <c r="G69">
        <f>IFERROR(__xludf.DUMMYFUNCTION("""COMPUTED_VALUE"""),0.0)</f>
        <v>0</v>
      </c>
      <c r="H69" s="5">
        <f>IFERROR(__xludf.DUMMYFUNCTION("""COMPUTED_VALUE"""),0.1569444444430701)</f>
        <v>0.1569444444</v>
      </c>
    </row>
    <row r="70">
      <c r="A70" t="str">
        <f>IFERROR(__xludf.DUMMYFUNCTION("""COMPUTED_VALUE"""),"Argentina")</f>
        <v>Argentina</v>
      </c>
      <c r="B70" t="str">
        <f>IFERROR(__xludf.DUMMYFUNCTION("""COMPUTED_VALUE"""),"South America")</f>
        <v>South America</v>
      </c>
      <c r="C70">
        <f>IFERROR(__xludf.DUMMYFUNCTION("""COMPUTED_VALUE"""),19.0)</f>
        <v>19</v>
      </c>
      <c r="D70" t="str">
        <f>IFERROR(__xludf.DUMMYFUNCTION("""COMPUTED_VALUE"""),"Blinding Lights")</f>
        <v>Blinding Lights</v>
      </c>
      <c r="E70" t="str">
        <f>IFERROR(__xludf.DUMMYFUNCTION("""COMPUTED_VALUE"""),"The Weeknd")</f>
        <v>The Weeknd</v>
      </c>
      <c r="F70" t="str">
        <f>IFERROR(__xludf.DUMMYFUNCTION("""COMPUTED_VALUE"""),"After Hours")</f>
        <v>After Hours</v>
      </c>
      <c r="G70">
        <f>IFERROR(__xludf.DUMMYFUNCTION("""COMPUTED_VALUE"""),0.0)</f>
        <v>0</v>
      </c>
      <c r="H70" s="5">
        <f>IFERROR(__xludf.DUMMYFUNCTION("""COMPUTED_VALUE"""),0.13888888889050577)</f>
        <v>0.1388888889</v>
      </c>
    </row>
    <row r="71">
      <c r="A71" t="str">
        <f>IFERROR(__xludf.DUMMYFUNCTION("""COMPUTED_VALUE"""),"Argentina")</f>
        <v>Argentina</v>
      </c>
      <c r="B71" t="str">
        <f>IFERROR(__xludf.DUMMYFUNCTION("""COMPUTED_VALUE"""),"South America")</f>
        <v>South America</v>
      </c>
      <c r="C71">
        <f>IFERROR(__xludf.DUMMYFUNCTION("""COMPUTED_VALUE"""),20.0)</f>
        <v>20</v>
      </c>
      <c r="D71" t="str">
        <f>IFERROR(__xludf.DUMMYFUNCTION("""COMPUTED_VALUE"""),"Tak Tiki Tak")</f>
        <v>Tak Tiki Tak</v>
      </c>
      <c r="E71" t="str">
        <f>IFERROR(__xludf.DUMMYFUNCTION("""COMPUTED_VALUE"""),"Harry Nach")</f>
        <v>Harry Nach</v>
      </c>
      <c r="F71" t="str">
        <f>IFERROR(__xludf.DUMMYFUNCTION("""COMPUTED_VALUE"""),"Tak Tiki Tak")</f>
        <v>Tak Tiki Tak</v>
      </c>
      <c r="G71">
        <f>IFERROR(__xludf.DUMMYFUNCTION("""COMPUTED_VALUE"""),1.0)</f>
        <v>1</v>
      </c>
      <c r="H71" s="5">
        <f>IFERROR(__xludf.DUMMYFUNCTION("""COMPUTED_VALUE"""),0.14722222222189885)</f>
        <v>0.1472222222</v>
      </c>
    </row>
    <row r="72">
      <c r="A72" t="str">
        <f>IFERROR(__xludf.DUMMYFUNCTION("""COMPUTED_VALUE"""),"Argentina")</f>
        <v>Argentina</v>
      </c>
      <c r="B72" t="str">
        <f>IFERROR(__xludf.DUMMYFUNCTION("""COMPUTED_VALUE"""),"South America")</f>
        <v>South America</v>
      </c>
      <c r="C72">
        <f>IFERROR(__xludf.DUMMYFUNCTION("""COMPUTED_VALUE"""),21.0)</f>
        <v>21</v>
      </c>
      <c r="D72" t="str">
        <f>IFERROR(__xludf.DUMMYFUNCTION("""COMPUTED_VALUE"""),"Dance Monkey")</f>
        <v>Dance Monkey</v>
      </c>
      <c r="E72" t="str">
        <f>IFERROR(__xludf.DUMMYFUNCTION("""COMPUTED_VALUE"""),"Tones And I")</f>
        <v>Tones And I</v>
      </c>
      <c r="F72" t="str">
        <f>IFERROR(__xludf.DUMMYFUNCTION("""COMPUTED_VALUE"""),"Dance Monkey (Stripped Back) / Dance Monkey")</f>
        <v>Dance Monkey (Stripped Back) / Dance Monkey</v>
      </c>
      <c r="G72">
        <f>IFERROR(__xludf.DUMMYFUNCTION("""COMPUTED_VALUE"""),0.0)</f>
        <v>0</v>
      </c>
      <c r="H72" s="5">
        <f>IFERROR(__xludf.DUMMYFUNCTION("""COMPUTED_VALUE"""),0.14513888888905058)</f>
        <v>0.1451388889</v>
      </c>
    </row>
    <row r="73">
      <c r="A73" t="str">
        <f>IFERROR(__xludf.DUMMYFUNCTION("""COMPUTED_VALUE"""),"Argentina")</f>
        <v>Argentina</v>
      </c>
      <c r="B73" t="str">
        <f>IFERROR(__xludf.DUMMYFUNCTION("""COMPUTED_VALUE"""),"South America")</f>
        <v>South America</v>
      </c>
      <c r="C73">
        <f>IFERROR(__xludf.DUMMYFUNCTION("""COMPUTED_VALUE"""),22.0)</f>
        <v>22</v>
      </c>
      <c r="D73" t="str">
        <f>IFERROR(__xludf.DUMMYFUNCTION("""COMPUTED_VALUE"""),"Fantasias")</f>
        <v>Fantasias</v>
      </c>
      <c r="E73" t="str">
        <f>IFERROR(__xludf.DUMMYFUNCTION("""COMPUTED_VALUE"""),"Rauw Alejandro, Farruko")</f>
        <v>Rauw Alejandro, Farruko</v>
      </c>
      <c r="F73" t="str">
        <f>IFERROR(__xludf.DUMMYFUNCTION("""COMPUTED_VALUE"""),"Fantasias")</f>
        <v>Fantasias</v>
      </c>
      <c r="G73">
        <f>IFERROR(__xludf.DUMMYFUNCTION("""COMPUTED_VALUE"""),0.0)</f>
        <v>0</v>
      </c>
      <c r="H73" s="5">
        <f>IFERROR(__xludf.DUMMYFUNCTION("""COMPUTED_VALUE"""),0.1381944444437977)</f>
        <v>0.1381944444</v>
      </c>
    </row>
    <row r="74">
      <c r="A74" t="str">
        <f>IFERROR(__xludf.DUMMYFUNCTION("""COMPUTED_VALUE"""),"Argentina")</f>
        <v>Argentina</v>
      </c>
      <c r="B74" t="str">
        <f>IFERROR(__xludf.DUMMYFUNCTION("""COMPUTED_VALUE"""),"South America")</f>
        <v>South America</v>
      </c>
      <c r="C74">
        <f>IFERROR(__xludf.DUMMYFUNCTION("""COMPUTED_VALUE"""),23.0)</f>
        <v>23</v>
      </c>
      <c r="D74" t="str">
        <f>IFERROR(__xludf.DUMMYFUNCTION("""COMPUTED_VALUE"""),"Loco")</f>
        <v>Loco</v>
      </c>
      <c r="E74" t="str">
        <f>IFERROR(__xludf.DUMMYFUNCTION("""COMPUTED_VALUE"""),"Beéle")</f>
        <v>Beéle</v>
      </c>
      <c r="F74" t="str">
        <f>IFERROR(__xludf.DUMMYFUNCTION("""COMPUTED_VALUE"""),"Loco")</f>
        <v>Loco</v>
      </c>
      <c r="G74">
        <f>IFERROR(__xludf.DUMMYFUNCTION("""COMPUTED_VALUE"""),0.0)</f>
        <v>0</v>
      </c>
      <c r="H74" s="5">
        <f>IFERROR(__xludf.DUMMYFUNCTION("""COMPUTED_VALUE"""),0.14166666666642413)</f>
        <v>0.1416666667</v>
      </c>
    </row>
    <row r="75">
      <c r="A75" t="str">
        <f>IFERROR(__xludf.DUMMYFUNCTION("""COMPUTED_VALUE"""),"Argentina")</f>
        <v>Argentina</v>
      </c>
      <c r="B75" t="str">
        <f>IFERROR(__xludf.DUMMYFUNCTION("""COMPUTED_VALUE"""),"South America")</f>
        <v>South America</v>
      </c>
      <c r="C75">
        <f>IFERROR(__xludf.DUMMYFUNCTION("""COMPUTED_VALUE"""),24.0)</f>
        <v>24</v>
      </c>
      <c r="D75" t="str">
        <f>IFERROR(__xludf.DUMMYFUNCTION("""COMPUTED_VALUE"""),"Locura")</f>
        <v>Locura</v>
      </c>
      <c r="E75" t="str">
        <f>IFERROR(__xludf.DUMMYFUNCTION("""COMPUTED_VALUE"""),"Cali Y El Dandee, Sebastian Yatra")</f>
        <v>Cali Y El Dandee, Sebastian Yatra</v>
      </c>
      <c r="F75" t="str">
        <f>IFERROR(__xludf.DUMMYFUNCTION("""COMPUTED_VALUE"""),"Colegio")</f>
        <v>Colegio</v>
      </c>
      <c r="G75">
        <f>IFERROR(__xludf.DUMMYFUNCTION("""COMPUTED_VALUE"""),0.0)</f>
        <v>0</v>
      </c>
      <c r="H75" s="5">
        <f>IFERROR(__xludf.DUMMYFUNCTION("""COMPUTED_VALUE"""),0.14513888888905058)</f>
        <v>0.1451388889</v>
      </c>
    </row>
    <row r="76">
      <c r="A76" t="str">
        <f>IFERROR(__xludf.DUMMYFUNCTION("""COMPUTED_VALUE"""),"Argentina")</f>
        <v>Argentina</v>
      </c>
      <c r="B76" t="str">
        <f>IFERROR(__xludf.DUMMYFUNCTION("""COMPUTED_VALUE"""),"South America")</f>
        <v>South America</v>
      </c>
      <c r="C76">
        <f>IFERROR(__xludf.DUMMYFUNCTION("""COMPUTED_VALUE"""),25.0)</f>
        <v>25</v>
      </c>
      <c r="D76" t="str">
        <f>IFERROR(__xludf.DUMMYFUNCTION("""COMPUTED_VALUE"""),"Roses - Imanbek Remix")</f>
        <v>Roses - Imanbek Remix</v>
      </c>
      <c r="E76" t="str">
        <f>IFERROR(__xludf.DUMMYFUNCTION("""COMPUTED_VALUE"""),"SAINt JHN, Imanbek")</f>
        <v>SAINt JHN, Imanbek</v>
      </c>
      <c r="F76" t="str">
        <f>IFERROR(__xludf.DUMMYFUNCTION("""COMPUTED_VALUE"""),"Roses (Imanbek Remix)")</f>
        <v>Roses (Imanbek Remix)</v>
      </c>
      <c r="G76">
        <f>IFERROR(__xludf.DUMMYFUNCTION("""COMPUTED_VALUE"""),1.0)</f>
        <v>1</v>
      </c>
      <c r="H76" s="5">
        <f>IFERROR(__xludf.DUMMYFUNCTION("""COMPUTED_VALUE"""),0.12222222222044365)</f>
        <v>0.1222222222</v>
      </c>
    </row>
    <row r="77">
      <c r="A77" t="str">
        <f>IFERROR(__xludf.DUMMYFUNCTION("""COMPUTED_VALUE"""),"Argentina")</f>
        <v>Argentina</v>
      </c>
      <c r="B77" t="str">
        <f>IFERROR(__xludf.DUMMYFUNCTION("""COMPUTED_VALUE"""),"South America")</f>
        <v>South America</v>
      </c>
      <c r="C77">
        <f>IFERROR(__xludf.DUMMYFUNCTION("""COMPUTED_VALUE"""),26.0)</f>
        <v>26</v>
      </c>
      <c r="D77" t="str">
        <f>IFERROR(__xludf.DUMMYFUNCTION("""COMPUTED_VALUE"""),"Don't Start Now")</f>
        <v>Don't Start Now</v>
      </c>
      <c r="E77" t="str">
        <f>IFERROR(__xludf.DUMMYFUNCTION("""COMPUTED_VALUE"""),"Dua Lipa")</f>
        <v>Dua Lipa</v>
      </c>
      <c r="F77" t="str">
        <f>IFERROR(__xludf.DUMMYFUNCTION("""COMPUTED_VALUE"""),"Future Nostalgia")</f>
        <v>Future Nostalgia</v>
      </c>
      <c r="G77">
        <f>IFERROR(__xludf.DUMMYFUNCTION("""COMPUTED_VALUE"""),0.0)</f>
        <v>0</v>
      </c>
      <c r="H77" s="5">
        <f>IFERROR(__xludf.DUMMYFUNCTION("""COMPUTED_VALUE"""),0.12708333333284827)</f>
        <v>0.1270833333</v>
      </c>
    </row>
    <row r="78">
      <c r="A78" t="str">
        <f>IFERROR(__xludf.DUMMYFUNCTION("""COMPUTED_VALUE"""),"Argentina")</f>
        <v>Argentina</v>
      </c>
      <c r="B78" t="str">
        <f>IFERROR(__xludf.DUMMYFUNCTION("""COMPUTED_VALUE"""),"South America")</f>
        <v>South America</v>
      </c>
      <c r="C78">
        <f>IFERROR(__xludf.DUMMYFUNCTION("""COMPUTED_VALUE"""),27.0)</f>
        <v>27</v>
      </c>
      <c r="D78" t="str">
        <f>IFERROR(__xludf.DUMMYFUNCTION("""COMPUTED_VALUE"""),"La Difícil")</f>
        <v>La Difícil</v>
      </c>
      <c r="E78" t="str">
        <f>IFERROR(__xludf.DUMMYFUNCTION("""COMPUTED_VALUE"""),"Bad Bunny")</f>
        <v>Bad Bunny</v>
      </c>
      <c r="F78" t="str">
        <f>IFERROR(__xludf.DUMMYFUNCTION("""COMPUTED_VALUE"""),"YHLQMDLG")</f>
        <v>YHLQMDLG</v>
      </c>
      <c r="G78">
        <f>IFERROR(__xludf.DUMMYFUNCTION("""COMPUTED_VALUE"""),1.0)</f>
        <v>1</v>
      </c>
      <c r="H78" s="5">
        <f>IFERROR(__xludf.DUMMYFUNCTION("""COMPUTED_VALUE"""),0.11319444444598048)</f>
        <v>0.1131944444</v>
      </c>
    </row>
    <row r="79">
      <c r="A79" t="str">
        <f>IFERROR(__xludf.DUMMYFUNCTION("""COMPUTED_VALUE"""),"Argentina")</f>
        <v>Argentina</v>
      </c>
      <c r="B79" t="str">
        <f>IFERROR(__xludf.DUMMYFUNCTION("""COMPUTED_VALUE"""),"South America")</f>
        <v>South America</v>
      </c>
      <c r="C79">
        <f>IFERROR(__xludf.DUMMYFUNCTION("""COMPUTED_VALUE"""),28.0)</f>
        <v>28</v>
      </c>
      <c r="D79" t="str">
        <f>IFERROR(__xludf.DUMMYFUNCTION("""COMPUTED_VALUE"""),"Rain On Me (with Ariana Grande)")</f>
        <v>Rain On Me (with Ariana Grande)</v>
      </c>
      <c r="E79" t="str">
        <f>IFERROR(__xludf.DUMMYFUNCTION("""COMPUTED_VALUE"""),"Lady Gaga, Ariana Grande")</f>
        <v>Lady Gaga, Ariana Grande</v>
      </c>
      <c r="F79" t="str">
        <f>IFERROR(__xludf.DUMMYFUNCTION("""COMPUTED_VALUE"""),"Rain On Me (with Ariana Grande)")</f>
        <v>Rain On Me (with Ariana Grande)</v>
      </c>
      <c r="G79">
        <f>IFERROR(__xludf.DUMMYFUNCTION("""COMPUTED_VALUE"""),0.0)</f>
        <v>0</v>
      </c>
      <c r="H79" s="5">
        <f>IFERROR(__xludf.DUMMYFUNCTION("""COMPUTED_VALUE"""),0.12638888888977817)</f>
        <v>0.1263888889</v>
      </c>
    </row>
    <row r="80">
      <c r="A80" t="str">
        <f>IFERROR(__xludf.DUMMYFUNCTION("""COMPUTED_VALUE"""),"Argentina")</f>
        <v>Argentina</v>
      </c>
      <c r="B80" t="str">
        <f>IFERROR(__xludf.DUMMYFUNCTION("""COMPUTED_VALUE"""),"South America")</f>
        <v>South America</v>
      </c>
      <c r="C80">
        <f>IFERROR(__xludf.DUMMYFUNCTION("""COMPUTED_VALUE"""),29.0)</f>
        <v>29</v>
      </c>
      <c r="D80" t="str">
        <f>IFERROR(__xludf.DUMMYFUNCTION("""COMPUTED_VALUE"""),"Amarillo")</f>
        <v>Amarillo</v>
      </c>
      <c r="E80" t="str">
        <f>IFERROR(__xludf.DUMMYFUNCTION("""COMPUTED_VALUE"""),"J Balvin")</f>
        <v>J Balvin</v>
      </c>
      <c r="F80" t="str">
        <f>IFERROR(__xludf.DUMMYFUNCTION("""COMPUTED_VALUE"""),"Colores")</f>
        <v>Colores</v>
      </c>
      <c r="G80">
        <f>IFERROR(__xludf.DUMMYFUNCTION("""COMPUTED_VALUE"""),0.0)</f>
        <v>0</v>
      </c>
      <c r="H80" s="5">
        <f>IFERROR(__xludf.DUMMYFUNCTION("""COMPUTED_VALUE"""),0.10902777777664596)</f>
        <v>0.1090277778</v>
      </c>
    </row>
    <row r="81">
      <c r="A81" t="str">
        <f>IFERROR(__xludf.DUMMYFUNCTION("""COMPUTED_VALUE"""),"Argentina")</f>
        <v>Argentina</v>
      </c>
      <c r="B81" t="str">
        <f>IFERROR(__xludf.DUMMYFUNCTION("""COMPUTED_VALUE"""),"South America")</f>
        <v>South America</v>
      </c>
      <c r="C81">
        <f>IFERROR(__xludf.DUMMYFUNCTION("""COMPUTED_VALUE"""),30.0)</f>
        <v>30</v>
      </c>
      <c r="D81" t="str">
        <f>IFERROR(__xludf.DUMMYFUNCTION("""COMPUTED_VALUE"""),"ALMA DINAMITA")</f>
        <v>ALMA DINAMITA</v>
      </c>
      <c r="E81" t="str">
        <f>IFERROR(__xludf.DUMMYFUNCTION("""COMPUTED_VALUE"""),"WOS")</f>
        <v>WOS</v>
      </c>
      <c r="F81" t="str">
        <f>IFERROR(__xludf.DUMMYFUNCTION("""COMPUTED_VALUE"""),"Tres Puntos Suspensivos")</f>
        <v>Tres Puntos Suspensivos</v>
      </c>
      <c r="G81">
        <f>IFERROR(__xludf.DUMMYFUNCTION("""COMPUTED_VALUE"""),0.0)</f>
        <v>0</v>
      </c>
      <c r="H81" s="5">
        <f>IFERROR(__xludf.DUMMYFUNCTION("""COMPUTED_VALUE"""),0.12013888888759539)</f>
        <v>0.1201388889</v>
      </c>
    </row>
    <row r="82">
      <c r="A82" t="str">
        <f>IFERROR(__xludf.DUMMYFUNCTION("""COMPUTED_VALUE"""),"Argentina")</f>
        <v>Argentina</v>
      </c>
      <c r="B82" t="str">
        <f>IFERROR(__xludf.DUMMYFUNCTION("""COMPUTED_VALUE"""),"South America")</f>
        <v>South America</v>
      </c>
      <c r="C82">
        <f>IFERROR(__xludf.DUMMYFUNCTION("""COMPUTED_VALUE"""),31.0)</f>
        <v>31</v>
      </c>
      <c r="D82" t="str">
        <f>IFERROR(__xludf.DUMMYFUNCTION("""COMPUTED_VALUE"""),"Ignorantes")</f>
        <v>Ignorantes</v>
      </c>
      <c r="E82" t="str">
        <f>IFERROR(__xludf.DUMMYFUNCTION("""COMPUTED_VALUE"""),"Bad Bunny, Sech")</f>
        <v>Bad Bunny, Sech</v>
      </c>
      <c r="F82" t="str">
        <f>IFERROR(__xludf.DUMMYFUNCTION("""COMPUTED_VALUE"""),"YHLQMDLG")</f>
        <v>YHLQMDLG</v>
      </c>
      <c r="G82">
        <f>IFERROR(__xludf.DUMMYFUNCTION("""COMPUTED_VALUE"""),1.0)</f>
        <v>1</v>
      </c>
      <c r="H82" s="5">
        <f>IFERROR(__xludf.DUMMYFUNCTION("""COMPUTED_VALUE"""),0.14583333333212067)</f>
        <v>0.1458333333</v>
      </c>
    </row>
    <row r="83">
      <c r="A83" t="str">
        <f>IFERROR(__xludf.DUMMYFUNCTION("""COMPUTED_VALUE"""),"Argentina")</f>
        <v>Argentina</v>
      </c>
      <c r="B83" t="str">
        <f>IFERROR(__xludf.DUMMYFUNCTION("""COMPUTED_VALUE"""),"South America")</f>
        <v>South America</v>
      </c>
      <c r="C83">
        <f>IFERROR(__xludf.DUMMYFUNCTION("""COMPUTED_VALUE"""),32.0)</f>
        <v>32</v>
      </c>
      <c r="D83" t="str">
        <f>IFERROR(__xludf.DUMMYFUNCTION("""COMPUTED_VALUE"""),"El Efecto - Remix")</f>
        <v>El Efecto - Remix</v>
      </c>
      <c r="E83" t="str">
        <f>IFERROR(__xludf.DUMMYFUNCTION("""COMPUTED_VALUE"""),"Rauw Alejandro, Chencho Corleone, KEVVO, Bryant Myers, Lyanno, Dalex")</f>
        <v>Rauw Alejandro, Chencho Corleone, KEVVO, Bryant Myers, Lyanno, Dalex</v>
      </c>
      <c r="F83" t="str">
        <f>IFERROR(__xludf.DUMMYFUNCTION("""COMPUTED_VALUE"""),"El Efecto (Remix)")</f>
        <v>El Efecto (Remix)</v>
      </c>
      <c r="G83">
        <f>IFERROR(__xludf.DUMMYFUNCTION("""COMPUTED_VALUE"""),1.0)</f>
        <v>1</v>
      </c>
      <c r="H83" s="5">
        <f>IFERROR(__xludf.DUMMYFUNCTION("""COMPUTED_VALUE"""),0.2006944444437977)</f>
        <v>0.2006944444</v>
      </c>
    </row>
    <row r="84">
      <c r="A84" t="str">
        <f>IFERROR(__xludf.DUMMYFUNCTION("""COMPUTED_VALUE"""),"Argentina")</f>
        <v>Argentina</v>
      </c>
      <c r="B84" t="str">
        <f>IFERROR(__xludf.DUMMYFUNCTION("""COMPUTED_VALUE"""),"South America")</f>
        <v>South America</v>
      </c>
      <c r="C84">
        <f>IFERROR(__xludf.DUMMYFUNCTION("""COMPUTED_VALUE"""),33.0)</f>
        <v>33</v>
      </c>
      <c r="D84" t="str">
        <f>IFERROR(__xludf.DUMMYFUNCTION("""COMPUTED_VALUE"""),"High")</f>
        <v>High</v>
      </c>
      <c r="E84" t="str">
        <f>IFERROR(__xludf.DUMMYFUNCTION("""COMPUTED_VALUE"""),"Maria Becerra")</f>
        <v>Maria Becerra</v>
      </c>
      <c r="F84" t="str">
        <f>IFERROR(__xludf.DUMMYFUNCTION("""COMPUTED_VALUE"""),"High")</f>
        <v>High</v>
      </c>
      <c r="G84">
        <f>IFERROR(__xludf.DUMMYFUNCTION("""COMPUTED_VALUE"""),1.0)</f>
        <v>1</v>
      </c>
      <c r="H84" s="5">
        <f>IFERROR(__xludf.DUMMYFUNCTION("""COMPUTED_VALUE"""),0.12986111111240461)</f>
        <v>0.1298611111</v>
      </c>
    </row>
    <row r="85">
      <c r="A85" t="str">
        <f>IFERROR(__xludf.DUMMYFUNCTION("""COMPUTED_VALUE"""),"Argentina")</f>
        <v>Argentina</v>
      </c>
      <c r="B85" t="str">
        <f>IFERROR(__xludf.DUMMYFUNCTION("""COMPUTED_VALUE"""),"South America")</f>
        <v>South America</v>
      </c>
      <c r="C85">
        <f>IFERROR(__xludf.DUMMYFUNCTION("""COMPUTED_VALUE"""),34.0)</f>
        <v>34</v>
      </c>
      <c r="D85" t="str">
        <f>IFERROR(__xludf.DUMMYFUNCTION("""COMPUTED_VALUE"""),"Ya No Más")</f>
        <v>Ya No Más</v>
      </c>
      <c r="E85" t="str">
        <f>IFERROR(__xludf.DUMMYFUNCTION("""COMPUTED_VALUE"""),"Fer Palacio, DJ Alex, Santiago Saez")</f>
        <v>Fer Palacio, DJ Alex, Santiago Saez</v>
      </c>
      <c r="F85" t="str">
        <f>IFERROR(__xludf.DUMMYFUNCTION("""COMPUTED_VALUE"""),"Ya No Más")</f>
        <v>Ya No Más</v>
      </c>
      <c r="G85">
        <f>IFERROR(__xludf.DUMMYFUNCTION("""COMPUTED_VALUE"""),0.0)</f>
        <v>0</v>
      </c>
      <c r="H85" s="5">
        <f>IFERROR(__xludf.DUMMYFUNCTION("""COMPUTED_VALUE"""),0.10972222222335404)</f>
        <v>0.1097222222</v>
      </c>
    </row>
    <row r="86">
      <c r="A86" t="str">
        <f>IFERROR(__xludf.DUMMYFUNCTION("""COMPUTED_VALUE"""),"Argentina")</f>
        <v>Argentina</v>
      </c>
      <c r="B86" t="str">
        <f>IFERROR(__xludf.DUMMYFUNCTION("""COMPUTED_VALUE"""),"South America")</f>
        <v>South America</v>
      </c>
      <c r="C86">
        <f>IFERROR(__xludf.DUMMYFUNCTION("""COMPUTED_VALUE"""),35.0)</f>
        <v>35</v>
      </c>
      <c r="D86" t="str">
        <f>IFERROR(__xludf.DUMMYFUNCTION("""COMPUTED_VALUE"""),"death bed (coffee for your head) (feat. beabadoobee)")</f>
        <v>death bed (coffee for your head) (feat. beabadoobee)</v>
      </c>
      <c r="E86" t="str">
        <f>IFERROR(__xludf.DUMMYFUNCTION("""COMPUTED_VALUE"""),"Powfu, beabadoobee")</f>
        <v>Powfu, beabadoobee</v>
      </c>
      <c r="F86" t="str">
        <f>IFERROR(__xludf.DUMMYFUNCTION("""COMPUTED_VALUE"""),"death bed (coffee for your head) (feat. beabadoobee)")</f>
        <v>death bed (coffee for your head) (feat. beabadoobee)</v>
      </c>
      <c r="G86">
        <f>IFERROR(__xludf.DUMMYFUNCTION("""COMPUTED_VALUE"""),0.0)</f>
        <v>0</v>
      </c>
      <c r="H86" s="5">
        <f>IFERROR(__xludf.DUMMYFUNCTION("""COMPUTED_VALUE"""),0.12013888888759539)</f>
        <v>0.1201388889</v>
      </c>
    </row>
    <row r="87">
      <c r="A87" t="str">
        <f>IFERROR(__xludf.DUMMYFUNCTION("""COMPUTED_VALUE"""),"Argentina")</f>
        <v>Argentina</v>
      </c>
      <c r="B87" t="str">
        <f>IFERROR(__xludf.DUMMYFUNCTION("""COMPUTED_VALUE"""),"South America")</f>
        <v>South America</v>
      </c>
      <c r="C87">
        <f>IFERROR(__xludf.DUMMYFUNCTION("""COMPUTED_VALUE"""),36.0)</f>
        <v>36</v>
      </c>
      <c r="D87" t="str">
        <f>IFERROR(__xludf.DUMMYFUNCTION("""COMPUTED_VALUE"""),"Flasheaste Amor")</f>
        <v>Flasheaste Amor</v>
      </c>
      <c r="E87" t="str">
        <f>IFERROR(__xludf.DUMMYFUNCTION("""COMPUTED_VALUE"""),"Agapornis, Hernan y La Champion's Liga, Lauro")</f>
        <v>Agapornis, Hernan y La Champion's Liga, Lauro</v>
      </c>
      <c r="F87" t="str">
        <f>IFERROR(__xludf.DUMMYFUNCTION("""COMPUTED_VALUE"""),"Flasheaste Amor")</f>
        <v>Flasheaste Amor</v>
      </c>
      <c r="G87">
        <f>IFERROR(__xludf.DUMMYFUNCTION("""COMPUTED_VALUE"""),0.0)</f>
        <v>0</v>
      </c>
      <c r="H87" s="5">
        <f>IFERROR(__xludf.DUMMYFUNCTION("""COMPUTED_VALUE"""),0.12152777777737356)</f>
        <v>0.1215277778</v>
      </c>
    </row>
    <row r="88">
      <c r="A88" t="str">
        <f>IFERROR(__xludf.DUMMYFUNCTION("""COMPUTED_VALUE"""),"Argentina")</f>
        <v>Argentina</v>
      </c>
      <c r="B88" t="str">
        <f>IFERROR(__xludf.DUMMYFUNCTION("""COMPUTED_VALUE"""),"South America")</f>
        <v>South America</v>
      </c>
      <c r="C88">
        <f>IFERROR(__xludf.DUMMYFUNCTION("""COMPUTED_VALUE"""),37.0)</f>
        <v>37</v>
      </c>
      <c r="D88" t="str">
        <f>IFERROR(__xludf.DUMMYFUNCTION("""COMPUTED_VALUE"""),"Como Llora")</f>
        <v>Como Llora</v>
      </c>
      <c r="E88" t="str">
        <f>IFERROR(__xludf.DUMMYFUNCTION("""COMPUTED_VALUE"""),"Juanfran")</f>
        <v>Juanfran</v>
      </c>
      <c r="F88" t="str">
        <f>IFERROR(__xludf.DUMMYFUNCTION("""COMPUTED_VALUE"""),"Como Llora")</f>
        <v>Como Llora</v>
      </c>
      <c r="G88">
        <f>IFERROR(__xludf.DUMMYFUNCTION("""COMPUTED_VALUE"""),0.0)</f>
        <v>0</v>
      </c>
      <c r="H88" s="5">
        <f>IFERROR(__xludf.DUMMYFUNCTION("""COMPUTED_VALUE"""),0.12986111111240461)</f>
        <v>0.1298611111</v>
      </c>
    </row>
    <row r="89">
      <c r="A89" t="str">
        <f>IFERROR(__xludf.DUMMYFUNCTION("""COMPUTED_VALUE"""),"Argentina")</f>
        <v>Argentina</v>
      </c>
      <c r="B89" t="str">
        <f>IFERROR(__xludf.DUMMYFUNCTION("""COMPUTED_VALUE"""),"South America")</f>
        <v>South America</v>
      </c>
      <c r="C89">
        <f>IFERROR(__xludf.DUMMYFUNCTION("""COMPUTED_VALUE"""),38.0)</f>
        <v>38</v>
      </c>
      <c r="D89" t="str">
        <f>IFERROR(__xludf.DUMMYFUNCTION("""COMPUTED_VALUE"""),"Si Me Dices Que Sí")</f>
        <v>Si Me Dices Que Sí</v>
      </c>
      <c r="E89" t="str">
        <f>IFERROR(__xludf.DUMMYFUNCTION("""COMPUTED_VALUE"""),"Reik, Farruko, Camilo")</f>
        <v>Reik, Farruko, Camilo</v>
      </c>
      <c r="F89" t="str">
        <f>IFERROR(__xludf.DUMMYFUNCTION("""COMPUTED_VALUE"""),"Si Me Dices Que Sí")</f>
        <v>Si Me Dices Que Sí</v>
      </c>
      <c r="G89">
        <f>IFERROR(__xludf.DUMMYFUNCTION("""COMPUTED_VALUE"""),0.0)</f>
        <v>0</v>
      </c>
      <c r="H89" s="5">
        <f>IFERROR(__xludf.DUMMYFUNCTION("""COMPUTED_VALUE"""),0.14652777777882875)</f>
        <v>0.1465277778</v>
      </c>
    </row>
    <row r="90">
      <c r="A90" t="str">
        <f>IFERROR(__xludf.DUMMYFUNCTION("""COMPUTED_VALUE"""),"Argentina")</f>
        <v>Argentina</v>
      </c>
      <c r="B90" t="str">
        <f>IFERROR(__xludf.DUMMYFUNCTION("""COMPUTED_VALUE"""),"South America")</f>
        <v>South America</v>
      </c>
      <c r="C90">
        <f>IFERROR(__xludf.DUMMYFUNCTION("""COMPUTED_VALUE"""),39.0)</f>
        <v>39</v>
      </c>
      <c r="D90" t="str">
        <f>IFERROR(__xludf.DUMMYFUNCTION("""COMPUTED_VALUE"""),"Tutu")</f>
        <v>Tutu</v>
      </c>
      <c r="E90" t="str">
        <f>IFERROR(__xludf.DUMMYFUNCTION("""COMPUTED_VALUE"""),"Camilo, Pedro Capó")</f>
        <v>Camilo, Pedro Capó</v>
      </c>
      <c r="F90" t="str">
        <f>IFERROR(__xludf.DUMMYFUNCTION("""COMPUTED_VALUE"""),"Por Primera Vez")</f>
        <v>Por Primera Vez</v>
      </c>
      <c r="G90">
        <f>IFERROR(__xludf.DUMMYFUNCTION("""COMPUTED_VALUE"""),0.0)</f>
        <v>0</v>
      </c>
      <c r="H90" s="5">
        <f>IFERROR(__xludf.DUMMYFUNCTION("""COMPUTED_VALUE"""),0.1243055555569299)</f>
        <v>0.1243055556</v>
      </c>
    </row>
    <row r="91">
      <c r="A91" t="str">
        <f>IFERROR(__xludf.DUMMYFUNCTION("""COMPUTED_VALUE"""),"Argentina")</f>
        <v>Argentina</v>
      </c>
      <c r="B91" t="str">
        <f>IFERROR(__xludf.DUMMYFUNCTION("""COMPUTED_VALUE"""),"South America")</f>
        <v>South America</v>
      </c>
      <c r="C91">
        <f>IFERROR(__xludf.DUMMYFUNCTION("""COMPUTED_VALUE"""),40.0)</f>
        <v>40</v>
      </c>
      <c r="D91" t="str">
        <f>IFERROR(__xludf.DUMMYFUNCTION("""COMPUTED_VALUE"""),"Muévelo")</f>
        <v>Muévelo</v>
      </c>
      <c r="E91" t="str">
        <f>IFERROR(__xludf.DUMMYFUNCTION("""COMPUTED_VALUE"""),"Nicky Jam, Daddy Yankee")</f>
        <v>Nicky Jam, Daddy Yankee</v>
      </c>
      <c r="F91" t="str">
        <f>IFERROR(__xludf.DUMMYFUNCTION("""COMPUTED_VALUE"""),"Muévelo")</f>
        <v>Muévelo</v>
      </c>
      <c r="G91">
        <f>IFERROR(__xludf.DUMMYFUNCTION("""COMPUTED_VALUE"""),0.0)</f>
        <v>0</v>
      </c>
      <c r="H91" s="5">
        <f>IFERROR(__xludf.DUMMYFUNCTION("""COMPUTED_VALUE"""),0.13472222222117125)</f>
        <v>0.1347222222</v>
      </c>
    </row>
    <row r="92">
      <c r="A92" t="str">
        <f>IFERROR(__xludf.DUMMYFUNCTION("""COMPUTED_VALUE"""),"Argentina")</f>
        <v>Argentina</v>
      </c>
      <c r="B92" t="str">
        <f>IFERROR(__xludf.DUMMYFUNCTION("""COMPUTED_VALUE"""),"South America")</f>
        <v>South America</v>
      </c>
      <c r="C92">
        <f>IFERROR(__xludf.DUMMYFUNCTION("""COMPUTED_VALUE"""),41.0)</f>
        <v>41</v>
      </c>
      <c r="D92" t="str">
        <f>IFERROR(__xludf.DUMMYFUNCTION("""COMPUTED_VALUE"""),"Dónde Estás")</f>
        <v>Dónde Estás</v>
      </c>
      <c r="E92" t="str">
        <f>IFERROR(__xludf.DUMMYFUNCTION("""COMPUTED_VALUE"""),"KHEA")</f>
        <v>KHEA</v>
      </c>
      <c r="F92" t="str">
        <f>IFERROR(__xludf.DUMMYFUNCTION("""COMPUTED_VALUE"""),"Dónde Estás")</f>
        <v>Dónde Estás</v>
      </c>
      <c r="G92">
        <f>IFERROR(__xludf.DUMMYFUNCTION("""COMPUTED_VALUE"""),0.0)</f>
        <v>0</v>
      </c>
      <c r="H92" s="5">
        <f>IFERROR(__xludf.DUMMYFUNCTION("""COMPUTED_VALUE"""),0.1062500000007276)</f>
        <v>0.10625</v>
      </c>
    </row>
    <row r="93">
      <c r="A93" t="str">
        <f>IFERROR(__xludf.DUMMYFUNCTION("""COMPUTED_VALUE"""),"Argentina")</f>
        <v>Argentina</v>
      </c>
      <c r="B93" t="str">
        <f>IFERROR(__xludf.DUMMYFUNCTION("""COMPUTED_VALUE"""),"South America")</f>
        <v>South America</v>
      </c>
      <c r="C93">
        <f>IFERROR(__xludf.DUMMYFUNCTION("""COMPUTED_VALUE"""),42.0)</f>
        <v>42</v>
      </c>
      <c r="D93" t="str">
        <f>IFERROR(__xludf.DUMMYFUNCTION("""COMPUTED_VALUE"""),"Recuerdo")</f>
        <v>Recuerdo</v>
      </c>
      <c r="E93" t="str">
        <f>IFERROR(__xludf.DUMMYFUNCTION("""COMPUTED_VALUE"""),"TINI, Mau y Ricky")</f>
        <v>TINI, Mau y Ricky</v>
      </c>
      <c r="F93" t="str">
        <f>IFERROR(__xludf.DUMMYFUNCTION("""COMPUTED_VALUE"""),"Recuerdo")</f>
        <v>Recuerdo</v>
      </c>
      <c r="G93">
        <f>IFERROR(__xludf.DUMMYFUNCTION("""COMPUTED_VALUE"""),0.0)</f>
        <v>0</v>
      </c>
      <c r="H93" s="5">
        <f>IFERROR(__xludf.DUMMYFUNCTION("""COMPUTED_VALUE"""),0.13888888889050577)</f>
        <v>0.1388888889</v>
      </c>
    </row>
    <row r="94">
      <c r="A94" t="str">
        <f>IFERROR(__xludf.DUMMYFUNCTION("""COMPUTED_VALUE"""),"Argentina")</f>
        <v>Argentina</v>
      </c>
      <c r="B94" t="str">
        <f>IFERROR(__xludf.DUMMYFUNCTION("""COMPUTED_VALUE"""),"South America")</f>
        <v>South America</v>
      </c>
      <c r="C94">
        <f>IFERROR(__xludf.DUMMYFUNCTION("""COMPUTED_VALUE"""),43.0)</f>
        <v>43</v>
      </c>
      <c r="D94" t="str">
        <f>IFERROR(__xludf.DUMMYFUNCTION("""COMPUTED_VALUE"""),"Bounce")</f>
        <v>Bounce</v>
      </c>
      <c r="E94" t="str">
        <f>IFERROR(__xludf.DUMMYFUNCTION("""COMPUTED_VALUE"""),"Cazzu")</f>
        <v>Cazzu</v>
      </c>
      <c r="F94" t="str">
        <f>IFERROR(__xludf.DUMMYFUNCTION("""COMPUTED_VALUE"""),"Bonus Trap")</f>
        <v>Bonus Trap</v>
      </c>
      <c r="G94">
        <f>IFERROR(__xludf.DUMMYFUNCTION("""COMPUTED_VALUE"""),0.0)</f>
        <v>0</v>
      </c>
      <c r="H94" s="5">
        <f>IFERROR(__xludf.DUMMYFUNCTION("""COMPUTED_VALUE"""),0.09236111111022183)</f>
        <v>0.09236111111</v>
      </c>
    </row>
    <row r="95">
      <c r="A95" t="str">
        <f>IFERROR(__xludf.DUMMYFUNCTION("""COMPUTED_VALUE"""),"Argentina")</f>
        <v>Argentina</v>
      </c>
      <c r="B95" t="str">
        <f>IFERROR(__xludf.DUMMYFUNCTION("""COMPUTED_VALUE"""),"South America")</f>
        <v>South America</v>
      </c>
      <c r="C95">
        <f>IFERROR(__xludf.DUMMYFUNCTION("""COMPUTED_VALUE"""),44.0)</f>
        <v>44</v>
      </c>
      <c r="D95" t="str">
        <f>IFERROR(__xludf.DUMMYFUNCTION("""COMPUTED_VALUE"""),"La Cama - Remix")</f>
        <v>La Cama - Remix</v>
      </c>
      <c r="E95" t="str">
        <f>IFERROR(__xludf.DUMMYFUNCTION("""COMPUTED_VALUE"""),"Lunay, Myke Towers, Ozuna, Chencho Corleone, Rauw Alejandro")</f>
        <v>Lunay, Myke Towers, Ozuna, Chencho Corleone, Rauw Alejandro</v>
      </c>
      <c r="F95" t="str">
        <f>IFERROR(__xludf.DUMMYFUNCTION("""COMPUTED_VALUE"""),"La Cama (Remix)")</f>
        <v>La Cama (Remix)</v>
      </c>
      <c r="G95">
        <f>IFERROR(__xludf.DUMMYFUNCTION("""COMPUTED_VALUE"""),0.0)</f>
        <v>0</v>
      </c>
      <c r="H95" s="5">
        <f>IFERROR(__xludf.DUMMYFUNCTION("""COMPUTED_VALUE"""),0.22916666666787933)</f>
        <v>0.2291666667</v>
      </c>
    </row>
    <row r="96">
      <c r="A96" t="str">
        <f>IFERROR(__xludf.DUMMYFUNCTION("""COMPUTED_VALUE"""),"Argentina")</f>
        <v>Argentina</v>
      </c>
      <c r="B96" t="str">
        <f>IFERROR(__xludf.DUMMYFUNCTION("""COMPUTED_VALUE"""),"South America")</f>
        <v>South America</v>
      </c>
      <c r="C96">
        <f>IFERROR(__xludf.DUMMYFUNCTION("""COMPUTED_VALUE"""),45.0)</f>
        <v>45</v>
      </c>
      <c r="D96" t="str">
        <f>IFERROR(__xludf.DUMMYFUNCTION("""COMPUTED_VALUE"""),"BYE ME FUI")</f>
        <v>BYE ME FUI</v>
      </c>
      <c r="E96" t="str">
        <f>IFERROR(__xludf.DUMMYFUNCTION("""COMPUTED_VALUE"""),"Bad Bunny")</f>
        <v>Bad Bunny</v>
      </c>
      <c r="F96" t="str">
        <f>IFERROR(__xludf.DUMMYFUNCTION("""COMPUTED_VALUE"""),"LAS QUE NO IBAN A SALIR")</f>
        <v>LAS QUE NO IBAN A SALIR</v>
      </c>
      <c r="G96">
        <f>IFERROR(__xludf.DUMMYFUNCTION("""COMPUTED_VALUE"""),1.0)</f>
        <v>1</v>
      </c>
      <c r="H96" s="5">
        <f>IFERROR(__xludf.DUMMYFUNCTION("""COMPUTED_VALUE"""),0.12361111111022183)</f>
        <v>0.1236111111</v>
      </c>
    </row>
    <row r="97">
      <c r="A97" t="str">
        <f>IFERROR(__xludf.DUMMYFUNCTION("""COMPUTED_VALUE"""),"Argentina")</f>
        <v>Argentina</v>
      </c>
      <c r="B97" t="str">
        <f>IFERROR(__xludf.DUMMYFUNCTION("""COMPUTED_VALUE"""),"South America")</f>
        <v>South America</v>
      </c>
      <c r="C97">
        <f>IFERROR(__xludf.DUMMYFUNCTION("""COMPUTED_VALUE"""),46.0)</f>
        <v>46</v>
      </c>
      <c r="D97" t="str">
        <f>IFERROR(__xludf.DUMMYFUNCTION("""COMPUTED_VALUE"""),"La Pared 360")</f>
        <v>La Pared 360</v>
      </c>
      <c r="E97" t="str">
        <f>IFERROR(__xludf.DUMMYFUNCTION("""COMPUTED_VALUE"""),"Lenny Tavárez, Justin Quiles")</f>
        <v>Lenny Tavárez, Justin Quiles</v>
      </c>
      <c r="F97" t="str">
        <f>IFERROR(__xludf.DUMMYFUNCTION("""COMPUTED_VALUE"""),"La Pared 360")</f>
        <v>La Pared 360</v>
      </c>
      <c r="G97">
        <f>IFERROR(__xludf.DUMMYFUNCTION("""COMPUTED_VALUE"""),1.0)</f>
        <v>1</v>
      </c>
      <c r="H97" s="5">
        <f>IFERROR(__xludf.DUMMYFUNCTION("""COMPUTED_VALUE"""),0.10694444444379769)</f>
        <v>0.1069444444</v>
      </c>
    </row>
    <row r="98">
      <c r="A98" t="str">
        <f>IFERROR(__xludf.DUMMYFUNCTION("""COMPUTED_VALUE"""),"Argentina")</f>
        <v>Argentina</v>
      </c>
      <c r="B98" t="str">
        <f>IFERROR(__xludf.DUMMYFUNCTION("""COMPUTED_VALUE"""),"South America")</f>
        <v>South America</v>
      </c>
      <c r="C98">
        <f>IFERROR(__xludf.DUMMYFUNCTION("""COMPUTED_VALUE"""),47.0)</f>
        <v>47</v>
      </c>
      <c r="D98" t="str">
        <f>IFERROR(__xludf.DUMMYFUNCTION("""COMPUTED_VALUE"""),"Moon")</f>
        <v>Moon</v>
      </c>
      <c r="E98" t="str">
        <f>IFERROR(__xludf.DUMMYFUNCTION("""COMPUTED_VALUE"""),"Maria Becerra, DANI")</f>
        <v>Maria Becerra, DANI</v>
      </c>
      <c r="F98" t="str">
        <f>IFERROR(__xludf.DUMMYFUNCTION("""COMPUTED_VALUE"""),"Moon")</f>
        <v>Moon</v>
      </c>
      <c r="G98">
        <f>IFERROR(__xludf.DUMMYFUNCTION("""COMPUTED_VALUE"""),0.0)</f>
        <v>0</v>
      </c>
      <c r="H98" s="5">
        <f>IFERROR(__xludf.DUMMYFUNCTION("""COMPUTED_VALUE"""),0.14027777777664596)</f>
        <v>0.1402777778</v>
      </c>
    </row>
    <row r="99">
      <c r="A99" t="str">
        <f>IFERROR(__xludf.DUMMYFUNCTION("""COMPUTED_VALUE"""),"Argentina")</f>
        <v>Argentina</v>
      </c>
      <c r="B99" t="str">
        <f>IFERROR(__xludf.DUMMYFUNCTION("""COMPUTED_VALUE"""),"South America")</f>
        <v>South America</v>
      </c>
      <c r="C99">
        <f>IFERROR(__xludf.DUMMYFUNCTION("""COMPUTED_VALUE"""),48.0)</f>
        <v>48</v>
      </c>
      <c r="D99" t="str">
        <f>IFERROR(__xludf.DUMMYFUNCTION("""COMPUTED_VALUE"""),"Bellaquita - Remix")</f>
        <v>Bellaquita - Remix</v>
      </c>
      <c r="E99" t="str">
        <f>IFERROR(__xludf.DUMMYFUNCTION("""COMPUTED_VALUE"""),"Dalex, Lenny Tavárez, Anitta, Natti Natasha, Farruko, Justin Quiles")</f>
        <v>Dalex, Lenny Tavárez, Anitta, Natti Natasha, Farruko, Justin Quiles</v>
      </c>
      <c r="F99" t="str">
        <f>IFERROR(__xludf.DUMMYFUNCTION("""COMPUTED_VALUE"""),"Modo Avión")</f>
        <v>Modo Avión</v>
      </c>
      <c r="G99">
        <f>IFERROR(__xludf.DUMMYFUNCTION("""COMPUTED_VALUE"""),1.0)</f>
        <v>1</v>
      </c>
      <c r="H99" s="5">
        <f>IFERROR(__xludf.DUMMYFUNCTION("""COMPUTED_VALUE"""),0.21111111111167702)</f>
        <v>0.2111111111</v>
      </c>
    </row>
    <row r="100">
      <c r="A100" t="str">
        <f>IFERROR(__xludf.DUMMYFUNCTION("""COMPUTED_VALUE"""),"Argentina")</f>
        <v>Argentina</v>
      </c>
      <c r="B100" t="str">
        <f>IFERROR(__xludf.DUMMYFUNCTION("""COMPUTED_VALUE"""),"South America")</f>
        <v>South America</v>
      </c>
      <c r="C100">
        <f>IFERROR(__xludf.DUMMYFUNCTION("""COMPUTED_VALUE"""),49.0)</f>
        <v>49</v>
      </c>
      <c r="D100" t="str">
        <f>IFERROR(__xludf.DUMMYFUNCTION("""COMPUTED_VALUE"""),"ALGO DEL VACÍO")</f>
        <v>ALGO DEL VACÍO</v>
      </c>
      <c r="E100" t="str">
        <f>IFERROR(__xludf.DUMMYFUNCTION("""COMPUTED_VALUE"""),"WOS, Manu Oliva")</f>
        <v>WOS, Manu Oliva</v>
      </c>
      <c r="F100" t="str">
        <f>IFERROR(__xludf.DUMMYFUNCTION("""COMPUTED_VALUE"""),"Tres Puntos Suspensivos")</f>
        <v>Tres Puntos Suspensivos</v>
      </c>
      <c r="G100">
        <f>IFERROR(__xludf.DUMMYFUNCTION("""COMPUTED_VALUE"""),0.0)</f>
        <v>0</v>
      </c>
      <c r="H100" s="5">
        <f>IFERROR(__xludf.DUMMYFUNCTION("""COMPUTED_VALUE"""),0.14791666666496894)</f>
        <v>0.1479166667</v>
      </c>
    </row>
    <row r="101">
      <c r="A101" t="str">
        <f>IFERROR(__xludf.DUMMYFUNCTION("""COMPUTED_VALUE"""),"Argentina")</f>
        <v>Argentina</v>
      </c>
      <c r="B101" t="str">
        <f>IFERROR(__xludf.DUMMYFUNCTION("""COMPUTED_VALUE"""),"South America")</f>
        <v>South America</v>
      </c>
      <c r="C101">
        <f>IFERROR(__xludf.DUMMYFUNCTION("""COMPUTED_VALUE"""),50.0)</f>
        <v>50</v>
      </c>
      <c r="D101" t="str">
        <f>IFERROR(__xludf.DUMMYFUNCTION("""COMPUTED_VALUE"""),"Par-Tusa")</f>
        <v>Par-Tusa</v>
      </c>
      <c r="E101" t="str">
        <f>IFERROR(__xludf.DUMMYFUNCTION("""COMPUTED_VALUE"""),"El Dipy")</f>
        <v>El Dipy</v>
      </c>
      <c r="F101" t="str">
        <f>IFERROR(__xludf.DUMMYFUNCTION("""COMPUTED_VALUE"""),"Par-Tusa")</f>
        <v>Par-Tusa</v>
      </c>
      <c r="G101">
        <f>IFERROR(__xludf.DUMMYFUNCTION("""COMPUTED_VALUE"""),1.0)</f>
        <v>1</v>
      </c>
      <c r="H101" s="5">
        <f>IFERROR(__xludf.DUMMYFUNCTION("""COMPUTED_VALUE"""),0.13194444444525288)</f>
        <v>0.1319444444</v>
      </c>
    </row>
    <row r="102">
      <c r="A102" t="str">
        <f>IFERROR(__xludf.DUMMYFUNCTION("""COMPUTED_VALUE"""),"Australia")</f>
        <v>Australia</v>
      </c>
      <c r="B102" t="str">
        <f>IFERROR(__xludf.DUMMYFUNCTION("""COMPUTED_VALUE"""),"Australia")</f>
        <v>Australia</v>
      </c>
      <c r="C102">
        <f>IFERROR(__xludf.DUMMYFUNCTION("""COMPUTED_VALUE"""),1.0)</f>
        <v>1</v>
      </c>
      <c r="D102" t="str">
        <f>IFERROR(__xludf.DUMMYFUNCTION("""COMPUTED_VALUE"""),"ROCKSTAR (feat. Roddy Ricch)")</f>
        <v>ROCKSTAR (feat. Roddy Ricch)</v>
      </c>
      <c r="E102" t="str">
        <f>IFERROR(__xludf.DUMMYFUNCTION("""COMPUTED_VALUE"""),"DaBaby, Roddy Ricch")</f>
        <v>DaBaby, Roddy Ricch</v>
      </c>
      <c r="F102" t="str">
        <f>IFERROR(__xludf.DUMMYFUNCTION("""COMPUTED_VALUE"""),"BLAME IT ON BABY")</f>
        <v>BLAME IT ON BABY</v>
      </c>
      <c r="G102">
        <f>IFERROR(__xludf.DUMMYFUNCTION("""COMPUTED_VALUE"""),1.0)</f>
        <v>1</v>
      </c>
      <c r="H102" s="5">
        <f>IFERROR(__xludf.DUMMYFUNCTION("""COMPUTED_VALUE"""),0.1256944444430701)</f>
        <v>0.1256944444</v>
      </c>
    </row>
    <row r="103">
      <c r="A103" t="str">
        <f>IFERROR(__xludf.DUMMYFUNCTION("""COMPUTED_VALUE"""),"Australia")</f>
        <v>Australia</v>
      </c>
      <c r="B103" t="str">
        <f>IFERROR(__xludf.DUMMYFUNCTION("""COMPUTED_VALUE"""),"Australia")</f>
        <v>Australia</v>
      </c>
      <c r="C103">
        <f>IFERROR(__xludf.DUMMYFUNCTION("""COMPUTED_VALUE"""),2.0)</f>
        <v>2</v>
      </c>
      <c r="D103" t="str">
        <f>IFERROR(__xludf.DUMMYFUNCTION("""COMPUTED_VALUE"""),"Roses - Imanbek Remix")</f>
        <v>Roses - Imanbek Remix</v>
      </c>
      <c r="E103" t="str">
        <f>IFERROR(__xludf.DUMMYFUNCTION("""COMPUTED_VALUE"""),"SAINt JHN, Imanbek")</f>
        <v>SAINt JHN, Imanbek</v>
      </c>
      <c r="F103" t="str">
        <f>IFERROR(__xludf.DUMMYFUNCTION("""COMPUTED_VALUE"""),"Roses (Imanbek Remix)")</f>
        <v>Roses (Imanbek Remix)</v>
      </c>
      <c r="G103">
        <f>IFERROR(__xludf.DUMMYFUNCTION("""COMPUTED_VALUE"""),1.0)</f>
        <v>1</v>
      </c>
      <c r="H103" s="5">
        <f>IFERROR(__xludf.DUMMYFUNCTION("""COMPUTED_VALUE"""),0.12222222222044365)</f>
        <v>0.1222222222</v>
      </c>
    </row>
    <row r="104">
      <c r="A104" t="str">
        <f>IFERROR(__xludf.DUMMYFUNCTION("""COMPUTED_VALUE"""),"Australia")</f>
        <v>Australia</v>
      </c>
      <c r="B104" t="str">
        <f>IFERROR(__xludf.DUMMYFUNCTION("""COMPUTED_VALUE"""),"Australia")</f>
        <v>Australia</v>
      </c>
      <c r="C104">
        <f>IFERROR(__xludf.DUMMYFUNCTION("""COMPUTED_VALUE"""),3.0)</f>
        <v>3</v>
      </c>
      <c r="D104" t="str">
        <f>IFERROR(__xludf.DUMMYFUNCTION("""COMPUTED_VALUE"""),"Blinding Lights")</f>
        <v>Blinding Lights</v>
      </c>
      <c r="E104" t="str">
        <f>IFERROR(__xludf.DUMMYFUNCTION("""COMPUTED_VALUE"""),"The Weeknd")</f>
        <v>The Weeknd</v>
      </c>
      <c r="F104" t="str">
        <f>IFERROR(__xludf.DUMMYFUNCTION("""COMPUTED_VALUE"""),"After Hours")</f>
        <v>After Hours</v>
      </c>
      <c r="G104">
        <f>IFERROR(__xludf.DUMMYFUNCTION("""COMPUTED_VALUE"""),0.0)</f>
        <v>0</v>
      </c>
      <c r="H104" s="5">
        <f>IFERROR(__xludf.DUMMYFUNCTION("""COMPUTED_VALUE"""),0.13888888889050577)</f>
        <v>0.1388888889</v>
      </c>
    </row>
    <row r="105">
      <c r="A105" t="str">
        <f>IFERROR(__xludf.DUMMYFUNCTION("""COMPUTED_VALUE"""),"Australia")</f>
        <v>Australia</v>
      </c>
      <c r="B105" t="str">
        <f>IFERROR(__xludf.DUMMYFUNCTION("""COMPUTED_VALUE"""),"Australia")</f>
        <v>Australia</v>
      </c>
      <c r="C105">
        <f>IFERROR(__xludf.DUMMYFUNCTION("""COMPUTED_VALUE"""),4.0)</f>
        <v>4</v>
      </c>
      <c r="D105" t="str">
        <f>IFERROR(__xludf.DUMMYFUNCTION("""COMPUTED_VALUE"""),"Rain On Me (with Ariana Grande)")</f>
        <v>Rain On Me (with Ariana Grande)</v>
      </c>
      <c r="E105" t="str">
        <f>IFERROR(__xludf.DUMMYFUNCTION("""COMPUTED_VALUE"""),"Lady Gaga, Ariana Grande")</f>
        <v>Lady Gaga, Ariana Grande</v>
      </c>
      <c r="F105" t="str">
        <f>IFERROR(__xludf.DUMMYFUNCTION("""COMPUTED_VALUE"""),"Rain On Me (with Ariana Grande)")</f>
        <v>Rain On Me (with Ariana Grande)</v>
      </c>
      <c r="G105">
        <f>IFERROR(__xludf.DUMMYFUNCTION("""COMPUTED_VALUE"""),0.0)</f>
        <v>0</v>
      </c>
      <c r="H105" s="5">
        <f>IFERROR(__xludf.DUMMYFUNCTION("""COMPUTED_VALUE"""),0.12638888888977817)</f>
        <v>0.1263888889</v>
      </c>
    </row>
    <row r="106">
      <c r="A106" t="str">
        <f>IFERROR(__xludf.DUMMYFUNCTION("""COMPUTED_VALUE"""),"Australia")</f>
        <v>Australia</v>
      </c>
      <c r="B106" t="str">
        <f>IFERROR(__xludf.DUMMYFUNCTION("""COMPUTED_VALUE"""),"Australia")</f>
        <v>Australia</v>
      </c>
      <c r="C106">
        <f>IFERROR(__xludf.DUMMYFUNCTION("""COMPUTED_VALUE"""),5.0)</f>
        <v>5</v>
      </c>
      <c r="D106" t="str">
        <f>IFERROR(__xludf.DUMMYFUNCTION("""COMPUTED_VALUE"""),"Toosie Slide")</f>
        <v>Toosie Slide</v>
      </c>
      <c r="E106" t="str">
        <f>IFERROR(__xludf.DUMMYFUNCTION("""COMPUTED_VALUE"""),"Drake")</f>
        <v>Drake</v>
      </c>
      <c r="F106" t="str">
        <f>IFERROR(__xludf.DUMMYFUNCTION("""COMPUTED_VALUE"""),"Dark Lane Demo Tapes")</f>
        <v>Dark Lane Demo Tapes</v>
      </c>
      <c r="G106">
        <f>IFERROR(__xludf.DUMMYFUNCTION("""COMPUTED_VALUE"""),1.0)</f>
        <v>1</v>
      </c>
      <c r="H106" s="5">
        <f>IFERROR(__xludf.DUMMYFUNCTION("""COMPUTED_VALUE"""),0.17152777777664596)</f>
        <v>0.1715277778</v>
      </c>
    </row>
    <row r="107">
      <c r="A107" t="str">
        <f>IFERROR(__xludf.DUMMYFUNCTION("""COMPUTED_VALUE"""),"Australia")</f>
        <v>Australia</v>
      </c>
      <c r="B107" t="str">
        <f>IFERROR(__xludf.DUMMYFUNCTION("""COMPUTED_VALUE"""),"Australia")</f>
        <v>Australia</v>
      </c>
      <c r="C107">
        <f>IFERROR(__xludf.DUMMYFUNCTION("""COMPUTED_VALUE"""),6.0)</f>
        <v>6</v>
      </c>
      <c r="D107" t="str">
        <f>IFERROR(__xludf.DUMMYFUNCTION("""COMPUTED_VALUE"""),"Stuck with U (with Justin Bieber)")</f>
        <v>Stuck with U (with Justin Bieber)</v>
      </c>
      <c r="E107" t="str">
        <f>IFERROR(__xludf.DUMMYFUNCTION("""COMPUTED_VALUE"""),"Ariana Grande, Justin Bieber")</f>
        <v>Ariana Grande, Justin Bieber</v>
      </c>
      <c r="F107" t="str">
        <f>IFERROR(__xludf.DUMMYFUNCTION("""COMPUTED_VALUE"""),"Stuck with U")</f>
        <v>Stuck with U</v>
      </c>
      <c r="G107">
        <f>IFERROR(__xludf.DUMMYFUNCTION("""COMPUTED_VALUE"""),0.0)</f>
        <v>0</v>
      </c>
      <c r="H107" s="5">
        <f>IFERROR(__xludf.DUMMYFUNCTION("""COMPUTED_VALUE"""),0.15833333333284827)</f>
        <v>0.1583333333</v>
      </c>
    </row>
    <row r="108">
      <c r="A108" t="str">
        <f>IFERROR(__xludf.DUMMYFUNCTION("""COMPUTED_VALUE"""),"Australia")</f>
        <v>Australia</v>
      </c>
      <c r="B108" t="str">
        <f>IFERROR(__xludf.DUMMYFUNCTION("""COMPUTED_VALUE"""),"Australia")</f>
        <v>Australia</v>
      </c>
      <c r="C108">
        <f>IFERROR(__xludf.DUMMYFUNCTION("""COMPUTED_VALUE"""),7.0)</f>
        <v>7</v>
      </c>
      <c r="D108" t="str">
        <f>IFERROR(__xludf.DUMMYFUNCTION("""COMPUTED_VALUE"""),"death bed (coffee for your head) (feat. beabadoobee)")</f>
        <v>death bed (coffee for your head) (feat. beabadoobee)</v>
      </c>
      <c r="E108" t="str">
        <f>IFERROR(__xludf.DUMMYFUNCTION("""COMPUTED_VALUE"""),"Powfu, beabadoobee")</f>
        <v>Powfu, beabadoobee</v>
      </c>
      <c r="F108" t="str">
        <f>IFERROR(__xludf.DUMMYFUNCTION("""COMPUTED_VALUE"""),"death bed (coffee for your head) (feat. beabadoobee)")</f>
        <v>death bed (coffee for your head) (feat. beabadoobee)</v>
      </c>
      <c r="G108">
        <f>IFERROR(__xludf.DUMMYFUNCTION("""COMPUTED_VALUE"""),0.0)</f>
        <v>0</v>
      </c>
      <c r="H108" s="5">
        <f>IFERROR(__xludf.DUMMYFUNCTION("""COMPUTED_VALUE"""),0.12013888888759539)</f>
        <v>0.1201388889</v>
      </c>
    </row>
    <row r="109">
      <c r="A109" t="str">
        <f>IFERROR(__xludf.DUMMYFUNCTION("""COMPUTED_VALUE"""),"Australia")</f>
        <v>Australia</v>
      </c>
      <c r="B109" t="str">
        <f>IFERROR(__xludf.DUMMYFUNCTION("""COMPUTED_VALUE"""),"Australia")</f>
        <v>Australia</v>
      </c>
      <c r="C109">
        <f>IFERROR(__xludf.DUMMYFUNCTION("""COMPUTED_VALUE"""),8.0)</f>
        <v>8</v>
      </c>
      <c r="D109" t="str">
        <f>IFERROR(__xludf.DUMMYFUNCTION("""COMPUTED_VALUE"""),"Supalonely")</f>
        <v>Supalonely</v>
      </c>
      <c r="E109" t="str">
        <f>IFERROR(__xludf.DUMMYFUNCTION("""COMPUTED_VALUE"""),"BENEE, Gus Dapperton")</f>
        <v>BENEE, Gus Dapperton</v>
      </c>
      <c r="F109" t="str">
        <f>IFERROR(__xludf.DUMMYFUNCTION("""COMPUTED_VALUE"""),"STELLA &amp; STEVE")</f>
        <v>STELLA &amp; STEVE</v>
      </c>
      <c r="G109">
        <f>IFERROR(__xludf.DUMMYFUNCTION("""COMPUTED_VALUE"""),1.0)</f>
        <v>1</v>
      </c>
      <c r="H109" s="5">
        <f>IFERROR(__xludf.DUMMYFUNCTION("""COMPUTED_VALUE"""),0.15486111111022183)</f>
        <v>0.1548611111</v>
      </c>
    </row>
    <row r="110">
      <c r="A110" t="str">
        <f>IFERROR(__xludf.DUMMYFUNCTION("""COMPUTED_VALUE"""),"Australia")</f>
        <v>Australia</v>
      </c>
      <c r="B110" t="str">
        <f>IFERROR(__xludf.DUMMYFUNCTION("""COMPUTED_VALUE"""),"Australia")</f>
        <v>Australia</v>
      </c>
      <c r="C110">
        <f>IFERROR(__xludf.DUMMYFUNCTION("""COMPUTED_VALUE"""),9.0)</f>
        <v>9</v>
      </c>
      <c r="D110" t="str">
        <f>IFERROR(__xludf.DUMMYFUNCTION("""COMPUTED_VALUE"""),"Break My Heart")</f>
        <v>Break My Heart</v>
      </c>
      <c r="E110" t="str">
        <f>IFERROR(__xludf.DUMMYFUNCTION("""COMPUTED_VALUE"""),"Dua Lipa")</f>
        <v>Dua Lipa</v>
      </c>
      <c r="F110" t="str">
        <f>IFERROR(__xludf.DUMMYFUNCTION("""COMPUTED_VALUE"""),"Future Nostalgia")</f>
        <v>Future Nostalgia</v>
      </c>
      <c r="G110">
        <f>IFERROR(__xludf.DUMMYFUNCTION("""COMPUTED_VALUE"""),0.0)</f>
        <v>0</v>
      </c>
      <c r="H110" s="5">
        <f>IFERROR(__xludf.DUMMYFUNCTION("""COMPUTED_VALUE"""),0.15347222222044365)</f>
        <v>0.1534722222</v>
      </c>
    </row>
    <row r="111">
      <c r="A111" t="str">
        <f>IFERROR(__xludf.DUMMYFUNCTION("""COMPUTED_VALUE"""),"Australia")</f>
        <v>Australia</v>
      </c>
      <c r="B111" t="str">
        <f>IFERROR(__xludf.DUMMYFUNCTION("""COMPUTED_VALUE"""),"Australia")</f>
        <v>Australia</v>
      </c>
      <c r="C111">
        <f>IFERROR(__xludf.DUMMYFUNCTION("""COMPUTED_VALUE"""),10.0)</f>
        <v>10</v>
      </c>
      <c r="D111" t="str">
        <f>IFERROR(__xludf.DUMMYFUNCTION("""COMPUTED_VALUE"""),"Don't Start Now")</f>
        <v>Don't Start Now</v>
      </c>
      <c r="E111" t="str">
        <f>IFERROR(__xludf.DUMMYFUNCTION("""COMPUTED_VALUE"""),"Dua Lipa")</f>
        <v>Dua Lipa</v>
      </c>
      <c r="F111" t="str">
        <f>IFERROR(__xludf.DUMMYFUNCTION("""COMPUTED_VALUE"""),"Future Nostalgia")</f>
        <v>Future Nostalgia</v>
      </c>
      <c r="G111">
        <f>IFERROR(__xludf.DUMMYFUNCTION("""COMPUTED_VALUE"""),0.0)</f>
        <v>0</v>
      </c>
      <c r="H111" s="5">
        <f>IFERROR(__xludf.DUMMYFUNCTION("""COMPUTED_VALUE"""),0.12708333333284827)</f>
        <v>0.1270833333</v>
      </c>
    </row>
    <row r="112">
      <c r="A112" t="str">
        <f>IFERROR(__xludf.DUMMYFUNCTION("""COMPUTED_VALUE"""),"Australia")</f>
        <v>Australia</v>
      </c>
      <c r="B112" t="str">
        <f>IFERROR(__xludf.DUMMYFUNCTION("""COMPUTED_VALUE"""),"Australia")</f>
        <v>Australia</v>
      </c>
      <c r="C112">
        <f>IFERROR(__xludf.DUMMYFUNCTION("""COMPUTED_VALUE"""),11.0)</f>
        <v>11</v>
      </c>
      <c r="D112" t="str">
        <f>IFERROR(__xludf.DUMMYFUNCTION("""COMPUTED_VALUE"""),"THE SCOTTS")</f>
        <v>THE SCOTTS</v>
      </c>
      <c r="E112" t="str">
        <f>IFERROR(__xludf.DUMMYFUNCTION("""COMPUTED_VALUE"""),"THE SCOTTS, Travis Scott, Kid Cudi")</f>
        <v>THE SCOTTS, Travis Scott, Kid Cudi</v>
      </c>
      <c r="F112" t="str">
        <f>IFERROR(__xludf.DUMMYFUNCTION("""COMPUTED_VALUE"""),"THE SCOTTS")</f>
        <v>THE SCOTTS</v>
      </c>
      <c r="G112">
        <f>IFERROR(__xludf.DUMMYFUNCTION("""COMPUTED_VALUE"""),1.0)</f>
        <v>1</v>
      </c>
      <c r="H112" s="5">
        <f>IFERROR(__xludf.DUMMYFUNCTION("""COMPUTED_VALUE"""),0.11458333333212067)</f>
        <v>0.1145833333</v>
      </c>
    </row>
    <row r="113">
      <c r="A113" t="str">
        <f>IFERROR(__xludf.DUMMYFUNCTION("""COMPUTED_VALUE"""),"Australia")</f>
        <v>Australia</v>
      </c>
      <c r="B113" t="str">
        <f>IFERROR(__xludf.DUMMYFUNCTION("""COMPUTED_VALUE"""),"Australia")</f>
        <v>Australia</v>
      </c>
      <c r="C113">
        <f>IFERROR(__xludf.DUMMYFUNCTION("""COMPUTED_VALUE"""),12.0)</f>
        <v>12</v>
      </c>
      <c r="D113" t="str">
        <f>IFERROR(__xludf.DUMMYFUNCTION("""COMPUTED_VALUE"""),"Intentions (feat. Quavo)")</f>
        <v>Intentions (feat. Quavo)</v>
      </c>
      <c r="E113" t="str">
        <f>IFERROR(__xludf.DUMMYFUNCTION("""COMPUTED_VALUE"""),"Justin Bieber, Quavo")</f>
        <v>Justin Bieber, Quavo</v>
      </c>
      <c r="F113" t="str">
        <f>IFERROR(__xludf.DUMMYFUNCTION("""COMPUTED_VALUE"""),"Changes")</f>
        <v>Changes</v>
      </c>
      <c r="G113">
        <f>IFERROR(__xludf.DUMMYFUNCTION("""COMPUTED_VALUE"""),0.0)</f>
        <v>0</v>
      </c>
      <c r="H113" s="5">
        <f>IFERROR(__xludf.DUMMYFUNCTION("""COMPUTED_VALUE"""),0.14722222222189885)</f>
        <v>0.1472222222</v>
      </c>
    </row>
    <row r="114">
      <c r="A114" t="str">
        <f>IFERROR(__xludf.DUMMYFUNCTION("""COMPUTED_VALUE"""),"Australia")</f>
        <v>Australia</v>
      </c>
      <c r="B114" t="str">
        <f>IFERROR(__xludf.DUMMYFUNCTION("""COMPUTED_VALUE"""),"Australia")</f>
        <v>Australia</v>
      </c>
      <c r="C114">
        <f>IFERROR(__xludf.DUMMYFUNCTION("""COMPUTED_VALUE"""),13.0)</f>
        <v>13</v>
      </c>
      <c r="D114" t="str">
        <f>IFERROR(__xludf.DUMMYFUNCTION("""COMPUTED_VALUE"""),"ily (i love you baby) (feat. Emilee)")</f>
        <v>ily (i love you baby) (feat. Emilee)</v>
      </c>
      <c r="E114" t="str">
        <f>IFERROR(__xludf.DUMMYFUNCTION("""COMPUTED_VALUE"""),"Surf Mesa, Emilee")</f>
        <v>Surf Mesa, Emilee</v>
      </c>
      <c r="F114" t="str">
        <f>IFERROR(__xludf.DUMMYFUNCTION("""COMPUTED_VALUE"""),"ily (i love you baby) (feat. Emilee)")</f>
        <v>ily (i love you baby) (feat. Emilee)</v>
      </c>
      <c r="G114">
        <f>IFERROR(__xludf.DUMMYFUNCTION("""COMPUTED_VALUE"""),0.0)</f>
        <v>0</v>
      </c>
      <c r="H114" s="5">
        <f>IFERROR(__xludf.DUMMYFUNCTION("""COMPUTED_VALUE"""),0.12222222222044365)</f>
        <v>0.1222222222</v>
      </c>
    </row>
    <row r="115">
      <c r="A115" t="str">
        <f>IFERROR(__xludf.DUMMYFUNCTION("""COMPUTED_VALUE"""),"Australia")</f>
        <v>Australia</v>
      </c>
      <c r="B115" t="str">
        <f>IFERROR(__xludf.DUMMYFUNCTION("""COMPUTED_VALUE"""),"Australia")</f>
        <v>Australia</v>
      </c>
      <c r="C115">
        <f>IFERROR(__xludf.DUMMYFUNCTION("""COMPUTED_VALUE"""),14.0)</f>
        <v>14</v>
      </c>
      <c r="D115" t="str">
        <f>IFERROR(__xludf.DUMMYFUNCTION("""COMPUTED_VALUE"""),"Sunday Best")</f>
        <v>Sunday Best</v>
      </c>
      <c r="E115" t="str">
        <f>IFERROR(__xludf.DUMMYFUNCTION("""COMPUTED_VALUE"""),"Surfaces")</f>
        <v>Surfaces</v>
      </c>
      <c r="F115" t="str">
        <f>IFERROR(__xludf.DUMMYFUNCTION("""COMPUTED_VALUE"""),"Where the Light Is")</f>
        <v>Where the Light Is</v>
      </c>
      <c r="G115">
        <f>IFERROR(__xludf.DUMMYFUNCTION("""COMPUTED_VALUE"""),0.0)</f>
        <v>0</v>
      </c>
      <c r="H115" s="5">
        <f>IFERROR(__xludf.DUMMYFUNCTION("""COMPUTED_VALUE"""),0.10972222222335404)</f>
        <v>0.1097222222</v>
      </c>
    </row>
    <row r="116">
      <c r="A116" t="str">
        <f>IFERROR(__xludf.DUMMYFUNCTION("""COMPUTED_VALUE"""),"Australia")</f>
        <v>Australia</v>
      </c>
      <c r="B116" t="str">
        <f>IFERROR(__xludf.DUMMYFUNCTION("""COMPUTED_VALUE"""),"Australia")</f>
        <v>Australia</v>
      </c>
      <c r="C116">
        <f>IFERROR(__xludf.DUMMYFUNCTION("""COMPUTED_VALUE"""),15.0)</f>
        <v>15</v>
      </c>
      <c r="D116" t="str">
        <f>IFERROR(__xludf.DUMMYFUNCTION("""COMPUTED_VALUE"""),"Watermelon Sugar")</f>
        <v>Watermelon Sugar</v>
      </c>
      <c r="E116" t="str">
        <f>IFERROR(__xludf.DUMMYFUNCTION("""COMPUTED_VALUE"""),"Harry Styles")</f>
        <v>Harry Styles</v>
      </c>
      <c r="F116" t="str">
        <f>IFERROR(__xludf.DUMMYFUNCTION("""COMPUTED_VALUE"""),"Fine Line")</f>
        <v>Fine Line</v>
      </c>
      <c r="G116">
        <f>IFERROR(__xludf.DUMMYFUNCTION("""COMPUTED_VALUE"""),0.0)</f>
        <v>0</v>
      </c>
      <c r="H116" s="5">
        <f>IFERROR(__xludf.DUMMYFUNCTION("""COMPUTED_VALUE"""),0.12083333333430346)</f>
        <v>0.1208333333</v>
      </c>
    </row>
    <row r="117">
      <c r="A117" t="str">
        <f>IFERROR(__xludf.DUMMYFUNCTION("""COMPUTED_VALUE"""),"Australia")</f>
        <v>Australia</v>
      </c>
      <c r="B117" t="str">
        <f>IFERROR(__xludf.DUMMYFUNCTION("""COMPUTED_VALUE"""),"Australia")</f>
        <v>Australia</v>
      </c>
      <c r="C117">
        <f>IFERROR(__xludf.DUMMYFUNCTION("""COMPUTED_VALUE"""),16.0)</f>
        <v>16</v>
      </c>
      <c r="D117" t="str">
        <f>IFERROR(__xludf.DUMMYFUNCTION("""COMPUTED_VALUE"""),"Blueberry Faygo")</f>
        <v>Blueberry Faygo</v>
      </c>
      <c r="E117" t="str">
        <f>IFERROR(__xludf.DUMMYFUNCTION("""COMPUTED_VALUE"""),"Lil Mosey")</f>
        <v>Lil Mosey</v>
      </c>
      <c r="F117" t="str">
        <f>IFERROR(__xludf.DUMMYFUNCTION("""COMPUTED_VALUE"""),"Certified Hitmaker")</f>
        <v>Certified Hitmaker</v>
      </c>
      <c r="G117">
        <f>IFERROR(__xludf.DUMMYFUNCTION("""COMPUTED_VALUE"""),1.0)</f>
        <v>1</v>
      </c>
      <c r="H117" s="5">
        <f>IFERROR(__xludf.DUMMYFUNCTION("""COMPUTED_VALUE"""),0.1124999999992724)</f>
        <v>0.1125</v>
      </c>
    </row>
    <row r="118">
      <c r="A118" t="str">
        <f>IFERROR(__xludf.DUMMYFUNCTION("""COMPUTED_VALUE"""),"Australia")</f>
        <v>Australia</v>
      </c>
      <c r="B118" t="str">
        <f>IFERROR(__xludf.DUMMYFUNCTION("""COMPUTED_VALUE"""),"Australia")</f>
        <v>Australia</v>
      </c>
      <c r="C118">
        <f>IFERROR(__xludf.DUMMYFUNCTION("""COMPUTED_VALUE"""),17.0)</f>
        <v>17</v>
      </c>
      <c r="D118" t="str">
        <f>IFERROR(__xludf.DUMMYFUNCTION("""COMPUTED_VALUE"""),"In Your Eyes")</f>
        <v>In Your Eyes</v>
      </c>
      <c r="E118" t="str">
        <f>IFERROR(__xludf.DUMMYFUNCTION("""COMPUTED_VALUE"""),"The Weeknd")</f>
        <v>The Weeknd</v>
      </c>
      <c r="F118" t="str">
        <f>IFERROR(__xludf.DUMMYFUNCTION("""COMPUTED_VALUE"""),"After Hours")</f>
        <v>After Hours</v>
      </c>
      <c r="G118">
        <f>IFERROR(__xludf.DUMMYFUNCTION("""COMPUTED_VALUE"""),1.0)</f>
        <v>1</v>
      </c>
      <c r="H118" s="5">
        <f>IFERROR(__xludf.DUMMYFUNCTION("""COMPUTED_VALUE"""),0.16458333333503106)</f>
        <v>0.1645833333</v>
      </c>
    </row>
    <row r="119">
      <c r="A119" t="str">
        <f>IFERROR(__xludf.DUMMYFUNCTION("""COMPUTED_VALUE"""),"Australia")</f>
        <v>Australia</v>
      </c>
      <c r="B119" t="str">
        <f>IFERROR(__xludf.DUMMYFUNCTION("""COMPUTED_VALUE"""),"Australia")</f>
        <v>Australia</v>
      </c>
      <c r="C119">
        <f>IFERROR(__xludf.DUMMYFUNCTION("""COMPUTED_VALUE"""),18.0)</f>
        <v>18</v>
      </c>
      <c r="D119" t="str">
        <f>IFERROR(__xludf.DUMMYFUNCTION("""COMPUTED_VALUE"""),"Be Kind (with Halsey)")</f>
        <v>Be Kind (with Halsey)</v>
      </c>
      <c r="E119" t="str">
        <f>IFERROR(__xludf.DUMMYFUNCTION("""COMPUTED_VALUE"""),"Marshmello, Halsey")</f>
        <v>Marshmello, Halsey</v>
      </c>
      <c r="F119" t="str">
        <f>IFERROR(__xludf.DUMMYFUNCTION("""COMPUTED_VALUE"""),"Be Kind (with Halsey)")</f>
        <v>Be Kind (with Halsey)</v>
      </c>
      <c r="G119">
        <f>IFERROR(__xludf.DUMMYFUNCTION("""COMPUTED_VALUE"""),0.0)</f>
        <v>0</v>
      </c>
      <c r="H119" s="5">
        <f>IFERROR(__xludf.DUMMYFUNCTION("""COMPUTED_VALUE"""),0.11944444444452529)</f>
        <v>0.1194444444</v>
      </c>
    </row>
    <row r="120">
      <c r="A120" t="str">
        <f>IFERROR(__xludf.DUMMYFUNCTION("""COMPUTED_VALUE"""),"Australia")</f>
        <v>Australia</v>
      </c>
      <c r="B120" t="str">
        <f>IFERROR(__xludf.DUMMYFUNCTION("""COMPUTED_VALUE"""),"Australia")</f>
        <v>Australia</v>
      </c>
      <c r="C120">
        <f>IFERROR(__xludf.DUMMYFUNCTION("""COMPUTED_VALUE"""),19.0)</f>
        <v>19</v>
      </c>
      <c r="D120" t="str">
        <f>IFERROR(__xludf.DUMMYFUNCTION("""COMPUTED_VALUE"""),"Boss Bitch")</f>
        <v>Boss Bitch</v>
      </c>
      <c r="E120" t="str">
        <f>IFERROR(__xludf.DUMMYFUNCTION("""COMPUTED_VALUE"""),"Doja Cat")</f>
        <v>Doja Cat</v>
      </c>
      <c r="F120" t="str">
        <f>IFERROR(__xludf.DUMMYFUNCTION("""COMPUTED_VALUE"""),"Boss Bitch")</f>
        <v>Boss Bitch</v>
      </c>
      <c r="G120">
        <f>IFERROR(__xludf.DUMMYFUNCTION("""COMPUTED_VALUE"""),0.0)</f>
        <v>0</v>
      </c>
      <c r="H120" s="5">
        <f>IFERROR(__xludf.DUMMYFUNCTION("""COMPUTED_VALUE"""),0.0930555555569299)</f>
        <v>0.09305555556</v>
      </c>
    </row>
    <row r="121">
      <c r="A121" t="str">
        <f>IFERROR(__xludf.DUMMYFUNCTION("""COMPUTED_VALUE"""),"Australia")</f>
        <v>Australia</v>
      </c>
      <c r="B121" t="str">
        <f>IFERROR(__xludf.DUMMYFUNCTION("""COMPUTED_VALUE"""),"Australia")</f>
        <v>Australia</v>
      </c>
      <c r="C121">
        <f>IFERROR(__xludf.DUMMYFUNCTION("""COMPUTED_VALUE"""),20.0)</f>
        <v>20</v>
      </c>
      <c r="D121" t="str">
        <f>IFERROR(__xludf.DUMMYFUNCTION("""COMPUTED_VALUE"""),"Pump It Up")</f>
        <v>Pump It Up</v>
      </c>
      <c r="E121" t="str">
        <f>IFERROR(__xludf.DUMMYFUNCTION("""COMPUTED_VALUE"""),"Endor")</f>
        <v>Endor</v>
      </c>
      <c r="F121" t="str">
        <f>IFERROR(__xludf.DUMMYFUNCTION("""COMPUTED_VALUE"""),"Pump It Up")</f>
        <v>Pump It Up</v>
      </c>
      <c r="G121">
        <f>IFERROR(__xludf.DUMMYFUNCTION("""COMPUTED_VALUE"""),0.0)</f>
        <v>0</v>
      </c>
      <c r="H121" s="5">
        <f>IFERROR(__xludf.DUMMYFUNCTION("""COMPUTED_VALUE"""),0.10416666666787933)</f>
        <v>0.1041666667</v>
      </c>
    </row>
    <row r="122">
      <c r="A122" t="str">
        <f>IFERROR(__xludf.DUMMYFUNCTION("""COMPUTED_VALUE"""),"Australia")</f>
        <v>Australia</v>
      </c>
      <c r="B122" t="str">
        <f>IFERROR(__xludf.DUMMYFUNCTION("""COMPUTED_VALUE"""),"Australia")</f>
        <v>Australia</v>
      </c>
      <c r="C122">
        <f>IFERROR(__xludf.DUMMYFUNCTION("""COMPUTED_VALUE"""),21.0)</f>
        <v>21</v>
      </c>
      <c r="D122" t="str">
        <f>IFERROR(__xludf.DUMMYFUNCTION("""COMPUTED_VALUE"""),"Savage Remix (feat. Beyoncé)")</f>
        <v>Savage Remix (feat. Beyoncé)</v>
      </c>
      <c r="E122" t="str">
        <f>IFERROR(__xludf.DUMMYFUNCTION("""COMPUTED_VALUE"""),"Megan Thee Stallion, Beyoncé")</f>
        <v>Megan Thee Stallion, Beyoncé</v>
      </c>
      <c r="F122" t="str">
        <f>IFERROR(__xludf.DUMMYFUNCTION("""COMPUTED_VALUE"""),"Savage Remix (feat. Beyoncé)")</f>
        <v>Savage Remix (feat. Beyoncé)</v>
      </c>
      <c r="G122">
        <f>IFERROR(__xludf.DUMMYFUNCTION("""COMPUTED_VALUE"""),1.0)</f>
        <v>1</v>
      </c>
      <c r="H122" s="5">
        <f>IFERROR(__xludf.DUMMYFUNCTION("""COMPUTED_VALUE"""),0.16805555555401952)</f>
        <v>0.1680555556</v>
      </c>
    </row>
    <row r="123">
      <c r="A123" t="str">
        <f>IFERROR(__xludf.DUMMYFUNCTION("""COMPUTED_VALUE"""),"Australia")</f>
        <v>Australia</v>
      </c>
      <c r="B123" t="str">
        <f>IFERROR(__xludf.DUMMYFUNCTION("""COMPUTED_VALUE"""),"Australia")</f>
        <v>Australia</v>
      </c>
      <c r="C123">
        <f>IFERROR(__xludf.DUMMYFUNCTION("""COMPUTED_VALUE"""),22.0)</f>
        <v>22</v>
      </c>
      <c r="D123" t="str">
        <f>IFERROR(__xludf.DUMMYFUNCTION("""COMPUTED_VALUE"""),"Breaking Me")</f>
        <v>Breaking Me</v>
      </c>
      <c r="E123" t="str">
        <f>IFERROR(__xludf.DUMMYFUNCTION("""COMPUTED_VALUE"""),"Topic, A7S")</f>
        <v>Topic, A7S</v>
      </c>
      <c r="F123" t="str">
        <f>IFERROR(__xludf.DUMMYFUNCTION("""COMPUTED_VALUE"""),"Breaking Me")</f>
        <v>Breaking Me</v>
      </c>
      <c r="G123">
        <f>IFERROR(__xludf.DUMMYFUNCTION("""COMPUTED_VALUE"""),0.0)</f>
        <v>0</v>
      </c>
      <c r="H123" s="5">
        <f>IFERROR(__xludf.DUMMYFUNCTION("""COMPUTED_VALUE"""),0.11527777777882875)</f>
        <v>0.1152777778</v>
      </c>
    </row>
    <row r="124">
      <c r="A124" t="str">
        <f>IFERROR(__xludf.DUMMYFUNCTION("""COMPUTED_VALUE"""),"Australia")</f>
        <v>Australia</v>
      </c>
      <c r="B124" t="str">
        <f>IFERROR(__xludf.DUMMYFUNCTION("""COMPUTED_VALUE"""),"Australia")</f>
        <v>Australia</v>
      </c>
      <c r="C124">
        <f>IFERROR(__xludf.DUMMYFUNCTION("""COMPUTED_VALUE"""),23.0)</f>
        <v>23</v>
      </c>
      <c r="D124" t="str">
        <f>IFERROR(__xludf.DUMMYFUNCTION("""COMPUTED_VALUE"""),"GOOBA")</f>
        <v>GOOBA</v>
      </c>
      <c r="E124" t="str">
        <f>IFERROR(__xludf.DUMMYFUNCTION("""COMPUTED_VALUE"""),"6ix9ine")</f>
        <v>6ix9ine</v>
      </c>
      <c r="F124" t="str">
        <f>IFERROR(__xludf.DUMMYFUNCTION("""COMPUTED_VALUE"""),"GOOBA")</f>
        <v>GOOBA</v>
      </c>
      <c r="G124">
        <f>IFERROR(__xludf.DUMMYFUNCTION("""COMPUTED_VALUE"""),1.0)</f>
        <v>1</v>
      </c>
      <c r="H124" s="5">
        <f>IFERROR(__xludf.DUMMYFUNCTION("""COMPUTED_VALUE"""),0.09166666666715173)</f>
        <v>0.09166666667</v>
      </c>
    </row>
    <row r="125">
      <c r="A125" t="str">
        <f>IFERROR(__xludf.DUMMYFUNCTION("""COMPUTED_VALUE"""),"Australia")</f>
        <v>Australia</v>
      </c>
      <c r="B125" t="str">
        <f>IFERROR(__xludf.DUMMYFUNCTION("""COMPUTED_VALUE"""),"Australia")</f>
        <v>Australia</v>
      </c>
      <c r="C125">
        <f>IFERROR(__xludf.DUMMYFUNCTION("""COMPUTED_VALUE"""),24.0)</f>
        <v>24</v>
      </c>
      <c r="D125" t="str">
        <f>IFERROR(__xludf.DUMMYFUNCTION("""COMPUTED_VALUE"""),"WHATS POPPIN")</f>
        <v>WHATS POPPIN</v>
      </c>
      <c r="E125" t="str">
        <f>IFERROR(__xludf.DUMMYFUNCTION("""COMPUTED_VALUE"""),"Jack Harlow")</f>
        <v>Jack Harlow</v>
      </c>
      <c r="F125" t="str">
        <f>IFERROR(__xludf.DUMMYFUNCTION("""COMPUTED_VALUE"""),"Sweet Action")</f>
        <v>Sweet Action</v>
      </c>
      <c r="G125">
        <f>IFERROR(__xludf.DUMMYFUNCTION("""COMPUTED_VALUE"""),1.0)</f>
        <v>1</v>
      </c>
      <c r="H125" s="5">
        <f>IFERROR(__xludf.DUMMYFUNCTION("""COMPUTED_VALUE"""),0.09652777777955635)</f>
        <v>0.09652777778</v>
      </c>
    </row>
    <row r="126">
      <c r="A126" t="str">
        <f>IFERROR(__xludf.DUMMYFUNCTION("""COMPUTED_VALUE"""),"Australia")</f>
        <v>Australia</v>
      </c>
      <c r="B126" t="str">
        <f>IFERROR(__xludf.DUMMYFUNCTION("""COMPUTED_VALUE"""),"Australia")</f>
        <v>Australia</v>
      </c>
      <c r="C126">
        <f>IFERROR(__xludf.DUMMYFUNCTION("""COMPUTED_VALUE"""),25.0)</f>
        <v>25</v>
      </c>
      <c r="D126" t="str">
        <f>IFERROR(__xludf.DUMMYFUNCTION("""COMPUTED_VALUE"""),"The Box")</f>
        <v>The Box</v>
      </c>
      <c r="E126" t="str">
        <f>IFERROR(__xludf.DUMMYFUNCTION("""COMPUTED_VALUE"""),"Roddy Ricch")</f>
        <v>Roddy Ricch</v>
      </c>
      <c r="F126" t="str">
        <f>IFERROR(__xludf.DUMMYFUNCTION("""COMPUTED_VALUE"""),"Please Excuse Me For Being Antisocial")</f>
        <v>Please Excuse Me For Being Antisocial</v>
      </c>
      <c r="G126">
        <f>IFERROR(__xludf.DUMMYFUNCTION("""COMPUTED_VALUE"""),1.0)</f>
        <v>1</v>
      </c>
      <c r="H126" s="5">
        <f>IFERROR(__xludf.DUMMYFUNCTION("""COMPUTED_VALUE"""),0.13611111111094942)</f>
        <v>0.1361111111</v>
      </c>
    </row>
    <row r="127">
      <c r="A127" t="str">
        <f>IFERROR(__xludf.DUMMYFUNCTION("""COMPUTED_VALUE"""),"Australia")</f>
        <v>Australia</v>
      </c>
      <c r="B127" t="str">
        <f>IFERROR(__xludf.DUMMYFUNCTION("""COMPUTED_VALUE"""),"Australia")</f>
        <v>Australia</v>
      </c>
      <c r="C127">
        <f>IFERROR(__xludf.DUMMYFUNCTION("""COMPUTED_VALUE"""),26.0)</f>
        <v>26</v>
      </c>
      <c r="D127" t="str">
        <f>IFERROR(__xludf.DUMMYFUNCTION("""COMPUTED_VALUE"""),"This City")</f>
        <v>This City</v>
      </c>
      <c r="E127" t="str">
        <f>IFERROR(__xludf.DUMMYFUNCTION("""COMPUTED_VALUE"""),"Sam Fischer")</f>
        <v>Sam Fischer</v>
      </c>
      <c r="F127" t="str">
        <f>IFERROR(__xludf.DUMMYFUNCTION("""COMPUTED_VALUE"""),"This City")</f>
        <v>This City</v>
      </c>
      <c r="G127">
        <f>IFERROR(__xludf.DUMMYFUNCTION("""COMPUTED_VALUE"""),0.0)</f>
        <v>0</v>
      </c>
      <c r="H127" s="5">
        <f>IFERROR(__xludf.DUMMYFUNCTION("""COMPUTED_VALUE"""),0.13472222222117125)</f>
        <v>0.1347222222</v>
      </c>
    </row>
    <row r="128">
      <c r="A128" t="str">
        <f>IFERROR(__xludf.DUMMYFUNCTION("""COMPUTED_VALUE"""),"Australia")</f>
        <v>Australia</v>
      </c>
      <c r="B128" t="str">
        <f>IFERROR(__xludf.DUMMYFUNCTION("""COMPUTED_VALUE"""),"Australia")</f>
        <v>Australia</v>
      </c>
      <c r="C128">
        <f>IFERROR(__xludf.DUMMYFUNCTION("""COMPUTED_VALUE"""),27.0)</f>
        <v>27</v>
      </c>
      <c r="D128" t="str">
        <f>IFERROR(__xludf.DUMMYFUNCTION("""COMPUTED_VALUE"""),"After Party")</f>
        <v>After Party</v>
      </c>
      <c r="E128" t="str">
        <f>IFERROR(__xludf.DUMMYFUNCTION("""COMPUTED_VALUE"""),"Don Toliver")</f>
        <v>Don Toliver</v>
      </c>
      <c r="F128" t="str">
        <f>IFERROR(__xludf.DUMMYFUNCTION("""COMPUTED_VALUE"""),"Heaven Or Hell")</f>
        <v>Heaven Or Hell</v>
      </c>
      <c r="G128">
        <f>IFERROR(__xludf.DUMMYFUNCTION("""COMPUTED_VALUE"""),1.0)</f>
        <v>1</v>
      </c>
      <c r="H128" s="5">
        <f>IFERROR(__xludf.DUMMYFUNCTION("""COMPUTED_VALUE"""),0.11597222222189885)</f>
        <v>0.1159722222</v>
      </c>
    </row>
    <row r="129">
      <c r="A129" t="str">
        <f>IFERROR(__xludf.DUMMYFUNCTION("""COMPUTED_VALUE"""),"Australia")</f>
        <v>Australia</v>
      </c>
      <c r="B129" t="str">
        <f>IFERROR(__xludf.DUMMYFUNCTION("""COMPUTED_VALUE"""),"Australia")</f>
        <v>Australia</v>
      </c>
      <c r="C129">
        <f>IFERROR(__xludf.DUMMYFUNCTION("""COMPUTED_VALUE"""),28.0)</f>
        <v>28</v>
      </c>
      <c r="D129" t="str">
        <f>IFERROR(__xludf.DUMMYFUNCTION("""COMPUTED_VALUE"""),"Say So (feat. Nicki Minaj)")</f>
        <v>Say So (feat. Nicki Minaj)</v>
      </c>
      <c r="E129" t="str">
        <f>IFERROR(__xludf.DUMMYFUNCTION("""COMPUTED_VALUE"""),"Doja Cat, Nicki Minaj")</f>
        <v>Doja Cat, Nicki Minaj</v>
      </c>
      <c r="F129" t="str">
        <f>IFERROR(__xludf.DUMMYFUNCTION("""COMPUTED_VALUE"""),"Say So (feat. Nicki Minaj)")</f>
        <v>Say So (feat. Nicki Minaj)</v>
      </c>
      <c r="G129">
        <f>IFERROR(__xludf.DUMMYFUNCTION("""COMPUTED_VALUE"""),1.0)</f>
        <v>1</v>
      </c>
      <c r="H129" s="5">
        <f>IFERROR(__xludf.DUMMYFUNCTION("""COMPUTED_VALUE"""),0.1430555555562023)</f>
        <v>0.1430555556</v>
      </c>
    </row>
    <row r="130">
      <c r="A130" t="str">
        <f>IFERROR(__xludf.DUMMYFUNCTION("""COMPUTED_VALUE"""),"Australia")</f>
        <v>Australia</v>
      </c>
      <c r="B130" t="str">
        <f>IFERROR(__xludf.DUMMYFUNCTION("""COMPUTED_VALUE"""),"Australia")</f>
        <v>Australia</v>
      </c>
      <c r="C130">
        <f>IFERROR(__xludf.DUMMYFUNCTION("""COMPUTED_VALUE"""),29.0)</f>
        <v>29</v>
      </c>
      <c r="D130" t="str">
        <f>IFERROR(__xludf.DUMMYFUNCTION("""COMPUTED_VALUE"""),"Dance Monkey")</f>
        <v>Dance Monkey</v>
      </c>
      <c r="E130" t="str">
        <f>IFERROR(__xludf.DUMMYFUNCTION("""COMPUTED_VALUE"""),"Tones And I")</f>
        <v>Tones And I</v>
      </c>
      <c r="F130" t="str">
        <f>IFERROR(__xludf.DUMMYFUNCTION("""COMPUTED_VALUE"""),"Dance Monkey (Stripped Back) / Dance Monkey")</f>
        <v>Dance Monkey (Stripped Back) / Dance Monkey</v>
      </c>
      <c r="G130">
        <f>IFERROR(__xludf.DUMMYFUNCTION("""COMPUTED_VALUE"""),0.0)</f>
        <v>0</v>
      </c>
      <c r="H130" s="5">
        <f>IFERROR(__xludf.DUMMYFUNCTION("""COMPUTED_VALUE"""),0.14513888888905058)</f>
        <v>0.1451388889</v>
      </c>
    </row>
    <row r="131">
      <c r="A131" t="str">
        <f>IFERROR(__xludf.DUMMYFUNCTION("""COMPUTED_VALUE"""),"Australia")</f>
        <v>Australia</v>
      </c>
      <c r="B131" t="str">
        <f>IFERROR(__xludf.DUMMYFUNCTION("""COMPUTED_VALUE"""),"Australia")</f>
        <v>Australia</v>
      </c>
      <c r="C131">
        <f>IFERROR(__xludf.DUMMYFUNCTION("""COMPUTED_VALUE"""),30.0)</f>
        <v>30</v>
      </c>
      <c r="D131" t="str">
        <f>IFERROR(__xludf.DUMMYFUNCTION("""COMPUTED_VALUE"""),"Circles")</f>
        <v>Circles</v>
      </c>
      <c r="E131" t="str">
        <f>IFERROR(__xludf.DUMMYFUNCTION("""COMPUTED_VALUE"""),"Post Malone")</f>
        <v>Post Malone</v>
      </c>
      <c r="F131" t="str">
        <f>IFERROR(__xludf.DUMMYFUNCTION("""COMPUTED_VALUE"""),"Hollywood's Bleeding")</f>
        <v>Hollywood's Bleeding</v>
      </c>
      <c r="G131">
        <f>IFERROR(__xludf.DUMMYFUNCTION("""COMPUTED_VALUE"""),0.0)</f>
        <v>0</v>
      </c>
      <c r="H131" s="5">
        <f>IFERROR(__xludf.DUMMYFUNCTION("""COMPUTED_VALUE"""),0.14930555555474712)</f>
        <v>0.1493055556</v>
      </c>
    </row>
    <row r="132">
      <c r="A132" t="str">
        <f>IFERROR(__xludf.DUMMYFUNCTION("""COMPUTED_VALUE"""),"Australia")</f>
        <v>Australia</v>
      </c>
      <c r="B132" t="str">
        <f>IFERROR(__xludf.DUMMYFUNCTION("""COMPUTED_VALUE"""),"Australia")</f>
        <v>Australia</v>
      </c>
      <c r="C132">
        <f>IFERROR(__xludf.DUMMYFUNCTION("""COMPUTED_VALUE"""),31.0)</f>
        <v>31</v>
      </c>
      <c r="D132" t="str">
        <f>IFERROR(__xludf.DUMMYFUNCTION("""COMPUTED_VALUE"""),"Party Girl")</f>
        <v>Party Girl</v>
      </c>
      <c r="E132" t="str">
        <f>IFERROR(__xludf.DUMMYFUNCTION("""COMPUTED_VALUE"""),"StaySolidRocky")</f>
        <v>StaySolidRocky</v>
      </c>
      <c r="F132" t="str">
        <f>IFERROR(__xludf.DUMMYFUNCTION("""COMPUTED_VALUE"""),"Party Girl")</f>
        <v>Party Girl</v>
      </c>
      <c r="G132">
        <f>IFERROR(__xludf.DUMMYFUNCTION("""COMPUTED_VALUE"""),0.0)</f>
        <v>0</v>
      </c>
      <c r="H132" s="5">
        <f>IFERROR(__xludf.DUMMYFUNCTION("""COMPUTED_VALUE"""),0.10208333333503106)</f>
        <v>0.1020833333</v>
      </c>
    </row>
    <row r="133">
      <c r="A133" t="str">
        <f>IFERROR(__xludf.DUMMYFUNCTION("""COMPUTED_VALUE"""),"Australia")</f>
        <v>Australia</v>
      </c>
      <c r="B133" t="str">
        <f>IFERROR(__xludf.DUMMYFUNCTION("""COMPUTED_VALUE"""),"Australia")</f>
        <v>Australia</v>
      </c>
      <c r="C133">
        <f>IFERROR(__xludf.DUMMYFUNCTION("""COMPUTED_VALUE"""),32.0)</f>
        <v>32</v>
      </c>
      <c r="D133" t="str">
        <f>IFERROR(__xludf.DUMMYFUNCTION("""COMPUTED_VALUE"""),"Someone You Loved")</f>
        <v>Someone You Loved</v>
      </c>
      <c r="E133" t="str">
        <f>IFERROR(__xludf.DUMMYFUNCTION("""COMPUTED_VALUE"""),"Lewis Capaldi")</f>
        <v>Lewis Capaldi</v>
      </c>
      <c r="F133" t="str">
        <f>IFERROR(__xludf.DUMMYFUNCTION("""COMPUTED_VALUE"""),"Divinely Uninspired To A Hellish Extent")</f>
        <v>Divinely Uninspired To A Hellish Extent</v>
      </c>
      <c r="G133">
        <f>IFERROR(__xludf.DUMMYFUNCTION("""COMPUTED_VALUE"""),0.0)</f>
        <v>0</v>
      </c>
      <c r="H133" s="5">
        <f>IFERROR(__xludf.DUMMYFUNCTION("""COMPUTED_VALUE"""),0.12638888888977817)</f>
        <v>0.1263888889</v>
      </c>
    </row>
    <row r="134">
      <c r="A134" t="str">
        <f>IFERROR(__xludf.DUMMYFUNCTION("""COMPUTED_VALUE"""),"Australia")</f>
        <v>Australia</v>
      </c>
      <c r="B134" t="str">
        <f>IFERROR(__xludf.DUMMYFUNCTION("""COMPUTED_VALUE"""),"Australia")</f>
        <v>Australia</v>
      </c>
      <c r="C134">
        <f>IFERROR(__xludf.DUMMYFUNCTION("""COMPUTED_VALUE"""),33.0)</f>
        <v>33</v>
      </c>
      <c r="D134" t="str">
        <f>IFERROR(__xludf.DUMMYFUNCTION("""COMPUTED_VALUE"""),"If the World Was Ending - feat. Julia Michaels")</f>
        <v>If the World Was Ending - feat. Julia Michaels</v>
      </c>
      <c r="E134" t="str">
        <f>IFERROR(__xludf.DUMMYFUNCTION("""COMPUTED_VALUE"""),"JP Saxe, Julia Michaels")</f>
        <v>JP Saxe, Julia Michaels</v>
      </c>
      <c r="F134" t="str">
        <f>IFERROR(__xludf.DUMMYFUNCTION("""COMPUTED_VALUE"""),"If the World Was Ending (feat. Julia Michaels)")</f>
        <v>If the World Was Ending (feat. Julia Michaels)</v>
      </c>
      <c r="G134">
        <f>IFERROR(__xludf.DUMMYFUNCTION("""COMPUTED_VALUE"""),0.0)</f>
        <v>0</v>
      </c>
      <c r="H134" s="5">
        <f>IFERROR(__xludf.DUMMYFUNCTION("""COMPUTED_VALUE"""),0.14444444444598048)</f>
        <v>0.1444444444</v>
      </c>
    </row>
    <row r="135">
      <c r="A135" t="str">
        <f>IFERROR(__xludf.DUMMYFUNCTION("""COMPUTED_VALUE"""),"Australia")</f>
        <v>Australia</v>
      </c>
      <c r="B135" t="str">
        <f>IFERROR(__xludf.DUMMYFUNCTION("""COMPUTED_VALUE"""),"Australia")</f>
        <v>Australia</v>
      </c>
      <c r="C135">
        <f>IFERROR(__xludf.DUMMYFUNCTION("""COMPUTED_VALUE"""),34.0)</f>
        <v>34</v>
      </c>
      <c r="D135" t="str">
        <f>IFERROR(__xludf.DUMMYFUNCTION("""COMPUTED_VALUE"""),"Rover (feat. DTG)")</f>
        <v>Rover (feat. DTG)</v>
      </c>
      <c r="E135" t="str">
        <f>IFERROR(__xludf.DUMMYFUNCTION("""COMPUTED_VALUE"""),"S1mba, DTG")</f>
        <v>S1mba, DTG</v>
      </c>
      <c r="F135" t="str">
        <f>IFERROR(__xludf.DUMMYFUNCTION("""COMPUTED_VALUE"""),"Rover (feat. DTG)")</f>
        <v>Rover (feat. DTG)</v>
      </c>
      <c r="G135">
        <f>IFERROR(__xludf.DUMMYFUNCTION("""COMPUTED_VALUE"""),1.0)</f>
        <v>1</v>
      </c>
      <c r="H135" s="5">
        <f>IFERROR(__xludf.DUMMYFUNCTION("""COMPUTED_VALUE"""),0.11597222222189885)</f>
        <v>0.1159722222</v>
      </c>
    </row>
    <row r="136">
      <c r="A136" t="str">
        <f>IFERROR(__xludf.DUMMYFUNCTION("""COMPUTED_VALUE"""),"Australia")</f>
        <v>Australia</v>
      </c>
      <c r="B136" t="str">
        <f>IFERROR(__xludf.DUMMYFUNCTION("""COMPUTED_VALUE"""),"Australia")</f>
        <v>Australia</v>
      </c>
      <c r="C136">
        <f>IFERROR(__xludf.DUMMYFUNCTION("""COMPUTED_VALUE"""),35.0)</f>
        <v>35</v>
      </c>
      <c r="D136" t="str">
        <f>IFERROR(__xludf.DUMMYFUNCTION("""COMPUTED_VALUE"""),"Adore You")</f>
        <v>Adore You</v>
      </c>
      <c r="E136" t="str">
        <f>IFERROR(__xludf.DUMMYFUNCTION("""COMPUTED_VALUE"""),"Harry Styles")</f>
        <v>Harry Styles</v>
      </c>
      <c r="F136" t="str">
        <f>IFERROR(__xludf.DUMMYFUNCTION("""COMPUTED_VALUE"""),"Fine Line")</f>
        <v>Fine Line</v>
      </c>
      <c r="G136">
        <f>IFERROR(__xludf.DUMMYFUNCTION("""COMPUTED_VALUE"""),0.0)</f>
        <v>0</v>
      </c>
      <c r="H136" s="5">
        <f>IFERROR(__xludf.DUMMYFUNCTION("""COMPUTED_VALUE"""),0.1437499999992724)</f>
        <v>0.14375</v>
      </c>
    </row>
    <row r="137">
      <c r="A137" t="str">
        <f>IFERROR(__xludf.DUMMYFUNCTION("""COMPUTED_VALUE"""),"Australia")</f>
        <v>Australia</v>
      </c>
      <c r="B137" t="str">
        <f>IFERROR(__xludf.DUMMYFUNCTION("""COMPUTED_VALUE"""),"Australia")</f>
        <v>Australia</v>
      </c>
      <c r="C137">
        <f>IFERROR(__xludf.DUMMYFUNCTION("""COMPUTED_VALUE"""),36.0)</f>
        <v>36</v>
      </c>
      <c r="D137" t="str">
        <f>IFERROR(__xludf.DUMMYFUNCTION("""COMPUTED_VALUE"""),"Before You Go")</f>
        <v>Before You Go</v>
      </c>
      <c r="E137" t="str">
        <f>IFERROR(__xludf.DUMMYFUNCTION("""COMPUTED_VALUE"""),"Lewis Capaldi")</f>
        <v>Lewis Capaldi</v>
      </c>
      <c r="F137" t="str">
        <f>IFERROR(__xludf.DUMMYFUNCTION("""COMPUTED_VALUE"""),"Divinely Uninspired To A Hellish Extent (Extended Edition)")</f>
        <v>Divinely Uninspired To A Hellish Extent (Extended Edition)</v>
      </c>
      <c r="G137">
        <f>IFERROR(__xludf.DUMMYFUNCTION("""COMPUTED_VALUE"""),0.0)</f>
        <v>0</v>
      </c>
      <c r="H137" s="5">
        <f>IFERROR(__xludf.DUMMYFUNCTION("""COMPUTED_VALUE"""),0.14930555555474712)</f>
        <v>0.1493055556</v>
      </c>
    </row>
    <row r="138">
      <c r="A138" t="str">
        <f>IFERROR(__xludf.DUMMYFUNCTION("""COMPUTED_VALUE"""),"Australia")</f>
        <v>Australia</v>
      </c>
      <c r="B138" t="str">
        <f>IFERROR(__xludf.DUMMYFUNCTION("""COMPUTED_VALUE"""),"Australia")</f>
        <v>Australia</v>
      </c>
      <c r="C138">
        <f>IFERROR(__xludf.DUMMYFUNCTION("""COMPUTED_VALUE"""),37.0)</f>
        <v>37</v>
      </c>
      <c r="D138" t="str">
        <f>IFERROR(__xludf.DUMMYFUNCTION("""COMPUTED_VALUE"""),"Live In Life")</f>
        <v>Live In Life</v>
      </c>
      <c r="E138" t="str">
        <f>IFERROR(__xludf.DUMMYFUNCTION("""COMPUTED_VALUE"""),"The Rubens")</f>
        <v>The Rubens</v>
      </c>
      <c r="F138" t="str">
        <f>IFERROR(__xludf.DUMMYFUNCTION("""COMPUTED_VALUE"""),"Live In Life")</f>
        <v>Live In Life</v>
      </c>
      <c r="G138">
        <f>IFERROR(__xludf.DUMMYFUNCTION("""COMPUTED_VALUE"""),0.0)</f>
        <v>0</v>
      </c>
      <c r="H138" s="5">
        <f>IFERROR(__xludf.DUMMYFUNCTION("""COMPUTED_VALUE"""),0.1500000000014552)</f>
        <v>0.15</v>
      </c>
    </row>
    <row r="139">
      <c r="A139" t="str">
        <f>IFERROR(__xludf.DUMMYFUNCTION("""COMPUTED_VALUE"""),"Australia")</f>
        <v>Australia</v>
      </c>
      <c r="B139" t="str">
        <f>IFERROR(__xludf.DUMMYFUNCTION("""COMPUTED_VALUE"""),"Australia")</f>
        <v>Australia</v>
      </c>
      <c r="C139">
        <f>IFERROR(__xludf.DUMMYFUNCTION("""COMPUTED_VALUE"""),38.0)</f>
        <v>38</v>
      </c>
      <c r="D139" t="str">
        <f>IFERROR(__xludf.DUMMYFUNCTION("""COMPUTED_VALUE"""),"Say So")</f>
        <v>Say So</v>
      </c>
      <c r="E139" t="str">
        <f>IFERROR(__xludf.DUMMYFUNCTION("""COMPUTED_VALUE"""),"Doja Cat")</f>
        <v>Doja Cat</v>
      </c>
      <c r="F139" t="str">
        <f>IFERROR(__xludf.DUMMYFUNCTION("""COMPUTED_VALUE"""),"Hot Pink")</f>
        <v>Hot Pink</v>
      </c>
      <c r="G139">
        <f>IFERROR(__xludf.DUMMYFUNCTION("""COMPUTED_VALUE"""),1.0)</f>
        <v>1</v>
      </c>
      <c r="H139" s="5">
        <f>IFERROR(__xludf.DUMMYFUNCTION("""COMPUTED_VALUE"""),0.16458333333503106)</f>
        <v>0.1645833333</v>
      </c>
    </row>
    <row r="140">
      <c r="A140" t="str">
        <f>IFERROR(__xludf.DUMMYFUNCTION("""COMPUTED_VALUE"""),"Australia")</f>
        <v>Australia</v>
      </c>
      <c r="B140" t="str">
        <f>IFERROR(__xludf.DUMMYFUNCTION("""COMPUTED_VALUE"""),"Australia")</f>
        <v>Australia</v>
      </c>
      <c r="C140">
        <f>IFERROR(__xludf.DUMMYFUNCTION("""COMPUTED_VALUE"""),39.0)</f>
        <v>39</v>
      </c>
      <c r="D140" t="str">
        <f>IFERROR(__xludf.DUMMYFUNCTION("""COMPUTED_VALUE"""),"Ride It")</f>
        <v>Ride It</v>
      </c>
      <c r="E140" t="str">
        <f>IFERROR(__xludf.DUMMYFUNCTION("""COMPUTED_VALUE"""),"Regard")</f>
        <v>Regard</v>
      </c>
      <c r="F140" t="str">
        <f>IFERROR(__xludf.DUMMYFUNCTION("""COMPUTED_VALUE"""),"Ride It")</f>
        <v>Ride It</v>
      </c>
      <c r="G140">
        <f>IFERROR(__xludf.DUMMYFUNCTION("""COMPUTED_VALUE"""),0.0)</f>
        <v>0</v>
      </c>
      <c r="H140" s="5">
        <f>IFERROR(__xludf.DUMMYFUNCTION("""COMPUTED_VALUE"""),0.10902777777664596)</f>
        <v>0.1090277778</v>
      </c>
    </row>
    <row r="141">
      <c r="A141" t="str">
        <f>IFERROR(__xludf.DUMMYFUNCTION("""COMPUTED_VALUE"""),"Australia")</f>
        <v>Australia</v>
      </c>
      <c r="B141" t="str">
        <f>IFERROR(__xludf.DUMMYFUNCTION("""COMPUTED_VALUE"""),"Australia")</f>
        <v>Australia</v>
      </c>
      <c r="C141">
        <f>IFERROR(__xludf.DUMMYFUNCTION("""COMPUTED_VALUE"""),40.0)</f>
        <v>40</v>
      </c>
      <c r="D141" t="str">
        <f>IFERROR(__xludf.DUMMYFUNCTION("""COMPUTED_VALUE"""),"Righteous")</f>
        <v>Righteous</v>
      </c>
      <c r="E141" t="str">
        <f>IFERROR(__xludf.DUMMYFUNCTION("""COMPUTED_VALUE"""),"Juice WRLD")</f>
        <v>Juice WRLD</v>
      </c>
      <c r="F141" t="str">
        <f>IFERROR(__xludf.DUMMYFUNCTION("""COMPUTED_VALUE"""),"Righteous")</f>
        <v>Righteous</v>
      </c>
      <c r="G141">
        <f>IFERROR(__xludf.DUMMYFUNCTION("""COMPUTED_VALUE"""),1.0)</f>
        <v>1</v>
      </c>
      <c r="H141" s="5">
        <f>IFERROR(__xludf.DUMMYFUNCTION("""COMPUTED_VALUE"""),0.1687500000007276)</f>
        <v>0.16875</v>
      </c>
    </row>
    <row r="142">
      <c r="A142" t="str">
        <f>IFERROR(__xludf.DUMMYFUNCTION("""COMPUTED_VALUE"""),"Australia")</f>
        <v>Australia</v>
      </c>
      <c r="B142" t="str">
        <f>IFERROR(__xludf.DUMMYFUNCTION("""COMPUTED_VALUE"""),"Australia")</f>
        <v>Australia</v>
      </c>
      <c r="C142">
        <f>IFERROR(__xludf.DUMMYFUNCTION("""COMPUTED_VALUE"""),41.0)</f>
        <v>41</v>
      </c>
      <c r="D142" t="str">
        <f>IFERROR(__xludf.DUMMYFUNCTION("""COMPUTED_VALUE"""),"You should be sad")</f>
        <v>You should be sad</v>
      </c>
      <c r="E142" t="str">
        <f>IFERROR(__xludf.DUMMYFUNCTION("""COMPUTED_VALUE"""),"Halsey")</f>
        <v>Halsey</v>
      </c>
      <c r="F142" t="str">
        <f>IFERROR(__xludf.DUMMYFUNCTION("""COMPUTED_VALUE"""),"Manic")</f>
        <v>Manic</v>
      </c>
      <c r="G142">
        <f>IFERROR(__xludf.DUMMYFUNCTION("""COMPUTED_VALUE"""),1.0)</f>
        <v>1</v>
      </c>
      <c r="H142" s="5">
        <f>IFERROR(__xludf.DUMMYFUNCTION("""COMPUTED_VALUE"""),0.14236111110949423)</f>
        <v>0.1423611111</v>
      </c>
    </row>
    <row r="143">
      <c r="A143" t="str">
        <f>IFERROR(__xludf.DUMMYFUNCTION("""COMPUTED_VALUE"""),"Australia")</f>
        <v>Australia</v>
      </c>
      <c r="B143" t="str">
        <f>IFERROR(__xludf.DUMMYFUNCTION("""COMPUTED_VALUE"""),"Australia")</f>
        <v>Australia</v>
      </c>
      <c r="C143">
        <f>IFERROR(__xludf.DUMMYFUNCTION("""COMPUTED_VALUE"""),42.0)</f>
        <v>42</v>
      </c>
      <c r="D143" t="str">
        <f>IFERROR(__xludf.DUMMYFUNCTION("""COMPUTED_VALUE"""),"ROXANNE")</f>
        <v>ROXANNE</v>
      </c>
      <c r="E143" t="str">
        <f>IFERROR(__xludf.DUMMYFUNCTION("""COMPUTED_VALUE"""),"Arizona Zervas")</f>
        <v>Arizona Zervas</v>
      </c>
      <c r="F143" t="str">
        <f>IFERROR(__xludf.DUMMYFUNCTION("""COMPUTED_VALUE"""),"ROXANNE")</f>
        <v>ROXANNE</v>
      </c>
      <c r="G143">
        <f>IFERROR(__xludf.DUMMYFUNCTION("""COMPUTED_VALUE"""),1.0)</f>
        <v>1</v>
      </c>
      <c r="H143" s="5">
        <f>IFERROR(__xludf.DUMMYFUNCTION("""COMPUTED_VALUE"""),0.11319444444598048)</f>
        <v>0.1131944444</v>
      </c>
    </row>
    <row r="144">
      <c r="A144" t="str">
        <f>IFERROR(__xludf.DUMMYFUNCTION("""COMPUTED_VALUE"""),"Australia")</f>
        <v>Australia</v>
      </c>
      <c r="B144" t="str">
        <f>IFERROR(__xludf.DUMMYFUNCTION("""COMPUTED_VALUE"""),"Australia")</f>
        <v>Australia</v>
      </c>
      <c r="C144">
        <f>IFERROR(__xludf.DUMMYFUNCTION("""COMPUTED_VALUE"""),43.0)</f>
        <v>43</v>
      </c>
      <c r="D144" t="str">
        <f>IFERROR(__xludf.DUMMYFUNCTION("""COMPUTED_VALUE"""),"Lose Control")</f>
        <v>Lose Control</v>
      </c>
      <c r="E144" t="str">
        <f>IFERROR(__xludf.DUMMYFUNCTION("""COMPUTED_VALUE"""),"MEDUZA, Becky Hill, Goodboys")</f>
        <v>MEDUZA, Becky Hill, Goodboys</v>
      </c>
      <c r="F144" t="str">
        <f>IFERROR(__xludf.DUMMYFUNCTION("""COMPUTED_VALUE"""),"Lose Control")</f>
        <v>Lose Control</v>
      </c>
      <c r="G144">
        <f>IFERROR(__xludf.DUMMYFUNCTION("""COMPUTED_VALUE"""),0.0)</f>
        <v>0</v>
      </c>
      <c r="H144" s="5">
        <f>IFERROR(__xludf.DUMMYFUNCTION("""COMPUTED_VALUE"""),0.11666666666496894)</f>
        <v>0.1166666667</v>
      </c>
    </row>
    <row r="145">
      <c r="A145" t="str">
        <f>IFERROR(__xludf.DUMMYFUNCTION("""COMPUTED_VALUE"""),"Australia")</f>
        <v>Australia</v>
      </c>
      <c r="B145" t="str">
        <f>IFERROR(__xludf.DUMMYFUNCTION("""COMPUTED_VALUE"""),"Australia")</f>
        <v>Australia</v>
      </c>
      <c r="C145">
        <f>IFERROR(__xludf.DUMMYFUNCTION("""COMPUTED_VALUE"""),44.0)</f>
        <v>44</v>
      </c>
      <c r="D145" t="str">
        <f>IFERROR(__xludf.DUMMYFUNCTION("""COMPUTED_VALUE"""),"Falling")</f>
        <v>Falling</v>
      </c>
      <c r="E145" t="str">
        <f>IFERROR(__xludf.DUMMYFUNCTION("""COMPUTED_VALUE"""),"Trevor Daniel")</f>
        <v>Trevor Daniel</v>
      </c>
      <c r="F145" t="str">
        <f>IFERROR(__xludf.DUMMYFUNCTION("""COMPUTED_VALUE"""),"Nicotine")</f>
        <v>Nicotine</v>
      </c>
      <c r="G145">
        <f>IFERROR(__xludf.DUMMYFUNCTION("""COMPUTED_VALUE"""),0.0)</f>
        <v>0</v>
      </c>
      <c r="H145" s="5">
        <f>IFERROR(__xludf.DUMMYFUNCTION("""COMPUTED_VALUE"""),0.11041666666642413)</f>
        <v>0.1104166667</v>
      </c>
    </row>
    <row r="146">
      <c r="A146" t="str">
        <f>IFERROR(__xludf.DUMMYFUNCTION("""COMPUTED_VALUE"""),"Australia")</f>
        <v>Australia</v>
      </c>
      <c r="B146" t="str">
        <f>IFERROR(__xludf.DUMMYFUNCTION("""COMPUTED_VALUE"""),"Australia")</f>
        <v>Australia</v>
      </c>
      <c r="C146">
        <f>IFERROR(__xludf.DUMMYFUNCTION("""COMPUTED_VALUE"""),45.0)</f>
        <v>45</v>
      </c>
      <c r="D146" t="str">
        <f>IFERROR(__xludf.DUMMYFUNCTION("""COMPUTED_VALUE"""),"Bad Child")</f>
        <v>Bad Child</v>
      </c>
      <c r="E146" t="str">
        <f>IFERROR(__xludf.DUMMYFUNCTION("""COMPUTED_VALUE"""),"Tones And I")</f>
        <v>Tones And I</v>
      </c>
      <c r="F146" t="str">
        <f>IFERROR(__xludf.DUMMYFUNCTION("""COMPUTED_VALUE"""),"Bad Child/Can't Be Happy All The Time")</f>
        <v>Bad Child/Can't Be Happy All The Time</v>
      </c>
      <c r="G146">
        <f>IFERROR(__xludf.DUMMYFUNCTION("""COMPUTED_VALUE"""),1.0)</f>
        <v>1</v>
      </c>
      <c r="H146" s="5">
        <f>IFERROR(__xludf.DUMMYFUNCTION("""COMPUTED_VALUE"""),0.15347222222044365)</f>
        <v>0.1534722222</v>
      </c>
    </row>
    <row r="147">
      <c r="A147" t="str">
        <f>IFERROR(__xludf.DUMMYFUNCTION("""COMPUTED_VALUE"""),"Australia")</f>
        <v>Australia</v>
      </c>
      <c r="B147" t="str">
        <f>IFERROR(__xludf.DUMMYFUNCTION("""COMPUTED_VALUE"""),"Australia")</f>
        <v>Australia</v>
      </c>
      <c r="C147">
        <f>IFERROR(__xludf.DUMMYFUNCTION("""COMPUTED_VALUE"""),46.0)</f>
        <v>46</v>
      </c>
      <c r="D147" t="str">
        <f>IFERROR(__xludf.DUMMYFUNCTION("""COMPUTED_VALUE"""),"Life Is Good (feat. Drake)")</f>
        <v>Life Is Good (feat. Drake)</v>
      </c>
      <c r="E147" t="str">
        <f>IFERROR(__xludf.DUMMYFUNCTION("""COMPUTED_VALUE"""),"Future, Drake")</f>
        <v>Future, Drake</v>
      </c>
      <c r="F147" t="str">
        <f>IFERROR(__xludf.DUMMYFUNCTION("""COMPUTED_VALUE"""),"High Off Life")</f>
        <v>High Off Life</v>
      </c>
      <c r="G147">
        <f>IFERROR(__xludf.DUMMYFUNCTION("""COMPUTED_VALUE"""),1.0)</f>
        <v>1</v>
      </c>
      <c r="H147" s="5">
        <f>IFERROR(__xludf.DUMMYFUNCTION("""COMPUTED_VALUE"""),0.16458333333503106)</f>
        <v>0.1645833333</v>
      </c>
    </row>
    <row r="148">
      <c r="A148" t="str">
        <f>IFERROR(__xludf.DUMMYFUNCTION("""COMPUTED_VALUE"""),"Australia")</f>
        <v>Australia</v>
      </c>
      <c r="B148" t="str">
        <f>IFERROR(__xludf.DUMMYFUNCTION("""COMPUTED_VALUE"""),"Australia")</f>
        <v>Australia</v>
      </c>
      <c r="C148">
        <f>IFERROR(__xludf.DUMMYFUNCTION("""COMPUTED_VALUE"""),47.0)</f>
        <v>47</v>
      </c>
      <c r="D148" t="str">
        <f>IFERROR(__xludf.DUMMYFUNCTION("""COMPUTED_VALUE"""),"Memories")</f>
        <v>Memories</v>
      </c>
      <c r="E148" t="str">
        <f>IFERROR(__xludf.DUMMYFUNCTION("""COMPUTED_VALUE"""),"Maroon 5")</f>
        <v>Maroon 5</v>
      </c>
      <c r="F148" t="str">
        <f>IFERROR(__xludf.DUMMYFUNCTION("""COMPUTED_VALUE"""),"Memories")</f>
        <v>Memories</v>
      </c>
      <c r="G148">
        <f>IFERROR(__xludf.DUMMYFUNCTION("""COMPUTED_VALUE"""),0.0)</f>
        <v>0</v>
      </c>
      <c r="H148" s="5">
        <f>IFERROR(__xludf.DUMMYFUNCTION("""COMPUTED_VALUE"""),0.1312499999985448)</f>
        <v>0.13125</v>
      </c>
    </row>
    <row r="149">
      <c r="A149" t="str">
        <f>IFERROR(__xludf.DUMMYFUNCTION("""COMPUTED_VALUE"""),"Australia")</f>
        <v>Australia</v>
      </c>
      <c r="B149" t="str">
        <f>IFERROR(__xludf.DUMMYFUNCTION("""COMPUTED_VALUE"""),"Australia")</f>
        <v>Australia</v>
      </c>
      <c r="C149">
        <f>IFERROR(__xludf.DUMMYFUNCTION("""COMPUTED_VALUE"""),48.0)</f>
        <v>48</v>
      </c>
      <c r="D149" t="str">
        <f>IFERROR(__xludf.DUMMYFUNCTION("""COMPUTED_VALUE"""),"Know Your Worth")</f>
        <v>Know Your Worth</v>
      </c>
      <c r="E149" t="str">
        <f>IFERROR(__xludf.DUMMYFUNCTION("""COMPUTED_VALUE"""),"Khalid, Disclosure")</f>
        <v>Khalid, Disclosure</v>
      </c>
      <c r="F149" t="str">
        <f>IFERROR(__xludf.DUMMYFUNCTION("""COMPUTED_VALUE"""),"Know Your Worth")</f>
        <v>Know Your Worth</v>
      </c>
      <c r="G149">
        <f>IFERROR(__xludf.DUMMYFUNCTION("""COMPUTED_VALUE"""),0.0)</f>
        <v>0</v>
      </c>
      <c r="H149" s="5">
        <f>IFERROR(__xludf.DUMMYFUNCTION("""COMPUTED_VALUE"""),0.1256944444430701)</f>
        <v>0.1256944444</v>
      </c>
    </row>
    <row r="150">
      <c r="A150" t="str">
        <f>IFERROR(__xludf.DUMMYFUNCTION("""COMPUTED_VALUE"""),"Australia")</f>
        <v>Australia</v>
      </c>
      <c r="B150" t="str">
        <f>IFERROR(__xludf.DUMMYFUNCTION("""COMPUTED_VALUE"""),"Australia")</f>
        <v>Australia</v>
      </c>
      <c r="C150">
        <f>IFERROR(__xludf.DUMMYFUNCTION("""COMPUTED_VALUE"""),49.0)</f>
        <v>49</v>
      </c>
      <c r="D150" t="str">
        <f>IFERROR(__xludf.DUMMYFUNCTION("""COMPUTED_VALUE"""),"Lose Somebody")</f>
        <v>Lose Somebody</v>
      </c>
      <c r="E150" t="str">
        <f>IFERROR(__xludf.DUMMYFUNCTION("""COMPUTED_VALUE"""),"Kygo, OneRepublic")</f>
        <v>Kygo, OneRepublic</v>
      </c>
      <c r="F150" t="str">
        <f>IFERROR(__xludf.DUMMYFUNCTION("""COMPUTED_VALUE"""),"Lose Somebody")</f>
        <v>Lose Somebody</v>
      </c>
      <c r="G150">
        <f>IFERROR(__xludf.DUMMYFUNCTION("""COMPUTED_VALUE"""),0.0)</f>
        <v>0</v>
      </c>
      <c r="H150" s="5">
        <f>IFERROR(__xludf.DUMMYFUNCTION("""COMPUTED_VALUE"""),0.1381944444437977)</f>
        <v>0.1381944444</v>
      </c>
    </row>
    <row r="151">
      <c r="A151" t="str">
        <f>IFERROR(__xludf.DUMMYFUNCTION("""COMPUTED_VALUE"""),"Australia")</f>
        <v>Australia</v>
      </c>
      <c r="B151" t="str">
        <f>IFERROR(__xludf.DUMMYFUNCTION("""COMPUTED_VALUE"""),"Australia")</f>
        <v>Australia</v>
      </c>
      <c r="C151">
        <f>IFERROR(__xludf.DUMMYFUNCTION("""COMPUTED_VALUE"""),50.0)</f>
        <v>50</v>
      </c>
      <c r="D151" t="str">
        <f>IFERROR(__xludf.DUMMYFUNCTION("""COMPUTED_VALUE"""),"Go Crazy")</f>
        <v>Go Crazy</v>
      </c>
      <c r="E151" t="str">
        <f>IFERROR(__xludf.DUMMYFUNCTION("""COMPUTED_VALUE"""),"Chris Brown, Young Thug")</f>
        <v>Chris Brown, Young Thug</v>
      </c>
      <c r="F151" t="str">
        <f>IFERROR(__xludf.DUMMYFUNCTION("""COMPUTED_VALUE"""),"Slime &amp; B")</f>
        <v>Slime &amp; B</v>
      </c>
      <c r="G151">
        <f>IFERROR(__xludf.DUMMYFUNCTION("""COMPUTED_VALUE"""),1.0)</f>
        <v>1</v>
      </c>
      <c r="H151" s="5">
        <f>IFERROR(__xludf.DUMMYFUNCTION("""COMPUTED_VALUE"""),0.12222222222044365)</f>
        <v>0.1222222222</v>
      </c>
    </row>
    <row r="152">
      <c r="A152" t="str">
        <f>IFERROR(__xludf.DUMMYFUNCTION("""COMPUTED_VALUE"""),"Austria")</f>
        <v>Austria</v>
      </c>
      <c r="B152" t="str">
        <f>IFERROR(__xludf.DUMMYFUNCTION("""COMPUTED_VALUE"""),"Europe")</f>
        <v>Europe</v>
      </c>
      <c r="C152">
        <f>IFERROR(__xludf.DUMMYFUNCTION("""COMPUTED_VALUE"""),1.0)</f>
        <v>1</v>
      </c>
      <c r="D152" t="str">
        <f>IFERROR(__xludf.DUMMYFUNCTION("""COMPUTED_VALUE"""),"Roadrunner")</f>
        <v>Roadrunner</v>
      </c>
      <c r="E152" t="str">
        <f>IFERROR(__xludf.DUMMYFUNCTION("""COMPUTED_VALUE"""),"Bonez MC")</f>
        <v>Bonez MC</v>
      </c>
      <c r="F152" t="str">
        <f>IFERROR(__xludf.DUMMYFUNCTION("""COMPUTED_VALUE"""),"Roadrunner")</f>
        <v>Roadrunner</v>
      </c>
      <c r="G152">
        <f>IFERROR(__xludf.DUMMYFUNCTION("""COMPUTED_VALUE"""),0.0)</f>
        <v>0</v>
      </c>
      <c r="H152" s="5">
        <f>IFERROR(__xludf.DUMMYFUNCTION("""COMPUTED_VALUE"""),0.10347222222117125)</f>
        <v>0.1034722222</v>
      </c>
    </row>
    <row r="153">
      <c r="A153" t="str">
        <f>IFERROR(__xludf.DUMMYFUNCTION("""COMPUTED_VALUE"""),"Austria")</f>
        <v>Austria</v>
      </c>
      <c r="B153" t="str">
        <f>IFERROR(__xludf.DUMMYFUNCTION("""COMPUTED_VALUE"""),"Europe")</f>
        <v>Europe</v>
      </c>
      <c r="C153">
        <f>IFERROR(__xludf.DUMMYFUNCTION("""COMPUTED_VALUE"""),2.0)</f>
        <v>2</v>
      </c>
      <c r="D153" t="str">
        <f>IFERROR(__xludf.DUMMYFUNCTION("""COMPUTED_VALUE"""),"Komm Komm")</f>
        <v>Komm Komm</v>
      </c>
      <c r="E153" t="str">
        <f>IFERROR(__xludf.DUMMYFUNCTION("""COMPUTED_VALUE"""),"Capital Bra")</f>
        <v>Capital Bra</v>
      </c>
      <c r="F153" t="str">
        <f>IFERROR(__xludf.DUMMYFUNCTION("""COMPUTED_VALUE"""),"Komm Komm")</f>
        <v>Komm Komm</v>
      </c>
      <c r="G153">
        <f>IFERROR(__xludf.DUMMYFUNCTION("""COMPUTED_VALUE"""),0.0)</f>
        <v>0</v>
      </c>
      <c r="H153" s="5">
        <f>IFERROR(__xludf.DUMMYFUNCTION("""COMPUTED_VALUE"""),0.11111111110949423)</f>
        <v>0.1111111111</v>
      </c>
    </row>
    <row r="154">
      <c r="A154" t="str">
        <f>IFERROR(__xludf.DUMMYFUNCTION("""COMPUTED_VALUE"""),"Austria")</f>
        <v>Austria</v>
      </c>
      <c r="B154" t="str">
        <f>IFERROR(__xludf.DUMMYFUNCTION("""COMPUTED_VALUE"""),"Europe")</f>
        <v>Europe</v>
      </c>
      <c r="C154">
        <f>IFERROR(__xludf.DUMMYFUNCTION("""COMPUTED_VALUE"""),3.0)</f>
        <v>3</v>
      </c>
      <c r="D154" t="str">
        <f>IFERROR(__xludf.DUMMYFUNCTION("""COMPUTED_VALUE"""),"ROCKSTAR (feat. Roddy Ricch)")</f>
        <v>ROCKSTAR (feat. Roddy Ricch)</v>
      </c>
      <c r="E154" t="str">
        <f>IFERROR(__xludf.DUMMYFUNCTION("""COMPUTED_VALUE"""),"DaBaby, Roddy Ricch")</f>
        <v>DaBaby, Roddy Ricch</v>
      </c>
      <c r="F154" t="str">
        <f>IFERROR(__xludf.DUMMYFUNCTION("""COMPUTED_VALUE"""),"BLAME IT ON BABY")</f>
        <v>BLAME IT ON BABY</v>
      </c>
      <c r="G154">
        <f>IFERROR(__xludf.DUMMYFUNCTION("""COMPUTED_VALUE"""),1.0)</f>
        <v>1</v>
      </c>
      <c r="H154" s="5">
        <f>IFERROR(__xludf.DUMMYFUNCTION("""COMPUTED_VALUE"""),0.1256944444430701)</f>
        <v>0.1256944444</v>
      </c>
    </row>
    <row r="155">
      <c r="A155" t="str">
        <f>IFERROR(__xludf.DUMMYFUNCTION("""COMPUTED_VALUE"""),"Austria")</f>
        <v>Austria</v>
      </c>
      <c r="B155" t="str">
        <f>IFERROR(__xludf.DUMMYFUNCTION("""COMPUTED_VALUE"""),"Europe")</f>
        <v>Europe</v>
      </c>
      <c r="C155">
        <f>IFERROR(__xludf.DUMMYFUNCTION("""COMPUTED_VALUE"""),4.0)</f>
        <v>4</v>
      </c>
      <c r="D155" t="str">
        <f>IFERROR(__xludf.DUMMYFUNCTION("""COMPUTED_VALUE"""),"Roses - Imanbek Remix")</f>
        <v>Roses - Imanbek Remix</v>
      </c>
      <c r="E155" t="str">
        <f>IFERROR(__xludf.DUMMYFUNCTION("""COMPUTED_VALUE"""),"SAINt JHN, Imanbek")</f>
        <v>SAINt JHN, Imanbek</v>
      </c>
      <c r="F155" t="str">
        <f>IFERROR(__xludf.DUMMYFUNCTION("""COMPUTED_VALUE"""),"Roses (Imanbek Remix)")</f>
        <v>Roses (Imanbek Remix)</v>
      </c>
      <c r="G155">
        <f>IFERROR(__xludf.DUMMYFUNCTION("""COMPUTED_VALUE"""),1.0)</f>
        <v>1</v>
      </c>
      <c r="H155" s="5">
        <f>IFERROR(__xludf.DUMMYFUNCTION("""COMPUTED_VALUE"""),0.12222222222044365)</f>
        <v>0.1222222222</v>
      </c>
    </row>
    <row r="156">
      <c r="A156" t="str">
        <f>IFERROR(__xludf.DUMMYFUNCTION("""COMPUTED_VALUE"""),"Austria")</f>
        <v>Austria</v>
      </c>
      <c r="B156" t="str">
        <f>IFERROR(__xludf.DUMMYFUNCTION("""COMPUTED_VALUE"""),"Europe")</f>
        <v>Europe</v>
      </c>
      <c r="C156">
        <f>IFERROR(__xludf.DUMMYFUNCTION("""COMPUTED_VALUE"""),5.0)</f>
        <v>5</v>
      </c>
      <c r="D156" t="str">
        <f>IFERROR(__xludf.DUMMYFUNCTION("""COMPUTED_VALUE"""),"GOOBA")</f>
        <v>GOOBA</v>
      </c>
      <c r="E156" t="str">
        <f>IFERROR(__xludf.DUMMYFUNCTION("""COMPUTED_VALUE"""),"6ix9ine")</f>
        <v>6ix9ine</v>
      </c>
      <c r="F156" t="str">
        <f>IFERROR(__xludf.DUMMYFUNCTION("""COMPUTED_VALUE"""),"GOOBA")</f>
        <v>GOOBA</v>
      </c>
      <c r="G156">
        <f>IFERROR(__xludf.DUMMYFUNCTION("""COMPUTED_VALUE"""),1.0)</f>
        <v>1</v>
      </c>
      <c r="H156" s="5">
        <f>IFERROR(__xludf.DUMMYFUNCTION("""COMPUTED_VALUE"""),0.09166666666715173)</f>
        <v>0.09166666667</v>
      </c>
    </row>
    <row r="157">
      <c r="A157" t="str">
        <f>IFERROR(__xludf.DUMMYFUNCTION("""COMPUTED_VALUE"""),"Austria")</f>
        <v>Austria</v>
      </c>
      <c r="B157" t="str">
        <f>IFERROR(__xludf.DUMMYFUNCTION("""COMPUTED_VALUE"""),"Europe")</f>
        <v>Europe</v>
      </c>
      <c r="C157">
        <f>IFERROR(__xludf.DUMMYFUNCTION("""COMPUTED_VALUE"""),6.0)</f>
        <v>6</v>
      </c>
      <c r="D157" t="str">
        <f>IFERROR(__xludf.DUMMYFUNCTION("""COMPUTED_VALUE"""),"Fame")</f>
        <v>Fame</v>
      </c>
      <c r="E157" t="str">
        <f>IFERROR(__xludf.DUMMYFUNCTION("""COMPUTED_VALUE"""),"Apache 207")</f>
        <v>Apache 207</v>
      </c>
      <c r="F157" t="str">
        <f>IFERROR(__xludf.DUMMYFUNCTION("""COMPUTED_VALUE"""),"Fame")</f>
        <v>Fame</v>
      </c>
      <c r="G157">
        <f>IFERROR(__xludf.DUMMYFUNCTION("""COMPUTED_VALUE"""),0.0)</f>
        <v>0</v>
      </c>
      <c r="H157" s="5">
        <f>IFERROR(__xludf.DUMMYFUNCTION("""COMPUTED_VALUE"""),0.12013888888759539)</f>
        <v>0.1201388889</v>
      </c>
    </row>
    <row r="158">
      <c r="A158" t="str">
        <f>IFERROR(__xludf.DUMMYFUNCTION("""COMPUTED_VALUE"""),"Austria")</f>
        <v>Austria</v>
      </c>
      <c r="B158" t="str">
        <f>IFERROR(__xludf.DUMMYFUNCTION("""COMPUTED_VALUE"""),"Europe")</f>
        <v>Europe</v>
      </c>
      <c r="C158">
        <f>IFERROR(__xludf.DUMMYFUNCTION("""COMPUTED_VALUE"""),7.0)</f>
        <v>7</v>
      </c>
      <c r="D158" t="str">
        <f>IFERROR(__xludf.DUMMYFUNCTION("""COMPUTED_VALUE"""),"Blinding Lights")</f>
        <v>Blinding Lights</v>
      </c>
      <c r="E158" t="str">
        <f>IFERROR(__xludf.DUMMYFUNCTION("""COMPUTED_VALUE"""),"The Weeknd")</f>
        <v>The Weeknd</v>
      </c>
      <c r="F158" t="str">
        <f>IFERROR(__xludf.DUMMYFUNCTION("""COMPUTED_VALUE"""),"After Hours")</f>
        <v>After Hours</v>
      </c>
      <c r="G158">
        <f>IFERROR(__xludf.DUMMYFUNCTION("""COMPUTED_VALUE"""),0.0)</f>
        <v>0</v>
      </c>
      <c r="H158" s="5">
        <f>IFERROR(__xludf.DUMMYFUNCTION("""COMPUTED_VALUE"""),0.13888888889050577)</f>
        <v>0.1388888889</v>
      </c>
    </row>
    <row r="159">
      <c r="A159" t="str">
        <f>IFERROR(__xludf.DUMMYFUNCTION("""COMPUTED_VALUE"""),"Austria")</f>
        <v>Austria</v>
      </c>
      <c r="B159" t="str">
        <f>IFERROR(__xludf.DUMMYFUNCTION("""COMPUTED_VALUE"""),"Europe")</f>
        <v>Europe</v>
      </c>
      <c r="C159">
        <f>IFERROR(__xludf.DUMMYFUNCTION("""COMPUTED_VALUE"""),8.0)</f>
        <v>8</v>
      </c>
      <c r="D159" t="str">
        <f>IFERROR(__xludf.DUMMYFUNCTION("""COMPUTED_VALUE"""),"Nicht verdient")</f>
        <v>Nicht verdient</v>
      </c>
      <c r="E159" t="str">
        <f>IFERROR(__xludf.DUMMYFUNCTION("""COMPUTED_VALUE"""),"Capital Bra, Loredana")</f>
        <v>Capital Bra, Loredana</v>
      </c>
      <c r="F159" t="str">
        <f>IFERROR(__xludf.DUMMYFUNCTION("""COMPUTED_VALUE"""),"Nicht verdient")</f>
        <v>Nicht verdient</v>
      </c>
      <c r="G159">
        <f>IFERROR(__xludf.DUMMYFUNCTION("""COMPUTED_VALUE"""),0.0)</f>
        <v>0</v>
      </c>
      <c r="H159" s="5">
        <f>IFERROR(__xludf.DUMMYFUNCTION("""COMPUTED_VALUE"""),0.12222222222044365)</f>
        <v>0.1222222222</v>
      </c>
    </row>
    <row r="160">
      <c r="A160" t="str">
        <f>IFERROR(__xludf.DUMMYFUNCTION("""COMPUTED_VALUE"""),"Austria")</f>
        <v>Austria</v>
      </c>
      <c r="B160" t="str">
        <f>IFERROR(__xludf.DUMMYFUNCTION("""COMPUTED_VALUE"""),"Europe")</f>
        <v>Europe</v>
      </c>
      <c r="C160">
        <f>IFERROR(__xludf.DUMMYFUNCTION("""COMPUTED_VALUE"""),9.0)</f>
        <v>9</v>
      </c>
      <c r="D160" t="str">
        <f>IFERROR(__xludf.DUMMYFUNCTION("""COMPUTED_VALUE"""),"ily (i love you baby) (feat. Emilee)")</f>
        <v>ily (i love you baby) (feat. Emilee)</v>
      </c>
      <c r="E160" t="str">
        <f>IFERROR(__xludf.DUMMYFUNCTION("""COMPUTED_VALUE"""),"Surf Mesa, Emilee")</f>
        <v>Surf Mesa, Emilee</v>
      </c>
      <c r="F160" t="str">
        <f>IFERROR(__xludf.DUMMYFUNCTION("""COMPUTED_VALUE"""),"ily (i love you baby) (feat. Emilee)")</f>
        <v>ily (i love you baby) (feat. Emilee)</v>
      </c>
      <c r="G160">
        <f>IFERROR(__xludf.DUMMYFUNCTION("""COMPUTED_VALUE"""),0.0)</f>
        <v>0</v>
      </c>
      <c r="H160" s="5">
        <f>IFERROR(__xludf.DUMMYFUNCTION("""COMPUTED_VALUE"""),0.12222222222044365)</f>
        <v>0.1222222222</v>
      </c>
    </row>
    <row r="161">
      <c r="A161" t="str">
        <f>IFERROR(__xludf.DUMMYFUNCTION("""COMPUTED_VALUE"""),"Austria")</f>
        <v>Austria</v>
      </c>
      <c r="B161" t="str">
        <f>IFERROR(__xludf.DUMMYFUNCTION("""COMPUTED_VALUE"""),"Europe")</f>
        <v>Europe</v>
      </c>
      <c r="C161">
        <f>IFERROR(__xludf.DUMMYFUNCTION("""COMPUTED_VALUE"""),10.0)</f>
        <v>10</v>
      </c>
      <c r="D161" t="str">
        <f>IFERROR(__xludf.DUMMYFUNCTION("""COMPUTED_VALUE"""),"Toosie Slide")</f>
        <v>Toosie Slide</v>
      </c>
      <c r="E161" t="str">
        <f>IFERROR(__xludf.DUMMYFUNCTION("""COMPUTED_VALUE"""),"Drake")</f>
        <v>Drake</v>
      </c>
      <c r="F161" t="str">
        <f>IFERROR(__xludf.DUMMYFUNCTION("""COMPUTED_VALUE"""),"Dark Lane Demo Tapes")</f>
        <v>Dark Lane Demo Tapes</v>
      </c>
      <c r="G161">
        <f>IFERROR(__xludf.DUMMYFUNCTION("""COMPUTED_VALUE"""),1.0)</f>
        <v>1</v>
      </c>
      <c r="H161" s="5">
        <f>IFERROR(__xludf.DUMMYFUNCTION("""COMPUTED_VALUE"""),0.17152777777664596)</f>
        <v>0.1715277778</v>
      </c>
    </row>
    <row r="162">
      <c r="A162" t="str">
        <f>IFERROR(__xludf.DUMMYFUNCTION("""COMPUTED_VALUE"""),"Austria")</f>
        <v>Austria</v>
      </c>
      <c r="B162" t="str">
        <f>IFERROR(__xludf.DUMMYFUNCTION("""COMPUTED_VALUE"""),"Europe")</f>
        <v>Europe</v>
      </c>
      <c r="C162">
        <f>IFERROR(__xludf.DUMMYFUNCTION("""COMPUTED_VALUE"""),11.0)</f>
        <v>11</v>
      </c>
      <c r="D162" t="str">
        <f>IFERROR(__xludf.DUMMYFUNCTION("""COMPUTED_VALUE"""),"Breaking Me")</f>
        <v>Breaking Me</v>
      </c>
      <c r="E162" t="str">
        <f>IFERROR(__xludf.DUMMYFUNCTION("""COMPUTED_VALUE"""),"Topic, A7S")</f>
        <v>Topic, A7S</v>
      </c>
      <c r="F162" t="str">
        <f>IFERROR(__xludf.DUMMYFUNCTION("""COMPUTED_VALUE"""),"Breaking Me")</f>
        <v>Breaking Me</v>
      </c>
      <c r="G162">
        <f>IFERROR(__xludf.DUMMYFUNCTION("""COMPUTED_VALUE"""),0.0)</f>
        <v>0</v>
      </c>
      <c r="H162" s="5">
        <f>IFERROR(__xludf.DUMMYFUNCTION("""COMPUTED_VALUE"""),0.11527777777882875)</f>
        <v>0.1152777778</v>
      </c>
    </row>
    <row r="163">
      <c r="A163" t="str">
        <f>IFERROR(__xludf.DUMMYFUNCTION("""COMPUTED_VALUE"""),"Austria")</f>
        <v>Austria</v>
      </c>
      <c r="B163" t="str">
        <f>IFERROR(__xludf.DUMMYFUNCTION("""COMPUTED_VALUE"""),"Europe")</f>
        <v>Europe</v>
      </c>
      <c r="C163">
        <f>IFERROR(__xludf.DUMMYFUNCTION("""COMPUTED_VALUE"""),12.0)</f>
        <v>12</v>
      </c>
      <c r="D163" t="str">
        <f>IFERROR(__xludf.DUMMYFUNCTION("""COMPUTED_VALUE"""),"Roller")</f>
        <v>Roller</v>
      </c>
      <c r="E163" t="str">
        <f>IFERROR(__xludf.DUMMYFUNCTION("""COMPUTED_VALUE"""),"Apache 207")</f>
        <v>Apache 207</v>
      </c>
      <c r="F163" t="str">
        <f>IFERROR(__xludf.DUMMYFUNCTION("""COMPUTED_VALUE"""),"Platte")</f>
        <v>Platte</v>
      </c>
      <c r="G163">
        <f>IFERROR(__xludf.DUMMYFUNCTION("""COMPUTED_VALUE"""),1.0)</f>
        <v>1</v>
      </c>
      <c r="H163" s="5">
        <f>IFERROR(__xludf.DUMMYFUNCTION("""COMPUTED_VALUE"""),0.10902777777664596)</f>
        <v>0.1090277778</v>
      </c>
    </row>
    <row r="164">
      <c r="A164" t="str">
        <f>IFERROR(__xludf.DUMMYFUNCTION("""COMPUTED_VALUE"""),"Austria")</f>
        <v>Austria</v>
      </c>
      <c r="B164" t="str">
        <f>IFERROR(__xludf.DUMMYFUNCTION("""COMPUTED_VALUE"""),"Europe")</f>
        <v>Europe</v>
      </c>
      <c r="C164">
        <f>IFERROR(__xludf.DUMMYFUNCTION("""COMPUTED_VALUE"""),13.0)</f>
        <v>13</v>
      </c>
      <c r="D164" t="str">
        <f>IFERROR(__xludf.DUMMYFUNCTION("""COMPUTED_VALUE"""),"FAVELA")</f>
        <v>FAVELA</v>
      </c>
      <c r="E164" t="str">
        <f>IFERROR(__xludf.DUMMYFUNCTION("""COMPUTED_VALUE"""),"Dardan")</f>
        <v>Dardan</v>
      </c>
      <c r="F164" t="str">
        <f>IFERROR(__xludf.DUMMYFUNCTION("""COMPUTED_VALUE"""),"FAVELA")</f>
        <v>FAVELA</v>
      </c>
      <c r="G164">
        <f>IFERROR(__xludf.DUMMYFUNCTION("""COMPUTED_VALUE"""),1.0)</f>
        <v>1</v>
      </c>
      <c r="H164" s="5">
        <f>IFERROR(__xludf.DUMMYFUNCTION("""COMPUTED_VALUE"""),0.11041666666642413)</f>
        <v>0.1104166667</v>
      </c>
    </row>
    <row r="165">
      <c r="A165" t="str">
        <f>IFERROR(__xludf.DUMMYFUNCTION("""COMPUTED_VALUE"""),"Austria")</f>
        <v>Austria</v>
      </c>
      <c r="B165" t="str">
        <f>IFERROR(__xludf.DUMMYFUNCTION("""COMPUTED_VALUE"""),"Europe")</f>
        <v>Europe</v>
      </c>
      <c r="C165">
        <f>IFERROR(__xludf.DUMMYFUNCTION("""COMPUTED_VALUE"""),14.0)</f>
        <v>14</v>
      </c>
      <c r="D165" t="str">
        <f>IFERROR(__xludf.DUMMYFUNCTION("""COMPUTED_VALUE"""),"Airwaves")</f>
        <v>Airwaves</v>
      </c>
      <c r="E165" t="str">
        <f>IFERROR(__xludf.DUMMYFUNCTION("""COMPUTED_VALUE"""),"Pashanim")</f>
        <v>Pashanim</v>
      </c>
      <c r="F165" t="str">
        <f>IFERROR(__xludf.DUMMYFUNCTION("""COMPUTED_VALUE"""),"Airwaves")</f>
        <v>Airwaves</v>
      </c>
      <c r="G165">
        <f>IFERROR(__xludf.DUMMYFUNCTION("""COMPUTED_VALUE"""),0.0)</f>
        <v>0</v>
      </c>
      <c r="H165" s="5">
        <f>IFERROR(__xludf.DUMMYFUNCTION("""COMPUTED_VALUE"""),0.12361111111022183)</f>
        <v>0.1236111111</v>
      </c>
    </row>
    <row r="166">
      <c r="A166" t="str">
        <f>IFERROR(__xludf.DUMMYFUNCTION("""COMPUTED_VALUE"""),"Austria")</f>
        <v>Austria</v>
      </c>
      <c r="B166" t="str">
        <f>IFERROR(__xludf.DUMMYFUNCTION("""COMPUTED_VALUE"""),"Europe")</f>
        <v>Europe</v>
      </c>
      <c r="C166">
        <f>IFERROR(__xludf.DUMMYFUNCTION("""COMPUTED_VALUE"""),15.0)</f>
        <v>15</v>
      </c>
      <c r="D166" t="str">
        <f>IFERROR(__xludf.DUMMYFUNCTION("""COMPUTED_VALUE"""),"Salt")</f>
        <v>Salt</v>
      </c>
      <c r="E166" t="str">
        <f>IFERROR(__xludf.DUMMYFUNCTION("""COMPUTED_VALUE"""),"Ava Max")</f>
        <v>Ava Max</v>
      </c>
      <c r="F166" t="str">
        <f>IFERROR(__xludf.DUMMYFUNCTION("""COMPUTED_VALUE"""),"Salt")</f>
        <v>Salt</v>
      </c>
      <c r="G166">
        <f>IFERROR(__xludf.DUMMYFUNCTION("""COMPUTED_VALUE"""),0.0)</f>
        <v>0</v>
      </c>
      <c r="H166" s="5">
        <f>IFERROR(__xludf.DUMMYFUNCTION("""COMPUTED_VALUE"""),0.125)</f>
        <v>0.125</v>
      </c>
    </row>
    <row r="167">
      <c r="A167" t="str">
        <f>IFERROR(__xludf.DUMMYFUNCTION("""COMPUTED_VALUE"""),"Austria")</f>
        <v>Austria</v>
      </c>
      <c r="B167" t="str">
        <f>IFERROR(__xludf.DUMMYFUNCTION("""COMPUTED_VALUE"""),"Europe")</f>
        <v>Europe</v>
      </c>
      <c r="C167">
        <f>IFERROR(__xludf.DUMMYFUNCTION("""COMPUTED_VALUE"""),16.0)</f>
        <v>16</v>
      </c>
      <c r="D167" t="str">
        <f>IFERROR(__xludf.DUMMYFUNCTION("""COMPUTED_VALUE"""),"Rain On Me (with Ariana Grande)")</f>
        <v>Rain On Me (with Ariana Grande)</v>
      </c>
      <c r="E167" t="str">
        <f>IFERROR(__xludf.DUMMYFUNCTION("""COMPUTED_VALUE"""),"Lady Gaga, Ariana Grande")</f>
        <v>Lady Gaga, Ariana Grande</v>
      </c>
      <c r="F167" t="str">
        <f>IFERROR(__xludf.DUMMYFUNCTION("""COMPUTED_VALUE"""),"Rain On Me (with Ariana Grande)")</f>
        <v>Rain On Me (with Ariana Grande)</v>
      </c>
      <c r="G167">
        <f>IFERROR(__xludf.DUMMYFUNCTION("""COMPUTED_VALUE"""),0.0)</f>
        <v>0</v>
      </c>
      <c r="H167" s="5">
        <f>IFERROR(__xludf.DUMMYFUNCTION("""COMPUTED_VALUE"""),0.12638888888977817)</f>
        <v>0.1263888889</v>
      </c>
    </row>
    <row r="168">
      <c r="A168" t="str">
        <f>IFERROR(__xludf.DUMMYFUNCTION("""COMPUTED_VALUE"""),"Austria")</f>
        <v>Austria</v>
      </c>
      <c r="B168" t="str">
        <f>IFERROR(__xludf.DUMMYFUNCTION("""COMPUTED_VALUE"""),"Europe")</f>
        <v>Europe</v>
      </c>
      <c r="C168">
        <f>IFERROR(__xludf.DUMMYFUNCTION("""COMPUTED_VALUE"""),17.0)</f>
        <v>17</v>
      </c>
      <c r="D168" t="str">
        <f>IFERROR(__xludf.DUMMYFUNCTION("""COMPUTED_VALUE"""),"Emotions")</f>
        <v>Emotions</v>
      </c>
      <c r="E168" t="str">
        <f>IFERROR(__xludf.DUMMYFUNCTION("""COMPUTED_VALUE"""),"Ufo361")</f>
        <v>Ufo361</v>
      </c>
      <c r="F168" t="str">
        <f>IFERROR(__xludf.DUMMYFUNCTION("""COMPUTED_VALUE"""),"Rich Rich")</f>
        <v>Rich Rich</v>
      </c>
      <c r="G168">
        <f>IFERROR(__xludf.DUMMYFUNCTION("""COMPUTED_VALUE"""),0.0)</f>
        <v>0</v>
      </c>
      <c r="H168" s="5">
        <f>IFERROR(__xludf.DUMMYFUNCTION("""COMPUTED_VALUE"""),0.10138888888832298)</f>
        <v>0.1013888889</v>
      </c>
    </row>
    <row r="169">
      <c r="A169" t="str">
        <f>IFERROR(__xludf.DUMMYFUNCTION("""COMPUTED_VALUE"""),"Austria")</f>
        <v>Austria</v>
      </c>
      <c r="B169" t="str">
        <f>IFERROR(__xludf.DUMMYFUNCTION("""COMPUTED_VALUE"""),"Europe")</f>
        <v>Europe</v>
      </c>
      <c r="C169">
        <f>IFERROR(__xludf.DUMMYFUNCTION("""COMPUTED_VALUE"""),18.0)</f>
        <v>18</v>
      </c>
      <c r="D169" t="str">
        <f>IFERROR(__xludf.DUMMYFUNCTION("""COMPUTED_VALUE"""),"THE SCOTTS")</f>
        <v>THE SCOTTS</v>
      </c>
      <c r="E169" t="str">
        <f>IFERROR(__xludf.DUMMYFUNCTION("""COMPUTED_VALUE"""),"THE SCOTTS, Travis Scott, Kid Cudi")</f>
        <v>THE SCOTTS, Travis Scott, Kid Cudi</v>
      </c>
      <c r="F169" t="str">
        <f>IFERROR(__xludf.DUMMYFUNCTION("""COMPUTED_VALUE"""),"THE SCOTTS")</f>
        <v>THE SCOTTS</v>
      </c>
      <c r="G169">
        <f>IFERROR(__xludf.DUMMYFUNCTION("""COMPUTED_VALUE"""),1.0)</f>
        <v>1</v>
      </c>
      <c r="H169" s="5">
        <f>IFERROR(__xludf.DUMMYFUNCTION("""COMPUTED_VALUE"""),0.11458333333212067)</f>
        <v>0.1145833333</v>
      </c>
    </row>
    <row r="170">
      <c r="A170" t="str">
        <f>IFERROR(__xludf.DUMMYFUNCTION("""COMPUTED_VALUE"""),"Austria")</f>
        <v>Austria</v>
      </c>
      <c r="B170" t="str">
        <f>IFERROR(__xludf.DUMMYFUNCTION("""COMPUTED_VALUE"""),"Europe")</f>
        <v>Europe</v>
      </c>
      <c r="C170">
        <f>IFERROR(__xludf.DUMMYFUNCTION("""COMPUTED_VALUE"""),19.0)</f>
        <v>19</v>
      </c>
      <c r="D170" t="str">
        <f>IFERROR(__xludf.DUMMYFUNCTION("""COMPUTED_VALUE"""),"Supalonely")</f>
        <v>Supalonely</v>
      </c>
      <c r="E170" t="str">
        <f>IFERROR(__xludf.DUMMYFUNCTION("""COMPUTED_VALUE"""),"BENEE, Gus Dapperton")</f>
        <v>BENEE, Gus Dapperton</v>
      </c>
      <c r="F170" t="str">
        <f>IFERROR(__xludf.DUMMYFUNCTION("""COMPUTED_VALUE"""),"STELLA &amp; STEVE")</f>
        <v>STELLA &amp; STEVE</v>
      </c>
      <c r="G170">
        <f>IFERROR(__xludf.DUMMYFUNCTION("""COMPUTED_VALUE"""),1.0)</f>
        <v>1</v>
      </c>
      <c r="H170" s="5">
        <f>IFERROR(__xludf.DUMMYFUNCTION("""COMPUTED_VALUE"""),0.15486111111022183)</f>
        <v>0.1548611111</v>
      </c>
    </row>
    <row r="171">
      <c r="A171" t="str">
        <f>IFERROR(__xludf.DUMMYFUNCTION("""COMPUTED_VALUE"""),"Austria")</f>
        <v>Austria</v>
      </c>
      <c r="B171" t="str">
        <f>IFERROR(__xludf.DUMMYFUNCTION("""COMPUTED_VALUE"""),"Europe")</f>
        <v>Europe</v>
      </c>
      <c r="C171">
        <f>IFERROR(__xludf.DUMMYFUNCTION("""COMPUTED_VALUE"""),20.0)</f>
        <v>20</v>
      </c>
      <c r="D171" t="str">
        <f>IFERROR(__xludf.DUMMYFUNCTION("""COMPUTED_VALUE"""),"Dance Monkey")</f>
        <v>Dance Monkey</v>
      </c>
      <c r="E171" t="str">
        <f>IFERROR(__xludf.DUMMYFUNCTION("""COMPUTED_VALUE"""),"Tones And I")</f>
        <v>Tones And I</v>
      </c>
      <c r="F171" t="str">
        <f>IFERROR(__xludf.DUMMYFUNCTION("""COMPUTED_VALUE"""),"Dance Monkey (Stripped Back) / Dance Monkey")</f>
        <v>Dance Monkey (Stripped Back) / Dance Monkey</v>
      </c>
      <c r="G171">
        <f>IFERROR(__xludf.DUMMYFUNCTION("""COMPUTED_VALUE"""),0.0)</f>
        <v>0</v>
      </c>
      <c r="H171" s="5">
        <f>IFERROR(__xludf.DUMMYFUNCTION("""COMPUTED_VALUE"""),0.14513888888905058)</f>
        <v>0.1451388889</v>
      </c>
    </row>
    <row r="172">
      <c r="A172" t="str">
        <f>IFERROR(__xludf.DUMMYFUNCTION("""COMPUTED_VALUE"""),"Austria")</f>
        <v>Austria</v>
      </c>
      <c r="B172" t="str">
        <f>IFERROR(__xludf.DUMMYFUNCTION("""COMPUTED_VALUE"""),"Europe")</f>
        <v>Europe</v>
      </c>
      <c r="C172">
        <f>IFERROR(__xludf.DUMMYFUNCTION("""COMPUTED_VALUE"""),21.0)</f>
        <v>21</v>
      </c>
      <c r="D172" t="str">
        <f>IFERROR(__xludf.DUMMYFUNCTION("""COMPUTED_VALUE"""),"In Your Eyes (feat. Alida)")</f>
        <v>In Your Eyes (feat. Alida)</v>
      </c>
      <c r="E172" t="str">
        <f>IFERROR(__xludf.DUMMYFUNCTION("""COMPUTED_VALUE"""),"Robin Schulz, Alida")</f>
        <v>Robin Schulz, Alida</v>
      </c>
      <c r="F172" t="str">
        <f>IFERROR(__xludf.DUMMYFUNCTION("""COMPUTED_VALUE"""),"In Your Eyes (feat. Alida)")</f>
        <v>In Your Eyes (feat. Alida)</v>
      </c>
      <c r="G172">
        <f>IFERROR(__xludf.DUMMYFUNCTION("""COMPUTED_VALUE"""),0.0)</f>
        <v>0</v>
      </c>
      <c r="H172" s="5">
        <f>IFERROR(__xludf.DUMMYFUNCTION("""COMPUTED_VALUE"""),0.14444444444598048)</f>
        <v>0.1444444444</v>
      </c>
    </row>
    <row r="173">
      <c r="A173" t="str">
        <f>IFERROR(__xludf.DUMMYFUNCTION("""COMPUTED_VALUE"""),"Austria")</f>
        <v>Austria</v>
      </c>
      <c r="B173" t="str">
        <f>IFERROR(__xludf.DUMMYFUNCTION("""COMPUTED_VALUE"""),"Europe")</f>
        <v>Europe</v>
      </c>
      <c r="C173">
        <f>IFERROR(__xludf.DUMMYFUNCTION("""COMPUTED_VALUE"""),22.0)</f>
        <v>22</v>
      </c>
      <c r="D173" t="str">
        <f>IFERROR(__xludf.DUMMYFUNCTION("""COMPUTED_VALUE"""),"death bed (coffee for your head) (feat. beabadoobee)")</f>
        <v>death bed (coffee for your head) (feat. beabadoobee)</v>
      </c>
      <c r="E173" t="str">
        <f>IFERROR(__xludf.DUMMYFUNCTION("""COMPUTED_VALUE"""),"Powfu, beabadoobee")</f>
        <v>Powfu, beabadoobee</v>
      </c>
      <c r="F173" t="str">
        <f>IFERROR(__xludf.DUMMYFUNCTION("""COMPUTED_VALUE"""),"death bed (coffee for your head) (feat. beabadoobee)")</f>
        <v>death bed (coffee for your head) (feat. beabadoobee)</v>
      </c>
      <c r="G173">
        <f>IFERROR(__xludf.DUMMYFUNCTION("""COMPUTED_VALUE"""),0.0)</f>
        <v>0</v>
      </c>
      <c r="H173" s="5">
        <f>IFERROR(__xludf.DUMMYFUNCTION("""COMPUTED_VALUE"""),0.12013888888759539)</f>
        <v>0.1201388889</v>
      </c>
    </row>
    <row r="174">
      <c r="A174" t="str">
        <f>IFERROR(__xludf.DUMMYFUNCTION("""COMPUTED_VALUE"""),"Austria")</f>
        <v>Austria</v>
      </c>
      <c r="B174" t="str">
        <f>IFERROR(__xludf.DUMMYFUNCTION("""COMPUTED_VALUE"""),"Europe")</f>
        <v>Europe</v>
      </c>
      <c r="C174">
        <f>IFERROR(__xludf.DUMMYFUNCTION("""COMPUTED_VALUE"""),23.0)</f>
        <v>23</v>
      </c>
      <c r="D174" t="str">
        <f>IFERROR(__xludf.DUMMYFUNCTION("""COMPUTED_VALUE"""),"GEHT NICH GIBS NICH")</f>
        <v>GEHT NICH GIBS NICH</v>
      </c>
      <c r="E174" t="str">
        <f>IFERROR(__xludf.DUMMYFUNCTION("""COMPUTED_VALUE"""),"KC Rebell, Summer Cem")</f>
        <v>KC Rebell, Summer Cem</v>
      </c>
      <c r="F174" t="str">
        <f>IFERROR(__xludf.DUMMYFUNCTION("""COMPUTED_VALUE"""),"GEHT NICH GIBS NICH")</f>
        <v>GEHT NICH GIBS NICH</v>
      </c>
      <c r="G174">
        <f>IFERROR(__xludf.DUMMYFUNCTION("""COMPUTED_VALUE"""),0.0)</f>
        <v>0</v>
      </c>
      <c r="H174" s="5">
        <f>IFERROR(__xludf.DUMMYFUNCTION("""COMPUTED_VALUE"""),0.125)</f>
        <v>0.125</v>
      </c>
    </row>
    <row r="175">
      <c r="A175" t="str">
        <f>IFERROR(__xludf.DUMMYFUNCTION("""COMPUTED_VALUE"""),"Austria")</f>
        <v>Austria</v>
      </c>
      <c r="B175" t="str">
        <f>IFERROR(__xludf.DUMMYFUNCTION("""COMPUTED_VALUE"""),"Europe")</f>
        <v>Europe</v>
      </c>
      <c r="C175">
        <f>IFERROR(__xludf.DUMMYFUNCTION("""COMPUTED_VALUE"""),24.0)</f>
        <v>24</v>
      </c>
      <c r="D175" t="str">
        <f>IFERROR(__xludf.DUMMYFUNCTION("""COMPUTED_VALUE"""),"Kings &amp; Queens")</f>
        <v>Kings &amp; Queens</v>
      </c>
      <c r="E175" t="str">
        <f>IFERROR(__xludf.DUMMYFUNCTION("""COMPUTED_VALUE"""),"Ava Max")</f>
        <v>Ava Max</v>
      </c>
      <c r="F175" t="str">
        <f>IFERROR(__xludf.DUMMYFUNCTION("""COMPUTED_VALUE"""),"Kings &amp; Queens")</f>
        <v>Kings &amp; Queens</v>
      </c>
      <c r="G175">
        <f>IFERROR(__xludf.DUMMYFUNCTION("""COMPUTED_VALUE"""),0.0)</f>
        <v>0</v>
      </c>
      <c r="H175" s="5">
        <f>IFERROR(__xludf.DUMMYFUNCTION("""COMPUTED_VALUE"""),0.1124999999992724)</f>
        <v>0.1125</v>
      </c>
    </row>
    <row r="176">
      <c r="A176" t="str">
        <f>IFERROR(__xludf.DUMMYFUNCTION("""COMPUTED_VALUE"""),"Austria")</f>
        <v>Austria</v>
      </c>
      <c r="B176" t="str">
        <f>IFERROR(__xludf.DUMMYFUNCTION("""COMPUTED_VALUE"""),"Europe")</f>
        <v>Europe</v>
      </c>
      <c r="C176">
        <f>IFERROR(__xludf.DUMMYFUNCTION("""COMPUTED_VALUE"""),25.0)</f>
        <v>25</v>
      </c>
      <c r="D176" t="str">
        <f>IFERROR(__xludf.DUMMYFUNCTION("""COMPUTED_VALUE"""),"Maison")</f>
        <v>Maison</v>
      </c>
      <c r="E176" t="str">
        <f>IFERROR(__xludf.DUMMYFUNCTION("""COMPUTED_VALUE"""),"Luciano")</f>
        <v>Luciano</v>
      </c>
      <c r="F176" t="str">
        <f>IFERROR(__xludf.DUMMYFUNCTION("""COMPUTED_VALUE"""),"Maison")</f>
        <v>Maison</v>
      </c>
      <c r="G176">
        <f>IFERROR(__xludf.DUMMYFUNCTION("""COMPUTED_VALUE"""),0.0)</f>
        <v>0</v>
      </c>
      <c r="H176" s="5">
        <f>IFERROR(__xludf.DUMMYFUNCTION("""COMPUTED_VALUE"""),0.13402777777810115)</f>
        <v>0.1340277778</v>
      </c>
    </row>
    <row r="177">
      <c r="A177" t="str">
        <f>IFERROR(__xludf.DUMMYFUNCTION("""COMPUTED_VALUE"""),"Austria")</f>
        <v>Austria</v>
      </c>
      <c r="B177" t="str">
        <f>IFERROR(__xludf.DUMMYFUNCTION("""COMPUTED_VALUE"""),"Europe")</f>
        <v>Europe</v>
      </c>
      <c r="C177">
        <f>IFERROR(__xludf.DUMMYFUNCTION("""COMPUTED_VALUE"""),26.0)</f>
        <v>26</v>
      </c>
      <c r="D177" t="str">
        <f>IFERROR(__xludf.DUMMYFUNCTION("""COMPUTED_VALUE"""),"90-60-111")</f>
        <v>90-60-111</v>
      </c>
      <c r="E177" t="str">
        <f>IFERROR(__xludf.DUMMYFUNCTION("""COMPUTED_VALUE"""),"Shirin David")</f>
        <v>Shirin David</v>
      </c>
      <c r="F177" t="str">
        <f>IFERROR(__xludf.DUMMYFUNCTION("""COMPUTED_VALUE"""),"90-60-111")</f>
        <v>90-60-111</v>
      </c>
      <c r="G177">
        <f>IFERROR(__xludf.DUMMYFUNCTION("""COMPUTED_VALUE"""),1.0)</f>
        <v>1</v>
      </c>
      <c r="H177" s="5">
        <f>IFERROR(__xludf.DUMMYFUNCTION("""COMPUTED_VALUE"""),0.09791666666569654)</f>
        <v>0.09791666667</v>
      </c>
    </row>
    <row r="178">
      <c r="A178" t="str">
        <f>IFERROR(__xludf.DUMMYFUNCTION("""COMPUTED_VALUE"""),"Austria")</f>
        <v>Austria</v>
      </c>
      <c r="B178" t="str">
        <f>IFERROR(__xludf.DUMMYFUNCTION("""COMPUTED_VALUE"""),"Europe")</f>
        <v>Europe</v>
      </c>
      <c r="C178">
        <f>IFERROR(__xludf.DUMMYFUNCTION("""COMPUTED_VALUE"""),27.0)</f>
        <v>27</v>
      </c>
      <c r="D178" t="str">
        <f>IFERROR(__xludf.DUMMYFUNCTION("""COMPUTED_VALUE"""),"Fingertips")</f>
        <v>Fingertips</v>
      </c>
      <c r="E178" t="str">
        <f>IFERROR(__xludf.DUMMYFUNCTION("""COMPUTED_VALUE"""),"Tom Gregory")</f>
        <v>Tom Gregory</v>
      </c>
      <c r="F178" t="str">
        <f>IFERROR(__xludf.DUMMYFUNCTION("""COMPUTED_VALUE"""),"Fingertips")</f>
        <v>Fingertips</v>
      </c>
      <c r="G178">
        <f>IFERROR(__xludf.DUMMYFUNCTION("""COMPUTED_VALUE"""),0.0)</f>
        <v>0</v>
      </c>
      <c r="H178" s="5">
        <f>IFERROR(__xludf.DUMMYFUNCTION("""COMPUTED_VALUE"""),0.11458333333212067)</f>
        <v>0.1145833333</v>
      </c>
    </row>
    <row r="179">
      <c r="A179" t="str">
        <f>IFERROR(__xludf.DUMMYFUNCTION("""COMPUTED_VALUE"""),"Austria")</f>
        <v>Austria</v>
      </c>
      <c r="B179" t="str">
        <f>IFERROR(__xludf.DUMMYFUNCTION("""COMPUTED_VALUE"""),"Europe")</f>
        <v>Europe</v>
      </c>
      <c r="C179">
        <f>IFERROR(__xludf.DUMMYFUNCTION("""COMPUTED_VALUE"""),28.0)</f>
        <v>28</v>
      </c>
      <c r="D179" t="str">
        <f>IFERROR(__xludf.DUMMYFUNCTION("""COMPUTED_VALUE"""),"Don't Start Now")</f>
        <v>Don't Start Now</v>
      </c>
      <c r="E179" t="str">
        <f>IFERROR(__xludf.DUMMYFUNCTION("""COMPUTED_VALUE"""),"Dua Lipa")</f>
        <v>Dua Lipa</v>
      </c>
      <c r="F179" t="str">
        <f>IFERROR(__xludf.DUMMYFUNCTION("""COMPUTED_VALUE"""),"Future Nostalgia")</f>
        <v>Future Nostalgia</v>
      </c>
      <c r="G179">
        <f>IFERROR(__xludf.DUMMYFUNCTION("""COMPUTED_VALUE"""),0.0)</f>
        <v>0</v>
      </c>
      <c r="H179" s="5">
        <f>IFERROR(__xludf.DUMMYFUNCTION("""COMPUTED_VALUE"""),0.12708333333284827)</f>
        <v>0.1270833333</v>
      </c>
    </row>
    <row r="180">
      <c r="A180" t="str">
        <f>IFERROR(__xludf.DUMMYFUNCTION("""COMPUTED_VALUE"""),"Austria")</f>
        <v>Austria</v>
      </c>
      <c r="B180" t="str">
        <f>IFERROR(__xludf.DUMMYFUNCTION("""COMPUTED_VALUE"""),"Europe")</f>
        <v>Europe</v>
      </c>
      <c r="C180">
        <f>IFERROR(__xludf.DUMMYFUNCTION("""COMPUTED_VALUE"""),29.0)</f>
        <v>29</v>
      </c>
      <c r="D180" t="str">
        <f>IFERROR(__xludf.DUMMYFUNCTION("""COMPUTED_VALUE"""),"Ich würd' lügen")</f>
        <v>Ich würd' lügen</v>
      </c>
      <c r="E180" t="str">
        <f>IFERROR(__xludf.DUMMYFUNCTION("""COMPUTED_VALUE"""),"KAYEF")</f>
        <v>KAYEF</v>
      </c>
      <c r="F180" t="str">
        <f>IFERROR(__xludf.DUMMYFUNCTION("""COMPUTED_VALUE"""),"Struggle Is Real")</f>
        <v>Struggle Is Real</v>
      </c>
      <c r="G180">
        <f>IFERROR(__xludf.DUMMYFUNCTION("""COMPUTED_VALUE"""),0.0)</f>
        <v>0</v>
      </c>
      <c r="H180" s="5">
        <f>IFERROR(__xludf.DUMMYFUNCTION("""COMPUTED_VALUE"""),0.11319444444598048)</f>
        <v>0.1131944444</v>
      </c>
    </row>
    <row r="181">
      <c r="A181" t="str">
        <f>IFERROR(__xludf.DUMMYFUNCTION("""COMPUTED_VALUE"""),"Austria")</f>
        <v>Austria</v>
      </c>
      <c r="B181" t="str">
        <f>IFERROR(__xludf.DUMMYFUNCTION("""COMPUTED_VALUE"""),"Europe")</f>
        <v>Europe</v>
      </c>
      <c r="C181">
        <f>IFERROR(__xludf.DUMMYFUNCTION("""COMPUTED_VALUE"""),30.0)</f>
        <v>30</v>
      </c>
      <c r="D181" t="str">
        <f>IFERROR(__xludf.DUMMYFUNCTION("""COMPUTED_VALUE"""),"Shotz Fired")</f>
        <v>Shotz Fired</v>
      </c>
      <c r="E181" t="str">
        <f>IFERROR(__xludf.DUMMYFUNCTION("""COMPUTED_VALUE"""),"Bonez MC")</f>
        <v>Bonez MC</v>
      </c>
      <c r="F181" t="str">
        <f>IFERROR(__xludf.DUMMYFUNCTION("""COMPUTED_VALUE"""),"Shotz Fired")</f>
        <v>Shotz Fired</v>
      </c>
      <c r="G181">
        <f>IFERROR(__xludf.DUMMYFUNCTION("""COMPUTED_VALUE"""),1.0)</f>
        <v>1</v>
      </c>
      <c r="H181" s="5">
        <f>IFERROR(__xludf.DUMMYFUNCTION("""COMPUTED_VALUE"""),0.1243055555569299)</f>
        <v>0.1243055556</v>
      </c>
    </row>
    <row r="182">
      <c r="A182" t="str">
        <f>IFERROR(__xludf.DUMMYFUNCTION("""COMPUTED_VALUE"""),"Austria")</f>
        <v>Austria</v>
      </c>
      <c r="B182" t="str">
        <f>IFERROR(__xludf.DUMMYFUNCTION("""COMPUTED_VALUE"""),"Europe")</f>
        <v>Europe</v>
      </c>
      <c r="C182">
        <f>IFERROR(__xludf.DUMMYFUNCTION("""COMPUTED_VALUE"""),31.0)</f>
        <v>31</v>
      </c>
      <c r="D182" t="str">
        <f>IFERROR(__xludf.DUMMYFUNCTION("""COMPUTED_VALUE"""),"Falling")</f>
        <v>Falling</v>
      </c>
      <c r="E182" t="str">
        <f>IFERROR(__xludf.DUMMYFUNCTION("""COMPUTED_VALUE"""),"Trevor Daniel")</f>
        <v>Trevor Daniel</v>
      </c>
      <c r="F182" t="str">
        <f>IFERROR(__xludf.DUMMYFUNCTION("""COMPUTED_VALUE"""),"Nicotine")</f>
        <v>Nicotine</v>
      </c>
      <c r="G182">
        <f>IFERROR(__xludf.DUMMYFUNCTION("""COMPUTED_VALUE"""),0.0)</f>
        <v>0</v>
      </c>
      <c r="H182" s="5">
        <f>IFERROR(__xludf.DUMMYFUNCTION("""COMPUTED_VALUE"""),0.11041666666642413)</f>
        <v>0.1104166667</v>
      </c>
    </row>
    <row r="183">
      <c r="A183" t="str">
        <f>IFERROR(__xludf.DUMMYFUNCTION("""COMPUTED_VALUE"""),"Austria")</f>
        <v>Austria</v>
      </c>
      <c r="B183" t="str">
        <f>IFERROR(__xludf.DUMMYFUNCTION("""COMPUTED_VALUE"""),"Europe")</f>
        <v>Europe</v>
      </c>
      <c r="C183">
        <f>IFERROR(__xludf.DUMMYFUNCTION("""COMPUTED_VALUE"""),32.0)</f>
        <v>32</v>
      </c>
      <c r="D183" t="str">
        <f>IFERROR(__xludf.DUMMYFUNCTION("""COMPUTED_VALUE"""),"The Passenger (LaLaLa)")</f>
        <v>The Passenger (LaLaLa)</v>
      </c>
      <c r="E183" t="str">
        <f>IFERROR(__xludf.DUMMYFUNCTION("""COMPUTED_VALUE"""),"LUM!X, MOKABY &amp; D.T.E, Gabry Ponte")</f>
        <v>LUM!X, MOKABY &amp; D.T.E, Gabry Ponte</v>
      </c>
      <c r="F183" t="str">
        <f>IFERROR(__xludf.DUMMYFUNCTION("""COMPUTED_VALUE"""),"The Passenger (LaLaLa)")</f>
        <v>The Passenger (LaLaLa)</v>
      </c>
      <c r="G183">
        <f>IFERROR(__xludf.DUMMYFUNCTION("""COMPUTED_VALUE"""),0.0)</f>
        <v>0</v>
      </c>
      <c r="H183" s="5">
        <f>IFERROR(__xludf.DUMMYFUNCTION("""COMPUTED_VALUE"""),0.11041666666642413)</f>
        <v>0.1104166667</v>
      </c>
    </row>
    <row r="184">
      <c r="A184" t="str">
        <f>IFERROR(__xludf.DUMMYFUNCTION("""COMPUTED_VALUE"""),"Austria")</f>
        <v>Austria</v>
      </c>
      <c r="B184" t="str">
        <f>IFERROR(__xludf.DUMMYFUNCTION("""COMPUTED_VALUE"""),"Europe")</f>
        <v>Europe</v>
      </c>
      <c r="C184">
        <f>IFERROR(__xludf.DUMMYFUNCTION("""COMPUTED_VALUE"""),33.0)</f>
        <v>33</v>
      </c>
      <c r="D184" t="str">
        <f>IFERROR(__xludf.DUMMYFUNCTION("""COMPUTED_VALUE"""),"Stuck with U (with Justin Bieber)")</f>
        <v>Stuck with U (with Justin Bieber)</v>
      </c>
      <c r="E184" t="str">
        <f>IFERROR(__xludf.DUMMYFUNCTION("""COMPUTED_VALUE"""),"Ariana Grande, Justin Bieber")</f>
        <v>Ariana Grande, Justin Bieber</v>
      </c>
      <c r="F184" t="str">
        <f>IFERROR(__xludf.DUMMYFUNCTION("""COMPUTED_VALUE"""),"Stuck with U")</f>
        <v>Stuck with U</v>
      </c>
      <c r="G184">
        <f>IFERROR(__xludf.DUMMYFUNCTION("""COMPUTED_VALUE"""),0.0)</f>
        <v>0</v>
      </c>
      <c r="H184" s="5">
        <f>IFERROR(__xludf.DUMMYFUNCTION("""COMPUTED_VALUE"""),0.15833333333284827)</f>
        <v>0.1583333333</v>
      </c>
    </row>
    <row r="185">
      <c r="A185" t="str">
        <f>IFERROR(__xludf.DUMMYFUNCTION("""COMPUTED_VALUE"""),"Austria")</f>
        <v>Austria</v>
      </c>
      <c r="B185" t="str">
        <f>IFERROR(__xludf.DUMMYFUNCTION("""COMPUTED_VALUE"""),"Europe")</f>
        <v>Europe</v>
      </c>
      <c r="C185">
        <f>IFERROR(__xludf.DUMMYFUNCTION("""COMPUTED_VALUE"""),34.0)</f>
        <v>34</v>
      </c>
      <c r="D185" t="str">
        <f>IFERROR(__xludf.DUMMYFUNCTION("""COMPUTED_VALUE"""),"Late Night")</f>
        <v>Late Night</v>
      </c>
      <c r="E185" t="str">
        <f>IFERROR(__xludf.DUMMYFUNCTION("""COMPUTED_VALUE"""),"Luciano")</f>
        <v>Luciano</v>
      </c>
      <c r="F185" t="str">
        <f>IFERROR(__xludf.DUMMYFUNCTION("""COMPUTED_VALUE"""),"Late Night")</f>
        <v>Late Night</v>
      </c>
      <c r="G185">
        <f>IFERROR(__xludf.DUMMYFUNCTION("""COMPUTED_VALUE"""),0.0)</f>
        <v>0</v>
      </c>
      <c r="H185" s="5">
        <f>IFERROR(__xludf.DUMMYFUNCTION("""COMPUTED_VALUE"""),0.13888888889050577)</f>
        <v>0.1388888889</v>
      </c>
    </row>
    <row r="186">
      <c r="A186" t="str">
        <f>IFERROR(__xludf.DUMMYFUNCTION("""COMPUTED_VALUE"""),"Austria")</f>
        <v>Austria</v>
      </c>
      <c r="B186" t="str">
        <f>IFERROR(__xludf.DUMMYFUNCTION("""COMPUTED_VALUE"""),"Europe")</f>
        <v>Europe</v>
      </c>
      <c r="C186">
        <f>IFERROR(__xludf.DUMMYFUNCTION("""COMPUTED_VALUE"""),35.0)</f>
        <v>35</v>
      </c>
      <c r="D186" t="str">
        <f>IFERROR(__xludf.DUMMYFUNCTION("""COMPUTED_VALUE"""),"Some Say - Felix Jaehn Remix")</f>
        <v>Some Say - Felix Jaehn Remix</v>
      </c>
      <c r="E186" t="str">
        <f>IFERROR(__xludf.DUMMYFUNCTION("""COMPUTED_VALUE"""),"Nea, Felix Jaehn")</f>
        <v>Nea, Felix Jaehn</v>
      </c>
      <c r="F186" t="str">
        <f>IFERROR(__xludf.DUMMYFUNCTION("""COMPUTED_VALUE"""),"Some Say (Felix Jaehn Remix)")</f>
        <v>Some Say (Felix Jaehn Remix)</v>
      </c>
      <c r="G186">
        <f>IFERROR(__xludf.DUMMYFUNCTION("""COMPUTED_VALUE"""),0.0)</f>
        <v>0</v>
      </c>
      <c r="H186" s="5">
        <f>IFERROR(__xludf.DUMMYFUNCTION("""COMPUTED_VALUE"""),0.12916666666569654)</f>
        <v>0.1291666667</v>
      </c>
    </row>
    <row r="187">
      <c r="A187" t="str">
        <f>IFERROR(__xludf.DUMMYFUNCTION("""COMPUTED_VALUE"""),"Austria")</f>
        <v>Austria</v>
      </c>
      <c r="B187" t="str">
        <f>IFERROR(__xludf.DUMMYFUNCTION("""COMPUTED_VALUE"""),"Europe")</f>
        <v>Europe</v>
      </c>
      <c r="C187">
        <f>IFERROR(__xludf.DUMMYFUNCTION("""COMPUTED_VALUE"""),36.0)</f>
        <v>36</v>
      </c>
      <c r="D187" t="str">
        <f>IFERROR(__xludf.DUMMYFUNCTION("""COMPUTED_VALUE"""),"The Box")</f>
        <v>The Box</v>
      </c>
      <c r="E187" t="str">
        <f>IFERROR(__xludf.DUMMYFUNCTION("""COMPUTED_VALUE"""),"Roddy Ricch")</f>
        <v>Roddy Ricch</v>
      </c>
      <c r="F187" t="str">
        <f>IFERROR(__xludf.DUMMYFUNCTION("""COMPUTED_VALUE"""),"Please Excuse Me For Being Antisocial")</f>
        <v>Please Excuse Me For Being Antisocial</v>
      </c>
      <c r="G187">
        <f>IFERROR(__xludf.DUMMYFUNCTION("""COMPUTED_VALUE"""),1.0)</f>
        <v>1</v>
      </c>
      <c r="H187" s="5">
        <f>IFERROR(__xludf.DUMMYFUNCTION("""COMPUTED_VALUE"""),0.13611111111094942)</f>
        <v>0.1361111111</v>
      </c>
    </row>
    <row r="188">
      <c r="A188" t="str">
        <f>IFERROR(__xludf.DUMMYFUNCTION("""COMPUTED_VALUE"""),"Austria")</f>
        <v>Austria</v>
      </c>
      <c r="B188" t="str">
        <f>IFERROR(__xludf.DUMMYFUNCTION("""COMPUTED_VALUE"""),"Europe")</f>
        <v>Europe</v>
      </c>
      <c r="C188">
        <f>IFERROR(__xludf.DUMMYFUNCTION("""COMPUTED_VALUE"""),37.0)</f>
        <v>37</v>
      </c>
      <c r="D188" t="str">
        <f>IFERROR(__xludf.DUMMYFUNCTION("""COMPUTED_VALUE"""),"Blueberry Faygo")</f>
        <v>Blueberry Faygo</v>
      </c>
      <c r="E188" t="str">
        <f>IFERROR(__xludf.DUMMYFUNCTION("""COMPUTED_VALUE"""),"Lil Mosey")</f>
        <v>Lil Mosey</v>
      </c>
      <c r="F188" t="str">
        <f>IFERROR(__xludf.DUMMYFUNCTION("""COMPUTED_VALUE"""),"Certified Hitmaker")</f>
        <v>Certified Hitmaker</v>
      </c>
      <c r="G188">
        <f>IFERROR(__xludf.DUMMYFUNCTION("""COMPUTED_VALUE"""),1.0)</f>
        <v>1</v>
      </c>
      <c r="H188" s="5">
        <f>IFERROR(__xludf.DUMMYFUNCTION("""COMPUTED_VALUE"""),0.1124999999992724)</f>
        <v>0.1125</v>
      </c>
    </row>
    <row r="189">
      <c r="A189" t="str">
        <f>IFERROR(__xludf.DUMMYFUNCTION("""COMPUTED_VALUE"""),"Austria")</f>
        <v>Austria</v>
      </c>
      <c r="B189" t="str">
        <f>IFERROR(__xludf.DUMMYFUNCTION("""COMPUTED_VALUE"""),"Europe")</f>
        <v>Europe</v>
      </c>
      <c r="C189">
        <f>IFERROR(__xludf.DUMMYFUNCTION("""COMPUTED_VALUE"""),38.0)</f>
        <v>38</v>
      </c>
      <c r="D189" t="str">
        <f>IFERROR(__xludf.DUMMYFUNCTION("""COMPUTED_VALUE"""),"Lose Somebody")</f>
        <v>Lose Somebody</v>
      </c>
      <c r="E189" t="str">
        <f>IFERROR(__xludf.DUMMYFUNCTION("""COMPUTED_VALUE"""),"Kygo, OneRepublic")</f>
        <v>Kygo, OneRepublic</v>
      </c>
      <c r="F189" t="str">
        <f>IFERROR(__xludf.DUMMYFUNCTION("""COMPUTED_VALUE"""),"Lose Somebody")</f>
        <v>Lose Somebody</v>
      </c>
      <c r="G189">
        <f>IFERROR(__xludf.DUMMYFUNCTION("""COMPUTED_VALUE"""),0.0)</f>
        <v>0</v>
      </c>
      <c r="H189" s="5">
        <f>IFERROR(__xludf.DUMMYFUNCTION("""COMPUTED_VALUE"""),0.1381944444437977)</f>
        <v>0.1381944444</v>
      </c>
    </row>
    <row r="190">
      <c r="A190" t="str">
        <f>IFERROR(__xludf.DUMMYFUNCTION("""COMPUTED_VALUE"""),"Austria")</f>
        <v>Austria</v>
      </c>
      <c r="B190" t="str">
        <f>IFERROR(__xludf.DUMMYFUNCTION("""COMPUTED_VALUE"""),"Europe")</f>
        <v>Europe</v>
      </c>
      <c r="C190">
        <f>IFERROR(__xludf.DUMMYFUNCTION("""COMPUTED_VALUE"""),39.0)</f>
        <v>39</v>
      </c>
      <c r="D190" t="str">
        <f>IFERROR(__xludf.DUMMYFUNCTION("""COMPUTED_VALUE"""),"goosebumps")</f>
        <v>goosebumps</v>
      </c>
      <c r="E190" t="str">
        <f>IFERROR(__xludf.DUMMYFUNCTION("""COMPUTED_VALUE"""),"Travis Scott")</f>
        <v>Travis Scott</v>
      </c>
      <c r="F190" t="str">
        <f>IFERROR(__xludf.DUMMYFUNCTION("""COMPUTED_VALUE"""),"Birds In The Trap Sing McKnight")</f>
        <v>Birds In The Trap Sing McKnight</v>
      </c>
      <c r="G190">
        <f>IFERROR(__xludf.DUMMYFUNCTION("""COMPUTED_VALUE"""),1.0)</f>
        <v>1</v>
      </c>
      <c r="H190" s="5">
        <f>IFERROR(__xludf.DUMMYFUNCTION("""COMPUTED_VALUE"""),0.1687500000007276)</f>
        <v>0.16875</v>
      </c>
    </row>
    <row r="191">
      <c r="A191" t="str">
        <f>IFERROR(__xludf.DUMMYFUNCTION("""COMPUTED_VALUE"""),"Austria")</f>
        <v>Austria</v>
      </c>
      <c r="B191" t="str">
        <f>IFERROR(__xludf.DUMMYFUNCTION("""COMPUTED_VALUE"""),"Europe")</f>
        <v>Europe</v>
      </c>
      <c r="C191">
        <f>IFERROR(__xludf.DUMMYFUNCTION("""COMPUTED_VALUE"""),40.0)</f>
        <v>40</v>
      </c>
      <c r="D191" t="str">
        <f>IFERROR(__xludf.DUMMYFUNCTION("""COMPUTED_VALUE"""),"HIGHEST IN THE ROOM")</f>
        <v>HIGHEST IN THE ROOM</v>
      </c>
      <c r="E191" t="str">
        <f>IFERROR(__xludf.DUMMYFUNCTION("""COMPUTED_VALUE"""),"Travis Scott")</f>
        <v>Travis Scott</v>
      </c>
      <c r="F191" t="str">
        <f>IFERROR(__xludf.DUMMYFUNCTION("""COMPUTED_VALUE"""),"HIGHEST IN THE ROOM")</f>
        <v>HIGHEST IN THE ROOM</v>
      </c>
      <c r="G191">
        <f>IFERROR(__xludf.DUMMYFUNCTION("""COMPUTED_VALUE"""),1.0)</f>
        <v>1</v>
      </c>
      <c r="H191" s="5">
        <f>IFERROR(__xludf.DUMMYFUNCTION("""COMPUTED_VALUE"""),0.12152777777737356)</f>
        <v>0.1215277778</v>
      </c>
    </row>
    <row r="192">
      <c r="A192" t="str">
        <f>IFERROR(__xludf.DUMMYFUNCTION("""COMPUTED_VALUE"""),"Austria")</f>
        <v>Austria</v>
      </c>
      <c r="B192" t="str">
        <f>IFERROR(__xludf.DUMMYFUNCTION("""COMPUTED_VALUE"""),"Europe")</f>
        <v>Europe</v>
      </c>
      <c r="C192">
        <f>IFERROR(__xludf.DUMMYFUNCTION("""COMPUTED_VALUE"""),41.0)</f>
        <v>41</v>
      </c>
      <c r="D192" t="str">
        <f>IFERROR(__xludf.DUMMYFUNCTION("""COMPUTED_VALUE"""),"MAMACITA")</f>
        <v>MAMACITA</v>
      </c>
      <c r="E192" t="str">
        <f>IFERROR(__xludf.DUMMYFUNCTION("""COMPUTED_VALUE"""),"Black Eyed Peas, Ozuna, J. Rey Soul")</f>
        <v>Black Eyed Peas, Ozuna, J. Rey Soul</v>
      </c>
      <c r="F192" t="str">
        <f>IFERROR(__xludf.DUMMYFUNCTION("""COMPUTED_VALUE"""),"MAMACITA")</f>
        <v>MAMACITA</v>
      </c>
      <c r="G192">
        <f>IFERROR(__xludf.DUMMYFUNCTION("""COMPUTED_VALUE"""),1.0)</f>
        <v>1</v>
      </c>
      <c r="H192" s="5">
        <f>IFERROR(__xludf.DUMMYFUNCTION("""COMPUTED_VALUE"""),0.17291666666642413)</f>
        <v>0.1729166667</v>
      </c>
    </row>
    <row r="193">
      <c r="A193" t="str">
        <f>IFERROR(__xludf.DUMMYFUNCTION("""COMPUTED_VALUE"""),"Austria")</f>
        <v>Austria</v>
      </c>
      <c r="B193" t="str">
        <f>IFERROR(__xludf.DUMMYFUNCTION("""COMPUTED_VALUE"""),"Europe")</f>
        <v>Europe</v>
      </c>
      <c r="C193">
        <f>IFERROR(__xludf.DUMMYFUNCTION("""COMPUTED_VALUE"""),42.0)</f>
        <v>42</v>
      </c>
      <c r="D193" t="str">
        <f>IFERROR(__xludf.DUMMYFUNCTION("""COMPUTED_VALUE"""),"WHATS POPPIN")</f>
        <v>WHATS POPPIN</v>
      </c>
      <c r="E193" t="str">
        <f>IFERROR(__xludf.DUMMYFUNCTION("""COMPUTED_VALUE"""),"Jack Harlow")</f>
        <v>Jack Harlow</v>
      </c>
      <c r="F193" t="str">
        <f>IFERROR(__xludf.DUMMYFUNCTION("""COMPUTED_VALUE"""),"Sweet Action")</f>
        <v>Sweet Action</v>
      </c>
      <c r="G193">
        <f>IFERROR(__xludf.DUMMYFUNCTION("""COMPUTED_VALUE"""),1.0)</f>
        <v>1</v>
      </c>
      <c r="H193" s="5">
        <f>IFERROR(__xludf.DUMMYFUNCTION("""COMPUTED_VALUE"""),0.09652777777955635)</f>
        <v>0.09652777778</v>
      </c>
    </row>
    <row r="194">
      <c r="A194" t="str">
        <f>IFERROR(__xludf.DUMMYFUNCTION("""COMPUTED_VALUE"""),"Austria")</f>
        <v>Austria</v>
      </c>
      <c r="B194" t="str">
        <f>IFERROR(__xludf.DUMMYFUNCTION("""COMPUTED_VALUE"""),"Europe")</f>
        <v>Europe</v>
      </c>
      <c r="C194">
        <f>IFERROR(__xludf.DUMMYFUNCTION("""COMPUTED_VALUE"""),43.0)</f>
        <v>43</v>
      </c>
      <c r="D194" t="str">
        <f>IFERROR(__xludf.DUMMYFUNCTION("""COMPUTED_VALUE"""),"Close Your Eyes")</f>
        <v>Close Your Eyes</v>
      </c>
      <c r="E194" t="str">
        <f>IFERROR(__xludf.DUMMYFUNCTION("""COMPUTED_VALUE"""),"Felix Jaehn, VIZE, Miss Li")</f>
        <v>Felix Jaehn, VIZE, Miss Li</v>
      </c>
      <c r="F194" t="str">
        <f>IFERROR(__xludf.DUMMYFUNCTION("""COMPUTED_VALUE"""),"Close Your Eyes")</f>
        <v>Close Your Eyes</v>
      </c>
      <c r="G194">
        <f>IFERROR(__xludf.DUMMYFUNCTION("""COMPUTED_VALUE"""),0.0)</f>
        <v>0</v>
      </c>
      <c r="H194" s="5">
        <f>IFERROR(__xludf.DUMMYFUNCTION("""COMPUTED_VALUE"""),0.11111111110949423)</f>
        <v>0.1111111111</v>
      </c>
    </row>
    <row r="195">
      <c r="A195" t="str">
        <f>IFERROR(__xludf.DUMMYFUNCTION("""COMPUTED_VALUE"""),"Austria")</f>
        <v>Austria</v>
      </c>
      <c r="B195" t="str">
        <f>IFERROR(__xludf.DUMMYFUNCTION("""COMPUTED_VALUE"""),"Europe")</f>
        <v>Europe</v>
      </c>
      <c r="C195">
        <f>IFERROR(__xludf.DUMMYFUNCTION("""COMPUTED_VALUE"""),44.0)</f>
        <v>44</v>
      </c>
      <c r="D195" t="str">
        <f>IFERROR(__xludf.DUMMYFUNCTION("""COMPUTED_VALUE"""),"Boss Bitch")</f>
        <v>Boss Bitch</v>
      </c>
      <c r="E195" t="str">
        <f>IFERROR(__xludf.DUMMYFUNCTION("""COMPUTED_VALUE"""),"Doja Cat")</f>
        <v>Doja Cat</v>
      </c>
      <c r="F195" t="str">
        <f>IFERROR(__xludf.DUMMYFUNCTION("""COMPUTED_VALUE"""),"Boss Bitch")</f>
        <v>Boss Bitch</v>
      </c>
      <c r="G195">
        <f>IFERROR(__xludf.DUMMYFUNCTION("""COMPUTED_VALUE"""),0.0)</f>
        <v>0</v>
      </c>
      <c r="H195" s="5">
        <f>IFERROR(__xludf.DUMMYFUNCTION("""COMPUTED_VALUE"""),0.0930555555569299)</f>
        <v>0.09305555556</v>
      </c>
    </row>
    <row r="196">
      <c r="A196" t="str">
        <f>IFERROR(__xludf.DUMMYFUNCTION("""COMPUTED_VALUE"""),"Austria")</f>
        <v>Austria</v>
      </c>
      <c r="B196" t="str">
        <f>IFERROR(__xludf.DUMMYFUNCTION("""COMPUTED_VALUE"""),"Europe")</f>
        <v>Europe</v>
      </c>
      <c r="C196">
        <f>IFERROR(__xludf.DUMMYFUNCTION("""COMPUTED_VALUE"""),45.0)</f>
        <v>45</v>
      </c>
      <c r="D196" t="str">
        <f>IFERROR(__xludf.DUMMYFUNCTION("""COMPUTED_VALUE"""),"Never Let Me Down")</f>
        <v>Never Let Me Down</v>
      </c>
      <c r="E196" t="str">
        <f>IFERROR(__xludf.DUMMYFUNCTION("""COMPUTED_VALUE"""),"VIZE, Tom Gregory")</f>
        <v>VIZE, Tom Gregory</v>
      </c>
      <c r="F196" t="str">
        <f>IFERROR(__xludf.DUMMYFUNCTION("""COMPUTED_VALUE"""),"Never Let Me Down")</f>
        <v>Never Let Me Down</v>
      </c>
      <c r="G196">
        <f>IFERROR(__xludf.DUMMYFUNCTION("""COMPUTED_VALUE"""),0.0)</f>
        <v>0</v>
      </c>
      <c r="H196" s="5">
        <f>IFERROR(__xludf.DUMMYFUNCTION("""COMPUTED_VALUE"""),0.1062500000007276)</f>
        <v>0.10625</v>
      </c>
    </row>
    <row r="197">
      <c r="A197" t="str">
        <f>IFERROR(__xludf.DUMMYFUNCTION("""COMPUTED_VALUE"""),"Austria")</f>
        <v>Austria</v>
      </c>
      <c r="B197" t="str">
        <f>IFERROR(__xludf.DUMMYFUNCTION("""COMPUTED_VALUE"""),"Europe")</f>
        <v>Europe</v>
      </c>
      <c r="C197">
        <f>IFERROR(__xludf.DUMMYFUNCTION("""COMPUTED_VALUE"""),46.0)</f>
        <v>46</v>
      </c>
      <c r="D197" t="str">
        <f>IFERROR(__xludf.DUMMYFUNCTION("""COMPUTED_VALUE"""),"Like I Love You")</f>
        <v>Like I Love You</v>
      </c>
      <c r="E197" t="str">
        <f>IFERROR(__xludf.DUMMYFUNCTION("""COMPUTED_VALUE"""),"Nico Santos, Topic")</f>
        <v>Nico Santos, Topic</v>
      </c>
      <c r="F197" t="str">
        <f>IFERROR(__xludf.DUMMYFUNCTION("""COMPUTED_VALUE"""),"Nico Santos")</f>
        <v>Nico Santos</v>
      </c>
      <c r="G197">
        <f>IFERROR(__xludf.DUMMYFUNCTION("""COMPUTED_VALUE"""),0.0)</f>
        <v>0</v>
      </c>
      <c r="H197" s="5">
        <f>IFERROR(__xludf.DUMMYFUNCTION("""COMPUTED_VALUE"""),0.14097222222335404)</f>
        <v>0.1409722222</v>
      </c>
    </row>
    <row r="198">
      <c r="A198" t="str">
        <f>IFERROR(__xludf.DUMMYFUNCTION("""COMPUTED_VALUE"""),"Austria")</f>
        <v>Austria</v>
      </c>
      <c r="B198" t="str">
        <f>IFERROR(__xludf.DUMMYFUNCTION("""COMPUTED_VALUE"""),"Europe")</f>
        <v>Europe</v>
      </c>
      <c r="C198">
        <f>IFERROR(__xludf.DUMMYFUNCTION("""COMPUTED_VALUE"""),47.0)</f>
        <v>47</v>
      </c>
      <c r="D198" t="str">
        <f>IFERROR(__xludf.DUMMYFUNCTION("""COMPUTED_VALUE"""),"Ride It")</f>
        <v>Ride It</v>
      </c>
      <c r="E198" t="str">
        <f>IFERROR(__xludf.DUMMYFUNCTION("""COMPUTED_VALUE"""),"Regard")</f>
        <v>Regard</v>
      </c>
      <c r="F198" t="str">
        <f>IFERROR(__xludf.DUMMYFUNCTION("""COMPUTED_VALUE"""),"Ride It")</f>
        <v>Ride It</v>
      </c>
      <c r="G198">
        <f>IFERROR(__xludf.DUMMYFUNCTION("""COMPUTED_VALUE"""),0.0)</f>
        <v>0</v>
      </c>
      <c r="H198" s="5">
        <f>IFERROR(__xludf.DUMMYFUNCTION("""COMPUTED_VALUE"""),0.10902777777664596)</f>
        <v>0.1090277778</v>
      </c>
    </row>
    <row r="199">
      <c r="A199" t="str">
        <f>IFERROR(__xludf.DUMMYFUNCTION("""COMPUTED_VALUE"""),"Austria")</f>
        <v>Austria</v>
      </c>
      <c r="B199" t="str">
        <f>IFERROR(__xludf.DUMMYFUNCTION("""COMPUTED_VALUE"""),"Europe")</f>
        <v>Europe</v>
      </c>
      <c r="C199">
        <f>IFERROR(__xludf.DUMMYFUNCTION("""COMPUTED_VALUE"""),48.0)</f>
        <v>48</v>
      </c>
      <c r="D199" t="str">
        <f>IFERROR(__xludf.DUMMYFUNCTION("""COMPUTED_VALUE"""),"bad guy")</f>
        <v>bad guy</v>
      </c>
      <c r="E199" t="str">
        <f>IFERROR(__xludf.DUMMYFUNCTION("""COMPUTED_VALUE"""),"Billie Eilish")</f>
        <v>Billie Eilish</v>
      </c>
      <c r="F199" t="str">
        <f>IFERROR(__xludf.DUMMYFUNCTION("""COMPUTED_VALUE"""),"WHEN WE ALL FALL ASLEEP, WHERE DO WE GO?")</f>
        <v>WHEN WE ALL FALL ASLEEP, WHERE DO WE GO?</v>
      </c>
      <c r="G199">
        <f>IFERROR(__xludf.DUMMYFUNCTION("""COMPUTED_VALUE"""),0.0)</f>
        <v>0</v>
      </c>
      <c r="H199" s="5">
        <f>IFERROR(__xludf.DUMMYFUNCTION("""COMPUTED_VALUE"""),0.13472222222117125)</f>
        <v>0.1347222222</v>
      </c>
    </row>
    <row r="200">
      <c r="A200" t="str">
        <f>IFERROR(__xludf.DUMMYFUNCTION("""COMPUTED_VALUE"""),"Austria")</f>
        <v>Austria</v>
      </c>
      <c r="B200" t="str">
        <f>IFERROR(__xludf.DUMMYFUNCTION("""COMPUTED_VALUE"""),"Europe")</f>
        <v>Europe</v>
      </c>
      <c r="C200">
        <f>IFERROR(__xludf.DUMMYFUNCTION("""COMPUTED_VALUE"""),49.0)</f>
        <v>49</v>
      </c>
      <c r="D200" t="str">
        <f>IFERROR(__xludf.DUMMYFUNCTION("""COMPUTED_VALUE"""),"Before You Go")</f>
        <v>Before You Go</v>
      </c>
      <c r="E200" t="str">
        <f>IFERROR(__xludf.DUMMYFUNCTION("""COMPUTED_VALUE"""),"Lewis Capaldi")</f>
        <v>Lewis Capaldi</v>
      </c>
      <c r="F200" t="str">
        <f>IFERROR(__xludf.DUMMYFUNCTION("""COMPUTED_VALUE"""),"Divinely Uninspired To A Hellish Extent (Extended Edition)")</f>
        <v>Divinely Uninspired To A Hellish Extent (Extended Edition)</v>
      </c>
      <c r="G200">
        <f>IFERROR(__xludf.DUMMYFUNCTION("""COMPUTED_VALUE"""),0.0)</f>
        <v>0</v>
      </c>
      <c r="H200" s="5">
        <f>IFERROR(__xludf.DUMMYFUNCTION("""COMPUTED_VALUE"""),0.14930555555474712)</f>
        <v>0.1493055556</v>
      </c>
    </row>
    <row r="201">
      <c r="A201" t="str">
        <f>IFERROR(__xludf.DUMMYFUNCTION("""COMPUTED_VALUE"""),"Austria")</f>
        <v>Austria</v>
      </c>
      <c r="B201" t="str">
        <f>IFERROR(__xludf.DUMMYFUNCTION("""COMPUTED_VALUE"""),"Europe")</f>
        <v>Europe</v>
      </c>
      <c r="C201">
        <f>IFERROR(__xludf.DUMMYFUNCTION("""COMPUTED_VALUE"""),50.0)</f>
        <v>50</v>
      </c>
      <c r="D201" t="str">
        <f>IFERROR(__xludf.DUMMYFUNCTION("""COMPUTED_VALUE"""),"SICKO MODE")</f>
        <v>SICKO MODE</v>
      </c>
      <c r="E201" t="str">
        <f>IFERROR(__xludf.DUMMYFUNCTION("""COMPUTED_VALUE"""),"Travis Scott")</f>
        <v>Travis Scott</v>
      </c>
      <c r="F201" t="str">
        <f>IFERROR(__xludf.DUMMYFUNCTION("""COMPUTED_VALUE"""),"ASTROWORLD")</f>
        <v>ASTROWORLD</v>
      </c>
      <c r="G201">
        <f>IFERROR(__xludf.DUMMYFUNCTION("""COMPUTED_VALUE"""),1.0)</f>
        <v>1</v>
      </c>
      <c r="H201" s="5">
        <f>IFERROR(__xludf.DUMMYFUNCTION("""COMPUTED_VALUE"""),0.21666666666715173)</f>
        <v>0.2166666667</v>
      </c>
    </row>
    <row r="202">
      <c r="A202" t="str">
        <f>IFERROR(__xludf.DUMMYFUNCTION("""COMPUTED_VALUE"""),"Belgium")</f>
        <v>Belgium</v>
      </c>
      <c r="B202" t="str">
        <f>IFERROR(__xludf.DUMMYFUNCTION("""COMPUTED_VALUE"""),"Europe")</f>
        <v>Europe</v>
      </c>
      <c r="C202">
        <f>IFERROR(__xludf.DUMMYFUNCTION("""COMPUTED_VALUE"""),1.0)</f>
        <v>1</v>
      </c>
      <c r="D202" t="str">
        <f>IFERROR(__xludf.DUMMYFUNCTION("""COMPUTED_VALUE"""),"Blinding Lights")</f>
        <v>Blinding Lights</v>
      </c>
      <c r="E202" t="str">
        <f>IFERROR(__xludf.DUMMYFUNCTION("""COMPUTED_VALUE"""),"The Weeknd")</f>
        <v>The Weeknd</v>
      </c>
      <c r="F202" t="str">
        <f>IFERROR(__xludf.DUMMYFUNCTION("""COMPUTED_VALUE"""),"After Hours")</f>
        <v>After Hours</v>
      </c>
      <c r="G202">
        <f>IFERROR(__xludf.DUMMYFUNCTION("""COMPUTED_VALUE"""),0.0)</f>
        <v>0</v>
      </c>
      <c r="H202" s="5">
        <f>IFERROR(__xludf.DUMMYFUNCTION("""COMPUTED_VALUE"""),0.13888888889050577)</f>
        <v>0.1388888889</v>
      </c>
    </row>
    <row r="203">
      <c r="A203" t="str">
        <f>IFERROR(__xludf.DUMMYFUNCTION("""COMPUTED_VALUE"""),"Belgium")</f>
        <v>Belgium</v>
      </c>
      <c r="B203" t="str">
        <f>IFERROR(__xludf.DUMMYFUNCTION("""COMPUTED_VALUE"""),"Europe")</f>
        <v>Europe</v>
      </c>
      <c r="C203">
        <f>IFERROR(__xludf.DUMMYFUNCTION("""COMPUTED_VALUE"""),2.0)</f>
        <v>2</v>
      </c>
      <c r="D203" t="str">
        <f>IFERROR(__xludf.DUMMYFUNCTION("""COMPUTED_VALUE"""),"ROCKSTAR (feat. Roddy Ricch)")</f>
        <v>ROCKSTAR (feat. Roddy Ricch)</v>
      </c>
      <c r="E203" t="str">
        <f>IFERROR(__xludf.DUMMYFUNCTION("""COMPUTED_VALUE"""),"DaBaby, Roddy Ricch")</f>
        <v>DaBaby, Roddy Ricch</v>
      </c>
      <c r="F203" t="str">
        <f>IFERROR(__xludf.DUMMYFUNCTION("""COMPUTED_VALUE"""),"BLAME IT ON BABY")</f>
        <v>BLAME IT ON BABY</v>
      </c>
      <c r="G203">
        <f>IFERROR(__xludf.DUMMYFUNCTION("""COMPUTED_VALUE"""),1.0)</f>
        <v>1</v>
      </c>
      <c r="H203" s="5">
        <f>IFERROR(__xludf.DUMMYFUNCTION("""COMPUTED_VALUE"""),0.1256944444430701)</f>
        <v>0.1256944444</v>
      </c>
    </row>
    <row r="204">
      <c r="A204" t="str">
        <f>IFERROR(__xludf.DUMMYFUNCTION("""COMPUTED_VALUE"""),"Belgium")</f>
        <v>Belgium</v>
      </c>
      <c r="B204" t="str">
        <f>IFERROR(__xludf.DUMMYFUNCTION("""COMPUTED_VALUE"""),"Europe")</f>
        <v>Europe</v>
      </c>
      <c r="C204">
        <f>IFERROR(__xludf.DUMMYFUNCTION("""COMPUTED_VALUE"""),3.0)</f>
        <v>3</v>
      </c>
      <c r="D204" t="str">
        <f>IFERROR(__xludf.DUMMYFUNCTION("""COMPUTED_VALUE"""),"Roses - Imanbek Remix")</f>
        <v>Roses - Imanbek Remix</v>
      </c>
      <c r="E204" t="str">
        <f>IFERROR(__xludf.DUMMYFUNCTION("""COMPUTED_VALUE"""),"SAINt JHN, Imanbek")</f>
        <v>SAINt JHN, Imanbek</v>
      </c>
      <c r="F204" t="str">
        <f>IFERROR(__xludf.DUMMYFUNCTION("""COMPUTED_VALUE"""),"Roses (Imanbek Remix)")</f>
        <v>Roses (Imanbek Remix)</v>
      </c>
      <c r="G204">
        <f>IFERROR(__xludf.DUMMYFUNCTION("""COMPUTED_VALUE"""),1.0)</f>
        <v>1</v>
      </c>
      <c r="H204" s="5">
        <f>IFERROR(__xludf.DUMMYFUNCTION("""COMPUTED_VALUE"""),0.12222222222044365)</f>
        <v>0.1222222222</v>
      </c>
    </row>
    <row r="205">
      <c r="A205" t="str">
        <f>IFERROR(__xludf.DUMMYFUNCTION("""COMPUTED_VALUE"""),"Belgium")</f>
        <v>Belgium</v>
      </c>
      <c r="B205" t="str">
        <f>IFERROR(__xludf.DUMMYFUNCTION("""COMPUTED_VALUE"""),"Europe")</f>
        <v>Europe</v>
      </c>
      <c r="C205">
        <f>IFERROR(__xludf.DUMMYFUNCTION("""COMPUTED_VALUE"""),4.0)</f>
        <v>4</v>
      </c>
      <c r="D205" t="str">
        <f>IFERROR(__xludf.DUMMYFUNCTION("""COMPUTED_VALUE"""),"Kom Wat Dichterbij - Uit Liefde Voor Muziek")</f>
        <v>Kom Wat Dichterbij - Uit Liefde Voor Muziek</v>
      </c>
      <c r="E205" t="str">
        <f>IFERROR(__xludf.DUMMYFUNCTION("""COMPUTED_VALUE"""),"Regi, Jake Reese, OT")</f>
        <v>Regi, Jake Reese, OT</v>
      </c>
      <c r="F205" t="str">
        <f>IFERROR(__xludf.DUMMYFUNCTION("""COMPUTED_VALUE"""),"Vergeet De Tijd")</f>
        <v>Vergeet De Tijd</v>
      </c>
      <c r="G205">
        <f>IFERROR(__xludf.DUMMYFUNCTION("""COMPUTED_VALUE"""),0.0)</f>
        <v>0</v>
      </c>
      <c r="H205" s="5">
        <f>IFERROR(__xludf.DUMMYFUNCTION("""COMPUTED_VALUE"""),0.14166666666642413)</f>
        <v>0.1416666667</v>
      </c>
    </row>
    <row r="206">
      <c r="A206" t="str">
        <f>IFERROR(__xludf.DUMMYFUNCTION("""COMPUTED_VALUE"""),"Belgium")</f>
        <v>Belgium</v>
      </c>
      <c r="B206" t="str">
        <f>IFERROR(__xludf.DUMMYFUNCTION("""COMPUTED_VALUE"""),"Europe")</f>
        <v>Europe</v>
      </c>
      <c r="C206">
        <f>IFERROR(__xludf.DUMMYFUNCTION("""COMPUTED_VALUE"""),5.0)</f>
        <v>5</v>
      </c>
      <c r="D206" t="str">
        <f>IFERROR(__xludf.DUMMYFUNCTION("""COMPUTED_VALUE"""),"Toosie Slide")</f>
        <v>Toosie Slide</v>
      </c>
      <c r="E206" t="str">
        <f>IFERROR(__xludf.DUMMYFUNCTION("""COMPUTED_VALUE"""),"Drake")</f>
        <v>Drake</v>
      </c>
      <c r="F206" t="str">
        <f>IFERROR(__xludf.DUMMYFUNCTION("""COMPUTED_VALUE"""),"Dark Lane Demo Tapes")</f>
        <v>Dark Lane Demo Tapes</v>
      </c>
      <c r="G206">
        <f>IFERROR(__xludf.DUMMYFUNCTION("""COMPUTED_VALUE"""),1.0)</f>
        <v>1</v>
      </c>
      <c r="H206" s="5">
        <f>IFERROR(__xludf.DUMMYFUNCTION("""COMPUTED_VALUE"""),0.17152777777664596)</f>
        <v>0.1715277778</v>
      </c>
    </row>
    <row r="207">
      <c r="A207" t="str">
        <f>IFERROR(__xludf.DUMMYFUNCTION("""COMPUTED_VALUE"""),"Belgium")</f>
        <v>Belgium</v>
      </c>
      <c r="B207" t="str">
        <f>IFERROR(__xludf.DUMMYFUNCTION("""COMPUTED_VALUE"""),"Europe")</f>
        <v>Europe</v>
      </c>
      <c r="C207">
        <f>IFERROR(__xludf.DUMMYFUNCTION("""COMPUTED_VALUE"""),6.0)</f>
        <v>6</v>
      </c>
      <c r="D207" t="str">
        <f>IFERROR(__xludf.DUMMYFUNCTION("""COMPUTED_VALUE"""),"Breaking Me")</f>
        <v>Breaking Me</v>
      </c>
      <c r="E207" t="str">
        <f>IFERROR(__xludf.DUMMYFUNCTION("""COMPUTED_VALUE"""),"Topic, A7S")</f>
        <v>Topic, A7S</v>
      </c>
      <c r="F207" t="str">
        <f>IFERROR(__xludf.DUMMYFUNCTION("""COMPUTED_VALUE"""),"Breaking Me")</f>
        <v>Breaking Me</v>
      </c>
      <c r="G207">
        <f>IFERROR(__xludf.DUMMYFUNCTION("""COMPUTED_VALUE"""),0.0)</f>
        <v>0</v>
      </c>
      <c r="H207" s="5">
        <f>IFERROR(__xludf.DUMMYFUNCTION("""COMPUTED_VALUE"""),0.11527777777882875)</f>
        <v>0.1152777778</v>
      </c>
    </row>
    <row r="208">
      <c r="A208" t="str">
        <f>IFERROR(__xludf.DUMMYFUNCTION("""COMPUTED_VALUE"""),"Belgium")</f>
        <v>Belgium</v>
      </c>
      <c r="B208" t="str">
        <f>IFERROR(__xludf.DUMMYFUNCTION("""COMPUTED_VALUE"""),"Europe")</f>
        <v>Europe</v>
      </c>
      <c r="C208">
        <f>IFERROR(__xludf.DUMMYFUNCTION("""COMPUTED_VALUE"""),7.0)</f>
        <v>7</v>
      </c>
      <c r="D208" t="str">
        <f>IFERROR(__xludf.DUMMYFUNCTION("""COMPUTED_VALUE"""),"ily (i love you baby) (feat. Emilee)")</f>
        <v>ily (i love you baby) (feat. Emilee)</v>
      </c>
      <c r="E208" t="str">
        <f>IFERROR(__xludf.DUMMYFUNCTION("""COMPUTED_VALUE"""),"Surf Mesa, Emilee")</f>
        <v>Surf Mesa, Emilee</v>
      </c>
      <c r="F208" t="str">
        <f>IFERROR(__xludf.DUMMYFUNCTION("""COMPUTED_VALUE"""),"ily (i love you baby) (feat. Emilee)")</f>
        <v>ily (i love you baby) (feat. Emilee)</v>
      </c>
      <c r="G208">
        <f>IFERROR(__xludf.DUMMYFUNCTION("""COMPUTED_VALUE"""),0.0)</f>
        <v>0</v>
      </c>
      <c r="H208" s="5">
        <f>IFERROR(__xludf.DUMMYFUNCTION("""COMPUTED_VALUE"""),0.12222222222044365)</f>
        <v>0.1222222222</v>
      </c>
    </row>
    <row r="209">
      <c r="A209" t="str">
        <f>IFERROR(__xludf.DUMMYFUNCTION("""COMPUTED_VALUE"""),"Belgium")</f>
        <v>Belgium</v>
      </c>
      <c r="B209" t="str">
        <f>IFERROR(__xludf.DUMMYFUNCTION("""COMPUTED_VALUE"""),"Europe")</f>
        <v>Europe</v>
      </c>
      <c r="C209">
        <f>IFERROR(__xludf.DUMMYFUNCTION("""COMPUTED_VALUE"""),8.0)</f>
        <v>8</v>
      </c>
      <c r="D209" t="str">
        <f>IFERROR(__xludf.DUMMYFUNCTION("""COMPUTED_VALUE"""),"GOOBA")</f>
        <v>GOOBA</v>
      </c>
      <c r="E209" t="str">
        <f>IFERROR(__xludf.DUMMYFUNCTION("""COMPUTED_VALUE"""),"6ix9ine")</f>
        <v>6ix9ine</v>
      </c>
      <c r="F209" t="str">
        <f>IFERROR(__xludf.DUMMYFUNCTION("""COMPUTED_VALUE"""),"GOOBA")</f>
        <v>GOOBA</v>
      </c>
      <c r="G209">
        <f>IFERROR(__xludf.DUMMYFUNCTION("""COMPUTED_VALUE"""),1.0)</f>
        <v>1</v>
      </c>
      <c r="H209" s="5">
        <f>IFERROR(__xludf.DUMMYFUNCTION("""COMPUTED_VALUE"""),0.09166666666715173)</f>
        <v>0.09166666667</v>
      </c>
    </row>
    <row r="210">
      <c r="A210" t="str">
        <f>IFERROR(__xludf.DUMMYFUNCTION("""COMPUTED_VALUE"""),"Belgium")</f>
        <v>Belgium</v>
      </c>
      <c r="B210" t="str">
        <f>IFERROR(__xludf.DUMMYFUNCTION("""COMPUTED_VALUE"""),"Europe")</f>
        <v>Europe</v>
      </c>
      <c r="C210">
        <f>IFERROR(__xludf.DUMMYFUNCTION("""COMPUTED_VALUE"""),9.0)</f>
        <v>9</v>
      </c>
      <c r="D210" t="str">
        <f>IFERROR(__xludf.DUMMYFUNCTION("""COMPUTED_VALUE"""),"Rain On Me (with Ariana Grande)")</f>
        <v>Rain On Me (with Ariana Grande)</v>
      </c>
      <c r="E210" t="str">
        <f>IFERROR(__xludf.DUMMYFUNCTION("""COMPUTED_VALUE"""),"Lady Gaga, Ariana Grande")</f>
        <v>Lady Gaga, Ariana Grande</v>
      </c>
      <c r="F210" t="str">
        <f>IFERROR(__xludf.DUMMYFUNCTION("""COMPUTED_VALUE"""),"Rain On Me (with Ariana Grande)")</f>
        <v>Rain On Me (with Ariana Grande)</v>
      </c>
      <c r="G210">
        <f>IFERROR(__xludf.DUMMYFUNCTION("""COMPUTED_VALUE"""),0.0)</f>
        <v>0</v>
      </c>
      <c r="H210" s="5">
        <f>IFERROR(__xludf.DUMMYFUNCTION("""COMPUTED_VALUE"""),0.12638888888977817)</f>
        <v>0.1263888889</v>
      </c>
    </row>
    <row r="211">
      <c r="A211" t="str">
        <f>IFERROR(__xludf.DUMMYFUNCTION("""COMPUTED_VALUE"""),"Belgium")</f>
        <v>Belgium</v>
      </c>
      <c r="B211" t="str">
        <f>IFERROR(__xludf.DUMMYFUNCTION("""COMPUTED_VALUE"""),"Europe")</f>
        <v>Europe</v>
      </c>
      <c r="C211">
        <f>IFERROR(__xludf.DUMMYFUNCTION("""COMPUTED_VALUE"""),10.0)</f>
        <v>10</v>
      </c>
      <c r="D211" t="str">
        <f>IFERROR(__xludf.DUMMYFUNCTION("""COMPUTED_VALUE"""),"Dance Monkey")</f>
        <v>Dance Monkey</v>
      </c>
      <c r="E211" t="str">
        <f>IFERROR(__xludf.DUMMYFUNCTION("""COMPUTED_VALUE"""),"Tones And I")</f>
        <v>Tones And I</v>
      </c>
      <c r="F211" t="str">
        <f>IFERROR(__xludf.DUMMYFUNCTION("""COMPUTED_VALUE"""),"Dance Monkey (Stripped Back) / Dance Monkey")</f>
        <v>Dance Monkey (Stripped Back) / Dance Monkey</v>
      </c>
      <c r="G211">
        <f>IFERROR(__xludf.DUMMYFUNCTION("""COMPUTED_VALUE"""),0.0)</f>
        <v>0</v>
      </c>
      <c r="H211" s="5">
        <f>IFERROR(__xludf.DUMMYFUNCTION("""COMPUTED_VALUE"""),0.14513888888905058)</f>
        <v>0.1451388889</v>
      </c>
    </row>
    <row r="212">
      <c r="A212" t="str">
        <f>IFERROR(__xludf.DUMMYFUNCTION("""COMPUTED_VALUE"""),"Belgium")</f>
        <v>Belgium</v>
      </c>
      <c r="B212" t="str">
        <f>IFERROR(__xludf.DUMMYFUNCTION("""COMPUTED_VALUE"""),"Europe")</f>
        <v>Europe</v>
      </c>
      <c r="C212">
        <f>IFERROR(__xludf.DUMMYFUNCTION("""COMPUTED_VALUE"""),11.0)</f>
        <v>11</v>
      </c>
      <c r="D212" t="str">
        <f>IFERROR(__xludf.DUMMYFUNCTION("""COMPUTED_VALUE"""),"death bed (coffee for your head) (feat. beabadoobee)")</f>
        <v>death bed (coffee for your head) (feat. beabadoobee)</v>
      </c>
      <c r="E212" t="str">
        <f>IFERROR(__xludf.DUMMYFUNCTION("""COMPUTED_VALUE"""),"Powfu, beabadoobee")</f>
        <v>Powfu, beabadoobee</v>
      </c>
      <c r="F212" t="str">
        <f>IFERROR(__xludf.DUMMYFUNCTION("""COMPUTED_VALUE"""),"death bed (coffee for your head) (feat. beabadoobee)")</f>
        <v>death bed (coffee for your head) (feat. beabadoobee)</v>
      </c>
      <c r="G212">
        <f>IFERROR(__xludf.DUMMYFUNCTION("""COMPUTED_VALUE"""),0.0)</f>
        <v>0</v>
      </c>
      <c r="H212" s="5">
        <f>IFERROR(__xludf.DUMMYFUNCTION("""COMPUTED_VALUE"""),0.12013888888759539)</f>
        <v>0.1201388889</v>
      </c>
    </row>
    <row r="213">
      <c r="A213" t="str">
        <f>IFERROR(__xludf.DUMMYFUNCTION("""COMPUTED_VALUE"""),"Belgium")</f>
        <v>Belgium</v>
      </c>
      <c r="B213" t="str">
        <f>IFERROR(__xludf.DUMMYFUNCTION("""COMPUTED_VALUE"""),"Europe")</f>
        <v>Europe</v>
      </c>
      <c r="C213">
        <f>IFERROR(__xludf.DUMMYFUNCTION("""COMPUTED_VALUE"""),12.0)</f>
        <v>12</v>
      </c>
      <c r="D213" t="str">
        <f>IFERROR(__xludf.DUMMYFUNCTION("""COMPUTED_VALUE"""),"Supalonely")</f>
        <v>Supalonely</v>
      </c>
      <c r="E213" t="str">
        <f>IFERROR(__xludf.DUMMYFUNCTION("""COMPUTED_VALUE"""),"BENEE, Gus Dapperton")</f>
        <v>BENEE, Gus Dapperton</v>
      </c>
      <c r="F213" t="str">
        <f>IFERROR(__xludf.DUMMYFUNCTION("""COMPUTED_VALUE"""),"STELLA &amp; STEVE")</f>
        <v>STELLA &amp; STEVE</v>
      </c>
      <c r="G213">
        <f>IFERROR(__xludf.DUMMYFUNCTION("""COMPUTED_VALUE"""),1.0)</f>
        <v>1</v>
      </c>
      <c r="H213" s="5">
        <f>IFERROR(__xludf.DUMMYFUNCTION("""COMPUTED_VALUE"""),0.15486111111022183)</f>
        <v>0.1548611111</v>
      </c>
    </row>
    <row r="214">
      <c r="A214" t="str">
        <f>IFERROR(__xludf.DUMMYFUNCTION("""COMPUTED_VALUE"""),"Belgium")</f>
        <v>Belgium</v>
      </c>
      <c r="B214" t="str">
        <f>IFERROR(__xludf.DUMMYFUNCTION("""COMPUTED_VALUE"""),"Europe")</f>
        <v>Europe</v>
      </c>
      <c r="C214">
        <f>IFERROR(__xludf.DUMMYFUNCTION("""COMPUTED_VALUE"""),13.0)</f>
        <v>13</v>
      </c>
      <c r="D214" t="str">
        <f>IFERROR(__xludf.DUMMYFUNCTION("""COMPUTED_VALUE"""),"Don't Start Now")</f>
        <v>Don't Start Now</v>
      </c>
      <c r="E214" t="str">
        <f>IFERROR(__xludf.DUMMYFUNCTION("""COMPUTED_VALUE"""),"Dua Lipa")</f>
        <v>Dua Lipa</v>
      </c>
      <c r="F214" t="str">
        <f>IFERROR(__xludf.DUMMYFUNCTION("""COMPUTED_VALUE"""),"Future Nostalgia")</f>
        <v>Future Nostalgia</v>
      </c>
      <c r="G214">
        <f>IFERROR(__xludf.DUMMYFUNCTION("""COMPUTED_VALUE"""),0.0)</f>
        <v>0</v>
      </c>
      <c r="H214" s="5">
        <f>IFERROR(__xludf.DUMMYFUNCTION("""COMPUTED_VALUE"""),0.12708333333284827)</f>
        <v>0.1270833333</v>
      </c>
    </row>
    <row r="215">
      <c r="A215" t="str">
        <f>IFERROR(__xludf.DUMMYFUNCTION("""COMPUTED_VALUE"""),"Belgium")</f>
        <v>Belgium</v>
      </c>
      <c r="B215" t="str">
        <f>IFERROR(__xludf.DUMMYFUNCTION("""COMPUTED_VALUE"""),"Europe")</f>
        <v>Europe</v>
      </c>
      <c r="C215">
        <f>IFERROR(__xludf.DUMMYFUNCTION("""COMPUTED_VALUE"""),14.0)</f>
        <v>14</v>
      </c>
      <c r="D215" t="str">
        <f>IFERROR(__xludf.DUMMYFUNCTION("""COMPUTED_VALUE"""),"THE SCOTTS")</f>
        <v>THE SCOTTS</v>
      </c>
      <c r="E215" t="str">
        <f>IFERROR(__xludf.DUMMYFUNCTION("""COMPUTED_VALUE"""),"THE SCOTTS, Travis Scott, Kid Cudi")</f>
        <v>THE SCOTTS, Travis Scott, Kid Cudi</v>
      </c>
      <c r="F215" t="str">
        <f>IFERROR(__xludf.DUMMYFUNCTION("""COMPUTED_VALUE"""),"THE SCOTTS")</f>
        <v>THE SCOTTS</v>
      </c>
      <c r="G215">
        <f>IFERROR(__xludf.DUMMYFUNCTION("""COMPUTED_VALUE"""),1.0)</f>
        <v>1</v>
      </c>
      <c r="H215" s="5">
        <f>IFERROR(__xludf.DUMMYFUNCTION("""COMPUTED_VALUE"""),0.11458333333212067)</f>
        <v>0.1145833333</v>
      </c>
    </row>
    <row r="216">
      <c r="A216" t="str">
        <f>IFERROR(__xludf.DUMMYFUNCTION("""COMPUTED_VALUE"""),"Belgium")</f>
        <v>Belgium</v>
      </c>
      <c r="B216" t="str">
        <f>IFERROR(__xludf.DUMMYFUNCTION("""COMPUTED_VALUE"""),"Europe")</f>
        <v>Europe</v>
      </c>
      <c r="C216">
        <f>IFERROR(__xludf.DUMMYFUNCTION("""COMPUTED_VALUE"""),15.0)</f>
        <v>15</v>
      </c>
      <c r="D216" t="str">
        <f>IFERROR(__xludf.DUMMYFUNCTION("""COMPUTED_VALUE"""),"Sunday Best")</f>
        <v>Sunday Best</v>
      </c>
      <c r="E216" t="str">
        <f>IFERROR(__xludf.DUMMYFUNCTION("""COMPUTED_VALUE"""),"Surfaces")</f>
        <v>Surfaces</v>
      </c>
      <c r="F216" t="str">
        <f>IFERROR(__xludf.DUMMYFUNCTION("""COMPUTED_VALUE"""),"Where the Light Is")</f>
        <v>Where the Light Is</v>
      </c>
      <c r="G216">
        <f>IFERROR(__xludf.DUMMYFUNCTION("""COMPUTED_VALUE"""),0.0)</f>
        <v>0</v>
      </c>
      <c r="H216" s="5">
        <f>IFERROR(__xludf.DUMMYFUNCTION("""COMPUTED_VALUE"""),0.10972222222335404)</f>
        <v>0.1097222222</v>
      </c>
    </row>
    <row r="217">
      <c r="A217" t="str">
        <f>IFERROR(__xludf.DUMMYFUNCTION("""COMPUTED_VALUE"""),"Belgium")</f>
        <v>Belgium</v>
      </c>
      <c r="B217" t="str">
        <f>IFERROR(__xludf.DUMMYFUNCTION("""COMPUTED_VALUE"""),"Europe")</f>
        <v>Europe</v>
      </c>
      <c r="C217">
        <f>IFERROR(__xludf.DUMMYFUNCTION("""COMPUTED_VALUE"""),16.0)</f>
        <v>16</v>
      </c>
      <c r="D217" t="str">
        <f>IFERROR(__xludf.DUMMYFUNCTION("""COMPUTED_VALUE"""),"The Box")</f>
        <v>The Box</v>
      </c>
      <c r="E217" t="str">
        <f>IFERROR(__xludf.DUMMYFUNCTION("""COMPUTED_VALUE"""),"Roddy Ricch")</f>
        <v>Roddy Ricch</v>
      </c>
      <c r="F217" t="str">
        <f>IFERROR(__xludf.DUMMYFUNCTION("""COMPUTED_VALUE"""),"Please Excuse Me For Being Antisocial")</f>
        <v>Please Excuse Me For Being Antisocial</v>
      </c>
      <c r="G217">
        <f>IFERROR(__xludf.DUMMYFUNCTION("""COMPUTED_VALUE"""),1.0)</f>
        <v>1</v>
      </c>
      <c r="H217" s="5">
        <f>IFERROR(__xludf.DUMMYFUNCTION("""COMPUTED_VALUE"""),0.13611111111094942)</f>
        <v>0.1361111111</v>
      </c>
    </row>
    <row r="218">
      <c r="A218" t="str">
        <f>IFERROR(__xludf.DUMMYFUNCTION("""COMPUTED_VALUE"""),"Belgium")</f>
        <v>Belgium</v>
      </c>
      <c r="B218" t="str">
        <f>IFERROR(__xludf.DUMMYFUNCTION("""COMPUTED_VALUE"""),"Europe")</f>
        <v>Europe</v>
      </c>
      <c r="C218">
        <f>IFERROR(__xludf.DUMMYFUNCTION("""COMPUTED_VALUE"""),17.0)</f>
        <v>17</v>
      </c>
      <c r="D218" t="str">
        <f>IFERROR(__xludf.DUMMYFUNCTION("""COMPUTED_VALUE"""),"Stuck with U (with Justin Bieber)")</f>
        <v>Stuck with U (with Justin Bieber)</v>
      </c>
      <c r="E218" t="str">
        <f>IFERROR(__xludf.DUMMYFUNCTION("""COMPUTED_VALUE"""),"Ariana Grande, Justin Bieber")</f>
        <v>Ariana Grande, Justin Bieber</v>
      </c>
      <c r="F218" t="str">
        <f>IFERROR(__xludf.DUMMYFUNCTION("""COMPUTED_VALUE"""),"Stuck with U")</f>
        <v>Stuck with U</v>
      </c>
      <c r="G218">
        <f>IFERROR(__xludf.DUMMYFUNCTION("""COMPUTED_VALUE"""),0.0)</f>
        <v>0</v>
      </c>
      <c r="H218" s="5">
        <f>IFERROR(__xludf.DUMMYFUNCTION("""COMPUTED_VALUE"""),0.15833333333284827)</f>
        <v>0.1583333333</v>
      </c>
    </row>
    <row r="219">
      <c r="A219" t="str">
        <f>IFERROR(__xludf.DUMMYFUNCTION("""COMPUTED_VALUE"""),"Belgium")</f>
        <v>Belgium</v>
      </c>
      <c r="B219" t="str">
        <f>IFERROR(__xludf.DUMMYFUNCTION("""COMPUTED_VALUE"""),"Europe")</f>
        <v>Europe</v>
      </c>
      <c r="C219">
        <f>IFERROR(__xludf.DUMMYFUNCTION("""COMPUTED_VALUE"""),18.0)</f>
        <v>18</v>
      </c>
      <c r="D219" t="str">
        <f>IFERROR(__xludf.DUMMYFUNCTION("""COMPUTED_VALUE"""),"Ride It")</f>
        <v>Ride It</v>
      </c>
      <c r="E219" t="str">
        <f>IFERROR(__xludf.DUMMYFUNCTION("""COMPUTED_VALUE"""),"Regard")</f>
        <v>Regard</v>
      </c>
      <c r="F219" t="str">
        <f>IFERROR(__xludf.DUMMYFUNCTION("""COMPUTED_VALUE"""),"Ride It")</f>
        <v>Ride It</v>
      </c>
      <c r="G219">
        <f>IFERROR(__xludf.DUMMYFUNCTION("""COMPUTED_VALUE"""),0.0)</f>
        <v>0</v>
      </c>
      <c r="H219" s="5">
        <f>IFERROR(__xludf.DUMMYFUNCTION("""COMPUTED_VALUE"""),0.10902777777664596)</f>
        <v>0.1090277778</v>
      </c>
    </row>
    <row r="220">
      <c r="A220" t="str">
        <f>IFERROR(__xludf.DUMMYFUNCTION("""COMPUTED_VALUE"""),"Belgium")</f>
        <v>Belgium</v>
      </c>
      <c r="B220" t="str">
        <f>IFERROR(__xludf.DUMMYFUNCTION("""COMPUTED_VALUE"""),"Europe")</f>
        <v>Europe</v>
      </c>
      <c r="C220">
        <f>IFERROR(__xludf.DUMMYFUNCTION("""COMPUTED_VALUE"""),19.0)</f>
        <v>19</v>
      </c>
      <c r="D220" t="str">
        <f>IFERROR(__xludf.DUMMYFUNCTION("""COMPUTED_VALUE"""),"Falling")</f>
        <v>Falling</v>
      </c>
      <c r="E220" t="str">
        <f>IFERROR(__xludf.DUMMYFUNCTION("""COMPUTED_VALUE"""),"Trevor Daniel")</f>
        <v>Trevor Daniel</v>
      </c>
      <c r="F220" t="str">
        <f>IFERROR(__xludf.DUMMYFUNCTION("""COMPUTED_VALUE"""),"Nicotine")</f>
        <v>Nicotine</v>
      </c>
      <c r="G220">
        <f>IFERROR(__xludf.DUMMYFUNCTION("""COMPUTED_VALUE"""),0.0)</f>
        <v>0</v>
      </c>
      <c r="H220" s="5">
        <f>IFERROR(__xludf.DUMMYFUNCTION("""COMPUTED_VALUE"""),0.11041666666642413)</f>
        <v>0.1104166667</v>
      </c>
    </row>
    <row r="221">
      <c r="A221" t="str">
        <f>IFERROR(__xludf.DUMMYFUNCTION("""COMPUTED_VALUE"""),"Belgium")</f>
        <v>Belgium</v>
      </c>
      <c r="B221" t="str">
        <f>IFERROR(__xludf.DUMMYFUNCTION("""COMPUTED_VALUE"""),"Europe")</f>
        <v>Europe</v>
      </c>
      <c r="C221">
        <f>IFERROR(__xludf.DUMMYFUNCTION("""COMPUTED_VALUE"""),20.0)</f>
        <v>20</v>
      </c>
      <c r="D221" t="str">
        <f>IFERROR(__xludf.DUMMYFUNCTION("""COMPUTED_VALUE"""),"Never Seen The Rain")</f>
        <v>Never Seen The Rain</v>
      </c>
      <c r="E221" t="str">
        <f>IFERROR(__xludf.DUMMYFUNCTION("""COMPUTED_VALUE"""),"Tones And I")</f>
        <v>Tones And I</v>
      </c>
      <c r="F221" t="str">
        <f>IFERROR(__xludf.DUMMYFUNCTION("""COMPUTED_VALUE"""),"Never Seen The Rain (Alternate Version)")</f>
        <v>Never Seen The Rain (Alternate Version)</v>
      </c>
      <c r="G221">
        <f>IFERROR(__xludf.DUMMYFUNCTION("""COMPUTED_VALUE"""),0.0)</f>
        <v>0</v>
      </c>
      <c r="H221" s="5">
        <f>IFERROR(__xludf.DUMMYFUNCTION("""COMPUTED_VALUE"""),0.13888888889050577)</f>
        <v>0.1388888889</v>
      </c>
    </row>
    <row r="222">
      <c r="A222" t="str">
        <f>IFERROR(__xludf.DUMMYFUNCTION("""COMPUTED_VALUE"""),"Belgium")</f>
        <v>Belgium</v>
      </c>
      <c r="B222" t="str">
        <f>IFERROR(__xludf.DUMMYFUNCTION("""COMPUTED_VALUE"""),"Europe")</f>
        <v>Europe</v>
      </c>
      <c r="C222">
        <f>IFERROR(__xludf.DUMMYFUNCTION("""COMPUTED_VALUE"""),21.0)</f>
        <v>21</v>
      </c>
      <c r="D222" t="str">
        <f>IFERROR(__xludf.DUMMYFUNCTION("""COMPUTED_VALUE"""),"Before You Go")</f>
        <v>Before You Go</v>
      </c>
      <c r="E222" t="str">
        <f>IFERROR(__xludf.DUMMYFUNCTION("""COMPUTED_VALUE"""),"Lewis Capaldi")</f>
        <v>Lewis Capaldi</v>
      </c>
      <c r="F222" t="str">
        <f>IFERROR(__xludf.DUMMYFUNCTION("""COMPUTED_VALUE"""),"Divinely Uninspired To A Hellish Extent (Extended Edition)")</f>
        <v>Divinely Uninspired To A Hellish Extent (Extended Edition)</v>
      </c>
      <c r="G222">
        <f>IFERROR(__xludf.DUMMYFUNCTION("""COMPUTED_VALUE"""),0.0)</f>
        <v>0</v>
      </c>
      <c r="H222" s="5">
        <f>IFERROR(__xludf.DUMMYFUNCTION("""COMPUTED_VALUE"""),0.14930555555474712)</f>
        <v>0.1493055556</v>
      </c>
    </row>
    <row r="223">
      <c r="A223" t="str">
        <f>IFERROR(__xludf.DUMMYFUNCTION("""COMPUTED_VALUE"""),"Belgium")</f>
        <v>Belgium</v>
      </c>
      <c r="B223" t="str">
        <f>IFERROR(__xludf.DUMMYFUNCTION("""COMPUTED_VALUE"""),"Europe")</f>
        <v>Europe</v>
      </c>
      <c r="C223">
        <f>IFERROR(__xludf.DUMMYFUNCTION("""COMPUTED_VALUE"""),22.0)</f>
        <v>22</v>
      </c>
      <c r="D223" t="str">
        <f>IFERROR(__xludf.DUMMYFUNCTION("""COMPUTED_VALUE"""),"In Your Eyes")</f>
        <v>In Your Eyes</v>
      </c>
      <c r="E223" t="str">
        <f>IFERROR(__xludf.DUMMYFUNCTION("""COMPUTED_VALUE"""),"The Weeknd")</f>
        <v>The Weeknd</v>
      </c>
      <c r="F223" t="str">
        <f>IFERROR(__xludf.DUMMYFUNCTION("""COMPUTED_VALUE"""),"After Hours")</f>
        <v>After Hours</v>
      </c>
      <c r="G223">
        <f>IFERROR(__xludf.DUMMYFUNCTION("""COMPUTED_VALUE"""),1.0)</f>
        <v>1</v>
      </c>
      <c r="H223" s="5">
        <f>IFERROR(__xludf.DUMMYFUNCTION("""COMPUTED_VALUE"""),0.16458333333503106)</f>
        <v>0.1645833333</v>
      </c>
    </row>
    <row r="224">
      <c r="A224" t="str">
        <f>IFERROR(__xludf.DUMMYFUNCTION("""COMPUTED_VALUE"""),"Belgium")</f>
        <v>Belgium</v>
      </c>
      <c r="B224" t="str">
        <f>IFERROR(__xludf.DUMMYFUNCTION("""COMPUTED_VALUE"""),"Europe")</f>
        <v>Europe</v>
      </c>
      <c r="C224">
        <f>IFERROR(__xludf.DUMMYFUNCTION("""COMPUTED_VALUE"""),23.0)</f>
        <v>23</v>
      </c>
      <c r="D224" t="str">
        <f>IFERROR(__xludf.DUMMYFUNCTION("""COMPUTED_VALUE"""),"Break My Heart")</f>
        <v>Break My Heart</v>
      </c>
      <c r="E224" t="str">
        <f>IFERROR(__xludf.DUMMYFUNCTION("""COMPUTED_VALUE"""),"Dua Lipa")</f>
        <v>Dua Lipa</v>
      </c>
      <c r="F224" t="str">
        <f>IFERROR(__xludf.DUMMYFUNCTION("""COMPUTED_VALUE"""),"Future Nostalgia")</f>
        <v>Future Nostalgia</v>
      </c>
      <c r="G224">
        <f>IFERROR(__xludf.DUMMYFUNCTION("""COMPUTED_VALUE"""),0.0)</f>
        <v>0</v>
      </c>
      <c r="H224" s="5">
        <f>IFERROR(__xludf.DUMMYFUNCTION("""COMPUTED_VALUE"""),0.15347222222044365)</f>
        <v>0.1534722222</v>
      </c>
    </row>
    <row r="225">
      <c r="A225" t="str">
        <f>IFERROR(__xludf.DUMMYFUNCTION("""COMPUTED_VALUE"""),"Belgium")</f>
        <v>Belgium</v>
      </c>
      <c r="B225" t="str">
        <f>IFERROR(__xludf.DUMMYFUNCTION("""COMPUTED_VALUE"""),"Europe")</f>
        <v>Europe</v>
      </c>
      <c r="C225">
        <f>IFERROR(__xludf.DUMMYFUNCTION("""COMPUTED_VALUE"""),24.0)</f>
        <v>24</v>
      </c>
      <c r="D225" t="str">
        <f>IFERROR(__xludf.DUMMYFUNCTION("""COMPUTED_VALUE"""),"In Your Eyes (feat. Alida)")</f>
        <v>In Your Eyes (feat. Alida)</v>
      </c>
      <c r="E225" t="str">
        <f>IFERROR(__xludf.DUMMYFUNCTION("""COMPUTED_VALUE"""),"Robin Schulz, Alida")</f>
        <v>Robin Schulz, Alida</v>
      </c>
      <c r="F225" t="str">
        <f>IFERROR(__xludf.DUMMYFUNCTION("""COMPUTED_VALUE"""),"In Your Eyes (feat. Alida)")</f>
        <v>In Your Eyes (feat. Alida)</v>
      </c>
      <c r="G225">
        <f>IFERROR(__xludf.DUMMYFUNCTION("""COMPUTED_VALUE"""),0.0)</f>
        <v>0</v>
      </c>
      <c r="H225" s="5">
        <f>IFERROR(__xludf.DUMMYFUNCTION("""COMPUTED_VALUE"""),0.14444444444598048)</f>
        <v>0.1444444444</v>
      </c>
    </row>
    <row r="226">
      <c r="A226" t="str">
        <f>IFERROR(__xludf.DUMMYFUNCTION("""COMPUTED_VALUE"""),"Belgium")</f>
        <v>Belgium</v>
      </c>
      <c r="B226" t="str">
        <f>IFERROR(__xludf.DUMMYFUNCTION("""COMPUTED_VALUE"""),"Europe")</f>
        <v>Europe</v>
      </c>
      <c r="C226">
        <f>IFERROR(__xludf.DUMMYFUNCTION("""COMPUTED_VALUE"""),25.0)</f>
        <v>25</v>
      </c>
      <c r="D226" t="str">
        <f>IFERROR(__xludf.DUMMYFUNCTION("""COMPUTED_VALUE"""),"Physical")</f>
        <v>Physical</v>
      </c>
      <c r="E226" t="str">
        <f>IFERROR(__xludf.DUMMYFUNCTION("""COMPUTED_VALUE"""),"Dua Lipa")</f>
        <v>Dua Lipa</v>
      </c>
      <c r="F226" t="str">
        <f>IFERROR(__xludf.DUMMYFUNCTION("""COMPUTED_VALUE"""),"Future Nostalgia")</f>
        <v>Future Nostalgia</v>
      </c>
      <c r="G226">
        <f>IFERROR(__xludf.DUMMYFUNCTION("""COMPUTED_VALUE"""),0.0)</f>
        <v>0</v>
      </c>
      <c r="H226" s="5">
        <f>IFERROR(__xludf.DUMMYFUNCTION("""COMPUTED_VALUE"""),0.13402777777810115)</f>
        <v>0.1340277778</v>
      </c>
    </row>
    <row r="227">
      <c r="A227" t="str">
        <f>IFERROR(__xludf.DUMMYFUNCTION("""COMPUTED_VALUE"""),"Belgium")</f>
        <v>Belgium</v>
      </c>
      <c r="B227" t="str">
        <f>IFERROR(__xludf.DUMMYFUNCTION("""COMPUTED_VALUE"""),"Europe")</f>
        <v>Europe</v>
      </c>
      <c r="C227">
        <f>IFERROR(__xludf.DUMMYFUNCTION("""COMPUTED_VALUE"""),26.0)</f>
        <v>26</v>
      </c>
      <c r="D227" t="str">
        <f>IFERROR(__xludf.DUMMYFUNCTION("""COMPUTED_VALUE"""),"Say So")</f>
        <v>Say So</v>
      </c>
      <c r="E227" t="str">
        <f>IFERROR(__xludf.DUMMYFUNCTION("""COMPUTED_VALUE"""),"Doja Cat")</f>
        <v>Doja Cat</v>
      </c>
      <c r="F227" t="str">
        <f>IFERROR(__xludf.DUMMYFUNCTION("""COMPUTED_VALUE"""),"Hot Pink")</f>
        <v>Hot Pink</v>
      </c>
      <c r="G227">
        <f>IFERROR(__xludf.DUMMYFUNCTION("""COMPUTED_VALUE"""),1.0)</f>
        <v>1</v>
      </c>
      <c r="H227" s="5">
        <f>IFERROR(__xludf.DUMMYFUNCTION("""COMPUTED_VALUE"""),0.16458333333503106)</f>
        <v>0.1645833333</v>
      </c>
    </row>
    <row r="228">
      <c r="A228" t="str">
        <f>IFERROR(__xludf.DUMMYFUNCTION("""COMPUTED_VALUE"""),"Belgium")</f>
        <v>Belgium</v>
      </c>
      <c r="B228" t="str">
        <f>IFERROR(__xludf.DUMMYFUNCTION("""COMPUTED_VALUE"""),"Europe")</f>
        <v>Europe</v>
      </c>
      <c r="C228">
        <f>IFERROR(__xludf.DUMMYFUNCTION("""COMPUTED_VALUE"""),27.0)</f>
        <v>27</v>
      </c>
      <c r="D228" t="str">
        <f>IFERROR(__xludf.DUMMYFUNCTION("""COMPUTED_VALUE"""),"Zo Ver Weg - Uit Liefde Voor Muziek")</f>
        <v>Zo Ver Weg - Uit Liefde Voor Muziek</v>
      </c>
      <c r="E228" t="str">
        <f>IFERROR(__xludf.DUMMYFUNCTION("""COMPUTED_VALUE"""),"Regi, Jake Reese, OT")</f>
        <v>Regi, Jake Reese, OT</v>
      </c>
      <c r="F228" t="str">
        <f>IFERROR(__xludf.DUMMYFUNCTION("""COMPUTED_VALUE"""),"Vergeet De Tijd")</f>
        <v>Vergeet De Tijd</v>
      </c>
      <c r="G228">
        <f>IFERROR(__xludf.DUMMYFUNCTION("""COMPUTED_VALUE"""),0.0)</f>
        <v>0</v>
      </c>
      <c r="H228" s="5">
        <f>IFERROR(__xludf.DUMMYFUNCTION("""COMPUTED_VALUE"""),0.17013888889050577)</f>
        <v>0.1701388889</v>
      </c>
    </row>
    <row r="229">
      <c r="A229" t="str">
        <f>IFERROR(__xludf.DUMMYFUNCTION("""COMPUTED_VALUE"""),"Belgium")</f>
        <v>Belgium</v>
      </c>
      <c r="B229" t="str">
        <f>IFERROR(__xludf.DUMMYFUNCTION("""COMPUTED_VALUE"""),"Europe")</f>
        <v>Europe</v>
      </c>
      <c r="C229">
        <f>IFERROR(__xludf.DUMMYFUNCTION("""COMPUTED_VALUE"""),28.0)</f>
        <v>28</v>
      </c>
      <c r="D229" t="str">
        <f>IFERROR(__xludf.DUMMYFUNCTION("""COMPUTED_VALUE"""),"Blueberry Faygo")</f>
        <v>Blueberry Faygo</v>
      </c>
      <c r="E229" t="str">
        <f>IFERROR(__xludf.DUMMYFUNCTION("""COMPUTED_VALUE"""),"Lil Mosey")</f>
        <v>Lil Mosey</v>
      </c>
      <c r="F229" t="str">
        <f>IFERROR(__xludf.DUMMYFUNCTION("""COMPUTED_VALUE"""),"Certified Hitmaker")</f>
        <v>Certified Hitmaker</v>
      </c>
      <c r="G229">
        <f>IFERROR(__xludf.DUMMYFUNCTION("""COMPUTED_VALUE"""),1.0)</f>
        <v>1</v>
      </c>
      <c r="H229" s="5">
        <f>IFERROR(__xludf.DUMMYFUNCTION("""COMPUTED_VALUE"""),0.1124999999992724)</f>
        <v>0.1125</v>
      </c>
    </row>
    <row r="230">
      <c r="A230" t="str">
        <f>IFERROR(__xludf.DUMMYFUNCTION("""COMPUTED_VALUE"""),"Belgium")</f>
        <v>Belgium</v>
      </c>
      <c r="B230" t="str">
        <f>IFERROR(__xludf.DUMMYFUNCTION("""COMPUTED_VALUE"""),"Europe")</f>
        <v>Europe</v>
      </c>
      <c r="C230">
        <f>IFERROR(__xludf.DUMMYFUNCTION("""COMPUTED_VALUE"""),29.0)</f>
        <v>29</v>
      </c>
      <c r="D230" t="str">
        <f>IFERROR(__xludf.DUMMYFUNCTION("""COMPUTED_VALUE"""),"If the World Was Ending - feat. Julia Michaels")</f>
        <v>If the World Was Ending - feat. Julia Michaels</v>
      </c>
      <c r="E230" t="str">
        <f>IFERROR(__xludf.DUMMYFUNCTION("""COMPUTED_VALUE"""),"JP Saxe, Julia Michaels")</f>
        <v>JP Saxe, Julia Michaels</v>
      </c>
      <c r="F230" t="str">
        <f>IFERROR(__xludf.DUMMYFUNCTION("""COMPUTED_VALUE"""),"If the World Was Ending (feat. Julia Michaels)")</f>
        <v>If the World Was Ending (feat. Julia Michaels)</v>
      </c>
      <c r="G230">
        <f>IFERROR(__xludf.DUMMYFUNCTION("""COMPUTED_VALUE"""),0.0)</f>
        <v>0</v>
      </c>
      <c r="H230" s="5">
        <f>IFERROR(__xludf.DUMMYFUNCTION("""COMPUTED_VALUE"""),0.14444444444598048)</f>
        <v>0.1444444444</v>
      </c>
    </row>
    <row r="231">
      <c r="A231" t="str">
        <f>IFERROR(__xludf.DUMMYFUNCTION("""COMPUTED_VALUE"""),"Belgium")</f>
        <v>Belgium</v>
      </c>
      <c r="B231" t="str">
        <f>IFERROR(__xludf.DUMMYFUNCTION("""COMPUTED_VALUE"""),"Europe")</f>
        <v>Europe</v>
      </c>
      <c r="C231">
        <f>IFERROR(__xludf.DUMMYFUNCTION("""COMPUTED_VALUE"""),30.0)</f>
        <v>30</v>
      </c>
      <c r="D231" t="str">
        <f>IFERROR(__xludf.DUMMYFUNCTION("""COMPUTED_VALUE"""),"Someone You Loved")</f>
        <v>Someone You Loved</v>
      </c>
      <c r="E231" t="str">
        <f>IFERROR(__xludf.DUMMYFUNCTION("""COMPUTED_VALUE"""),"Lewis Capaldi")</f>
        <v>Lewis Capaldi</v>
      </c>
      <c r="F231" t="str">
        <f>IFERROR(__xludf.DUMMYFUNCTION("""COMPUTED_VALUE"""),"Divinely Uninspired To A Hellish Extent")</f>
        <v>Divinely Uninspired To A Hellish Extent</v>
      </c>
      <c r="G231">
        <f>IFERROR(__xludf.DUMMYFUNCTION("""COMPUTED_VALUE"""),0.0)</f>
        <v>0</v>
      </c>
      <c r="H231" s="5">
        <f>IFERROR(__xludf.DUMMYFUNCTION("""COMPUTED_VALUE"""),0.12638888888977817)</f>
        <v>0.1263888889</v>
      </c>
    </row>
    <row r="232">
      <c r="A232" t="str">
        <f>IFERROR(__xludf.DUMMYFUNCTION("""COMPUTED_VALUE"""),"Belgium")</f>
        <v>Belgium</v>
      </c>
      <c r="B232" t="str">
        <f>IFERROR(__xludf.DUMMYFUNCTION("""COMPUTED_VALUE"""),"Europe")</f>
        <v>Europe</v>
      </c>
      <c r="C232">
        <f>IFERROR(__xludf.DUMMYFUNCTION("""COMPUTED_VALUE"""),31.0)</f>
        <v>31</v>
      </c>
      <c r="D232" t="str">
        <f>IFERROR(__xludf.DUMMYFUNCTION("""COMPUTED_VALUE"""),"goosebumps")</f>
        <v>goosebumps</v>
      </c>
      <c r="E232" t="str">
        <f>IFERROR(__xludf.DUMMYFUNCTION("""COMPUTED_VALUE"""),"Travis Scott")</f>
        <v>Travis Scott</v>
      </c>
      <c r="F232" t="str">
        <f>IFERROR(__xludf.DUMMYFUNCTION("""COMPUTED_VALUE"""),"Birds In The Trap Sing McKnight")</f>
        <v>Birds In The Trap Sing McKnight</v>
      </c>
      <c r="G232">
        <f>IFERROR(__xludf.DUMMYFUNCTION("""COMPUTED_VALUE"""),1.0)</f>
        <v>1</v>
      </c>
      <c r="H232" s="5">
        <f>IFERROR(__xludf.DUMMYFUNCTION("""COMPUTED_VALUE"""),0.1687500000007276)</f>
        <v>0.16875</v>
      </c>
    </row>
    <row r="233">
      <c r="A233" t="str">
        <f>IFERROR(__xludf.DUMMYFUNCTION("""COMPUTED_VALUE"""),"Belgium")</f>
        <v>Belgium</v>
      </c>
      <c r="B233" t="str">
        <f>IFERROR(__xludf.DUMMYFUNCTION("""COMPUTED_VALUE"""),"Europe")</f>
        <v>Europe</v>
      </c>
      <c r="C233">
        <f>IFERROR(__xludf.DUMMYFUNCTION("""COMPUTED_VALUE"""),32.0)</f>
        <v>32</v>
      </c>
      <c r="D233" t="str">
        <f>IFERROR(__xludf.DUMMYFUNCTION("""COMPUTED_VALUE"""),"Lose Control")</f>
        <v>Lose Control</v>
      </c>
      <c r="E233" t="str">
        <f>IFERROR(__xludf.DUMMYFUNCTION("""COMPUTED_VALUE"""),"MEDUZA, Becky Hill, Goodboys")</f>
        <v>MEDUZA, Becky Hill, Goodboys</v>
      </c>
      <c r="F233" t="str">
        <f>IFERROR(__xludf.DUMMYFUNCTION("""COMPUTED_VALUE"""),"Lose Control")</f>
        <v>Lose Control</v>
      </c>
      <c r="G233">
        <f>IFERROR(__xludf.DUMMYFUNCTION("""COMPUTED_VALUE"""),0.0)</f>
        <v>0</v>
      </c>
      <c r="H233" s="5">
        <f>IFERROR(__xludf.DUMMYFUNCTION("""COMPUTED_VALUE"""),0.11666666666496894)</f>
        <v>0.1166666667</v>
      </c>
    </row>
    <row r="234">
      <c r="A234" t="str">
        <f>IFERROR(__xludf.DUMMYFUNCTION("""COMPUTED_VALUE"""),"Belgium")</f>
        <v>Belgium</v>
      </c>
      <c r="B234" t="str">
        <f>IFERROR(__xludf.DUMMYFUNCTION("""COMPUTED_VALUE"""),"Europe")</f>
        <v>Europe</v>
      </c>
      <c r="C234">
        <f>IFERROR(__xludf.DUMMYFUNCTION("""COMPUTED_VALUE"""),33.0)</f>
        <v>33</v>
      </c>
      <c r="D234" t="str">
        <f>IFERROR(__xludf.DUMMYFUNCTION("""COMPUTED_VALUE"""),"Intentions (feat. Quavo)")</f>
        <v>Intentions (feat. Quavo)</v>
      </c>
      <c r="E234" t="str">
        <f>IFERROR(__xludf.DUMMYFUNCTION("""COMPUTED_VALUE"""),"Justin Bieber, Quavo")</f>
        <v>Justin Bieber, Quavo</v>
      </c>
      <c r="F234" t="str">
        <f>IFERROR(__xludf.DUMMYFUNCTION("""COMPUTED_VALUE"""),"Changes")</f>
        <v>Changes</v>
      </c>
      <c r="G234">
        <f>IFERROR(__xludf.DUMMYFUNCTION("""COMPUTED_VALUE"""),0.0)</f>
        <v>0</v>
      </c>
      <c r="H234" s="5">
        <f>IFERROR(__xludf.DUMMYFUNCTION("""COMPUTED_VALUE"""),0.14722222222189885)</f>
        <v>0.1472222222</v>
      </c>
    </row>
    <row r="235">
      <c r="A235" t="str">
        <f>IFERROR(__xludf.DUMMYFUNCTION("""COMPUTED_VALUE"""),"Belgium")</f>
        <v>Belgium</v>
      </c>
      <c r="B235" t="str">
        <f>IFERROR(__xludf.DUMMYFUNCTION("""COMPUTED_VALUE"""),"Europe")</f>
        <v>Europe</v>
      </c>
      <c r="C235">
        <f>IFERROR(__xludf.DUMMYFUNCTION("""COMPUTED_VALUE"""),34.0)</f>
        <v>34</v>
      </c>
      <c r="D235" t="str">
        <f>IFERROR(__xludf.DUMMYFUNCTION("""COMPUTED_VALUE"""),"ROXANNE")</f>
        <v>ROXANNE</v>
      </c>
      <c r="E235" t="str">
        <f>IFERROR(__xludf.DUMMYFUNCTION("""COMPUTED_VALUE"""),"Arizona Zervas")</f>
        <v>Arizona Zervas</v>
      </c>
      <c r="F235" t="str">
        <f>IFERROR(__xludf.DUMMYFUNCTION("""COMPUTED_VALUE"""),"ROXANNE")</f>
        <v>ROXANNE</v>
      </c>
      <c r="G235">
        <f>IFERROR(__xludf.DUMMYFUNCTION("""COMPUTED_VALUE"""),1.0)</f>
        <v>1</v>
      </c>
      <c r="H235" s="5">
        <f>IFERROR(__xludf.DUMMYFUNCTION("""COMPUTED_VALUE"""),0.11319444444598048)</f>
        <v>0.1131944444</v>
      </c>
    </row>
    <row r="236">
      <c r="A236" t="str">
        <f>IFERROR(__xludf.DUMMYFUNCTION("""COMPUTED_VALUE"""),"Belgium")</f>
        <v>Belgium</v>
      </c>
      <c r="B236" t="str">
        <f>IFERROR(__xludf.DUMMYFUNCTION("""COMPUTED_VALUE"""),"Europe")</f>
        <v>Europe</v>
      </c>
      <c r="C236">
        <f>IFERROR(__xludf.DUMMYFUNCTION("""COMPUTED_VALUE"""),35.0)</f>
        <v>35</v>
      </c>
      <c r="D236" t="str">
        <f>IFERROR(__xludf.DUMMYFUNCTION("""COMPUTED_VALUE"""),"MAMACITA")</f>
        <v>MAMACITA</v>
      </c>
      <c r="E236" t="str">
        <f>IFERROR(__xludf.DUMMYFUNCTION("""COMPUTED_VALUE"""),"Black Eyed Peas, Ozuna, J. Rey Soul")</f>
        <v>Black Eyed Peas, Ozuna, J. Rey Soul</v>
      </c>
      <c r="F236" t="str">
        <f>IFERROR(__xludf.DUMMYFUNCTION("""COMPUTED_VALUE"""),"MAMACITA")</f>
        <v>MAMACITA</v>
      </c>
      <c r="G236">
        <f>IFERROR(__xludf.DUMMYFUNCTION("""COMPUTED_VALUE"""),1.0)</f>
        <v>1</v>
      </c>
      <c r="H236" s="5">
        <f>IFERROR(__xludf.DUMMYFUNCTION("""COMPUTED_VALUE"""),0.17291666666642413)</f>
        <v>0.1729166667</v>
      </c>
    </row>
    <row r="237">
      <c r="A237" t="str">
        <f>IFERROR(__xludf.DUMMYFUNCTION("""COMPUTED_VALUE"""),"Belgium")</f>
        <v>Belgium</v>
      </c>
      <c r="B237" t="str">
        <f>IFERROR(__xludf.DUMMYFUNCTION("""COMPUTED_VALUE"""),"Europe")</f>
        <v>Europe</v>
      </c>
      <c r="C237">
        <f>IFERROR(__xludf.DUMMYFUNCTION("""COMPUTED_VALUE"""),36.0)</f>
        <v>36</v>
      </c>
      <c r="D237" t="str">
        <f>IFERROR(__xludf.DUMMYFUNCTION("""COMPUTED_VALUE"""),"Party Girl")</f>
        <v>Party Girl</v>
      </c>
      <c r="E237" t="str">
        <f>IFERROR(__xludf.DUMMYFUNCTION("""COMPUTED_VALUE"""),"StaySolidRocky")</f>
        <v>StaySolidRocky</v>
      </c>
      <c r="F237" t="str">
        <f>IFERROR(__xludf.DUMMYFUNCTION("""COMPUTED_VALUE"""),"Party Girl")</f>
        <v>Party Girl</v>
      </c>
      <c r="G237">
        <f>IFERROR(__xludf.DUMMYFUNCTION("""COMPUTED_VALUE"""),0.0)</f>
        <v>0</v>
      </c>
      <c r="H237" s="5">
        <f>IFERROR(__xludf.DUMMYFUNCTION("""COMPUTED_VALUE"""),0.10208333333503106)</f>
        <v>0.1020833333</v>
      </c>
    </row>
    <row r="238">
      <c r="A238" t="str">
        <f>IFERROR(__xludf.DUMMYFUNCTION("""COMPUTED_VALUE"""),"Belgium")</f>
        <v>Belgium</v>
      </c>
      <c r="B238" t="str">
        <f>IFERROR(__xludf.DUMMYFUNCTION("""COMPUTED_VALUE"""),"Europe")</f>
        <v>Europe</v>
      </c>
      <c r="C238">
        <f>IFERROR(__xludf.DUMMYFUNCTION("""COMPUTED_VALUE"""),37.0)</f>
        <v>37</v>
      </c>
      <c r="D238" t="str">
        <f>IFERROR(__xludf.DUMMYFUNCTION("""COMPUTED_VALUE"""),"Some Say")</f>
        <v>Some Say</v>
      </c>
      <c r="E238" t="str">
        <f>IFERROR(__xludf.DUMMYFUNCTION("""COMPUTED_VALUE"""),"Nea")</f>
        <v>Nea</v>
      </c>
      <c r="F238" t="str">
        <f>IFERROR(__xludf.DUMMYFUNCTION("""COMPUTED_VALUE"""),"Some Say")</f>
        <v>Some Say</v>
      </c>
      <c r="G238">
        <f>IFERROR(__xludf.DUMMYFUNCTION("""COMPUTED_VALUE"""),0.0)</f>
        <v>0</v>
      </c>
      <c r="H238" s="5">
        <f>IFERROR(__xludf.DUMMYFUNCTION("""COMPUTED_VALUE"""),0.12152777777737356)</f>
        <v>0.1215277778</v>
      </c>
    </row>
    <row r="239">
      <c r="A239" t="str">
        <f>IFERROR(__xludf.DUMMYFUNCTION("""COMPUTED_VALUE"""),"Belgium")</f>
        <v>Belgium</v>
      </c>
      <c r="B239" t="str">
        <f>IFERROR(__xludf.DUMMYFUNCTION("""COMPUTED_VALUE"""),"Europe")</f>
        <v>Europe</v>
      </c>
      <c r="C239">
        <f>IFERROR(__xludf.DUMMYFUNCTION("""COMPUTED_VALUE"""),38.0)</f>
        <v>38</v>
      </c>
      <c r="D239" t="str">
        <f>IFERROR(__xludf.DUMMYFUNCTION("""COMPUTED_VALUE"""),"SICKO MODE")</f>
        <v>SICKO MODE</v>
      </c>
      <c r="E239" t="str">
        <f>IFERROR(__xludf.DUMMYFUNCTION("""COMPUTED_VALUE"""),"Travis Scott")</f>
        <v>Travis Scott</v>
      </c>
      <c r="F239" t="str">
        <f>IFERROR(__xludf.DUMMYFUNCTION("""COMPUTED_VALUE"""),"ASTROWORLD")</f>
        <v>ASTROWORLD</v>
      </c>
      <c r="G239">
        <f>IFERROR(__xludf.DUMMYFUNCTION("""COMPUTED_VALUE"""),1.0)</f>
        <v>1</v>
      </c>
      <c r="H239" s="5">
        <f>IFERROR(__xludf.DUMMYFUNCTION("""COMPUTED_VALUE"""),0.21666666666715173)</f>
        <v>0.2166666667</v>
      </c>
    </row>
    <row r="240">
      <c r="A240" t="str">
        <f>IFERROR(__xludf.DUMMYFUNCTION("""COMPUTED_VALUE"""),"Belgium")</f>
        <v>Belgium</v>
      </c>
      <c r="B240" t="str">
        <f>IFERROR(__xludf.DUMMYFUNCTION("""COMPUTED_VALUE"""),"Europe")</f>
        <v>Europe</v>
      </c>
      <c r="C240">
        <f>IFERROR(__xludf.DUMMYFUNCTION("""COMPUTED_VALUE"""),39.0)</f>
        <v>39</v>
      </c>
      <c r="D240" t="str">
        <f>IFERROR(__xludf.DUMMYFUNCTION("""COMPUTED_VALUE"""),"Skechers")</f>
        <v>Skechers</v>
      </c>
      <c r="E240" t="str">
        <f>IFERROR(__xludf.DUMMYFUNCTION("""COMPUTED_VALUE"""),"DripReport")</f>
        <v>DripReport</v>
      </c>
      <c r="F240" t="str">
        <f>IFERROR(__xludf.DUMMYFUNCTION("""COMPUTED_VALUE"""),"Skechers")</f>
        <v>Skechers</v>
      </c>
      <c r="G240">
        <f>IFERROR(__xludf.DUMMYFUNCTION("""COMPUTED_VALUE"""),1.0)</f>
        <v>1</v>
      </c>
      <c r="H240" s="5">
        <f>IFERROR(__xludf.DUMMYFUNCTION("""COMPUTED_VALUE"""),0.07361111111094942)</f>
        <v>0.07361111111</v>
      </c>
    </row>
    <row r="241">
      <c r="A241" t="str">
        <f>IFERROR(__xludf.DUMMYFUNCTION("""COMPUTED_VALUE"""),"Belgium")</f>
        <v>Belgium</v>
      </c>
      <c r="B241" t="str">
        <f>IFERROR(__xludf.DUMMYFUNCTION("""COMPUTED_VALUE"""),"Europe")</f>
        <v>Europe</v>
      </c>
      <c r="C241">
        <f>IFERROR(__xludf.DUMMYFUNCTION("""COMPUTED_VALUE"""),40.0)</f>
        <v>40</v>
      </c>
      <c r="D241" t="str">
        <f>IFERROR(__xludf.DUMMYFUNCTION("""COMPUTED_VALUE"""),"Alone, Pt. II")</f>
        <v>Alone, Pt. II</v>
      </c>
      <c r="E241" t="str">
        <f>IFERROR(__xludf.DUMMYFUNCTION("""COMPUTED_VALUE"""),"Alan Walker, Ava Max")</f>
        <v>Alan Walker, Ava Max</v>
      </c>
      <c r="F241" t="str">
        <f>IFERROR(__xludf.DUMMYFUNCTION("""COMPUTED_VALUE"""),"Alone, Pt. II")</f>
        <v>Alone, Pt. II</v>
      </c>
      <c r="G241">
        <f>IFERROR(__xludf.DUMMYFUNCTION("""COMPUTED_VALUE"""),0.0)</f>
        <v>0</v>
      </c>
      <c r="H241" s="5">
        <f>IFERROR(__xludf.DUMMYFUNCTION("""COMPUTED_VALUE"""),0.1243055555569299)</f>
        <v>0.1243055556</v>
      </c>
    </row>
    <row r="242">
      <c r="A242" t="str">
        <f>IFERROR(__xludf.DUMMYFUNCTION("""COMPUTED_VALUE"""),"Belgium")</f>
        <v>Belgium</v>
      </c>
      <c r="B242" t="str">
        <f>IFERROR(__xludf.DUMMYFUNCTION("""COMPUTED_VALUE"""),"Europe")</f>
        <v>Europe</v>
      </c>
      <c r="C242">
        <f>IFERROR(__xludf.DUMMYFUNCTION("""COMPUTED_VALUE"""),41.0)</f>
        <v>41</v>
      </c>
      <c r="D242" t="str">
        <f>IFERROR(__xludf.DUMMYFUNCTION("""COMPUTED_VALUE"""),"everything i wanted")</f>
        <v>everything i wanted</v>
      </c>
      <c r="E242" t="str">
        <f>IFERROR(__xludf.DUMMYFUNCTION("""COMPUTED_VALUE"""),"Billie Eilish")</f>
        <v>Billie Eilish</v>
      </c>
      <c r="F242" t="str">
        <f>IFERROR(__xludf.DUMMYFUNCTION("""COMPUTED_VALUE"""),"everything i wanted")</f>
        <v>everything i wanted</v>
      </c>
      <c r="G242">
        <f>IFERROR(__xludf.DUMMYFUNCTION("""COMPUTED_VALUE"""),0.0)</f>
        <v>0</v>
      </c>
      <c r="H242" s="5">
        <f>IFERROR(__xludf.DUMMYFUNCTION("""COMPUTED_VALUE"""),0.17013888889050577)</f>
        <v>0.1701388889</v>
      </c>
    </row>
    <row r="243">
      <c r="A243" t="str">
        <f>IFERROR(__xludf.DUMMYFUNCTION("""COMPUTED_VALUE"""),"Belgium")</f>
        <v>Belgium</v>
      </c>
      <c r="B243" t="str">
        <f>IFERROR(__xludf.DUMMYFUNCTION("""COMPUTED_VALUE"""),"Europe")</f>
        <v>Europe</v>
      </c>
      <c r="C243">
        <f>IFERROR(__xludf.DUMMYFUNCTION("""COMPUTED_VALUE"""),42.0)</f>
        <v>42</v>
      </c>
      <c r="D243" t="str">
        <f>IFERROR(__xludf.DUMMYFUNCTION("""COMPUTED_VALUE"""),"bad guy")</f>
        <v>bad guy</v>
      </c>
      <c r="E243" t="str">
        <f>IFERROR(__xludf.DUMMYFUNCTION("""COMPUTED_VALUE"""),"Billie Eilish")</f>
        <v>Billie Eilish</v>
      </c>
      <c r="F243" t="str">
        <f>IFERROR(__xludf.DUMMYFUNCTION("""COMPUTED_VALUE"""),"WHEN WE ALL FALL ASLEEP, WHERE DO WE GO?")</f>
        <v>WHEN WE ALL FALL ASLEEP, WHERE DO WE GO?</v>
      </c>
      <c r="G243">
        <f>IFERROR(__xludf.DUMMYFUNCTION("""COMPUTED_VALUE"""),0.0)</f>
        <v>0</v>
      </c>
      <c r="H243" s="5">
        <f>IFERROR(__xludf.DUMMYFUNCTION("""COMPUTED_VALUE"""),0.13472222222117125)</f>
        <v>0.1347222222</v>
      </c>
    </row>
    <row r="244">
      <c r="A244" t="str">
        <f>IFERROR(__xludf.DUMMYFUNCTION("""COMPUTED_VALUE"""),"Belgium")</f>
        <v>Belgium</v>
      </c>
      <c r="B244" t="str">
        <f>IFERROR(__xludf.DUMMYFUNCTION("""COMPUTED_VALUE"""),"Europe")</f>
        <v>Europe</v>
      </c>
      <c r="C244">
        <f>IFERROR(__xludf.DUMMYFUNCTION("""COMPUTED_VALUE"""),43.0)</f>
        <v>43</v>
      </c>
      <c r="D244" t="str">
        <f>IFERROR(__xludf.DUMMYFUNCTION("""COMPUTED_VALUE"""),"Salt")</f>
        <v>Salt</v>
      </c>
      <c r="E244" t="str">
        <f>IFERROR(__xludf.DUMMYFUNCTION("""COMPUTED_VALUE"""),"Ava Max")</f>
        <v>Ava Max</v>
      </c>
      <c r="F244" t="str">
        <f>IFERROR(__xludf.DUMMYFUNCTION("""COMPUTED_VALUE"""),"Salt")</f>
        <v>Salt</v>
      </c>
      <c r="G244">
        <f>IFERROR(__xludf.DUMMYFUNCTION("""COMPUTED_VALUE"""),0.0)</f>
        <v>0</v>
      </c>
      <c r="H244" s="5">
        <f>IFERROR(__xludf.DUMMYFUNCTION("""COMPUTED_VALUE"""),0.125)</f>
        <v>0.125</v>
      </c>
    </row>
    <row r="245">
      <c r="A245" t="str">
        <f>IFERROR(__xludf.DUMMYFUNCTION("""COMPUTED_VALUE"""),"Belgium")</f>
        <v>Belgium</v>
      </c>
      <c r="B245" t="str">
        <f>IFERROR(__xludf.DUMMYFUNCTION("""COMPUTED_VALUE"""),"Europe")</f>
        <v>Europe</v>
      </c>
      <c r="C245">
        <f>IFERROR(__xludf.DUMMYFUNCTION("""COMPUTED_VALUE"""),44.0)</f>
        <v>44</v>
      </c>
      <c r="D245" t="str">
        <f>IFERROR(__xludf.DUMMYFUNCTION("""COMPUTED_VALUE"""),"Tusa")</f>
        <v>Tusa</v>
      </c>
      <c r="E245" t="str">
        <f>IFERROR(__xludf.DUMMYFUNCTION("""COMPUTED_VALUE"""),"KAROL G, Nicki Minaj")</f>
        <v>KAROL G, Nicki Minaj</v>
      </c>
      <c r="F245" t="str">
        <f>IFERROR(__xludf.DUMMYFUNCTION("""COMPUTED_VALUE"""),"Tusa")</f>
        <v>Tusa</v>
      </c>
      <c r="G245">
        <f>IFERROR(__xludf.DUMMYFUNCTION("""COMPUTED_VALUE"""),0.0)</f>
        <v>0</v>
      </c>
      <c r="H245" s="5">
        <f>IFERROR(__xludf.DUMMYFUNCTION("""COMPUTED_VALUE"""),0.13888888889050577)</f>
        <v>0.1388888889</v>
      </c>
    </row>
    <row r="246">
      <c r="A246" t="str">
        <f>IFERROR(__xludf.DUMMYFUNCTION("""COMPUTED_VALUE"""),"Belgium")</f>
        <v>Belgium</v>
      </c>
      <c r="B246" t="str">
        <f>IFERROR(__xludf.DUMMYFUNCTION("""COMPUTED_VALUE"""),"Europe")</f>
        <v>Europe</v>
      </c>
      <c r="C246">
        <f>IFERROR(__xludf.DUMMYFUNCTION("""COMPUTED_VALUE"""),45.0)</f>
        <v>45</v>
      </c>
      <c r="D246" t="str">
        <f>IFERROR(__xludf.DUMMYFUNCTION("""COMPUTED_VALUE"""),"Adore You")</f>
        <v>Adore You</v>
      </c>
      <c r="E246" t="str">
        <f>IFERROR(__xludf.DUMMYFUNCTION("""COMPUTED_VALUE"""),"Harry Styles")</f>
        <v>Harry Styles</v>
      </c>
      <c r="F246" t="str">
        <f>IFERROR(__xludf.DUMMYFUNCTION("""COMPUTED_VALUE"""),"Fine Line")</f>
        <v>Fine Line</v>
      </c>
      <c r="G246">
        <f>IFERROR(__xludf.DUMMYFUNCTION("""COMPUTED_VALUE"""),0.0)</f>
        <v>0</v>
      </c>
      <c r="H246" s="5">
        <f>IFERROR(__xludf.DUMMYFUNCTION("""COMPUTED_VALUE"""),0.1437499999992724)</f>
        <v>0.14375</v>
      </c>
    </row>
    <row r="247">
      <c r="A247" t="str">
        <f>IFERROR(__xludf.DUMMYFUNCTION("""COMPUTED_VALUE"""),"Belgium")</f>
        <v>Belgium</v>
      </c>
      <c r="B247" t="str">
        <f>IFERROR(__xludf.DUMMYFUNCTION("""COMPUTED_VALUE"""),"Europe")</f>
        <v>Europe</v>
      </c>
      <c r="C247">
        <f>IFERROR(__xludf.DUMMYFUNCTION("""COMPUTED_VALUE"""),46.0)</f>
        <v>46</v>
      </c>
      <c r="D247" t="str">
        <f>IFERROR(__xludf.DUMMYFUNCTION("""COMPUTED_VALUE"""),"Little Submarine - Live Uit Liefde Voor Muziek")</f>
        <v>Little Submarine - Live Uit Liefde Voor Muziek</v>
      </c>
      <c r="E247" t="str">
        <f>IFERROR(__xludf.DUMMYFUNCTION("""COMPUTED_VALUE"""),"The Starlings")</f>
        <v>The Starlings</v>
      </c>
      <c r="F247" t="str">
        <f>IFERROR(__xludf.DUMMYFUNCTION("""COMPUTED_VALUE"""),"Don't Look Back")</f>
        <v>Don't Look Back</v>
      </c>
      <c r="G247">
        <f>IFERROR(__xludf.DUMMYFUNCTION("""COMPUTED_VALUE"""),0.0)</f>
        <v>0</v>
      </c>
      <c r="H247" s="5">
        <f>IFERROR(__xludf.DUMMYFUNCTION("""COMPUTED_VALUE"""),0.13958333333357587)</f>
        <v>0.1395833333</v>
      </c>
    </row>
    <row r="248">
      <c r="A248" t="str">
        <f>IFERROR(__xludf.DUMMYFUNCTION("""COMPUTED_VALUE"""),"Belgium")</f>
        <v>Belgium</v>
      </c>
      <c r="B248" t="str">
        <f>IFERROR(__xludf.DUMMYFUNCTION("""COMPUTED_VALUE"""),"Europe")</f>
        <v>Europe</v>
      </c>
      <c r="C248">
        <f>IFERROR(__xludf.DUMMYFUNCTION("""COMPUTED_VALUE"""),47.0)</f>
        <v>47</v>
      </c>
      <c r="D248" t="str">
        <f>IFERROR(__xludf.DUMMYFUNCTION("""COMPUTED_VALUE"""),"Savage")</f>
        <v>Savage</v>
      </c>
      <c r="E248" t="str">
        <f>IFERROR(__xludf.DUMMYFUNCTION("""COMPUTED_VALUE"""),"Megan Thee Stallion")</f>
        <v>Megan Thee Stallion</v>
      </c>
      <c r="F248" t="str">
        <f>IFERROR(__xludf.DUMMYFUNCTION("""COMPUTED_VALUE"""),"Suga")</f>
        <v>Suga</v>
      </c>
      <c r="G248">
        <f>IFERROR(__xludf.DUMMYFUNCTION("""COMPUTED_VALUE"""),1.0)</f>
        <v>1</v>
      </c>
      <c r="H248" s="5">
        <f>IFERROR(__xludf.DUMMYFUNCTION("""COMPUTED_VALUE"""),0.10763888889050577)</f>
        <v>0.1076388889</v>
      </c>
    </row>
    <row r="249">
      <c r="A249" t="str">
        <f>IFERROR(__xludf.DUMMYFUNCTION("""COMPUTED_VALUE"""),"Belgium")</f>
        <v>Belgium</v>
      </c>
      <c r="B249" t="str">
        <f>IFERROR(__xludf.DUMMYFUNCTION("""COMPUTED_VALUE"""),"Europe")</f>
        <v>Europe</v>
      </c>
      <c r="C249">
        <f>IFERROR(__xludf.DUMMYFUNCTION("""COMPUTED_VALUE"""),48.0)</f>
        <v>48</v>
      </c>
      <c r="D249" t="str">
        <f>IFERROR(__xludf.DUMMYFUNCTION("""COMPUTED_VALUE"""),"Be Kind (with Halsey)")</f>
        <v>Be Kind (with Halsey)</v>
      </c>
      <c r="E249" t="str">
        <f>IFERROR(__xludf.DUMMYFUNCTION("""COMPUTED_VALUE"""),"Marshmello, Halsey")</f>
        <v>Marshmello, Halsey</v>
      </c>
      <c r="F249" t="str">
        <f>IFERROR(__xludf.DUMMYFUNCTION("""COMPUTED_VALUE"""),"Be Kind (with Halsey)")</f>
        <v>Be Kind (with Halsey)</v>
      </c>
      <c r="G249">
        <f>IFERROR(__xludf.DUMMYFUNCTION("""COMPUTED_VALUE"""),0.0)</f>
        <v>0</v>
      </c>
      <c r="H249" s="5">
        <f>IFERROR(__xludf.DUMMYFUNCTION("""COMPUTED_VALUE"""),0.11944444444452529)</f>
        <v>0.1194444444</v>
      </c>
    </row>
    <row r="250">
      <c r="A250" t="str">
        <f>IFERROR(__xludf.DUMMYFUNCTION("""COMPUTED_VALUE"""),"Belgium")</f>
        <v>Belgium</v>
      </c>
      <c r="B250" t="str">
        <f>IFERROR(__xludf.DUMMYFUNCTION("""COMPUTED_VALUE"""),"Europe")</f>
        <v>Europe</v>
      </c>
      <c r="C250">
        <f>IFERROR(__xludf.DUMMYFUNCTION("""COMPUTED_VALUE"""),49.0)</f>
        <v>49</v>
      </c>
      <c r="D250" t="str">
        <f>IFERROR(__xludf.DUMMYFUNCTION("""COMPUTED_VALUE"""),"What A Man Gotta Do")</f>
        <v>What A Man Gotta Do</v>
      </c>
      <c r="E250" t="str">
        <f>IFERROR(__xludf.DUMMYFUNCTION("""COMPUTED_VALUE"""),"Jonas Brothers")</f>
        <v>Jonas Brothers</v>
      </c>
      <c r="F250" t="str">
        <f>IFERROR(__xludf.DUMMYFUNCTION("""COMPUTED_VALUE"""),"What A Man Gotta Do")</f>
        <v>What A Man Gotta Do</v>
      </c>
      <c r="G250">
        <f>IFERROR(__xludf.DUMMYFUNCTION("""COMPUTED_VALUE"""),0.0)</f>
        <v>0</v>
      </c>
      <c r="H250" s="5">
        <f>IFERROR(__xludf.DUMMYFUNCTION("""COMPUTED_VALUE"""),0.125)</f>
        <v>0.125</v>
      </c>
    </row>
    <row r="251">
      <c r="A251" t="str">
        <f>IFERROR(__xludf.DUMMYFUNCTION("""COMPUTED_VALUE"""),"Belgium")</f>
        <v>Belgium</v>
      </c>
      <c r="B251" t="str">
        <f>IFERROR(__xludf.DUMMYFUNCTION("""COMPUTED_VALUE"""),"Europe")</f>
        <v>Europe</v>
      </c>
      <c r="C251">
        <f>IFERROR(__xludf.DUMMYFUNCTION("""COMPUTED_VALUE"""),50.0)</f>
        <v>50</v>
      </c>
      <c r="D251" t="str">
        <f>IFERROR(__xludf.DUMMYFUNCTION("""COMPUTED_VALUE"""),"HIGHEST IN THE ROOM")</f>
        <v>HIGHEST IN THE ROOM</v>
      </c>
      <c r="E251" t="str">
        <f>IFERROR(__xludf.DUMMYFUNCTION("""COMPUTED_VALUE"""),"Travis Scott")</f>
        <v>Travis Scott</v>
      </c>
      <c r="F251" t="str">
        <f>IFERROR(__xludf.DUMMYFUNCTION("""COMPUTED_VALUE"""),"HIGHEST IN THE ROOM")</f>
        <v>HIGHEST IN THE ROOM</v>
      </c>
      <c r="G251">
        <f>IFERROR(__xludf.DUMMYFUNCTION("""COMPUTED_VALUE"""),1.0)</f>
        <v>1</v>
      </c>
      <c r="H251" s="5">
        <f>IFERROR(__xludf.DUMMYFUNCTION("""COMPUTED_VALUE"""),0.12152777777737356)</f>
        <v>0.1215277778</v>
      </c>
    </row>
    <row r="252">
      <c r="A252" t="str">
        <f>IFERROR(__xludf.DUMMYFUNCTION("""COMPUTED_VALUE"""),"Bolivia")</f>
        <v>Bolivia</v>
      </c>
      <c r="B252" t="str">
        <f>IFERROR(__xludf.DUMMYFUNCTION("""COMPUTED_VALUE"""),"South America")</f>
        <v>South America</v>
      </c>
      <c r="C252">
        <f>IFERROR(__xludf.DUMMYFUNCTION("""COMPUTED_VALUE"""),1.0)</f>
        <v>1</v>
      </c>
      <c r="D252" t="str">
        <f>IFERROR(__xludf.DUMMYFUNCTION("""COMPUTED_VALUE"""),"Rojo")</f>
        <v>Rojo</v>
      </c>
      <c r="E252" t="str">
        <f>IFERROR(__xludf.DUMMYFUNCTION("""COMPUTED_VALUE"""),"J Balvin")</f>
        <v>J Balvin</v>
      </c>
      <c r="F252" t="str">
        <f>IFERROR(__xludf.DUMMYFUNCTION("""COMPUTED_VALUE"""),"Colores")</f>
        <v>Colores</v>
      </c>
      <c r="G252">
        <f>IFERROR(__xludf.DUMMYFUNCTION("""COMPUTED_VALUE"""),0.0)</f>
        <v>0</v>
      </c>
      <c r="H252" s="5">
        <f>IFERROR(__xludf.DUMMYFUNCTION("""COMPUTED_VALUE"""),0.10416666666787933)</f>
        <v>0.1041666667</v>
      </c>
    </row>
    <row r="253">
      <c r="A253" t="str">
        <f>IFERROR(__xludf.DUMMYFUNCTION("""COMPUTED_VALUE"""),"Bolivia")</f>
        <v>Bolivia</v>
      </c>
      <c r="B253" t="str">
        <f>IFERROR(__xludf.DUMMYFUNCTION("""COMPUTED_VALUE"""),"South America")</f>
        <v>South America</v>
      </c>
      <c r="C253">
        <f>IFERROR(__xludf.DUMMYFUNCTION("""COMPUTED_VALUE"""),2.0)</f>
        <v>2</v>
      </c>
      <c r="D253" t="str">
        <f>IFERROR(__xludf.DUMMYFUNCTION("""COMPUTED_VALUE"""),"Favorito")</f>
        <v>Favorito</v>
      </c>
      <c r="E253" t="str">
        <f>IFERROR(__xludf.DUMMYFUNCTION("""COMPUTED_VALUE"""),"Camilo")</f>
        <v>Camilo</v>
      </c>
      <c r="F253" t="str">
        <f>IFERROR(__xludf.DUMMYFUNCTION("""COMPUTED_VALUE"""),"Por Primera Vez")</f>
        <v>Por Primera Vez</v>
      </c>
      <c r="G253">
        <f>IFERROR(__xludf.DUMMYFUNCTION("""COMPUTED_VALUE"""),0.0)</f>
        <v>0</v>
      </c>
      <c r="H253" s="5">
        <f>IFERROR(__xludf.DUMMYFUNCTION("""COMPUTED_VALUE"""),0.14513888888905058)</f>
        <v>0.1451388889</v>
      </c>
    </row>
    <row r="254">
      <c r="A254" t="str">
        <f>IFERROR(__xludf.DUMMYFUNCTION("""COMPUTED_VALUE"""),"Bolivia")</f>
        <v>Bolivia</v>
      </c>
      <c r="B254" t="str">
        <f>IFERROR(__xludf.DUMMYFUNCTION("""COMPUTED_VALUE"""),"South America")</f>
        <v>South America</v>
      </c>
      <c r="C254">
        <f>IFERROR(__xludf.DUMMYFUNCTION("""COMPUTED_VALUE"""),3.0)</f>
        <v>3</v>
      </c>
      <c r="D254" t="str">
        <f>IFERROR(__xludf.DUMMYFUNCTION("""COMPUTED_VALUE"""),"Blinding Lights")</f>
        <v>Blinding Lights</v>
      </c>
      <c r="E254" t="str">
        <f>IFERROR(__xludf.DUMMYFUNCTION("""COMPUTED_VALUE"""),"The Weeknd")</f>
        <v>The Weeknd</v>
      </c>
      <c r="F254" t="str">
        <f>IFERROR(__xludf.DUMMYFUNCTION("""COMPUTED_VALUE"""),"After Hours")</f>
        <v>After Hours</v>
      </c>
      <c r="G254">
        <f>IFERROR(__xludf.DUMMYFUNCTION("""COMPUTED_VALUE"""),0.0)</f>
        <v>0</v>
      </c>
      <c r="H254" s="5">
        <f>IFERROR(__xludf.DUMMYFUNCTION("""COMPUTED_VALUE"""),0.13888888889050577)</f>
        <v>0.1388888889</v>
      </c>
    </row>
    <row r="255">
      <c r="A255" t="str">
        <f>IFERROR(__xludf.DUMMYFUNCTION("""COMPUTED_VALUE"""),"Bolivia")</f>
        <v>Bolivia</v>
      </c>
      <c r="B255" t="str">
        <f>IFERROR(__xludf.DUMMYFUNCTION("""COMPUTED_VALUE"""),"South America")</f>
        <v>South America</v>
      </c>
      <c r="C255">
        <f>IFERROR(__xludf.DUMMYFUNCTION("""COMPUTED_VALUE"""),4.0)</f>
        <v>4</v>
      </c>
      <c r="D255" t="str">
        <f>IFERROR(__xludf.DUMMYFUNCTION("""COMPUTED_VALUE"""),"Bajo La Mesa")</f>
        <v>Bajo La Mesa</v>
      </c>
      <c r="E255" t="str">
        <f>IFERROR(__xludf.DUMMYFUNCTION("""COMPUTED_VALUE"""),"Morat, Sebastian Yatra")</f>
        <v>Morat, Sebastian Yatra</v>
      </c>
      <c r="F255" t="str">
        <f>IFERROR(__xludf.DUMMYFUNCTION("""COMPUTED_VALUE"""),"Bajo La Mesa")</f>
        <v>Bajo La Mesa</v>
      </c>
      <c r="G255">
        <f>IFERROR(__xludf.DUMMYFUNCTION("""COMPUTED_VALUE"""),0.0)</f>
        <v>0</v>
      </c>
      <c r="H255" s="5">
        <f>IFERROR(__xludf.DUMMYFUNCTION("""COMPUTED_VALUE"""),0.10902777777664596)</f>
        <v>0.1090277778</v>
      </c>
    </row>
    <row r="256">
      <c r="A256" t="str">
        <f>IFERROR(__xludf.DUMMYFUNCTION("""COMPUTED_VALUE"""),"Bolivia")</f>
        <v>Bolivia</v>
      </c>
      <c r="B256" t="str">
        <f>IFERROR(__xludf.DUMMYFUNCTION("""COMPUTED_VALUE"""),"South America")</f>
        <v>South America</v>
      </c>
      <c r="C256">
        <f>IFERROR(__xludf.DUMMYFUNCTION("""COMPUTED_VALUE"""),5.0)</f>
        <v>5</v>
      </c>
      <c r="D256" t="str">
        <f>IFERROR(__xludf.DUMMYFUNCTION("""COMPUTED_VALUE"""),"Yo Perreo Sola")</f>
        <v>Yo Perreo Sola</v>
      </c>
      <c r="E256" t="str">
        <f>IFERROR(__xludf.DUMMYFUNCTION("""COMPUTED_VALUE"""),"Bad Bunny")</f>
        <v>Bad Bunny</v>
      </c>
      <c r="F256" t="str">
        <f>IFERROR(__xludf.DUMMYFUNCTION("""COMPUTED_VALUE"""),"YHLQMDLG")</f>
        <v>YHLQMDLG</v>
      </c>
      <c r="G256">
        <f>IFERROR(__xludf.DUMMYFUNCTION("""COMPUTED_VALUE"""),0.0)</f>
        <v>0</v>
      </c>
      <c r="H256" s="5">
        <f>IFERROR(__xludf.DUMMYFUNCTION("""COMPUTED_VALUE"""),0.11944444444452529)</f>
        <v>0.1194444444</v>
      </c>
    </row>
    <row r="257">
      <c r="A257" t="str">
        <f>IFERROR(__xludf.DUMMYFUNCTION("""COMPUTED_VALUE"""),"Bolivia")</f>
        <v>Bolivia</v>
      </c>
      <c r="B257" t="str">
        <f>IFERROR(__xludf.DUMMYFUNCTION("""COMPUTED_VALUE"""),"South America")</f>
        <v>South America</v>
      </c>
      <c r="C257">
        <f>IFERROR(__xludf.DUMMYFUNCTION("""COMPUTED_VALUE"""),6.0)</f>
        <v>6</v>
      </c>
      <c r="D257" t="str">
        <f>IFERROR(__xludf.DUMMYFUNCTION("""COMPUTED_VALUE"""),"Safaera")</f>
        <v>Safaera</v>
      </c>
      <c r="E257" t="str">
        <f>IFERROR(__xludf.DUMMYFUNCTION("""COMPUTED_VALUE"""),"Bad Bunny, Jowell &amp; Randy, Nengo Flow")</f>
        <v>Bad Bunny, Jowell &amp; Randy, Nengo Flow</v>
      </c>
      <c r="F257" t="str">
        <f>IFERROR(__xludf.DUMMYFUNCTION("""COMPUTED_VALUE"""),"YHLQMDLG")</f>
        <v>YHLQMDLG</v>
      </c>
      <c r="G257">
        <f>IFERROR(__xludf.DUMMYFUNCTION("""COMPUTED_VALUE"""),1.0)</f>
        <v>1</v>
      </c>
      <c r="H257" s="5">
        <f>IFERROR(__xludf.DUMMYFUNCTION("""COMPUTED_VALUE"""),0.20486111110949423)</f>
        <v>0.2048611111</v>
      </c>
    </row>
    <row r="258">
      <c r="A258" t="str">
        <f>IFERROR(__xludf.DUMMYFUNCTION("""COMPUTED_VALUE"""),"Bolivia")</f>
        <v>Bolivia</v>
      </c>
      <c r="B258" t="str">
        <f>IFERROR(__xludf.DUMMYFUNCTION("""COMPUTED_VALUE"""),"South America")</f>
        <v>South America</v>
      </c>
      <c r="C258">
        <f>IFERROR(__xludf.DUMMYFUNCTION("""COMPUTED_VALUE"""),7.0)</f>
        <v>7</v>
      </c>
      <c r="D258" t="str">
        <f>IFERROR(__xludf.DUMMYFUNCTION("""COMPUTED_VALUE"""),"Tattoo")</f>
        <v>Tattoo</v>
      </c>
      <c r="E258" t="str">
        <f>IFERROR(__xludf.DUMMYFUNCTION("""COMPUTED_VALUE"""),"Rauw Alejandro")</f>
        <v>Rauw Alejandro</v>
      </c>
      <c r="F258" t="str">
        <f>IFERROR(__xludf.DUMMYFUNCTION("""COMPUTED_VALUE"""),"Tattoo")</f>
        <v>Tattoo</v>
      </c>
      <c r="G258">
        <f>IFERROR(__xludf.DUMMYFUNCTION("""COMPUTED_VALUE"""),0.0)</f>
        <v>0</v>
      </c>
      <c r="H258" s="5">
        <f>IFERROR(__xludf.DUMMYFUNCTION("""COMPUTED_VALUE"""),0.14027777777664596)</f>
        <v>0.1402777778</v>
      </c>
    </row>
    <row r="259">
      <c r="A259" t="str">
        <f>IFERROR(__xludf.DUMMYFUNCTION("""COMPUTED_VALUE"""),"Bolivia")</f>
        <v>Bolivia</v>
      </c>
      <c r="B259" t="str">
        <f>IFERROR(__xludf.DUMMYFUNCTION("""COMPUTED_VALUE"""),"South America")</f>
        <v>South America</v>
      </c>
      <c r="C259">
        <f>IFERROR(__xludf.DUMMYFUNCTION("""COMPUTED_VALUE"""),8.0)</f>
        <v>8</v>
      </c>
      <c r="D259" t="str">
        <f>IFERROR(__xludf.DUMMYFUNCTION("""COMPUTED_VALUE"""),"Elegí (feat. Dímelo Flow)")</f>
        <v>Elegí (feat. Dímelo Flow)</v>
      </c>
      <c r="E259" t="str">
        <f>IFERROR(__xludf.DUMMYFUNCTION("""COMPUTED_VALUE"""),"Rauw Alejandro, Dalex, Lenny Tavárez, Dímelo Flow")</f>
        <v>Rauw Alejandro, Dalex, Lenny Tavárez, Dímelo Flow</v>
      </c>
      <c r="F259" t="str">
        <f>IFERROR(__xludf.DUMMYFUNCTION("""COMPUTED_VALUE"""),"Elegí (feat. Dímelo Flow)")</f>
        <v>Elegí (feat. Dímelo Flow)</v>
      </c>
      <c r="G259">
        <f>IFERROR(__xludf.DUMMYFUNCTION("""COMPUTED_VALUE"""),0.0)</f>
        <v>0</v>
      </c>
      <c r="H259" s="5">
        <f>IFERROR(__xludf.DUMMYFUNCTION("""COMPUTED_VALUE"""),0.13680555555401952)</f>
        <v>0.1368055556</v>
      </c>
    </row>
    <row r="260">
      <c r="A260" t="str">
        <f>IFERROR(__xludf.DUMMYFUNCTION("""COMPUTED_VALUE"""),"Bolivia")</f>
        <v>Bolivia</v>
      </c>
      <c r="B260" t="str">
        <f>IFERROR(__xludf.DUMMYFUNCTION("""COMPUTED_VALUE"""),"South America")</f>
        <v>South America</v>
      </c>
      <c r="C260">
        <f>IFERROR(__xludf.DUMMYFUNCTION("""COMPUTED_VALUE"""),9.0)</f>
        <v>9</v>
      </c>
      <c r="D260" t="str">
        <f>IFERROR(__xludf.DUMMYFUNCTION("""COMPUTED_VALUE"""),"Hola - Remix")</f>
        <v>Hola - Remix</v>
      </c>
      <c r="E260" t="str">
        <f>IFERROR(__xludf.DUMMYFUNCTION("""COMPUTED_VALUE"""),"Dalex, Lenny Tavárez, Chencho Corleone, Juhn, Dímelo Flow")</f>
        <v>Dalex, Lenny Tavárez, Chencho Corleone, Juhn, Dímelo Flow</v>
      </c>
      <c r="F260" t="str">
        <f>IFERROR(__xludf.DUMMYFUNCTION("""COMPUTED_VALUE"""),"Hola (Remix)")</f>
        <v>Hola (Remix)</v>
      </c>
      <c r="G260">
        <f>IFERROR(__xludf.DUMMYFUNCTION("""COMPUTED_VALUE"""),0.0)</f>
        <v>0</v>
      </c>
      <c r="H260" s="5">
        <f>IFERROR(__xludf.DUMMYFUNCTION("""COMPUTED_VALUE"""),0.17291666666642413)</f>
        <v>0.1729166667</v>
      </c>
    </row>
    <row r="261">
      <c r="A261" t="str">
        <f>IFERROR(__xludf.DUMMYFUNCTION("""COMPUTED_VALUE"""),"Bolivia")</f>
        <v>Bolivia</v>
      </c>
      <c r="B261" t="str">
        <f>IFERROR(__xludf.DUMMYFUNCTION("""COMPUTED_VALUE"""),"South America")</f>
        <v>South America</v>
      </c>
      <c r="C261">
        <f>IFERROR(__xludf.DUMMYFUNCTION("""COMPUTED_VALUE"""),10.0)</f>
        <v>10</v>
      </c>
      <c r="D261" t="str">
        <f>IFERROR(__xludf.DUMMYFUNCTION("""COMPUTED_VALUE"""),"PORFA")</f>
        <v>PORFA</v>
      </c>
      <c r="E261" t="str">
        <f>IFERROR(__xludf.DUMMYFUNCTION("""COMPUTED_VALUE"""),"Feid, Justin Quiles")</f>
        <v>Feid, Justin Quiles</v>
      </c>
      <c r="F261" t="str">
        <f>IFERROR(__xludf.DUMMYFUNCTION("""COMPUTED_VALUE"""),"FERXXO (VOL 1: M.O.R)")</f>
        <v>FERXXO (VOL 1: M.O.R)</v>
      </c>
      <c r="G261">
        <f>IFERROR(__xludf.DUMMYFUNCTION("""COMPUTED_VALUE"""),0.0)</f>
        <v>0</v>
      </c>
      <c r="H261" s="5">
        <f>IFERROR(__xludf.DUMMYFUNCTION("""COMPUTED_VALUE"""),0.16111111111240461)</f>
        <v>0.1611111111</v>
      </c>
    </row>
    <row r="262">
      <c r="A262" t="str">
        <f>IFERROR(__xludf.DUMMYFUNCTION("""COMPUTED_VALUE"""),"Bolivia")</f>
        <v>Bolivia</v>
      </c>
      <c r="B262" t="str">
        <f>IFERROR(__xludf.DUMMYFUNCTION("""COMPUTED_VALUE"""),"South America")</f>
        <v>South America</v>
      </c>
      <c r="C262">
        <f>IFERROR(__xludf.DUMMYFUNCTION("""COMPUTED_VALUE"""),11.0)</f>
        <v>11</v>
      </c>
      <c r="D262" t="str">
        <f>IFERROR(__xludf.DUMMYFUNCTION("""COMPUTED_VALUE"""),"Relación")</f>
        <v>Relación</v>
      </c>
      <c r="E262" t="str">
        <f>IFERROR(__xludf.DUMMYFUNCTION("""COMPUTED_VALUE"""),"Sech")</f>
        <v>Sech</v>
      </c>
      <c r="F262" t="str">
        <f>IFERROR(__xludf.DUMMYFUNCTION("""COMPUTED_VALUE"""),"1 of 1")</f>
        <v>1 of 1</v>
      </c>
      <c r="G262">
        <f>IFERROR(__xludf.DUMMYFUNCTION("""COMPUTED_VALUE"""),0.0)</f>
        <v>0</v>
      </c>
      <c r="H262" s="5">
        <f>IFERROR(__xludf.DUMMYFUNCTION("""COMPUTED_VALUE"""),0.12777777777955635)</f>
        <v>0.1277777778</v>
      </c>
    </row>
    <row r="263">
      <c r="A263" t="str">
        <f>IFERROR(__xludf.DUMMYFUNCTION("""COMPUTED_VALUE"""),"Bolivia")</f>
        <v>Bolivia</v>
      </c>
      <c r="B263" t="str">
        <f>IFERROR(__xludf.DUMMYFUNCTION("""COMPUTED_VALUE"""),"South America")</f>
        <v>South America</v>
      </c>
      <c r="C263">
        <f>IFERROR(__xludf.DUMMYFUNCTION("""COMPUTED_VALUE"""),12.0)</f>
        <v>12</v>
      </c>
      <c r="D263" t="str">
        <f>IFERROR(__xludf.DUMMYFUNCTION("""COMPUTED_VALUE"""),"Tusa")</f>
        <v>Tusa</v>
      </c>
      <c r="E263" t="str">
        <f>IFERROR(__xludf.DUMMYFUNCTION("""COMPUTED_VALUE"""),"KAROL G, Nicki Minaj")</f>
        <v>KAROL G, Nicki Minaj</v>
      </c>
      <c r="F263" t="str">
        <f>IFERROR(__xludf.DUMMYFUNCTION("""COMPUTED_VALUE"""),"Tusa")</f>
        <v>Tusa</v>
      </c>
      <c r="G263">
        <f>IFERROR(__xludf.DUMMYFUNCTION("""COMPUTED_VALUE"""),0.0)</f>
        <v>0</v>
      </c>
      <c r="H263" s="5">
        <f>IFERROR(__xludf.DUMMYFUNCTION("""COMPUTED_VALUE"""),0.13888888889050577)</f>
        <v>0.1388888889</v>
      </c>
    </row>
    <row r="264">
      <c r="A264" t="str">
        <f>IFERROR(__xludf.DUMMYFUNCTION("""COMPUTED_VALUE"""),"Bolivia")</f>
        <v>Bolivia</v>
      </c>
      <c r="B264" t="str">
        <f>IFERROR(__xludf.DUMMYFUNCTION("""COMPUTED_VALUE"""),"South America")</f>
        <v>South America</v>
      </c>
      <c r="C264">
        <f>IFERROR(__xludf.DUMMYFUNCTION("""COMPUTED_VALUE"""),13.0)</f>
        <v>13</v>
      </c>
      <c r="D264" t="str">
        <f>IFERROR(__xludf.DUMMYFUNCTION("""COMPUTED_VALUE"""),"Pa' Olvidarme De Ella")</f>
        <v>Pa' Olvidarme De Ella</v>
      </c>
      <c r="E264" t="str">
        <f>IFERROR(__xludf.DUMMYFUNCTION("""COMPUTED_VALUE"""),"Piso 21, Christian Nodal")</f>
        <v>Piso 21, Christian Nodal</v>
      </c>
      <c r="F264" t="str">
        <f>IFERROR(__xludf.DUMMYFUNCTION("""COMPUTED_VALUE"""),"Pa' Olvidarme De Ella")</f>
        <v>Pa' Olvidarme De Ella</v>
      </c>
      <c r="G264">
        <f>IFERROR(__xludf.DUMMYFUNCTION("""COMPUTED_VALUE"""),1.0)</f>
        <v>1</v>
      </c>
      <c r="H264" s="5">
        <f>IFERROR(__xludf.DUMMYFUNCTION("""COMPUTED_VALUE"""),0.15763888888977817)</f>
        <v>0.1576388889</v>
      </c>
    </row>
    <row r="265">
      <c r="A265" t="str">
        <f>IFERROR(__xludf.DUMMYFUNCTION("""COMPUTED_VALUE"""),"Bolivia")</f>
        <v>Bolivia</v>
      </c>
      <c r="B265" t="str">
        <f>IFERROR(__xludf.DUMMYFUNCTION("""COMPUTED_VALUE"""),"South America")</f>
        <v>South America</v>
      </c>
      <c r="C265">
        <f>IFERROR(__xludf.DUMMYFUNCTION("""COMPUTED_VALUE"""),14.0)</f>
        <v>14</v>
      </c>
      <c r="D265" t="str">
        <f>IFERROR(__xludf.DUMMYFUNCTION("""COMPUTED_VALUE"""),"Sigues Con El")</f>
        <v>Sigues Con El</v>
      </c>
      <c r="E265" t="str">
        <f>IFERROR(__xludf.DUMMYFUNCTION("""COMPUTED_VALUE"""),"Dímelo Flow, Arcangel, Sech")</f>
        <v>Dímelo Flow, Arcangel, Sech</v>
      </c>
      <c r="F265" t="str">
        <f>IFERROR(__xludf.DUMMYFUNCTION("""COMPUTED_VALUE"""),"Sigues Con El")</f>
        <v>Sigues Con El</v>
      </c>
      <c r="G265">
        <f>IFERROR(__xludf.DUMMYFUNCTION("""COMPUTED_VALUE"""),0.0)</f>
        <v>0</v>
      </c>
      <c r="H265" s="5">
        <f>IFERROR(__xludf.DUMMYFUNCTION("""COMPUTED_VALUE"""),0.1569444444430701)</f>
        <v>0.1569444444</v>
      </c>
    </row>
    <row r="266">
      <c r="A266" t="str">
        <f>IFERROR(__xludf.DUMMYFUNCTION("""COMPUTED_VALUE"""),"Bolivia")</f>
        <v>Bolivia</v>
      </c>
      <c r="B266" t="str">
        <f>IFERROR(__xludf.DUMMYFUNCTION("""COMPUTED_VALUE"""),"South America")</f>
        <v>South America</v>
      </c>
      <c r="C266">
        <f>IFERROR(__xludf.DUMMYFUNCTION("""COMPUTED_VALUE"""),15.0)</f>
        <v>15</v>
      </c>
      <c r="D266" t="str">
        <f>IFERROR(__xludf.DUMMYFUNCTION("""COMPUTED_VALUE"""),"Locura")</f>
        <v>Locura</v>
      </c>
      <c r="E266" t="str">
        <f>IFERROR(__xludf.DUMMYFUNCTION("""COMPUTED_VALUE"""),"Cali Y El Dandee, Sebastian Yatra")</f>
        <v>Cali Y El Dandee, Sebastian Yatra</v>
      </c>
      <c r="F266" t="str">
        <f>IFERROR(__xludf.DUMMYFUNCTION("""COMPUTED_VALUE"""),"Colegio")</f>
        <v>Colegio</v>
      </c>
      <c r="G266">
        <f>IFERROR(__xludf.DUMMYFUNCTION("""COMPUTED_VALUE"""),0.0)</f>
        <v>0</v>
      </c>
      <c r="H266" s="5">
        <f>IFERROR(__xludf.DUMMYFUNCTION("""COMPUTED_VALUE"""),0.14513888888905058)</f>
        <v>0.1451388889</v>
      </c>
    </row>
    <row r="267">
      <c r="A267" t="str">
        <f>IFERROR(__xludf.DUMMYFUNCTION("""COMPUTED_VALUE"""),"Bolivia")</f>
        <v>Bolivia</v>
      </c>
      <c r="B267" t="str">
        <f>IFERROR(__xludf.DUMMYFUNCTION("""COMPUTED_VALUE"""),"South America")</f>
        <v>South America</v>
      </c>
      <c r="C267">
        <f>IFERROR(__xludf.DUMMYFUNCTION("""COMPUTED_VALUE"""),16.0)</f>
        <v>16</v>
      </c>
      <c r="D267" t="str">
        <f>IFERROR(__xludf.DUMMYFUNCTION("""COMPUTED_VALUE"""),"Ignorantes")</f>
        <v>Ignorantes</v>
      </c>
      <c r="E267" t="str">
        <f>IFERROR(__xludf.DUMMYFUNCTION("""COMPUTED_VALUE"""),"Bad Bunny, Sech")</f>
        <v>Bad Bunny, Sech</v>
      </c>
      <c r="F267" t="str">
        <f>IFERROR(__xludf.DUMMYFUNCTION("""COMPUTED_VALUE"""),"YHLQMDLG")</f>
        <v>YHLQMDLG</v>
      </c>
      <c r="G267">
        <f>IFERROR(__xludf.DUMMYFUNCTION("""COMPUTED_VALUE"""),1.0)</f>
        <v>1</v>
      </c>
      <c r="H267" s="5">
        <f>IFERROR(__xludf.DUMMYFUNCTION("""COMPUTED_VALUE"""),0.14583333333212067)</f>
        <v>0.1458333333</v>
      </c>
    </row>
    <row r="268">
      <c r="A268" t="str">
        <f>IFERROR(__xludf.DUMMYFUNCTION("""COMPUTED_VALUE"""),"Bolivia")</f>
        <v>Bolivia</v>
      </c>
      <c r="B268" t="str">
        <f>IFERROR(__xludf.DUMMYFUNCTION("""COMPUTED_VALUE"""),"South America")</f>
        <v>South America</v>
      </c>
      <c r="C268">
        <f>IFERROR(__xludf.DUMMYFUNCTION("""COMPUTED_VALUE"""),17.0)</f>
        <v>17</v>
      </c>
      <c r="D268" t="str">
        <f>IFERROR(__xludf.DUMMYFUNCTION("""COMPUTED_VALUE"""),"Diosa")</f>
        <v>Diosa</v>
      </c>
      <c r="E268" t="str">
        <f>IFERROR(__xludf.DUMMYFUNCTION("""COMPUTED_VALUE"""),"Myke Towers")</f>
        <v>Myke Towers</v>
      </c>
      <c r="F268" t="str">
        <f>IFERROR(__xludf.DUMMYFUNCTION("""COMPUTED_VALUE"""),"Easy Money Baby")</f>
        <v>Easy Money Baby</v>
      </c>
      <c r="G268">
        <f>IFERROR(__xludf.DUMMYFUNCTION("""COMPUTED_VALUE"""),1.0)</f>
        <v>1</v>
      </c>
      <c r="H268" s="5">
        <f>IFERROR(__xludf.DUMMYFUNCTION("""COMPUTED_VALUE"""),0.14861111111167702)</f>
        <v>0.1486111111</v>
      </c>
    </row>
    <row r="269">
      <c r="A269" t="str">
        <f>IFERROR(__xludf.DUMMYFUNCTION("""COMPUTED_VALUE"""),"Bolivia")</f>
        <v>Bolivia</v>
      </c>
      <c r="B269" t="str">
        <f>IFERROR(__xludf.DUMMYFUNCTION("""COMPUTED_VALUE"""),"South America")</f>
        <v>South America</v>
      </c>
      <c r="C269">
        <f>IFERROR(__xludf.DUMMYFUNCTION("""COMPUTED_VALUE"""),18.0)</f>
        <v>18</v>
      </c>
      <c r="D269" t="str">
        <f>IFERROR(__xludf.DUMMYFUNCTION("""COMPUTED_VALUE"""),"Morado")</f>
        <v>Morado</v>
      </c>
      <c r="E269" t="str">
        <f>IFERROR(__xludf.DUMMYFUNCTION("""COMPUTED_VALUE"""),"J Balvin")</f>
        <v>J Balvin</v>
      </c>
      <c r="F269" t="str">
        <f>IFERROR(__xludf.DUMMYFUNCTION("""COMPUTED_VALUE"""),"Colores")</f>
        <v>Colores</v>
      </c>
      <c r="G269">
        <f>IFERROR(__xludf.DUMMYFUNCTION("""COMPUTED_VALUE"""),0.0)</f>
        <v>0</v>
      </c>
      <c r="H269" s="5">
        <f>IFERROR(__xludf.DUMMYFUNCTION("""COMPUTED_VALUE"""),0.13888888889050577)</f>
        <v>0.1388888889</v>
      </c>
    </row>
    <row r="270">
      <c r="A270" t="str">
        <f>IFERROR(__xludf.DUMMYFUNCTION("""COMPUTED_VALUE"""),"Bolivia")</f>
        <v>Bolivia</v>
      </c>
      <c r="B270" t="str">
        <f>IFERROR(__xludf.DUMMYFUNCTION("""COMPUTED_VALUE"""),"South America")</f>
        <v>South America</v>
      </c>
      <c r="C270">
        <f>IFERROR(__xludf.DUMMYFUNCTION("""COMPUTED_VALUE"""),19.0)</f>
        <v>19</v>
      </c>
      <c r="D270" t="str">
        <f>IFERROR(__xludf.DUMMYFUNCTION("""COMPUTED_VALUE"""),"Jangueo")</f>
        <v>Jangueo</v>
      </c>
      <c r="E270" t="str">
        <f>IFERROR(__xludf.DUMMYFUNCTION("""COMPUTED_VALUE"""),"Alex Rose, Rafa Pabön")</f>
        <v>Alex Rose, Rafa Pabön</v>
      </c>
      <c r="F270" t="str">
        <f>IFERROR(__xludf.DUMMYFUNCTION("""COMPUTED_VALUE"""),"LOST")</f>
        <v>LOST</v>
      </c>
      <c r="G270">
        <f>IFERROR(__xludf.DUMMYFUNCTION("""COMPUTED_VALUE"""),0.0)</f>
        <v>0</v>
      </c>
      <c r="H270" s="5">
        <f>IFERROR(__xludf.DUMMYFUNCTION("""COMPUTED_VALUE"""),0.17986111111167702)</f>
        <v>0.1798611111</v>
      </c>
    </row>
    <row r="271">
      <c r="A271" t="str">
        <f>IFERROR(__xludf.DUMMYFUNCTION("""COMPUTED_VALUE"""),"Bolivia")</f>
        <v>Bolivia</v>
      </c>
      <c r="B271" t="str">
        <f>IFERROR(__xludf.DUMMYFUNCTION("""COMPUTED_VALUE"""),"South America")</f>
        <v>South America</v>
      </c>
      <c r="C271">
        <f>IFERROR(__xludf.DUMMYFUNCTION("""COMPUTED_VALUE"""),20.0)</f>
        <v>20</v>
      </c>
      <c r="D271" t="str">
        <f>IFERROR(__xludf.DUMMYFUNCTION("""COMPUTED_VALUE"""),"BYE ME FUI")</f>
        <v>BYE ME FUI</v>
      </c>
      <c r="E271" t="str">
        <f>IFERROR(__xludf.DUMMYFUNCTION("""COMPUTED_VALUE"""),"Bad Bunny")</f>
        <v>Bad Bunny</v>
      </c>
      <c r="F271" t="str">
        <f>IFERROR(__xludf.DUMMYFUNCTION("""COMPUTED_VALUE"""),"LAS QUE NO IBAN A SALIR")</f>
        <v>LAS QUE NO IBAN A SALIR</v>
      </c>
      <c r="G271">
        <f>IFERROR(__xludf.DUMMYFUNCTION("""COMPUTED_VALUE"""),1.0)</f>
        <v>1</v>
      </c>
      <c r="H271" s="5">
        <f>IFERROR(__xludf.DUMMYFUNCTION("""COMPUTED_VALUE"""),0.12361111111022183)</f>
        <v>0.1236111111</v>
      </c>
    </row>
    <row r="272">
      <c r="A272" t="str">
        <f>IFERROR(__xludf.DUMMYFUNCTION("""COMPUTED_VALUE"""),"Bolivia")</f>
        <v>Bolivia</v>
      </c>
      <c r="B272" t="str">
        <f>IFERROR(__xludf.DUMMYFUNCTION("""COMPUTED_VALUE"""),"South America")</f>
        <v>South America</v>
      </c>
      <c r="C272">
        <f>IFERROR(__xludf.DUMMYFUNCTION("""COMPUTED_VALUE"""),21.0)</f>
        <v>21</v>
      </c>
      <c r="D272" t="str">
        <f>IFERROR(__xludf.DUMMYFUNCTION("""COMPUTED_VALUE"""),"Amarillo")</f>
        <v>Amarillo</v>
      </c>
      <c r="E272" t="str">
        <f>IFERROR(__xludf.DUMMYFUNCTION("""COMPUTED_VALUE"""),"J Balvin")</f>
        <v>J Balvin</v>
      </c>
      <c r="F272" t="str">
        <f>IFERROR(__xludf.DUMMYFUNCTION("""COMPUTED_VALUE"""),"Colores")</f>
        <v>Colores</v>
      </c>
      <c r="G272">
        <f>IFERROR(__xludf.DUMMYFUNCTION("""COMPUTED_VALUE"""),0.0)</f>
        <v>0</v>
      </c>
      <c r="H272" s="5">
        <f>IFERROR(__xludf.DUMMYFUNCTION("""COMPUTED_VALUE"""),0.10902777777664596)</f>
        <v>0.1090277778</v>
      </c>
    </row>
    <row r="273">
      <c r="A273" t="str">
        <f>IFERROR(__xludf.DUMMYFUNCTION("""COMPUTED_VALUE"""),"Bolivia")</f>
        <v>Bolivia</v>
      </c>
      <c r="B273" t="str">
        <f>IFERROR(__xludf.DUMMYFUNCTION("""COMPUTED_VALUE"""),"South America")</f>
        <v>South America</v>
      </c>
      <c r="C273">
        <f>IFERROR(__xludf.DUMMYFUNCTION("""COMPUTED_VALUE"""),22.0)</f>
        <v>22</v>
      </c>
      <c r="D273" t="str">
        <f>IFERROR(__xludf.DUMMYFUNCTION("""COMPUTED_VALUE"""),"Por Primera Vez")</f>
        <v>Por Primera Vez</v>
      </c>
      <c r="E273" t="str">
        <f>IFERROR(__xludf.DUMMYFUNCTION("""COMPUTED_VALUE"""),"Camilo, Evaluna Montaner")</f>
        <v>Camilo, Evaluna Montaner</v>
      </c>
      <c r="F273" t="str">
        <f>IFERROR(__xludf.DUMMYFUNCTION("""COMPUTED_VALUE"""),"Por Primera Vez")</f>
        <v>Por Primera Vez</v>
      </c>
      <c r="G273">
        <f>IFERROR(__xludf.DUMMYFUNCTION("""COMPUTED_VALUE"""),0.0)</f>
        <v>0</v>
      </c>
      <c r="H273" s="5">
        <f>IFERROR(__xludf.DUMMYFUNCTION("""COMPUTED_VALUE"""),0.12638888888977817)</f>
        <v>0.1263888889</v>
      </c>
    </row>
    <row r="274">
      <c r="A274" t="str">
        <f>IFERROR(__xludf.DUMMYFUNCTION("""COMPUTED_VALUE"""),"Bolivia")</f>
        <v>Bolivia</v>
      </c>
      <c r="B274" t="str">
        <f>IFERROR(__xludf.DUMMYFUNCTION("""COMPUTED_VALUE"""),"South America")</f>
        <v>South America</v>
      </c>
      <c r="C274">
        <f>IFERROR(__xludf.DUMMYFUNCTION("""COMPUTED_VALUE"""),23.0)</f>
        <v>23</v>
      </c>
      <c r="D274" t="str">
        <f>IFERROR(__xludf.DUMMYFUNCTION("""COMPUTED_VALUE"""),"Tak Tiki Tak")</f>
        <v>Tak Tiki Tak</v>
      </c>
      <c r="E274" t="str">
        <f>IFERROR(__xludf.DUMMYFUNCTION("""COMPUTED_VALUE"""),"Harry Nach")</f>
        <v>Harry Nach</v>
      </c>
      <c r="F274" t="str">
        <f>IFERROR(__xludf.DUMMYFUNCTION("""COMPUTED_VALUE"""),"Tak Tiki Tak")</f>
        <v>Tak Tiki Tak</v>
      </c>
      <c r="G274">
        <f>IFERROR(__xludf.DUMMYFUNCTION("""COMPUTED_VALUE"""),1.0)</f>
        <v>1</v>
      </c>
      <c r="H274" s="5">
        <f>IFERROR(__xludf.DUMMYFUNCTION("""COMPUTED_VALUE"""),0.14722222222189885)</f>
        <v>0.1472222222</v>
      </c>
    </row>
    <row r="275">
      <c r="A275" t="str">
        <f>IFERROR(__xludf.DUMMYFUNCTION("""COMPUTED_VALUE"""),"Bolivia")</f>
        <v>Bolivia</v>
      </c>
      <c r="B275" t="str">
        <f>IFERROR(__xludf.DUMMYFUNCTION("""COMPUTED_VALUE"""),"South America")</f>
        <v>South America</v>
      </c>
      <c r="C275">
        <f>IFERROR(__xludf.DUMMYFUNCTION("""COMPUTED_VALUE"""),24.0)</f>
        <v>24</v>
      </c>
      <c r="D275" t="str">
        <f>IFERROR(__xludf.DUMMYFUNCTION("""COMPUTED_VALUE"""),"Azul")</f>
        <v>Azul</v>
      </c>
      <c r="E275" t="str">
        <f>IFERROR(__xludf.DUMMYFUNCTION("""COMPUTED_VALUE"""),"J Balvin")</f>
        <v>J Balvin</v>
      </c>
      <c r="F275" t="str">
        <f>IFERROR(__xludf.DUMMYFUNCTION("""COMPUTED_VALUE"""),"Colores")</f>
        <v>Colores</v>
      </c>
      <c r="G275">
        <f>IFERROR(__xludf.DUMMYFUNCTION("""COMPUTED_VALUE"""),0.0)</f>
        <v>0</v>
      </c>
      <c r="H275" s="5">
        <f>IFERROR(__xludf.DUMMYFUNCTION("""COMPUTED_VALUE"""),0.14236111110949423)</f>
        <v>0.1423611111</v>
      </c>
    </row>
    <row r="276">
      <c r="A276" t="str">
        <f>IFERROR(__xludf.DUMMYFUNCTION("""COMPUTED_VALUE"""),"Bolivia")</f>
        <v>Bolivia</v>
      </c>
      <c r="B276" t="str">
        <f>IFERROR(__xludf.DUMMYFUNCTION("""COMPUTED_VALUE"""),"South America")</f>
        <v>South America</v>
      </c>
      <c r="C276">
        <f>IFERROR(__xludf.DUMMYFUNCTION("""COMPUTED_VALUE"""),25.0)</f>
        <v>25</v>
      </c>
      <c r="D276" t="str">
        <f>IFERROR(__xludf.DUMMYFUNCTION("""COMPUTED_VALUE"""),"Fantasias")</f>
        <v>Fantasias</v>
      </c>
      <c r="E276" t="str">
        <f>IFERROR(__xludf.DUMMYFUNCTION("""COMPUTED_VALUE"""),"Rauw Alejandro, Farruko")</f>
        <v>Rauw Alejandro, Farruko</v>
      </c>
      <c r="F276" t="str">
        <f>IFERROR(__xludf.DUMMYFUNCTION("""COMPUTED_VALUE"""),"Fantasias")</f>
        <v>Fantasias</v>
      </c>
      <c r="G276">
        <f>IFERROR(__xludf.DUMMYFUNCTION("""COMPUTED_VALUE"""),0.0)</f>
        <v>0</v>
      </c>
      <c r="H276" s="5">
        <f>IFERROR(__xludf.DUMMYFUNCTION("""COMPUTED_VALUE"""),0.1381944444437977)</f>
        <v>0.1381944444</v>
      </c>
    </row>
    <row r="277">
      <c r="A277" t="str">
        <f>IFERROR(__xludf.DUMMYFUNCTION("""COMPUTED_VALUE"""),"Bolivia")</f>
        <v>Bolivia</v>
      </c>
      <c r="B277" t="str">
        <f>IFERROR(__xludf.DUMMYFUNCTION("""COMPUTED_VALUE"""),"South America")</f>
        <v>South America</v>
      </c>
      <c r="C277">
        <f>IFERROR(__xludf.DUMMYFUNCTION("""COMPUTED_VALUE"""),26.0)</f>
        <v>26</v>
      </c>
      <c r="D277" t="str">
        <f>IFERROR(__xludf.DUMMYFUNCTION("""COMPUTED_VALUE"""),"Dance Monkey")</f>
        <v>Dance Monkey</v>
      </c>
      <c r="E277" t="str">
        <f>IFERROR(__xludf.DUMMYFUNCTION("""COMPUTED_VALUE"""),"Tones And I")</f>
        <v>Tones And I</v>
      </c>
      <c r="F277" t="str">
        <f>IFERROR(__xludf.DUMMYFUNCTION("""COMPUTED_VALUE"""),"Dance Monkey (Stripped Back) / Dance Monkey")</f>
        <v>Dance Monkey (Stripped Back) / Dance Monkey</v>
      </c>
      <c r="G277">
        <f>IFERROR(__xludf.DUMMYFUNCTION("""COMPUTED_VALUE"""),0.0)</f>
        <v>0</v>
      </c>
      <c r="H277" s="5">
        <f>IFERROR(__xludf.DUMMYFUNCTION("""COMPUTED_VALUE"""),0.14513888888905058)</f>
        <v>0.1451388889</v>
      </c>
    </row>
    <row r="278">
      <c r="A278" t="str">
        <f>IFERROR(__xludf.DUMMYFUNCTION("""COMPUTED_VALUE"""),"Bolivia")</f>
        <v>Bolivia</v>
      </c>
      <c r="B278" t="str">
        <f>IFERROR(__xludf.DUMMYFUNCTION("""COMPUTED_VALUE"""),"South America")</f>
        <v>South America</v>
      </c>
      <c r="C278">
        <f>IFERROR(__xludf.DUMMYFUNCTION("""COMPUTED_VALUE"""),27.0)</f>
        <v>27</v>
      </c>
      <c r="D278" t="str">
        <f>IFERROR(__xludf.DUMMYFUNCTION("""COMPUTED_VALUE"""),"Don't Start Now")</f>
        <v>Don't Start Now</v>
      </c>
      <c r="E278" t="str">
        <f>IFERROR(__xludf.DUMMYFUNCTION("""COMPUTED_VALUE"""),"Dua Lipa")</f>
        <v>Dua Lipa</v>
      </c>
      <c r="F278" t="str">
        <f>IFERROR(__xludf.DUMMYFUNCTION("""COMPUTED_VALUE"""),"Future Nostalgia")</f>
        <v>Future Nostalgia</v>
      </c>
      <c r="G278">
        <f>IFERROR(__xludf.DUMMYFUNCTION("""COMPUTED_VALUE"""),0.0)</f>
        <v>0</v>
      </c>
      <c r="H278" s="5">
        <f>IFERROR(__xludf.DUMMYFUNCTION("""COMPUTED_VALUE"""),0.12708333333284827)</f>
        <v>0.1270833333</v>
      </c>
    </row>
    <row r="279">
      <c r="A279" t="str">
        <f>IFERROR(__xludf.DUMMYFUNCTION("""COMPUTED_VALUE"""),"Bolivia")</f>
        <v>Bolivia</v>
      </c>
      <c r="B279" t="str">
        <f>IFERROR(__xludf.DUMMYFUNCTION("""COMPUTED_VALUE"""),"South America")</f>
        <v>South America</v>
      </c>
      <c r="C279">
        <f>IFERROR(__xludf.DUMMYFUNCTION("""COMPUTED_VALUE"""),28.0)</f>
        <v>28</v>
      </c>
      <c r="D279" t="str">
        <f>IFERROR(__xludf.DUMMYFUNCTION("""COMPUTED_VALUE"""),"death bed (coffee for your head) (feat. beabadoobee)")</f>
        <v>death bed (coffee for your head) (feat. beabadoobee)</v>
      </c>
      <c r="E279" t="str">
        <f>IFERROR(__xludf.DUMMYFUNCTION("""COMPUTED_VALUE"""),"Powfu, beabadoobee")</f>
        <v>Powfu, beabadoobee</v>
      </c>
      <c r="F279" t="str">
        <f>IFERROR(__xludf.DUMMYFUNCTION("""COMPUTED_VALUE"""),"death bed (coffee for your head) (feat. beabadoobee)")</f>
        <v>death bed (coffee for your head) (feat. beabadoobee)</v>
      </c>
      <c r="G279">
        <f>IFERROR(__xludf.DUMMYFUNCTION("""COMPUTED_VALUE"""),0.0)</f>
        <v>0</v>
      </c>
      <c r="H279" s="5">
        <f>IFERROR(__xludf.DUMMYFUNCTION("""COMPUTED_VALUE"""),0.12013888888759539)</f>
        <v>0.1201388889</v>
      </c>
    </row>
    <row r="280">
      <c r="A280" t="str">
        <f>IFERROR(__xludf.DUMMYFUNCTION("""COMPUTED_VALUE"""),"Bolivia")</f>
        <v>Bolivia</v>
      </c>
      <c r="B280" t="str">
        <f>IFERROR(__xludf.DUMMYFUNCTION("""COMPUTED_VALUE"""),"South America")</f>
        <v>South America</v>
      </c>
      <c r="C280">
        <f>IFERROR(__xludf.DUMMYFUNCTION("""COMPUTED_VALUE"""),29.0)</f>
        <v>29</v>
      </c>
      <c r="D280" t="str">
        <f>IFERROR(__xludf.DUMMYFUNCTION("""COMPUTED_VALUE"""),"Si Veo a Tu Mamá")</f>
        <v>Si Veo a Tu Mamá</v>
      </c>
      <c r="E280" t="str">
        <f>IFERROR(__xludf.DUMMYFUNCTION("""COMPUTED_VALUE"""),"Bad Bunny")</f>
        <v>Bad Bunny</v>
      </c>
      <c r="F280" t="str">
        <f>IFERROR(__xludf.DUMMYFUNCTION("""COMPUTED_VALUE"""),"YHLQMDLG")</f>
        <v>YHLQMDLG</v>
      </c>
      <c r="G280">
        <f>IFERROR(__xludf.DUMMYFUNCTION("""COMPUTED_VALUE"""),0.0)</f>
        <v>0</v>
      </c>
      <c r="H280" s="5">
        <f>IFERROR(__xludf.DUMMYFUNCTION("""COMPUTED_VALUE"""),0.11805555555474712)</f>
        <v>0.1180555556</v>
      </c>
    </row>
    <row r="281">
      <c r="A281" t="str">
        <f>IFERROR(__xludf.DUMMYFUNCTION("""COMPUTED_VALUE"""),"Bolivia")</f>
        <v>Bolivia</v>
      </c>
      <c r="B281" t="str">
        <f>IFERROR(__xludf.DUMMYFUNCTION("""COMPUTED_VALUE"""),"South America")</f>
        <v>South America</v>
      </c>
      <c r="C281">
        <f>IFERROR(__xludf.DUMMYFUNCTION("""COMPUTED_VALUE"""),30.0)</f>
        <v>30</v>
      </c>
      <c r="D281" t="str">
        <f>IFERROR(__xludf.DUMMYFUNCTION("""COMPUTED_VALUE"""),"Tutu")</f>
        <v>Tutu</v>
      </c>
      <c r="E281" t="str">
        <f>IFERROR(__xludf.DUMMYFUNCTION("""COMPUTED_VALUE"""),"Camilo, Pedro Capó")</f>
        <v>Camilo, Pedro Capó</v>
      </c>
      <c r="F281" t="str">
        <f>IFERROR(__xludf.DUMMYFUNCTION("""COMPUTED_VALUE"""),"Por Primera Vez")</f>
        <v>Por Primera Vez</v>
      </c>
      <c r="G281">
        <f>IFERROR(__xludf.DUMMYFUNCTION("""COMPUTED_VALUE"""),0.0)</f>
        <v>0</v>
      </c>
      <c r="H281" s="5">
        <f>IFERROR(__xludf.DUMMYFUNCTION("""COMPUTED_VALUE"""),0.1243055555569299)</f>
        <v>0.1243055556</v>
      </c>
    </row>
    <row r="282">
      <c r="A282" t="str">
        <f>IFERROR(__xludf.DUMMYFUNCTION("""COMPUTED_VALUE"""),"Bolivia")</f>
        <v>Bolivia</v>
      </c>
      <c r="B282" t="str">
        <f>IFERROR(__xludf.DUMMYFUNCTION("""COMPUTED_VALUE"""),"South America")</f>
        <v>South America</v>
      </c>
      <c r="C282">
        <f>IFERROR(__xludf.DUMMYFUNCTION("""COMPUTED_VALUE"""),31.0)</f>
        <v>31</v>
      </c>
      <c r="D282" t="str">
        <f>IFERROR(__xludf.DUMMYFUNCTION("""COMPUTED_VALUE"""),"La Difícil")</f>
        <v>La Difícil</v>
      </c>
      <c r="E282" t="str">
        <f>IFERROR(__xludf.DUMMYFUNCTION("""COMPUTED_VALUE"""),"Bad Bunny")</f>
        <v>Bad Bunny</v>
      </c>
      <c r="F282" t="str">
        <f>IFERROR(__xludf.DUMMYFUNCTION("""COMPUTED_VALUE"""),"YHLQMDLG")</f>
        <v>YHLQMDLG</v>
      </c>
      <c r="G282">
        <f>IFERROR(__xludf.DUMMYFUNCTION("""COMPUTED_VALUE"""),1.0)</f>
        <v>1</v>
      </c>
      <c r="H282" s="5">
        <f>IFERROR(__xludf.DUMMYFUNCTION("""COMPUTED_VALUE"""),0.11319444444598048)</f>
        <v>0.1131944444</v>
      </c>
    </row>
    <row r="283">
      <c r="A283" t="str">
        <f>IFERROR(__xludf.DUMMYFUNCTION("""COMPUTED_VALUE"""),"Bolivia")</f>
        <v>Bolivia</v>
      </c>
      <c r="B283" t="str">
        <f>IFERROR(__xludf.DUMMYFUNCTION("""COMPUTED_VALUE"""),"South America")</f>
        <v>South America</v>
      </c>
      <c r="C283">
        <f>IFERROR(__xludf.DUMMYFUNCTION("""COMPUTED_VALUE"""),32.0)</f>
        <v>32</v>
      </c>
      <c r="D283" t="str">
        <f>IFERROR(__xludf.DUMMYFUNCTION("""COMPUTED_VALUE"""),"LA CANCIÓN")</f>
        <v>LA CANCIÓN</v>
      </c>
      <c r="E283" t="str">
        <f>IFERROR(__xludf.DUMMYFUNCTION("""COMPUTED_VALUE"""),"J Balvin, Bad Bunny")</f>
        <v>J Balvin, Bad Bunny</v>
      </c>
      <c r="F283" t="str">
        <f>IFERROR(__xludf.DUMMYFUNCTION("""COMPUTED_VALUE"""),"OASIS")</f>
        <v>OASIS</v>
      </c>
      <c r="G283">
        <f>IFERROR(__xludf.DUMMYFUNCTION("""COMPUTED_VALUE"""),0.0)</f>
        <v>0</v>
      </c>
      <c r="H283" s="5">
        <f>IFERROR(__xludf.DUMMYFUNCTION("""COMPUTED_VALUE"""),0.16805555555401952)</f>
        <v>0.1680555556</v>
      </c>
    </row>
    <row r="284">
      <c r="A284" t="str">
        <f>IFERROR(__xludf.DUMMYFUNCTION("""COMPUTED_VALUE"""),"Bolivia")</f>
        <v>Bolivia</v>
      </c>
      <c r="B284" t="str">
        <f>IFERROR(__xludf.DUMMYFUNCTION("""COMPUTED_VALUE"""),"South America")</f>
        <v>South America</v>
      </c>
      <c r="C284">
        <f>IFERROR(__xludf.DUMMYFUNCTION("""COMPUTED_VALUE"""),33.0)</f>
        <v>33</v>
      </c>
      <c r="D284" t="str">
        <f>IFERROR(__xludf.DUMMYFUNCTION("""COMPUTED_VALUE"""),"El Efecto")</f>
        <v>El Efecto</v>
      </c>
      <c r="E284" t="str">
        <f>IFERROR(__xludf.DUMMYFUNCTION("""COMPUTED_VALUE"""),"Rauw Alejandro, Chencho Corleone")</f>
        <v>Rauw Alejandro, Chencho Corleone</v>
      </c>
      <c r="F284" t="str">
        <f>IFERROR(__xludf.DUMMYFUNCTION("""COMPUTED_VALUE"""),"El Efecto")</f>
        <v>El Efecto</v>
      </c>
      <c r="G284">
        <f>IFERROR(__xludf.DUMMYFUNCTION("""COMPUTED_VALUE"""),0.0)</f>
        <v>0</v>
      </c>
      <c r="H284" s="5">
        <f>IFERROR(__xludf.DUMMYFUNCTION("""COMPUTED_VALUE"""),0.1506944444445253)</f>
        <v>0.1506944444</v>
      </c>
    </row>
    <row r="285">
      <c r="A285" t="str">
        <f>IFERROR(__xludf.DUMMYFUNCTION("""COMPUTED_VALUE"""),"Bolivia")</f>
        <v>Bolivia</v>
      </c>
      <c r="B285" t="str">
        <f>IFERROR(__xludf.DUMMYFUNCTION("""COMPUTED_VALUE"""),"South America")</f>
        <v>South America</v>
      </c>
      <c r="C285">
        <f>IFERROR(__xludf.DUMMYFUNCTION("""COMPUTED_VALUE"""),34.0)</f>
        <v>34</v>
      </c>
      <c r="D285" t="str">
        <f>IFERROR(__xludf.DUMMYFUNCTION("""COMPUTED_VALUE"""),"Quiéreme Mientras Se Pueda")</f>
        <v>Quiéreme Mientras Se Pueda</v>
      </c>
      <c r="E285" t="str">
        <f>IFERROR(__xludf.DUMMYFUNCTION("""COMPUTED_VALUE"""),"Manuel Turizo")</f>
        <v>Manuel Turizo</v>
      </c>
      <c r="F285" t="str">
        <f>IFERROR(__xludf.DUMMYFUNCTION("""COMPUTED_VALUE"""),"Quiéreme Mientras Se Pueda")</f>
        <v>Quiéreme Mientras Se Pueda</v>
      </c>
      <c r="G285">
        <f>IFERROR(__xludf.DUMMYFUNCTION("""COMPUTED_VALUE"""),0.0)</f>
        <v>0</v>
      </c>
      <c r="H285" s="5">
        <f>IFERROR(__xludf.DUMMYFUNCTION("""COMPUTED_VALUE"""),0.13263888888832298)</f>
        <v>0.1326388889</v>
      </c>
    </row>
    <row r="286">
      <c r="A286" t="str">
        <f>IFERROR(__xludf.DUMMYFUNCTION("""COMPUTED_VALUE"""),"Bolivia")</f>
        <v>Bolivia</v>
      </c>
      <c r="B286" t="str">
        <f>IFERROR(__xludf.DUMMYFUNCTION("""COMPUTED_VALUE"""),"South America")</f>
        <v>South America</v>
      </c>
      <c r="C286">
        <f>IFERROR(__xludf.DUMMYFUNCTION("""COMPUTED_VALUE"""),35.0)</f>
        <v>35</v>
      </c>
      <c r="D286" t="str">
        <f>IFERROR(__xludf.DUMMYFUNCTION("""COMPUTED_VALUE"""),"Si Me Dices Que Sí")</f>
        <v>Si Me Dices Que Sí</v>
      </c>
      <c r="E286" t="str">
        <f>IFERROR(__xludf.DUMMYFUNCTION("""COMPUTED_VALUE"""),"Reik, Farruko, Camilo")</f>
        <v>Reik, Farruko, Camilo</v>
      </c>
      <c r="F286" t="str">
        <f>IFERROR(__xludf.DUMMYFUNCTION("""COMPUTED_VALUE"""),"Si Me Dices Que Sí")</f>
        <v>Si Me Dices Que Sí</v>
      </c>
      <c r="G286">
        <f>IFERROR(__xludf.DUMMYFUNCTION("""COMPUTED_VALUE"""),0.0)</f>
        <v>0</v>
      </c>
      <c r="H286" s="5">
        <f>IFERROR(__xludf.DUMMYFUNCTION("""COMPUTED_VALUE"""),0.14652777777882875)</f>
        <v>0.1465277778</v>
      </c>
    </row>
    <row r="287">
      <c r="A287" t="str">
        <f>IFERROR(__xludf.DUMMYFUNCTION("""COMPUTED_VALUE"""),"Bolivia")</f>
        <v>Bolivia</v>
      </c>
      <c r="B287" t="str">
        <f>IFERROR(__xludf.DUMMYFUNCTION("""COMPUTED_VALUE"""),"South America")</f>
        <v>South America</v>
      </c>
      <c r="C287">
        <f>IFERROR(__xludf.DUMMYFUNCTION("""COMPUTED_VALUE"""),36.0)</f>
        <v>36</v>
      </c>
      <c r="D287" t="str">
        <f>IFERROR(__xludf.DUMMYFUNCTION("""COMPUTED_VALUE"""),"Sigues Con El - Remix")</f>
        <v>Sigues Con El - Remix</v>
      </c>
      <c r="E287" t="str">
        <f>IFERROR(__xludf.DUMMYFUNCTION("""COMPUTED_VALUE"""),"Arcangel, Sech, Romeo Santos")</f>
        <v>Arcangel, Sech, Romeo Santos</v>
      </c>
      <c r="F287" t="str">
        <f>IFERROR(__xludf.DUMMYFUNCTION("""COMPUTED_VALUE"""),"Sigues Con El (Remix)")</f>
        <v>Sigues Con El (Remix)</v>
      </c>
      <c r="G287">
        <f>IFERROR(__xludf.DUMMYFUNCTION("""COMPUTED_VALUE"""),0.0)</f>
        <v>0</v>
      </c>
      <c r="H287" s="5">
        <f>IFERROR(__xludf.DUMMYFUNCTION("""COMPUTED_VALUE"""),0.1312499999985448)</f>
        <v>0.13125</v>
      </c>
    </row>
    <row r="288">
      <c r="A288" t="str">
        <f>IFERROR(__xludf.DUMMYFUNCTION("""COMPUTED_VALUE"""),"Bolivia")</f>
        <v>Bolivia</v>
      </c>
      <c r="B288" t="str">
        <f>IFERROR(__xludf.DUMMYFUNCTION("""COMPUTED_VALUE"""),"South America")</f>
        <v>South America</v>
      </c>
      <c r="C288">
        <f>IFERROR(__xludf.DUMMYFUNCTION("""COMPUTED_VALUE"""),37.0)</f>
        <v>37</v>
      </c>
      <c r="D288" t="str">
        <f>IFERROR(__xludf.DUMMYFUNCTION("""COMPUTED_VALUE"""),"Djadja")</f>
        <v>Djadja</v>
      </c>
      <c r="E288" t="str">
        <f>IFERROR(__xludf.DUMMYFUNCTION("""COMPUTED_VALUE"""),"Aya Nakamura")</f>
        <v>Aya Nakamura</v>
      </c>
      <c r="F288" t="str">
        <f>IFERROR(__xludf.DUMMYFUNCTION("""COMPUTED_VALUE"""),"NAKAMURA")</f>
        <v>NAKAMURA</v>
      </c>
      <c r="G288">
        <f>IFERROR(__xludf.DUMMYFUNCTION("""COMPUTED_VALUE"""),0.0)</f>
        <v>0</v>
      </c>
      <c r="H288" s="5">
        <f>IFERROR(__xludf.DUMMYFUNCTION("""COMPUTED_VALUE"""),0.11875000000145519)</f>
        <v>0.11875</v>
      </c>
    </row>
    <row r="289">
      <c r="A289" t="str">
        <f>IFERROR(__xludf.DUMMYFUNCTION("""COMPUTED_VALUE"""),"Bolivia")</f>
        <v>Bolivia</v>
      </c>
      <c r="B289" t="str">
        <f>IFERROR(__xludf.DUMMYFUNCTION("""COMPUTED_VALUE"""),"South America")</f>
        <v>South America</v>
      </c>
      <c r="C289">
        <f>IFERROR(__xludf.DUMMYFUNCTION("""COMPUTED_VALUE"""),38.0)</f>
        <v>38</v>
      </c>
      <c r="D289" t="str">
        <f>IFERROR(__xludf.DUMMYFUNCTION("""COMPUTED_VALUE"""),"La Difícil")</f>
        <v>La Difícil</v>
      </c>
      <c r="E289" t="str">
        <f>IFERROR(__xludf.DUMMYFUNCTION("""COMPUTED_VALUE"""),"Camilo")</f>
        <v>Camilo</v>
      </c>
      <c r="F289" t="str">
        <f>IFERROR(__xludf.DUMMYFUNCTION("""COMPUTED_VALUE"""),"Por Primera Vez")</f>
        <v>Por Primera Vez</v>
      </c>
      <c r="G289">
        <f>IFERROR(__xludf.DUMMYFUNCTION("""COMPUTED_VALUE"""),0.0)</f>
        <v>0</v>
      </c>
      <c r="H289" s="5">
        <f>IFERROR(__xludf.DUMMYFUNCTION("""COMPUTED_VALUE"""),0.10972222222335404)</f>
        <v>0.1097222222</v>
      </c>
    </row>
    <row r="290">
      <c r="A290" t="str">
        <f>IFERROR(__xludf.DUMMYFUNCTION("""COMPUTED_VALUE"""),"Bolivia")</f>
        <v>Bolivia</v>
      </c>
      <c r="B290" t="str">
        <f>IFERROR(__xludf.DUMMYFUNCTION("""COMPUTED_VALUE"""),"South America")</f>
        <v>South America</v>
      </c>
      <c r="C290">
        <f>IFERROR(__xludf.DUMMYFUNCTION("""COMPUTED_VALUE"""),39.0)</f>
        <v>39</v>
      </c>
      <c r="D290" t="str">
        <f>IFERROR(__xludf.DUMMYFUNCTION("""COMPUTED_VALUE"""),"No Me Conoce - Remix")</f>
        <v>No Me Conoce - Remix</v>
      </c>
      <c r="E290" t="str">
        <f>IFERROR(__xludf.DUMMYFUNCTION("""COMPUTED_VALUE"""),"Jhay Cortez, J Balvin, Bad Bunny")</f>
        <v>Jhay Cortez, J Balvin, Bad Bunny</v>
      </c>
      <c r="F290" t="str">
        <f>IFERROR(__xludf.DUMMYFUNCTION("""COMPUTED_VALUE"""),"Famouz")</f>
        <v>Famouz</v>
      </c>
      <c r="G290">
        <f>IFERROR(__xludf.DUMMYFUNCTION("""COMPUTED_VALUE"""),0.0)</f>
        <v>0</v>
      </c>
      <c r="H290" s="5">
        <f>IFERROR(__xludf.DUMMYFUNCTION("""COMPUTED_VALUE"""),0.21458333333430346)</f>
        <v>0.2145833333</v>
      </c>
    </row>
    <row r="291">
      <c r="A291" t="str">
        <f>IFERROR(__xludf.DUMMYFUNCTION("""COMPUTED_VALUE"""),"Bolivia")</f>
        <v>Bolivia</v>
      </c>
      <c r="B291" t="str">
        <f>IFERROR(__xludf.DUMMYFUNCTION("""COMPUTED_VALUE"""),"South America")</f>
        <v>South America</v>
      </c>
      <c r="C291">
        <f>IFERROR(__xludf.DUMMYFUNCTION("""COMPUTED_VALUE"""),40.0)</f>
        <v>40</v>
      </c>
      <c r="D291" t="str">
        <f>IFERROR(__xludf.DUMMYFUNCTION("""COMPUTED_VALUE"""),"La Mitad")</f>
        <v>La Mitad</v>
      </c>
      <c r="E291" t="str">
        <f>IFERROR(__xludf.DUMMYFUNCTION("""COMPUTED_VALUE"""),"Camilo, Christian Nodal")</f>
        <v>Camilo, Christian Nodal</v>
      </c>
      <c r="F291" t="str">
        <f>IFERROR(__xludf.DUMMYFUNCTION("""COMPUTED_VALUE"""),"Por Primera Vez")</f>
        <v>Por Primera Vez</v>
      </c>
      <c r="G291">
        <f>IFERROR(__xludf.DUMMYFUNCTION("""COMPUTED_VALUE"""),0.0)</f>
        <v>0</v>
      </c>
      <c r="H291" s="5">
        <f>IFERROR(__xludf.DUMMYFUNCTION("""COMPUTED_VALUE"""),0.12291666666715173)</f>
        <v>0.1229166667</v>
      </c>
    </row>
    <row r="292">
      <c r="A292" t="str">
        <f>IFERROR(__xludf.DUMMYFUNCTION("""COMPUTED_VALUE"""),"Bolivia")</f>
        <v>Bolivia</v>
      </c>
      <c r="B292" t="str">
        <f>IFERROR(__xludf.DUMMYFUNCTION("""COMPUTED_VALUE"""),"South America")</f>
        <v>South America</v>
      </c>
      <c r="C292">
        <f>IFERROR(__xludf.DUMMYFUNCTION("""COMPUTED_VALUE"""),41.0)</f>
        <v>41</v>
      </c>
      <c r="D292" t="str">
        <f>IFERROR(__xludf.DUMMYFUNCTION("""COMPUTED_VALUE"""),"Vete")</f>
        <v>Vete</v>
      </c>
      <c r="E292" t="str">
        <f>IFERROR(__xludf.DUMMYFUNCTION("""COMPUTED_VALUE"""),"Bad Bunny")</f>
        <v>Bad Bunny</v>
      </c>
      <c r="F292" t="str">
        <f>IFERROR(__xludf.DUMMYFUNCTION("""COMPUTED_VALUE"""),"YHLQMDLG")</f>
        <v>YHLQMDLG</v>
      </c>
      <c r="G292">
        <f>IFERROR(__xludf.DUMMYFUNCTION("""COMPUTED_VALUE"""),1.0)</f>
        <v>1</v>
      </c>
      <c r="H292" s="5">
        <f>IFERROR(__xludf.DUMMYFUNCTION("""COMPUTED_VALUE"""),0.13333333333503106)</f>
        <v>0.1333333333</v>
      </c>
    </row>
    <row r="293">
      <c r="A293" t="str">
        <f>IFERROR(__xludf.DUMMYFUNCTION("""COMPUTED_VALUE"""),"Bolivia")</f>
        <v>Bolivia</v>
      </c>
      <c r="B293" t="str">
        <f>IFERROR(__xludf.DUMMYFUNCTION("""COMPUTED_VALUE"""),"South America")</f>
        <v>South America</v>
      </c>
      <c r="C293">
        <f>IFERROR(__xludf.DUMMYFUNCTION("""COMPUTED_VALUE"""),42.0)</f>
        <v>42</v>
      </c>
      <c r="D293" t="str">
        <f>IFERROR(__xludf.DUMMYFUNCTION("""COMPUTED_VALUE"""),"ADMV")</f>
        <v>ADMV</v>
      </c>
      <c r="E293" t="str">
        <f>IFERROR(__xludf.DUMMYFUNCTION("""COMPUTED_VALUE"""),"Maluma")</f>
        <v>Maluma</v>
      </c>
      <c r="F293" t="str">
        <f>IFERROR(__xludf.DUMMYFUNCTION("""COMPUTED_VALUE"""),"ADMV")</f>
        <v>ADMV</v>
      </c>
      <c r="G293">
        <f>IFERROR(__xludf.DUMMYFUNCTION("""COMPUTED_VALUE"""),0.0)</f>
        <v>0</v>
      </c>
      <c r="H293" s="5">
        <f>IFERROR(__xludf.DUMMYFUNCTION("""COMPUTED_VALUE"""),0.13402777777810115)</f>
        <v>0.1340277778</v>
      </c>
    </row>
    <row r="294">
      <c r="A294" t="str">
        <f>IFERROR(__xludf.DUMMYFUNCTION("""COMPUTED_VALUE"""),"Bolivia")</f>
        <v>Bolivia</v>
      </c>
      <c r="B294" t="str">
        <f>IFERROR(__xludf.DUMMYFUNCTION("""COMPUTED_VALUE"""),"South America")</f>
        <v>South America</v>
      </c>
      <c r="C294">
        <f>IFERROR(__xludf.DUMMYFUNCTION("""COMPUTED_VALUE"""),43.0)</f>
        <v>43</v>
      </c>
      <c r="D294" t="str">
        <f>IFERROR(__xludf.DUMMYFUNCTION("""COMPUTED_VALUE"""),"Roses - Imanbek Remix")</f>
        <v>Roses - Imanbek Remix</v>
      </c>
      <c r="E294" t="str">
        <f>IFERROR(__xludf.DUMMYFUNCTION("""COMPUTED_VALUE"""),"SAINt JHN, Imanbek")</f>
        <v>SAINt JHN, Imanbek</v>
      </c>
      <c r="F294" t="str">
        <f>IFERROR(__xludf.DUMMYFUNCTION("""COMPUTED_VALUE"""),"Roses (Imanbek Remix)")</f>
        <v>Roses (Imanbek Remix)</v>
      </c>
      <c r="G294">
        <f>IFERROR(__xludf.DUMMYFUNCTION("""COMPUTED_VALUE"""),1.0)</f>
        <v>1</v>
      </c>
      <c r="H294" s="5">
        <f>IFERROR(__xludf.DUMMYFUNCTION("""COMPUTED_VALUE"""),0.12222222222044365)</f>
        <v>0.1222222222</v>
      </c>
    </row>
    <row r="295">
      <c r="A295" t="str">
        <f>IFERROR(__xludf.DUMMYFUNCTION("""COMPUTED_VALUE"""),"Bolivia")</f>
        <v>Bolivia</v>
      </c>
      <c r="B295" t="str">
        <f>IFERROR(__xludf.DUMMYFUNCTION("""COMPUTED_VALUE"""),"South America")</f>
        <v>South America</v>
      </c>
      <c r="C295">
        <f>IFERROR(__xludf.DUMMYFUNCTION("""COMPUTED_VALUE"""),44.0)</f>
        <v>44</v>
      </c>
      <c r="D295" t="str">
        <f>IFERROR(__xludf.DUMMYFUNCTION("""COMPUTED_VALUE"""),"CANCIÓN CON YANDEL")</f>
        <v>CANCIÓN CON YANDEL</v>
      </c>
      <c r="E295" t="str">
        <f>IFERROR(__xludf.DUMMYFUNCTION("""COMPUTED_VALUE"""),"Yandel, Bad Bunny")</f>
        <v>Yandel, Bad Bunny</v>
      </c>
      <c r="F295" t="str">
        <f>IFERROR(__xludf.DUMMYFUNCTION("""COMPUTED_VALUE"""),"LAS QUE NO IBAN A SALIR")</f>
        <v>LAS QUE NO IBAN A SALIR</v>
      </c>
      <c r="G295">
        <f>IFERROR(__xludf.DUMMYFUNCTION("""COMPUTED_VALUE"""),1.0)</f>
        <v>1</v>
      </c>
      <c r="H295" s="5">
        <f>IFERROR(__xludf.DUMMYFUNCTION("""COMPUTED_VALUE"""),0.14513888888905058)</f>
        <v>0.1451388889</v>
      </c>
    </row>
    <row r="296">
      <c r="A296" t="str">
        <f>IFERROR(__xludf.DUMMYFUNCTION("""COMPUTED_VALUE"""),"Bolivia")</f>
        <v>Bolivia</v>
      </c>
      <c r="B296" t="str">
        <f>IFERROR(__xludf.DUMMYFUNCTION("""COMPUTED_VALUE"""),"South America")</f>
        <v>South America</v>
      </c>
      <c r="C296">
        <f>IFERROR(__xludf.DUMMYFUNCTION("""COMPUTED_VALUE"""),45.0)</f>
        <v>45</v>
      </c>
      <c r="D296" t="str">
        <f>IFERROR(__xludf.DUMMYFUNCTION("""COMPUTED_VALUE"""),"El Efecto - Remix")</f>
        <v>El Efecto - Remix</v>
      </c>
      <c r="E296" t="str">
        <f>IFERROR(__xludf.DUMMYFUNCTION("""COMPUTED_VALUE"""),"Rauw Alejandro, Chencho Corleone, KEVVO, Bryant Myers, Lyanno, Dalex")</f>
        <v>Rauw Alejandro, Chencho Corleone, KEVVO, Bryant Myers, Lyanno, Dalex</v>
      </c>
      <c r="F296" t="str">
        <f>IFERROR(__xludf.DUMMYFUNCTION("""COMPUTED_VALUE"""),"El Efecto (Remix)")</f>
        <v>El Efecto (Remix)</v>
      </c>
      <c r="G296">
        <f>IFERROR(__xludf.DUMMYFUNCTION("""COMPUTED_VALUE"""),1.0)</f>
        <v>1</v>
      </c>
      <c r="H296" s="5">
        <f>IFERROR(__xludf.DUMMYFUNCTION("""COMPUTED_VALUE"""),0.2006944444437977)</f>
        <v>0.2006944444</v>
      </c>
    </row>
    <row r="297">
      <c r="A297" t="str">
        <f>IFERROR(__xludf.DUMMYFUNCTION("""COMPUTED_VALUE"""),"Bolivia")</f>
        <v>Bolivia</v>
      </c>
      <c r="B297" t="str">
        <f>IFERROR(__xludf.DUMMYFUNCTION("""COMPUTED_VALUE"""),"South America")</f>
        <v>South America</v>
      </c>
      <c r="C297">
        <f>IFERROR(__xludf.DUMMYFUNCTION("""COMPUTED_VALUE"""),46.0)</f>
        <v>46</v>
      </c>
      <c r="D297" t="str">
        <f>IFERROR(__xludf.DUMMYFUNCTION("""COMPUTED_VALUE"""),"Detente")</f>
        <v>Detente</v>
      </c>
      <c r="E297" t="str">
        <f>IFERROR(__xludf.DUMMYFUNCTION("""COMPUTED_VALUE"""),"Mike Bahía, Danny Ocean")</f>
        <v>Mike Bahía, Danny Ocean</v>
      </c>
      <c r="F297" t="str">
        <f>IFERROR(__xludf.DUMMYFUNCTION("""COMPUTED_VALUE"""),"Navegando")</f>
        <v>Navegando</v>
      </c>
      <c r="G297">
        <f>IFERROR(__xludf.DUMMYFUNCTION("""COMPUTED_VALUE"""),0.0)</f>
        <v>0</v>
      </c>
      <c r="H297" s="5">
        <f>IFERROR(__xludf.DUMMYFUNCTION("""COMPUTED_VALUE"""),0.1256944444430701)</f>
        <v>0.1256944444</v>
      </c>
    </row>
    <row r="298">
      <c r="A298" t="str">
        <f>IFERROR(__xludf.DUMMYFUNCTION("""COMPUTED_VALUE"""),"Bolivia")</f>
        <v>Bolivia</v>
      </c>
      <c r="B298" t="str">
        <f>IFERROR(__xludf.DUMMYFUNCTION("""COMPUTED_VALUE"""),"South America")</f>
        <v>South America</v>
      </c>
      <c r="C298">
        <f>IFERROR(__xludf.DUMMYFUNCTION("""COMPUTED_VALUE"""),47.0)</f>
        <v>47</v>
      </c>
      <c r="D298" t="str">
        <f>IFERROR(__xludf.DUMMYFUNCTION("""COMPUTED_VALUE"""),"Desconocidos")</f>
        <v>Desconocidos</v>
      </c>
      <c r="E298" t="str">
        <f>IFERROR(__xludf.DUMMYFUNCTION("""COMPUTED_VALUE"""),"Mau y Ricky, Manuel Turizo, Camilo")</f>
        <v>Mau y Ricky, Manuel Turizo, Camilo</v>
      </c>
      <c r="F298" t="str">
        <f>IFERROR(__xludf.DUMMYFUNCTION("""COMPUTED_VALUE"""),"Para Aventuras y Curiosidades")</f>
        <v>Para Aventuras y Curiosidades</v>
      </c>
      <c r="G298">
        <f>IFERROR(__xludf.DUMMYFUNCTION("""COMPUTED_VALUE"""),1.0)</f>
        <v>1</v>
      </c>
      <c r="H298" s="5">
        <f>IFERROR(__xludf.DUMMYFUNCTION("""COMPUTED_VALUE"""),0.14166666666642413)</f>
        <v>0.1416666667</v>
      </c>
    </row>
    <row r="299">
      <c r="A299" t="str">
        <f>IFERROR(__xludf.DUMMYFUNCTION("""COMPUTED_VALUE"""),"Bolivia")</f>
        <v>Bolivia</v>
      </c>
      <c r="B299" t="str">
        <f>IFERROR(__xludf.DUMMYFUNCTION("""COMPUTED_VALUE"""),"South America")</f>
        <v>South America</v>
      </c>
      <c r="C299">
        <f>IFERROR(__xludf.DUMMYFUNCTION("""COMPUTED_VALUE"""),48.0)</f>
        <v>48</v>
      </c>
      <c r="D299" t="str">
        <f>IFERROR(__xludf.DUMMYFUNCTION("""COMPUTED_VALUE"""),"China")</f>
        <v>China</v>
      </c>
      <c r="E299" t="str">
        <f>IFERROR(__xludf.DUMMYFUNCTION("""COMPUTED_VALUE"""),"Anuel AA, Daddy Yankee, KAROL G, J Balvin, Ozuna")</f>
        <v>Anuel AA, Daddy Yankee, KAROL G, J Balvin, Ozuna</v>
      </c>
      <c r="F299" t="str">
        <f>IFERROR(__xludf.DUMMYFUNCTION("""COMPUTED_VALUE"""),"China")</f>
        <v>China</v>
      </c>
      <c r="G299">
        <f>IFERROR(__xludf.DUMMYFUNCTION("""COMPUTED_VALUE"""),0.0)</f>
        <v>0</v>
      </c>
      <c r="H299" s="5">
        <f>IFERROR(__xludf.DUMMYFUNCTION("""COMPUTED_VALUE"""),0.20902777777882875)</f>
        <v>0.2090277778</v>
      </c>
    </row>
    <row r="300">
      <c r="A300" t="str">
        <f>IFERROR(__xludf.DUMMYFUNCTION("""COMPUTED_VALUE"""),"Bolivia")</f>
        <v>Bolivia</v>
      </c>
      <c r="B300" t="str">
        <f>IFERROR(__xludf.DUMMYFUNCTION("""COMPUTED_VALUE"""),"South America")</f>
        <v>South America</v>
      </c>
      <c r="C300">
        <f>IFERROR(__xludf.DUMMYFUNCTION("""COMPUTED_VALUE"""),49.0)</f>
        <v>49</v>
      </c>
      <c r="D300" t="str">
        <f>IFERROR(__xludf.DUMMYFUNCTION("""COMPUTED_VALUE"""),"Rain On Me (with Ariana Grande)")</f>
        <v>Rain On Me (with Ariana Grande)</v>
      </c>
      <c r="E300" t="str">
        <f>IFERROR(__xludf.DUMMYFUNCTION("""COMPUTED_VALUE"""),"Lady Gaga, Ariana Grande")</f>
        <v>Lady Gaga, Ariana Grande</v>
      </c>
      <c r="F300" t="str">
        <f>IFERROR(__xludf.DUMMYFUNCTION("""COMPUTED_VALUE"""),"Rain On Me (with Ariana Grande)")</f>
        <v>Rain On Me (with Ariana Grande)</v>
      </c>
      <c r="G300">
        <f>IFERROR(__xludf.DUMMYFUNCTION("""COMPUTED_VALUE"""),0.0)</f>
        <v>0</v>
      </c>
      <c r="H300" s="5">
        <f>IFERROR(__xludf.DUMMYFUNCTION("""COMPUTED_VALUE"""),0.12638888888977817)</f>
        <v>0.1263888889</v>
      </c>
    </row>
    <row r="301">
      <c r="A301" t="str">
        <f>IFERROR(__xludf.DUMMYFUNCTION("""COMPUTED_VALUE"""),"Bolivia")</f>
        <v>Bolivia</v>
      </c>
      <c r="B301" t="str">
        <f>IFERROR(__xludf.DUMMYFUNCTION("""COMPUTED_VALUE"""),"South America")</f>
        <v>South America</v>
      </c>
      <c r="C301">
        <f>IFERROR(__xludf.DUMMYFUNCTION("""COMPUTED_VALUE"""),50.0)</f>
        <v>50</v>
      </c>
      <c r="D301" t="str">
        <f>IFERROR(__xludf.DUMMYFUNCTION("""COMPUTED_VALUE"""),"Bellaquita - Remix")</f>
        <v>Bellaquita - Remix</v>
      </c>
      <c r="E301" t="str">
        <f>IFERROR(__xludf.DUMMYFUNCTION("""COMPUTED_VALUE"""),"Dalex, Lenny Tavárez, Anitta, Natti Natasha, Farruko, Justin Quiles")</f>
        <v>Dalex, Lenny Tavárez, Anitta, Natti Natasha, Farruko, Justin Quiles</v>
      </c>
      <c r="F301" t="str">
        <f>IFERROR(__xludf.DUMMYFUNCTION("""COMPUTED_VALUE"""),"Modo Avión")</f>
        <v>Modo Avión</v>
      </c>
      <c r="G301">
        <f>IFERROR(__xludf.DUMMYFUNCTION("""COMPUTED_VALUE"""),1.0)</f>
        <v>1</v>
      </c>
      <c r="H301" s="5">
        <f>IFERROR(__xludf.DUMMYFUNCTION("""COMPUTED_VALUE"""),0.21111111111167702)</f>
        <v>0.2111111111</v>
      </c>
    </row>
    <row r="302">
      <c r="A302" t="str">
        <f>IFERROR(__xludf.DUMMYFUNCTION("""COMPUTED_VALUE"""),"Brazil")</f>
        <v>Brazil</v>
      </c>
      <c r="B302" t="str">
        <f>IFERROR(__xludf.DUMMYFUNCTION("""COMPUTED_VALUE"""),"South America")</f>
        <v>South America</v>
      </c>
      <c r="C302">
        <f>IFERROR(__xludf.DUMMYFUNCTION("""COMPUTED_VALUE"""),1.0)</f>
        <v>1</v>
      </c>
      <c r="D302" t="str">
        <f>IFERROR(__xludf.DUMMYFUNCTION("""COMPUTED_VALUE"""),"A Gente Fez Amor - Ao Vivo")</f>
        <v>A Gente Fez Amor - Ao Vivo</v>
      </c>
      <c r="E302" t="str">
        <f>IFERROR(__xludf.DUMMYFUNCTION("""COMPUTED_VALUE"""),"Gusttavo Lima")</f>
        <v>Gusttavo Lima</v>
      </c>
      <c r="F302" t="str">
        <f>IFERROR(__xludf.DUMMYFUNCTION("""COMPUTED_VALUE"""),"O Embaixador in Cariri (Ao Vivo)")</f>
        <v>O Embaixador in Cariri (Ao Vivo)</v>
      </c>
      <c r="G302">
        <f>IFERROR(__xludf.DUMMYFUNCTION("""COMPUTED_VALUE"""),0.0)</f>
        <v>0</v>
      </c>
      <c r="H302" s="5">
        <f>IFERROR(__xludf.DUMMYFUNCTION("""COMPUTED_VALUE"""),0.16458333333503106)</f>
        <v>0.1645833333</v>
      </c>
    </row>
    <row r="303">
      <c r="A303" t="str">
        <f>IFERROR(__xludf.DUMMYFUNCTION("""COMPUTED_VALUE"""),"Brazil")</f>
        <v>Brazil</v>
      </c>
      <c r="B303" t="str">
        <f>IFERROR(__xludf.DUMMYFUNCTION("""COMPUTED_VALUE"""),"South America")</f>
        <v>South America</v>
      </c>
      <c r="C303">
        <f>IFERROR(__xludf.DUMMYFUNCTION("""COMPUTED_VALUE"""),2.0)</f>
        <v>2</v>
      </c>
      <c r="D303" t="str">
        <f>IFERROR(__xludf.DUMMYFUNCTION("""COMPUTED_VALUE"""),"Saudade Sua")</f>
        <v>Saudade Sua</v>
      </c>
      <c r="E303" t="str">
        <f>IFERROR(__xludf.DUMMYFUNCTION("""COMPUTED_VALUE"""),"Gusttavo Lima")</f>
        <v>Gusttavo Lima</v>
      </c>
      <c r="F303" t="str">
        <f>IFERROR(__xludf.DUMMYFUNCTION("""COMPUTED_VALUE"""),"Saudade Sua")</f>
        <v>Saudade Sua</v>
      </c>
      <c r="G303">
        <f>IFERROR(__xludf.DUMMYFUNCTION("""COMPUTED_VALUE"""),0.0)</f>
        <v>0</v>
      </c>
      <c r="H303" s="5">
        <f>IFERROR(__xludf.DUMMYFUNCTION("""COMPUTED_VALUE"""),0.14583333333212067)</f>
        <v>0.1458333333</v>
      </c>
    </row>
    <row r="304">
      <c r="A304" t="str">
        <f>IFERROR(__xludf.DUMMYFUNCTION("""COMPUTED_VALUE"""),"Brazil")</f>
        <v>Brazil</v>
      </c>
      <c r="B304" t="str">
        <f>IFERROR(__xludf.DUMMYFUNCTION("""COMPUTED_VALUE"""),"South America")</f>
        <v>South America</v>
      </c>
      <c r="C304">
        <f>IFERROR(__xludf.DUMMYFUNCTION("""COMPUTED_VALUE"""),3.0)</f>
        <v>3</v>
      </c>
      <c r="D304" t="str">
        <f>IFERROR(__xludf.DUMMYFUNCTION("""COMPUTED_VALUE"""),"Rain On Me (with Ariana Grande)")</f>
        <v>Rain On Me (with Ariana Grande)</v>
      </c>
      <c r="E304" t="str">
        <f>IFERROR(__xludf.DUMMYFUNCTION("""COMPUTED_VALUE"""),"Lady Gaga, Ariana Grande")</f>
        <v>Lady Gaga, Ariana Grande</v>
      </c>
      <c r="F304" t="str">
        <f>IFERROR(__xludf.DUMMYFUNCTION("""COMPUTED_VALUE"""),"Rain On Me (with Ariana Grande)")</f>
        <v>Rain On Me (with Ariana Grande)</v>
      </c>
      <c r="G304">
        <f>IFERROR(__xludf.DUMMYFUNCTION("""COMPUTED_VALUE"""),0.0)</f>
        <v>0</v>
      </c>
      <c r="H304" s="5">
        <f>IFERROR(__xludf.DUMMYFUNCTION("""COMPUTED_VALUE"""),0.12638888888977817)</f>
        <v>0.1263888889</v>
      </c>
    </row>
    <row r="305">
      <c r="A305" t="str">
        <f>IFERROR(__xludf.DUMMYFUNCTION("""COMPUTED_VALUE"""),"Brazil")</f>
        <v>Brazil</v>
      </c>
      <c r="B305" t="str">
        <f>IFERROR(__xludf.DUMMYFUNCTION("""COMPUTED_VALUE"""),"South America")</f>
        <v>South America</v>
      </c>
      <c r="C305">
        <f>IFERROR(__xludf.DUMMYFUNCTION("""COMPUTED_VALUE"""),4.0)</f>
        <v>4</v>
      </c>
      <c r="D305" t="str">
        <f>IFERROR(__xludf.DUMMYFUNCTION("""COMPUTED_VALUE"""),"Liberdade Provisória - Ao Vivo")</f>
        <v>Liberdade Provisória - Ao Vivo</v>
      </c>
      <c r="E305" t="str">
        <f>IFERROR(__xludf.DUMMYFUNCTION("""COMPUTED_VALUE"""),"Henrique &amp; Juliano")</f>
        <v>Henrique &amp; Juliano</v>
      </c>
      <c r="F305" t="str">
        <f>IFERROR(__xludf.DUMMYFUNCTION("""COMPUTED_VALUE"""),"Ao Vivo no Ibirapuera, Vol. 1")</f>
        <v>Ao Vivo no Ibirapuera, Vol. 1</v>
      </c>
      <c r="G305">
        <f>IFERROR(__xludf.DUMMYFUNCTION("""COMPUTED_VALUE"""),0.0)</f>
        <v>0</v>
      </c>
      <c r="H305" s="5">
        <f>IFERROR(__xludf.DUMMYFUNCTION("""COMPUTED_VALUE"""),0.12986111111240461)</f>
        <v>0.1298611111</v>
      </c>
    </row>
    <row r="306">
      <c r="A306" t="str">
        <f>IFERROR(__xludf.DUMMYFUNCTION("""COMPUTED_VALUE"""),"Brazil")</f>
        <v>Brazil</v>
      </c>
      <c r="B306" t="str">
        <f>IFERROR(__xludf.DUMMYFUNCTION("""COMPUTED_VALUE"""),"South America")</f>
        <v>South America</v>
      </c>
      <c r="C306">
        <f>IFERROR(__xludf.DUMMYFUNCTION("""COMPUTED_VALUE"""),5.0)</f>
        <v>5</v>
      </c>
      <c r="D306" t="str">
        <f>IFERROR(__xludf.DUMMYFUNCTION("""COMPUTED_VALUE"""),"BRABA")</f>
        <v>BRABA</v>
      </c>
      <c r="E306" t="str">
        <f>IFERROR(__xludf.DUMMYFUNCTION("""COMPUTED_VALUE"""),"Luísa Sonza")</f>
        <v>Luísa Sonza</v>
      </c>
      <c r="F306" t="str">
        <f>IFERROR(__xludf.DUMMYFUNCTION("""COMPUTED_VALUE"""),"BRABA")</f>
        <v>BRABA</v>
      </c>
      <c r="G306">
        <f>IFERROR(__xludf.DUMMYFUNCTION("""COMPUTED_VALUE"""),0.0)</f>
        <v>0</v>
      </c>
      <c r="H306" s="5">
        <f>IFERROR(__xludf.DUMMYFUNCTION("""COMPUTED_VALUE"""),0.08958333333430346)</f>
        <v>0.08958333333</v>
      </c>
    </row>
    <row r="307">
      <c r="A307" t="str">
        <f>IFERROR(__xludf.DUMMYFUNCTION("""COMPUTED_VALUE"""),"Brazil")</f>
        <v>Brazil</v>
      </c>
      <c r="B307" t="str">
        <f>IFERROR(__xludf.DUMMYFUNCTION("""COMPUTED_VALUE"""),"South America")</f>
        <v>South America</v>
      </c>
      <c r="C307">
        <f>IFERROR(__xludf.DUMMYFUNCTION("""COMPUTED_VALUE"""),6.0)</f>
        <v>6</v>
      </c>
      <c r="D307" t="str">
        <f>IFERROR(__xludf.DUMMYFUNCTION("""COMPUTED_VALUE"""),"Tudo no Sigilo")</f>
        <v>Tudo no Sigilo</v>
      </c>
      <c r="E307" t="str">
        <f>IFERROR(__xludf.DUMMYFUNCTION("""COMPUTED_VALUE"""),"Vytinho NG, MC Bianca")</f>
        <v>Vytinho NG, MC Bianca</v>
      </c>
      <c r="F307" t="str">
        <f>IFERROR(__xludf.DUMMYFUNCTION("""COMPUTED_VALUE"""),"Tudo no Sigilo")</f>
        <v>Tudo no Sigilo</v>
      </c>
      <c r="G307">
        <f>IFERROR(__xludf.DUMMYFUNCTION("""COMPUTED_VALUE"""),1.0)</f>
        <v>1</v>
      </c>
      <c r="H307" s="5">
        <f>IFERROR(__xludf.DUMMYFUNCTION("""COMPUTED_VALUE"""),0.10833333333357587)</f>
        <v>0.1083333333</v>
      </c>
    </row>
    <row r="308">
      <c r="A308" t="str">
        <f>IFERROR(__xludf.DUMMYFUNCTION("""COMPUTED_VALUE"""),"Brazil")</f>
        <v>Brazil</v>
      </c>
      <c r="B308" t="str">
        <f>IFERROR(__xludf.DUMMYFUNCTION("""COMPUTED_VALUE"""),"South America")</f>
        <v>South America</v>
      </c>
      <c r="C308">
        <f>IFERROR(__xludf.DUMMYFUNCTION("""COMPUTED_VALUE"""),7.0)</f>
        <v>7</v>
      </c>
      <c r="D308" t="str">
        <f>IFERROR(__xludf.DUMMYFUNCTION("""COMPUTED_VALUE"""),"água com açúcar - ao vivo")</f>
        <v>água com açúcar - ao vivo</v>
      </c>
      <c r="E308" t="str">
        <f>IFERROR(__xludf.DUMMYFUNCTION("""COMPUTED_VALUE"""),"Luan Santana")</f>
        <v>Luan Santana</v>
      </c>
      <c r="F308" t="str">
        <f>IFERROR(__xludf.DUMMYFUNCTION("""COMPUTED_VALUE"""),"VIVA (Ao Vivo)")</f>
        <v>VIVA (Ao Vivo)</v>
      </c>
      <c r="G308">
        <f>IFERROR(__xludf.DUMMYFUNCTION("""COMPUTED_VALUE"""),0.0)</f>
        <v>0</v>
      </c>
      <c r="H308" s="5">
        <f>IFERROR(__xludf.DUMMYFUNCTION("""COMPUTED_VALUE"""),0.17291666666642413)</f>
        <v>0.1729166667</v>
      </c>
    </row>
    <row r="309">
      <c r="A309" t="str">
        <f>IFERROR(__xludf.DUMMYFUNCTION("""COMPUTED_VALUE"""),"Brazil")</f>
        <v>Brazil</v>
      </c>
      <c r="B309" t="str">
        <f>IFERROR(__xludf.DUMMYFUNCTION("""COMPUTED_VALUE"""),"South America")</f>
        <v>South America</v>
      </c>
      <c r="C309">
        <f>IFERROR(__xludf.DUMMYFUNCTION("""COMPUTED_VALUE"""),8.0)</f>
        <v>8</v>
      </c>
      <c r="D309" t="str">
        <f>IFERROR(__xludf.DUMMYFUNCTION("""COMPUTED_VALUE"""),"Ranking")</f>
        <v>Ranking</v>
      </c>
      <c r="E309" t="str">
        <f>IFERROR(__xludf.DUMMYFUNCTION("""COMPUTED_VALUE"""),"Jorge &amp; Mateus")</f>
        <v>Jorge &amp; Mateus</v>
      </c>
      <c r="F309" t="str">
        <f>IFERROR(__xludf.DUMMYFUNCTION("""COMPUTED_VALUE"""),"T. E. P., EP 1")</f>
        <v>T. E. P., EP 1</v>
      </c>
      <c r="G309">
        <f>IFERROR(__xludf.DUMMYFUNCTION("""COMPUTED_VALUE"""),0.0)</f>
        <v>0</v>
      </c>
      <c r="H309" s="5">
        <f>IFERROR(__xludf.DUMMYFUNCTION("""COMPUTED_VALUE"""),0.11527777777882875)</f>
        <v>0.1152777778</v>
      </c>
    </row>
    <row r="310">
      <c r="A310" t="str">
        <f>IFERROR(__xludf.DUMMYFUNCTION("""COMPUTED_VALUE"""),"Brazil")</f>
        <v>Brazil</v>
      </c>
      <c r="B310" t="str">
        <f>IFERROR(__xludf.DUMMYFUNCTION("""COMPUTED_VALUE"""),"South America")</f>
        <v>South America</v>
      </c>
      <c r="C310">
        <f>IFERROR(__xludf.DUMMYFUNCTION("""COMPUTED_VALUE"""),9.0)</f>
        <v>9</v>
      </c>
      <c r="D310" t="str">
        <f>IFERROR(__xludf.DUMMYFUNCTION("""COMPUTED_VALUE"""),"Graveto - Ao Vivo")</f>
        <v>Graveto - Ao Vivo</v>
      </c>
      <c r="E310" t="str">
        <f>IFERROR(__xludf.DUMMYFUNCTION("""COMPUTED_VALUE"""),"Marília Mendonça")</f>
        <v>Marília Mendonça</v>
      </c>
      <c r="F310" t="str">
        <f>IFERROR(__xludf.DUMMYFUNCTION("""COMPUTED_VALUE"""),"Graveto (Ao Vivo)")</f>
        <v>Graveto (Ao Vivo)</v>
      </c>
      <c r="G310">
        <f>IFERROR(__xludf.DUMMYFUNCTION("""COMPUTED_VALUE"""),0.0)</f>
        <v>0</v>
      </c>
      <c r="H310" s="5">
        <f>IFERROR(__xludf.DUMMYFUNCTION("""COMPUTED_VALUE"""),0.11805555555474712)</f>
        <v>0.1180555556</v>
      </c>
    </row>
    <row r="311">
      <c r="A311" t="str">
        <f>IFERROR(__xludf.DUMMYFUNCTION("""COMPUTED_VALUE"""),"Brazil")</f>
        <v>Brazil</v>
      </c>
      <c r="B311" t="str">
        <f>IFERROR(__xludf.DUMMYFUNCTION("""COMPUTED_VALUE"""),"South America")</f>
        <v>South America</v>
      </c>
      <c r="C311">
        <f>IFERROR(__xludf.DUMMYFUNCTION("""COMPUTED_VALUE"""),10.0)</f>
        <v>10</v>
      </c>
      <c r="D311" t="str">
        <f>IFERROR(__xludf.DUMMYFUNCTION("""COMPUTED_VALUE"""),"Litrão - Ao Vivo")</f>
        <v>Litrão - Ao Vivo</v>
      </c>
      <c r="E311" t="str">
        <f>IFERROR(__xludf.DUMMYFUNCTION("""COMPUTED_VALUE"""),"Matheus &amp; Kauan")</f>
        <v>Matheus &amp; Kauan</v>
      </c>
      <c r="F311" t="str">
        <f>IFERROR(__xludf.DUMMYFUNCTION("""COMPUTED_VALUE"""),"10 Anos Na Praia (Ao Vivo / Vol. 1)")</f>
        <v>10 Anos Na Praia (Ao Vivo / Vol. 1)</v>
      </c>
      <c r="G311">
        <f>IFERROR(__xludf.DUMMYFUNCTION("""COMPUTED_VALUE"""),0.0)</f>
        <v>0</v>
      </c>
      <c r="H311" s="5">
        <f>IFERROR(__xludf.DUMMYFUNCTION("""COMPUTED_VALUE"""),0.11805555555474712)</f>
        <v>0.1180555556</v>
      </c>
    </row>
    <row r="312">
      <c r="A312" t="str">
        <f>IFERROR(__xludf.DUMMYFUNCTION("""COMPUTED_VALUE"""),"Brazil")</f>
        <v>Brazil</v>
      </c>
      <c r="B312" t="str">
        <f>IFERROR(__xludf.DUMMYFUNCTION("""COMPUTED_VALUE"""),"South America")</f>
        <v>South America</v>
      </c>
      <c r="C312">
        <f>IFERROR(__xludf.DUMMYFUNCTION("""COMPUTED_VALUE"""),11.0)</f>
        <v>11</v>
      </c>
      <c r="D312" t="str">
        <f>IFERROR(__xludf.DUMMYFUNCTION("""COMPUTED_VALUE"""),"Volta por Baixo - Ao Vivo")</f>
        <v>Volta por Baixo - Ao Vivo</v>
      </c>
      <c r="E312" t="str">
        <f>IFERROR(__xludf.DUMMYFUNCTION("""COMPUTED_VALUE"""),"Henrique &amp; Juliano")</f>
        <v>Henrique &amp; Juliano</v>
      </c>
      <c r="F312" t="str">
        <f>IFERROR(__xludf.DUMMYFUNCTION("""COMPUTED_VALUE"""),"Ao Vivo no Ibirapuera, Vol. 1")</f>
        <v>Ao Vivo no Ibirapuera, Vol. 1</v>
      </c>
      <c r="G312">
        <f>IFERROR(__xludf.DUMMYFUNCTION("""COMPUTED_VALUE"""),0.0)</f>
        <v>0</v>
      </c>
      <c r="H312" s="5">
        <f>IFERROR(__xludf.DUMMYFUNCTION("""COMPUTED_VALUE"""),0.13333333333503106)</f>
        <v>0.1333333333</v>
      </c>
    </row>
    <row r="313">
      <c r="A313" t="str">
        <f>IFERROR(__xludf.DUMMYFUNCTION("""COMPUTED_VALUE"""),"Brazil")</f>
        <v>Brazil</v>
      </c>
      <c r="B313" t="str">
        <f>IFERROR(__xludf.DUMMYFUNCTION("""COMPUTED_VALUE"""),"South America")</f>
        <v>South America</v>
      </c>
      <c r="C313">
        <f>IFERROR(__xludf.DUMMYFUNCTION("""COMPUTED_VALUE"""),12.0)</f>
        <v>12</v>
      </c>
      <c r="D313" t="str">
        <f>IFERROR(__xludf.DUMMYFUNCTION("""COMPUTED_VALUE"""),"S de Saudade")</f>
        <v>S de Saudade</v>
      </c>
      <c r="E313" t="str">
        <f>IFERROR(__xludf.DUMMYFUNCTION("""COMPUTED_VALUE"""),"Luíza &amp; Maurílio, Zé Neto &amp; Cristiano")</f>
        <v>Luíza &amp; Maurílio, Zé Neto &amp; Cristiano</v>
      </c>
      <c r="F313" t="str">
        <f>IFERROR(__xludf.DUMMYFUNCTION("""COMPUTED_VALUE"""),"S de Saudade")</f>
        <v>S de Saudade</v>
      </c>
      <c r="G313">
        <f>IFERROR(__xludf.DUMMYFUNCTION("""COMPUTED_VALUE"""),0.0)</f>
        <v>0</v>
      </c>
      <c r="H313" s="5">
        <f>IFERROR(__xludf.DUMMYFUNCTION("""COMPUTED_VALUE"""),0.12083333333430346)</f>
        <v>0.1208333333</v>
      </c>
    </row>
    <row r="314">
      <c r="A314" t="str">
        <f>IFERROR(__xludf.DUMMYFUNCTION("""COMPUTED_VALUE"""),"Brazil")</f>
        <v>Brazil</v>
      </c>
      <c r="B314" t="str">
        <f>IFERROR(__xludf.DUMMYFUNCTION("""COMPUTED_VALUE"""),"South America")</f>
        <v>South America</v>
      </c>
      <c r="C314">
        <f>IFERROR(__xludf.DUMMYFUNCTION("""COMPUTED_VALUE"""),13.0)</f>
        <v>13</v>
      </c>
      <c r="D314" t="str">
        <f>IFERROR(__xludf.DUMMYFUNCTION("""COMPUTED_VALUE"""),"Na Raba Toma Tapão")</f>
        <v>Na Raba Toma Tapão</v>
      </c>
      <c r="E314" t="str">
        <f>IFERROR(__xludf.DUMMYFUNCTION("""COMPUTED_VALUE"""),"Niack")</f>
        <v>Niack</v>
      </c>
      <c r="F314" t="str">
        <f>IFERROR(__xludf.DUMMYFUNCTION("""COMPUTED_VALUE"""),"Na Raba Toma Tapão")</f>
        <v>Na Raba Toma Tapão</v>
      </c>
      <c r="G314">
        <f>IFERROR(__xludf.DUMMYFUNCTION("""COMPUTED_VALUE"""),0.0)</f>
        <v>0</v>
      </c>
      <c r="H314" s="5">
        <f>IFERROR(__xludf.DUMMYFUNCTION("""COMPUTED_VALUE"""),0.11458333333212067)</f>
        <v>0.1145833333</v>
      </c>
    </row>
    <row r="315">
      <c r="A315" t="str">
        <f>IFERROR(__xludf.DUMMYFUNCTION("""COMPUTED_VALUE"""),"Brazil")</f>
        <v>Brazil</v>
      </c>
      <c r="B315" t="str">
        <f>IFERROR(__xludf.DUMMYFUNCTION("""COMPUTED_VALUE"""),"South America")</f>
        <v>South America</v>
      </c>
      <c r="C315">
        <f>IFERROR(__xludf.DUMMYFUNCTION("""COMPUTED_VALUE"""),14.0)</f>
        <v>14</v>
      </c>
      <c r="D315" t="str">
        <f>IFERROR(__xludf.DUMMYFUNCTION("""COMPUTED_VALUE"""),"Te Prometo")</f>
        <v>Te Prometo</v>
      </c>
      <c r="E315" t="str">
        <f>IFERROR(__xludf.DUMMYFUNCTION("""COMPUTED_VALUE"""),"Dennis DJ, Mc Don Juan")</f>
        <v>Dennis DJ, Mc Don Juan</v>
      </c>
      <c r="F315" t="str">
        <f>IFERROR(__xludf.DUMMYFUNCTION("""COMPUTED_VALUE"""),"Te Prometo")</f>
        <v>Te Prometo</v>
      </c>
      <c r="G315">
        <f>IFERROR(__xludf.DUMMYFUNCTION("""COMPUTED_VALUE"""),0.0)</f>
        <v>0</v>
      </c>
      <c r="H315" s="5">
        <f>IFERROR(__xludf.DUMMYFUNCTION("""COMPUTED_VALUE"""),0.11180555555620231)</f>
        <v>0.1118055556</v>
      </c>
    </row>
    <row r="316">
      <c r="A316" t="str">
        <f>IFERROR(__xludf.DUMMYFUNCTION("""COMPUTED_VALUE"""),"Brazil")</f>
        <v>Brazil</v>
      </c>
      <c r="B316" t="str">
        <f>IFERROR(__xludf.DUMMYFUNCTION("""COMPUTED_VALUE"""),"South America")</f>
        <v>South America</v>
      </c>
      <c r="C316">
        <f>IFERROR(__xludf.DUMMYFUNCTION("""COMPUTED_VALUE"""),15.0)</f>
        <v>15</v>
      </c>
      <c r="D316" t="str">
        <f>IFERROR(__xludf.DUMMYFUNCTION("""COMPUTED_VALUE"""),"Don't Start Now")</f>
        <v>Don't Start Now</v>
      </c>
      <c r="E316" t="str">
        <f>IFERROR(__xludf.DUMMYFUNCTION("""COMPUTED_VALUE"""),"Dua Lipa")</f>
        <v>Dua Lipa</v>
      </c>
      <c r="F316" t="str">
        <f>IFERROR(__xludf.DUMMYFUNCTION("""COMPUTED_VALUE"""),"Future Nostalgia")</f>
        <v>Future Nostalgia</v>
      </c>
      <c r="G316">
        <f>IFERROR(__xludf.DUMMYFUNCTION("""COMPUTED_VALUE"""),0.0)</f>
        <v>0</v>
      </c>
      <c r="H316" s="5">
        <f>IFERROR(__xludf.DUMMYFUNCTION("""COMPUTED_VALUE"""),0.12708333333284827)</f>
        <v>0.1270833333</v>
      </c>
    </row>
    <row r="317">
      <c r="A317" t="str">
        <f>IFERROR(__xludf.DUMMYFUNCTION("""COMPUTED_VALUE"""),"Brazil")</f>
        <v>Brazil</v>
      </c>
      <c r="B317" t="str">
        <f>IFERROR(__xludf.DUMMYFUNCTION("""COMPUTED_VALUE"""),"South America")</f>
        <v>South America</v>
      </c>
      <c r="C317">
        <f>IFERROR(__xludf.DUMMYFUNCTION("""COMPUTED_VALUE"""),16.0)</f>
        <v>16</v>
      </c>
      <c r="D317" t="str">
        <f>IFERROR(__xludf.DUMMYFUNCTION("""COMPUTED_VALUE"""),"Tudo Aconteceu")</f>
        <v>Tudo Aconteceu</v>
      </c>
      <c r="E317" t="str">
        <f>IFERROR(__xludf.DUMMYFUNCTION("""COMPUTED_VALUE"""),"MC Du Black, Delacruz")</f>
        <v>MC Du Black, Delacruz</v>
      </c>
      <c r="F317" t="str">
        <f>IFERROR(__xludf.DUMMYFUNCTION("""COMPUTED_VALUE"""),"Tudo Aconteceu")</f>
        <v>Tudo Aconteceu</v>
      </c>
      <c r="G317">
        <f>IFERROR(__xludf.DUMMYFUNCTION("""COMPUTED_VALUE"""),1.0)</f>
        <v>1</v>
      </c>
      <c r="H317" s="5">
        <f>IFERROR(__xludf.DUMMYFUNCTION("""COMPUTED_VALUE"""),0.10763888889050577)</f>
        <v>0.1076388889</v>
      </c>
    </row>
    <row r="318">
      <c r="A318" t="str">
        <f>IFERROR(__xludf.DUMMYFUNCTION("""COMPUTED_VALUE"""),"Brazil")</f>
        <v>Brazil</v>
      </c>
      <c r="B318" t="str">
        <f>IFERROR(__xludf.DUMMYFUNCTION("""COMPUTED_VALUE"""),"South America")</f>
        <v>South America</v>
      </c>
      <c r="C318">
        <f>IFERROR(__xludf.DUMMYFUNCTION("""COMPUTED_VALUE"""),17.0)</f>
        <v>17</v>
      </c>
      <c r="D318" t="str">
        <f>IFERROR(__xludf.DUMMYFUNCTION("""COMPUTED_VALUE"""),"Barzinho Aleatório - Ao Vivo")</f>
        <v>Barzinho Aleatório - Ao Vivo</v>
      </c>
      <c r="E318" t="str">
        <f>IFERROR(__xludf.DUMMYFUNCTION("""COMPUTED_VALUE"""),"Zé Neto &amp; Cristiano")</f>
        <v>Zé Neto &amp; Cristiano</v>
      </c>
      <c r="F318" t="str">
        <f>IFERROR(__xludf.DUMMYFUNCTION("""COMPUTED_VALUE"""),"Por Mais Beijos Ao Vivo, Ep1 - Ao Vivo")</f>
        <v>Por Mais Beijos Ao Vivo, Ep1 - Ao Vivo</v>
      </c>
      <c r="G318">
        <f>IFERROR(__xludf.DUMMYFUNCTION("""COMPUTED_VALUE"""),0.0)</f>
        <v>0</v>
      </c>
      <c r="H318" s="5">
        <f>IFERROR(__xludf.DUMMYFUNCTION("""COMPUTED_VALUE"""),0.10972222222335404)</f>
        <v>0.1097222222</v>
      </c>
    </row>
    <row r="319">
      <c r="A319" t="str">
        <f>IFERROR(__xludf.DUMMYFUNCTION("""COMPUTED_VALUE"""),"Brazil")</f>
        <v>Brazil</v>
      </c>
      <c r="B319" t="str">
        <f>IFERROR(__xludf.DUMMYFUNCTION("""COMPUTED_VALUE"""),"South America")</f>
        <v>South America</v>
      </c>
      <c r="C319">
        <f>IFERROR(__xludf.DUMMYFUNCTION("""COMPUTED_VALUE"""),18.0)</f>
        <v>18</v>
      </c>
      <c r="D319" t="str">
        <f>IFERROR(__xludf.DUMMYFUNCTION("""COMPUTED_VALUE"""),"Slow Down (feat. Jorja Smith) - Vintage Culture &amp; Slow Motion Remix")</f>
        <v>Slow Down (feat. Jorja Smith) - Vintage Culture &amp; Slow Motion Remix</v>
      </c>
      <c r="E319" t="str">
        <f>IFERROR(__xludf.DUMMYFUNCTION("""COMPUTED_VALUE"""),"Maverick Sabre, Jorja Smith, Vintage Culture, Slow Motion")</f>
        <v>Maverick Sabre, Jorja Smith, Vintage Culture, Slow Motion</v>
      </c>
      <c r="F319" t="str">
        <f>IFERROR(__xludf.DUMMYFUNCTION("""COMPUTED_VALUE"""),"Slow Down (feat. Jorja Smith) [Vintage Culture &amp; Slow Motion Remix]")</f>
        <v>Slow Down (feat. Jorja Smith) [Vintage Culture &amp; Slow Motion Remix]</v>
      </c>
      <c r="G319">
        <f>IFERROR(__xludf.DUMMYFUNCTION("""COMPUTED_VALUE"""),0.0)</f>
        <v>0</v>
      </c>
      <c r="H319" s="5">
        <f>IFERROR(__xludf.DUMMYFUNCTION("""COMPUTED_VALUE"""),0.1256944444430701)</f>
        <v>0.1256944444</v>
      </c>
    </row>
    <row r="320">
      <c r="A320" t="str">
        <f>IFERROR(__xludf.DUMMYFUNCTION("""COMPUTED_VALUE"""),"Brazil")</f>
        <v>Brazil</v>
      </c>
      <c r="B320" t="str">
        <f>IFERROR(__xludf.DUMMYFUNCTION("""COMPUTED_VALUE"""),"South America")</f>
        <v>South America</v>
      </c>
      <c r="C320">
        <f>IFERROR(__xludf.DUMMYFUNCTION("""COMPUTED_VALUE"""),19.0)</f>
        <v>19</v>
      </c>
      <c r="D320" t="str">
        <f>IFERROR(__xludf.DUMMYFUNCTION("""COMPUTED_VALUE"""),"Mentira - Ao Vivo")</f>
        <v>Mentira - Ao Vivo</v>
      </c>
      <c r="E320" t="str">
        <f>IFERROR(__xludf.DUMMYFUNCTION("""COMPUTED_VALUE"""),"Felipe Araújo")</f>
        <v>Felipe Araújo</v>
      </c>
      <c r="F320" t="str">
        <f>IFERROR(__xludf.DUMMYFUNCTION("""COMPUTED_VALUE"""),"Felipe Araújo In Brasília (Ao Vivo / Vol.1)")</f>
        <v>Felipe Araújo In Brasília (Ao Vivo / Vol.1)</v>
      </c>
      <c r="G320">
        <f>IFERROR(__xludf.DUMMYFUNCTION("""COMPUTED_VALUE"""),0.0)</f>
        <v>0</v>
      </c>
      <c r="H320" s="5">
        <f>IFERROR(__xludf.DUMMYFUNCTION("""COMPUTED_VALUE"""),0.13402777777810115)</f>
        <v>0.1340277778</v>
      </c>
    </row>
    <row r="321">
      <c r="A321" t="str">
        <f>IFERROR(__xludf.DUMMYFUNCTION("""COMPUTED_VALUE"""),"Brazil")</f>
        <v>Brazil</v>
      </c>
      <c r="B321" t="str">
        <f>IFERROR(__xludf.DUMMYFUNCTION("""COMPUTED_VALUE"""),"South America")</f>
        <v>South America</v>
      </c>
      <c r="C321">
        <f>IFERROR(__xludf.DUMMYFUNCTION("""COMPUTED_VALUE"""),20.0)</f>
        <v>20</v>
      </c>
      <c r="D321" t="str">
        <f>IFERROR(__xludf.DUMMYFUNCTION("""COMPUTED_VALUE"""),"Roses - Imanbek Remix")</f>
        <v>Roses - Imanbek Remix</v>
      </c>
      <c r="E321" t="str">
        <f>IFERROR(__xludf.DUMMYFUNCTION("""COMPUTED_VALUE"""),"SAINt JHN, Imanbek")</f>
        <v>SAINt JHN, Imanbek</v>
      </c>
      <c r="F321" t="str">
        <f>IFERROR(__xludf.DUMMYFUNCTION("""COMPUTED_VALUE"""),"Roses (Imanbek Remix)")</f>
        <v>Roses (Imanbek Remix)</v>
      </c>
      <c r="G321">
        <f>IFERROR(__xludf.DUMMYFUNCTION("""COMPUTED_VALUE"""),1.0)</f>
        <v>1</v>
      </c>
      <c r="H321" s="5">
        <f>IFERROR(__xludf.DUMMYFUNCTION("""COMPUTED_VALUE"""),0.12222222222044365)</f>
        <v>0.1222222222</v>
      </c>
    </row>
    <row r="322">
      <c r="A322" t="str">
        <f>IFERROR(__xludf.DUMMYFUNCTION("""COMPUTED_VALUE"""),"Brazil")</f>
        <v>Brazil</v>
      </c>
      <c r="B322" t="str">
        <f>IFERROR(__xludf.DUMMYFUNCTION("""COMPUTED_VALUE"""),"South America")</f>
        <v>South America</v>
      </c>
      <c r="C322">
        <f>IFERROR(__xludf.DUMMYFUNCTION("""COMPUTED_VALUE"""),21.0)</f>
        <v>21</v>
      </c>
      <c r="D322" t="str">
        <f>IFERROR(__xludf.DUMMYFUNCTION("""COMPUTED_VALUE"""),"Despedida - Ao Vivo")</f>
        <v>Despedida - Ao Vivo</v>
      </c>
      <c r="E322" t="str">
        <f>IFERROR(__xludf.DUMMYFUNCTION("""COMPUTED_VALUE"""),"Wesley Safadão, Zé Neto &amp; Cristiano")</f>
        <v>Wesley Safadão, Zé Neto &amp; Cristiano</v>
      </c>
      <c r="F322" t="str">
        <f>IFERROR(__xludf.DUMMYFUNCTION("""COMPUTED_VALUE"""),"Garota Vip Rio de Janeiro (Deluxe) (ao Vivo)")</f>
        <v>Garota Vip Rio de Janeiro (Deluxe) (ao Vivo)</v>
      </c>
      <c r="G322">
        <f>IFERROR(__xludf.DUMMYFUNCTION("""COMPUTED_VALUE"""),0.0)</f>
        <v>0</v>
      </c>
      <c r="H322" s="5">
        <f>IFERROR(__xludf.DUMMYFUNCTION("""COMPUTED_VALUE"""),0.14027777777664596)</f>
        <v>0.1402777778</v>
      </c>
    </row>
    <row r="323">
      <c r="A323" t="str">
        <f>IFERROR(__xludf.DUMMYFUNCTION("""COMPUTED_VALUE"""),"Brazil")</f>
        <v>Brazil</v>
      </c>
      <c r="B323" t="str">
        <f>IFERROR(__xludf.DUMMYFUNCTION("""COMPUTED_VALUE"""),"South America")</f>
        <v>South America</v>
      </c>
      <c r="C323">
        <f>IFERROR(__xludf.DUMMYFUNCTION("""COMPUTED_VALUE"""),22.0)</f>
        <v>22</v>
      </c>
      <c r="D323" t="str">
        <f>IFERROR(__xludf.DUMMYFUNCTION("""COMPUTED_VALUE"""),"Com ou Sem Mim - Ao Vivo")</f>
        <v>Com ou Sem Mim - Ao Vivo</v>
      </c>
      <c r="E323" t="str">
        <f>IFERROR(__xludf.DUMMYFUNCTION("""COMPUTED_VALUE"""),"Gustavo Mioto")</f>
        <v>Gustavo Mioto</v>
      </c>
      <c r="F323" t="str">
        <f>IFERROR(__xludf.DUMMYFUNCTION("""COMPUTED_VALUE"""),"Ao Vivo em Fortaleza, Pt. 1")</f>
        <v>Ao Vivo em Fortaleza, Pt. 1</v>
      </c>
      <c r="G323">
        <f>IFERROR(__xludf.DUMMYFUNCTION("""COMPUTED_VALUE"""),0.0)</f>
        <v>0</v>
      </c>
      <c r="H323" s="5">
        <f>IFERROR(__xludf.DUMMYFUNCTION("""COMPUTED_VALUE"""),0.13958333333357587)</f>
        <v>0.1395833333</v>
      </c>
    </row>
    <row r="324">
      <c r="A324" t="str">
        <f>IFERROR(__xludf.DUMMYFUNCTION("""COMPUTED_VALUE"""),"Brazil")</f>
        <v>Brazil</v>
      </c>
      <c r="B324" t="str">
        <f>IFERROR(__xludf.DUMMYFUNCTION("""COMPUTED_VALUE"""),"South America")</f>
        <v>South America</v>
      </c>
      <c r="C324">
        <f>IFERROR(__xludf.DUMMYFUNCTION("""COMPUTED_VALUE"""),23.0)</f>
        <v>23</v>
      </c>
      <c r="D324" t="str">
        <f>IFERROR(__xludf.DUMMYFUNCTION("""COMPUTED_VALUE"""),"Cheirosa - Ao Vivo")</f>
        <v>Cheirosa - Ao Vivo</v>
      </c>
      <c r="E324" t="str">
        <f>IFERROR(__xludf.DUMMYFUNCTION("""COMPUTED_VALUE"""),"Jorge &amp; Mateus")</f>
        <v>Jorge &amp; Mateus</v>
      </c>
      <c r="F324" t="str">
        <f>IFERROR(__xludf.DUMMYFUNCTION("""COMPUTED_VALUE"""),"Cheirosa (Ao Vivo)")</f>
        <v>Cheirosa (Ao Vivo)</v>
      </c>
      <c r="G324">
        <f>IFERROR(__xludf.DUMMYFUNCTION("""COMPUTED_VALUE"""),0.0)</f>
        <v>0</v>
      </c>
      <c r="H324" s="5">
        <f>IFERROR(__xludf.DUMMYFUNCTION("""COMPUTED_VALUE"""),0.1256944444430701)</f>
        <v>0.1256944444</v>
      </c>
    </row>
    <row r="325">
      <c r="A325" t="str">
        <f>IFERROR(__xludf.DUMMYFUNCTION("""COMPUTED_VALUE"""),"Brazil")</f>
        <v>Brazil</v>
      </c>
      <c r="B325" t="str">
        <f>IFERROR(__xludf.DUMMYFUNCTION("""COMPUTED_VALUE"""),"South America")</f>
        <v>South America</v>
      </c>
      <c r="C325">
        <f>IFERROR(__xludf.DUMMYFUNCTION("""COMPUTED_VALUE"""),24.0)</f>
        <v>24</v>
      </c>
      <c r="D325" t="str">
        <f>IFERROR(__xludf.DUMMYFUNCTION("""COMPUTED_VALUE"""),"Supera - Ao Vivo")</f>
        <v>Supera - Ao Vivo</v>
      </c>
      <c r="E325" t="str">
        <f>IFERROR(__xludf.DUMMYFUNCTION("""COMPUTED_VALUE"""),"Marília Mendonça")</f>
        <v>Marília Mendonça</v>
      </c>
      <c r="F325" t="str">
        <f>IFERROR(__xludf.DUMMYFUNCTION("""COMPUTED_VALUE"""),"Todos Os Cantos, Vol. 3 (ao Vivo)")</f>
        <v>Todos Os Cantos, Vol. 3 (ao Vivo)</v>
      </c>
      <c r="G325">
        <f>IFERROR(__xludf.DUMMYFUNCTION("""COMPUTED_VALUE"""),0.0)</f>
        <v>0</v>
      </c>
      <c r="H325" s="5">
        <f>IFERROR(__xludf.DUMMYFUNCTION("""COMPUTED_VALUE"""),0.10208333333503106)</f>
        <v>0.1020833333</v>
      </c>
    </row>
    <row r="326">
      <c r="A326" t="str">
        <f>IFERROR(__xludf.DUMMYFUNCTION("""COMPUTED_VALUE"""),"Brazil")</f>
        <v>Brazil</v>
      </c>
      <c r="B326" t="str">
        <f>IFERROR(__xludf.DUMMYFUNCTION("""COMPUTED_VALUE"""),"South America")</f>
        <v>South America</v>
      </c>
      <c r="C326">
        <f>IFERROR(__xludf.DUMMYFUNCTION("""COMPUTED_VALUE"""),25.0)</f>
        <v>25</v>
      </c>
      <c r="D326" t="str">
        <f>IFERROR(__xludf.DUMMYFUNCTION("""COMPUTED_VALUE"""),"SENTADÃO")</f>
        <v>SENTADÃO</v>
      </c>
      <c r="E326" t="str">
        <f>IFERROR(__xludf.DUMMYFUNCTION("""COMPUTED_VALUE"""),"Pedro Sampaio, Felipe Original, JS o Mão de Ouro")</f>
        <v>Pedro Sampaio, Felipe Original, JS o Mão de Ouro</v>
      </c>
      <c r="F326" t="str">
        <f>IFERROR(__xludf.DUMMYFUNCTION("""COMPUTED_VALUE"""),"SENTADÃO")</f>
        <v>SENTADÃO</v>
      </c>
      <c r="G326">
        <f>IFERROR(__xludf.DUMMYFUNCTION("""COMPUTED_VALUE"""),0.0)</f>
        <v>0</v>
      </c>
      <c r="H326" s="5">
        <f>IFERROR(__xludf.DUMMYFUNCTION("""COMPUTED_VALUE"""),0.09930555555547471)</f>
        <v>0.09930555556</v>
      </c>
    </row>
    <row r="327">
      <c r="A327" t="str">
        <f>IFERROR(__xludf.DUMMYFUNCTION("""COMPUTED_VALUE"""),"Brazil")</f>
        <v>Brazil</v>
      </c>
      <c r="B327" t="str">
        <f>IFERROR(__xludf.DUMMYFUNCTION("""COMPUTED_VALUE"""),"South America")</f>
        <v>South America</v>
      </c>
      <c r="C327">
        <f>IFERROR(__xludf.DUMMYFUNCTION("""COMPUTED_VALUE"""),26.0)</f>
        <v>26</v>
      </c>
      <c r="D327" t="str">
        <f>IFERROR(__xludf.DUMMYFUNCTION("""COMPUTED_VALUE"""),"Aí Eu Bebo - Ao Vivo")</f>
        <v>Aí Eu Bebo - Ao Vivo</v>
      </c>
      <c r="E327" t="str">
        <f>IFERROR(__xludf.DUMMYFUNCTION("""COMPUTED_VALUE"""),"Maiara &amp; Maraisa")</f>
        <v>Maiara &amp; Maraisa</v>
      </c>
      <c r="F327" t="str">
        <f>IFERROR(__xludf.DUMMYFUNCTION("""COMPUTED_VALUE"""),"Aqui Em Casa (ao Vivo)")</f>
        <v>Aqui Em Casa (ao Vivo)</v>
      </c>
      <c r="G327">
        <f>IFERROR(__xludf.DUMMYFUNCTION("""COMPUTED_VALUE"""),0.0)</f>
        <v>0</v>
      </c>
      <c r="H327" s="5">
        <f>IFERROR(__xludf.DUMMYFUNCTION("""COMPUTED_VALUE"""),0.12013888888759539)</f>
        <v>0.1201388889</v>
      </c>
    </row>
    <row r="328">
      <c r="A328" t="str">
        <f>IFERROR(__xludf.DUMMYFUNCTION("""COMPUTED_VALUE"""),"Brazil")</f>
        <v>Brazil</v>
      </c>
      <c r="B328" t="str">
        <f>IFERROR(__xludf.DUMMYFUNCTION("""COMPUTED_VALUE"""),"South America")</f>
        <v>South America</v>
      </c>
      <c r="C328">
        <f>IFERROR(__xludf.DUMMYFUNCTION("""COMPUTED_VALUE"""),27.0)</f>
        <v>27</v>
      </c>
      <c r="D328" t="str">
        <f>IFERROR(__xludf.DUMMYFUNCTION("""COMPUTED_VALUE"""),"Bebi Minha Bicicleta (Coração Falido) - Ao Vivo")</f>
        <v>Bebi Minha Bicicleta (Coração Falido) - Ao Vivo</v>
      </c>
      <c r="E328" t="str">
        <f>IFERROR(__xludf.DUMMYFUNCTION("""COMPUTED_VALUE"""),"Zé Neto &amp; Cristiano")</f>
        <v>Zé Neto &amp; Cristiano</v>
      </c>
      <c r="F328" t="str">
        <f>IFERROR(__xludf.DUMMYFUNCTION("""COMPUTED_VALUE"""),"Por Mais Beijos Ao Vivo, Ep1 - Ao Vivo")</f>
        <v>Por Mais Beijos Ao Vivo, Ep1 - Ao Vivo</v>
      </c>
      <c r="G328">
        <f>IFERROR(__xludf.DUMMYFUNCTION("""COMPUTED_VALUE"""),0.0)</f>
        <v>0</v>
      </c>
      <c r="H328" s="5">
        <f>IFERROR(__xludf.DUMMYFUNCTION("""COMPUTED_VALUE"""),0.1256944444430701)</f>
        <v>0.1256944444</v>
      </c>
    </row>
    <row r="329">
      <c r="A329" t="str">
        <f>IFERROR(__xludf.DUMMYFUNCTION("""COMPUTED_VALUE"""),"Brazil")</f>
        <v>Brazil</v>
      </c>
      <c r="B329" t="str">
        <f>IFERROR(__xludf.DUMMYFUNCTION("""COMPUTED_VALUE"""),"South America")</f>
        <v>South America</v>
      </c>
      <c r="C329">
        <f>IFERROR(__xludf.DUMMYFUNCTION("""COMPUTED_VALUE"""),28.0)</f>
        <v>28</v>
      </c>
      <c r="D329" t="str">
        <f>IFERROR(__xludf.DUMMYFUNCTION("""COMPUTED_VALUE"""),"death bed (coffee for your head) (feat. beabadoobee)")</f>
        <v>death bed (coffee for your head) (feat. beabadoobee)</v>
      </c>
      <c r="E329" t="str">
        <f>IFERROR(__xludf.DUMMYFUNCTION("""COMPUTED_VALUE"""),"Powfu, beabadoobee")</f>
        <v>Powfu, beabadoobee</v>
      </c>
      <c r="F329" t="str">
        <f>IFERROR(__xludf.DUMMYFUNCTION("""COMPUTED_VALUE"""),"death bed (coffee for your head) (feat. beabadoobee)")</f>
        <v>death bed (coffee for your head) (feat. beabadoobee)</v>
      </c>
      <c r="G329">
        <f>IFERROR(__xludf.DUMMYFUNCTION("""COMPUTED_VALUE"""),0.0)</f>
        <v>0</v>
      </c>
      <c r="H329" s="5">
        <f>IFERROR(__xludf.DUMMYFUNCTION("""COMPUTED_VALUE"""),0.12013888888759539)</f>
        <v>0.1201388889</v>
      </c>
    </row>
    <row r="330">
      <c r="A330" t="str">
        <f>IFERROR(__xludf.DUMMYFUNCTION("""COMPUTED_VALUE"""),"Brazil")</f>
        <v>Brazil</v>
      </c>
      <c r="B330" t="str">
        <f>IFERROR(__xludf.DUMMYFUNCTION("""COMPUTED_VALUE"""),"South America")</f>
        <v>South America</v>
      </c>
      <c r="C330">
        <f>IFERROR(__xludf.DUMMYFUNCTION("""COMPUTED_VALUE"""),29.0)</f>
        <v>29</v>
      </c>
      <c r="D330" t="str">
        <f>IFERROR(__xludf.DUMMYFUNCTION("""COMPUTED_VALUE"""),"3 Batidas - Ao Vivo")</f>
        <v>3 Batidas - Ao Vivo</v>
      </c>
      <c r="E330" t="str">
        <f>IFERROR(__xludf.DUMMYFUNCTION("""COMPUTED_VALUE"""),"Guilherme &amp; Benuto")</f>
        <v>Guilherme &amp; Benuto</v>
      </c>
      <c r="F330" t="str">
        <f>IFERROR(__xludf.DUMMYFUNCTION("""COMPUTED_VALUE"""),"3 Batidas (Ao Vivo)")</f>
        <v>3 Batidas (Ao Vivo)</v>
      </c>
      <c r="G330">
        <f>IFERROR(__xludf.DUMMYFUNCTION("""COMPUTED_VALUE"""),0.0)</f>
        <v>0</v>
      </c>
      <c r="H330" s="5">
        <f>IFERROR(__xludf.DUMMYFUNCTION("""COMPUTED_VALUE"""),0.10902777777664596)</f>
        <v>0.1090277778</v>
      </c>
    </row>
    <row r="331">
      <c r="A331" t="str">
        <f>IFERROR(__xludf.DUMMYFUNCTION("""COMPUTED_VALUE"""),"Brazil")</f>
        <v>Brazil</v>
      </c>
      <c r="B331" t="str">
        <f>IFERROR(__xludf.DUMMYFUNCTION("""COMPUTED_VALUE"""),"South America")</f>
        <v>South America</v>
      </c>
      <c r="C331">
        <f>IFERROR(__xludf.DUMMYFUNCTION("""COMPUTED_VALUE"""),30.0)</f>
        <v>30</v>
      </c>
      <c r="D331" t="str">
        <f>IFERROR(__xludf.DUMMYFUNCTION("""COMPUTED_VALUE"""),"Briga Feia - Ao Vivo")</f>
        <v>Briga Feia - Ao Vivo</v>
      </c>
      <c r="E331" t="str">
        <f>IFERROR(__xludf.DUMMYFUNCTION("""COMPUTED_VALUE"""),"Henrique &amp; Juliano")</f>
        <v>Henrique &amp; Juliano</v>
      </c>
      <c r="F331" t="str">
        <f>IFERROR(__xludf.DUMMYFUNCTION("""COMPUTED_VALUE"""),"Ao Vivo no Ibirapuera, Vol. 1")</f>
        <v>Ao Vivo no Ibirapuera, Vol. 1</v>
      </c>
      <c r="G331">
        <f>IFERROR(__xludf.DUMMYFUNCTION("""COMPUTED_VALUE"""),0.0)</f>
        <v>0</v>
      </c>
      <c r="H331" s="5">
        <f>IFERROR(__xludf.DUMMYFUNCTION("""COMPUTED_VALUE"""),0.13472222222117125)</f>
        <v>0.1347222222</v>
      </c>
    </row>
    <row r="332">
      <c r="A332" t="str">
        <f>IFERROR(__xludf.DUMMYFUNCTION("""COMPUTED_VALUE"""),"Brazil")</f>
        <v>Brazil</v>
      </c>
      <c r="B332" t="str">
        <f>IFERROR(__xludf.DUMMYFUNCTION("""COMPUTED_VALUE"""),"South America")</f>
        <v>South America</v>
      </c>
      <c r="C332">
        <f>IFERROR(__xludf.DUMMYFUNCTION("""COMPUTED_VALUE"""),31.0)</f>
        <v>31</v>
      </c>
      <c r="D332" t="str">
        <f>IFERROR(__xludf.DUMMYFUNCTION("""COMPUTED_VALUE"""),"Vira Homem")</f>
        <v>Vira Homem</v>
      </c>
      <c r="E332" t="str">
        <f>IFERROR(__xludf.DUMMYFUNCTION("""COMPUTED_VALUE"""),"Marília Mendonça")</f>
        <v>Marília Mendonça</v>
      </c>
      <c r="F332" t="str">
        <f>IFERROR(__xludf.DUMMYFUNCTION("""COMPUTED_VALUE"""),"Vira Homem")</f>
        <v>Vira Homem</v>
      </c>
      <c r="G332">
        <f>IFERROR(__xludf.DUMMYFUNCTION("""COMPUTED_VALUE"""),0.0)</f>
        <v>0</v>
      </c>
      <c r="H332" s="5">
        <f>IFERROR(__xludf.DUMMYFUNCTION("""COMPUTED_VALUE"""),0.13611111111094942)</f>
        <v>0.1361111111</v>
      </c>
    </row>
    <row r="333">
      <c r="A333" t="str">
        <f>IFERROR(__xludf.DUMMYFUNCTION("""COMPUTED_VALUE"""),"Brazil")</f>
        <v>Brazil</v>
      </c>
      <c r="B333" t="str">
        <f>IFERROR(__xludf.DUMMYFUNCTION("""COMPUTED_VALUE"""),"South America")</f>
        <v>South America</v>
      </c>
      <c r="C333">
        <f>IFERROR(__xludf.DUMMYFUNCTION("""COMPUTED_VALUE"""),32.0)</f>
        <v>32</v>
      </c>
      <c r="D333" t="str">
        <f>IFERROR(__xludf.DUMMYFUNCTION("""COMPUTED_VALUE"""),"Áudio - Ao Vivo em Brasília")</f>
        <v>Áudio - Ao Vivo em Brasília</v>
      </c>
      <c r="E333" t="str">
        <f>IFERROR(__xludf.DUMMYFUNCTION("""COMPUTED_VALUE"""),"Diego &amp; Victor Hugo")</f>
        <v>Diego &amp; Victor Hugo</v>
      </c>
      <c r="F333" t="str">
        <f>IFERROR(__xludf.DUMMYFUNCTION("""COMPUTED_VALUE"""),"Diego &amp; Victor Hugo Ao Vivo em Brasília - EP1")</f>
        <v>Diego &amp; Victor Hugo Ao Vivo em Brasília - EP1</v>
      </c>
      <c r="G333">
        <f>IFERROR(__xludf.DUMMYFUNCTION("""COMPUTED_VALUE"""),0.0)</f>
        <v>0</v>
      </c>
      <c r="H333" s="5">
        <f>IFERROR(__xludf.DUMMYFUNCTION("""COMPUTED_VALUE"""),0.13194444444525288)</f>
        <v>0.1319444444</v>
      </c>
    </row>
    <row r="334">
      <c r="A334" t="str">
        <f>IFERROR(__xludf.DUMMYFUNCTION("""COMPUTED_VALUE"""),"Brazil")</f>
        <v>Brazil</v>
      </c>
      <c r="B334" t="str">
        <f>IFERROR(__xludf.DUMMYFUNCTION("""COMPUTED_VALUE"""),"South America")</f>
        <v>South America</v>
      </c>
      <c r="C334">
        <f>IFERROR(__xludf.DUMMYFUNCTION("""COMPUTED_VALUE"""),33.0)</f>
        <v>33</v>
      </c>
      <c r="D334" t="str">
        <f>IFERROR(__xludf.DUMMYFUNCTION("""COMPUTED_VALUE"""),"Dance Monkey")</f>
        <v>Dance Monkey</v>
      </c>
      <c r="E334" t="str">
        <f>IFERROR(__xludf.DUMMYFUNCTION("""COMPUTED_VALUE"""),"Tones And I")</f>
        <v>Tones And I</v>
      </c>
      <c r="F334" t="str">
        <f>IFERROR(__xludf.DUMMYFUNCTION("""COMPUTED_VALUE"""),"Dance Monkey (Stripped Back) / Dance Monkey")</f>
        <v>Dance Monkey (Stripped Back) / Dance Monkey</v>
      </c>
      <c r="G334">
        <f>IFERROR(__xludf.DUMMYFUNCTION("""COMPUTED_VALUE"""),0.0)</f>
        <v>0</v>
      </c>
      <c r="H334" s="5">
        <f>IFERROR(__xludf.DUMMYFUNCTION("""COMPUTED_VALUE"""),0.14513888888905058)</f>
        <v>0.1451388889</v>
      </c>
    </row>
    <row r="335">
      <c r="A335" t="str">
        <f>IFERROR(__xludf.DUMMYFUNCTION("""COMPUTED_VALUE"""),"Brazil")</f>
        <v>Brazil</v>
      </c>
      <c r="B335" t="str">
        <f>IFERROR(__xludf.DUMMYFUNCTION("""COMPUTED_VALUE"""),"South America")</f>
        <v>South America</v>
      </c>
      <c r="C335">
        <f>IFERROR(__xludf.DUMMYFUNCTION("""COMPUTED_VALUE"""),34.0)</f>
        <v>34</v>
      </c>
      <c r="D335" t="str">
        <f>IFERROR(__xludf.DUMMYFUNCTION("""COMPUTED_VALUE"""),"Blinding Lights")</f>
        <v>Blinding Lights</v>
      </c>
      <c r="E335" t="str">
        <f>IFERROR(__xludf.DUMMYFUNCTION("""COMPUTED_VALUE"""),"The Weeknd")</f>
        <v>The Weeknd</v>
      </c>
      <c r="F335" t="str">
        <f>IFERROR(__xludf.DUMMYFUNCTION("""COMPUTED_VALUE"""),"After Hours")</f>
        <v>After Hours</v>
      </c>
      <c r="G335">
        <f>IFERROR(__xludf.DUMMYFUNCTION("""COMPUTED_VALUE"""),0.0)</f>
        <v>0</v>
      </c>
      <c r="H335" s="5">
        <f>IFERROR(__xludf.DUMMYFUNCTION("""COMPUTED_VALUE"""),0.13888888889050577)</f>
        <v>0.1388888889</v>
      </c>
    </row>
    <row r="336">
      <c r="A336" t="str">
        <f>IFERROR(__xludf.DUMMYFUNCTION("""COMPUTED_VALUE"""),"Brazil")</f>
        <v>Brazil</v>
      </c>
      <c r="B336" t="str">
        <f>IFERROR(__xludf.DUMMYFUNCTION("""COMPUTED_VALUE"""),"South America")</f>
        <v>South America</v>
      </c>
      <c r="C336">
        <f>IFERROR(__xludf.DUMMYFUNCTION("""COMPUTED_VALUE"""),35.0)</f>
        <v>35</v>
      </c>
      <c r="D336" t="str">
        <f>IFERROR(__xludf.DUMMYFUNCTION("""COMPUTED_VALUE"""),"Balança (feat. Pedro Sampaio e FP do Trem Bala)")</f>
        <v>Balança (feat. Pedro Sampaio e FP do Trem Bala)</v>
      </c>
      <c r="E336" t="str">
        <f>IFERROR(__xludf.DUMMYFUNCTION("""COMPUTED_VALUE"""),"WC no Beat, Pedro Sampaio, FP do Trem Bala")</f>
        <v>WC no Beat, Pedro Sampaio, FP do Trem Bala</v>
      </c>
      <c r="F336" t="str">
        <f>IFERROR(__xludf.DUMMYFUNCTION("""COMPUTED_VALUE"""),"Balança (feat. Pedro Sampaio e FP do Trem Bala)")</f>
        <v>Balança (feat. Pedro Sampaio e FP do Trem Bala)</v>
      </c>
      <c r="G336">
        <f>IFERROR(__xludf.DUMMYFUNCTION("""COMPUTED_VALUE"""),0.0)</f>
        <v>0</v>
      </c>
      <c r="H336" s="5">
        <f>IFERROR(__xludf.DUMMYFUNCTION("""COMPUTED_VALUE"""),0.08750000000145519)</f>
        <v>0.0875</v>
      </c>
    </row>
    <row r="337">
      <c r="A337" t="str">
        <f>IFERROR(__xludf.DUMMYFUNCTION("""COMPUTED_VALUE"""),"Brazil")</f>
        <v>Brazil</v>
      </c>
      <c r="B337" t="str">
        <f>IFERROR(__xludf.DUMMYFUNCTION("""COMPUTED_VALUE"""),"South America")</f>
        <v>South America</v>
      </c>
      <c r="C337">
        <f>IFERROR(__xludf.DUMMYFUNCTION("""COMPUTED_VALUE"""),36.0)</f>
        <v>36</v>
      </c>
      <c r="D337" t="str">
        <f>IFERROR(__xludf.DUMMYFUNCTION("""COMPUTED_VALUE"""),"menina solta")</f>
        <v>menina solta</v>
      </c>
      <c r="E337" t="str">
        <f>IFERROR(__xludf.DUMMYFUNCTION("""COMPUTED_VALUE"""),"Giulia Be")</f>
        <v>Giulia Be</v>
      </c>
      <c r="F337" t="str">
        <f>IFERROR(__xludf.DUMMYFUNCTION("""COMPUTED_VALUE"""),"menina solta")</f>
        <v>menina solta</v>
      </c>
      <c r="G337">
        <f>IFERROR(__xludf.DUMMYFUNCTION("""COMPUTED_VALUE"""),0.0)</f>
        <v>0</v>
      </c>
      <c r="H337" s="5">
        <f>IFERROR(__xludf.DUMMYFUNCTION("""COMPUTED_VALUE"""),0.10416666666787933)</f>
        <v>0.1041666667</v>
      </c>
    </row>
    <row r="338">
      <c r="A338" t="str">
        <f>IFERROR(__xludf.DUMMYFUNCTION("""COMPUTED_VALUE"""),"Brazil")</f>
        <v>Brazil</v>
      </c>
      <c r="B338" t="str">
        <f>IFERROR(__xludf.DUMMYFUNCTION("""COMPUTED_VALUE"""),"South America")</f>
        <v>South America</v>
      </c>
      <c r="C338">
        <f>IFERROR(__xludf.DUMMYFUNCTION("""COMPUTED_VALUE"""),37.0)</f>
        <v>37</v>
      </c>
      <c r="D338" t="str">
        <f>IFERROR(__xludf.DUMMYFUNCTION("""COMPUTED_VALUE"""),"Relógio Parado (Ao Vivo)")</f>
        <v>Relógio Parado (Ao Vivo)</v>
      </c>
      <c r="E338" t="str">
        <f>IFERROR(__xludf.DUMMYFUNCTION("""COMPUTED_VALUE"""),"Diego &amp; Arnaldo")</f>
        <v>Diego &amp; Arnaldo</v>
      </c>
      <c r="F338" t="str">
        <f>IFERROR(__xludf.DUMMYFUNCTION("""COMPUTED_VALUE"""),"Relógio Parado (Ao Vivo)")</f>
        <v>Relógio Parado (Ao Vivo)</v>
      </c>
      <c r="G338">
        <f>IFERROR(__xludf.DUMMYFUNCTION("""COMPUTED_VALUE"""),0.0)</f>
        <v>0</v>
      </c>
      <c r="H338" s="5">
        <f>IFERROR(__xludf.DUMMYFUNCTION("""COMPUTED_VALUE"""),0.125)</f>
        <v>0.125</v>
      </c>
    </row>
    <row r="339">
      <c r="A339" t="str">
        <f>IFERROR(__xludf.DUMMYFUNCTION("""COMPUTED_VALUE"""),"Brazil")</f>
        <v>Brazil</v>
      </c>
      <c r="B339" t="str">
        <f>IFERROR(__xludf.DUMMYFUNCTION("""COMPUTED_VALUE"""),"South America")</f>
        <v>South America</v>
      </c>
      <c r="C339">
        <f>IFERROR(__xludf.DUMMYFUNCTION("""COMPUTED_VALUE"""),38.0)</f>
        <v>38</v>
      </c>
      <c r="D339" t="str">
        <f>IFERROR(__xludf.DUMMYFUNCTION("""COMPUTED_VALUE"""),"Vem Me Satisfazer")</f>
        <v>Vem Me Satisfazer</v>
      </c>
      <c r="E339" t="str">
        <f>IFERROR(__xludf.DUMMYFUNCTION("""COMPUTED_VALUE"""),"MC Ingryd, DJ Henrique da VK")</f>
        <v>MC Ingryd, DJ Henrique da VK</v>
      </c>
      <c r="F339" t="str">
        <f>IFERROR(__xludf.DUMMYFUNCTION("""COMPUTED_VALUE"""),"Vem Me Satisfazer")</f>
        <v>Vem Me Satisfazer</v>
      </c>
      <c r="G339">
        <f>IFERROR(__xludf.DUMMYFUNCTION("""COMPUTED_VALUE"""),0.0)</f>
        <v>0</v>
      </c>
      <c r="H339" s="5">
        <f>IFERROR(__xludf.DUMMYFUNCTION("""COMPUTED_VALUE"""),0.1305555555554747)</f>
        <v>0.1305555556</v>
      </c>
    </row>
    <row r="340">
      <c r="A340" t="str">
        <f>IFERROR(__xludf.DUMMYFUNCTION("""COMPUTED_VALUE"""),"Brazil")</f>
        <v>Brazil</v>
      </c>
      <c r="B340" t="str">
        <f>IFERROR(__xludf.DUMMYFUNCTION("""COMPUTED_VALUE"""),"South America")</f>
        <v>South America</v>
      </c>
      <c r="C340">
        <f>IFERROR(__xludf.DUMMYFUNCTION("""COMPUTED_VALUE"""),39.0)</f>
        <v>39</v>
      </c>
      <c r="D340" t="str">
        <f>IFERROR(__xludf.DUMMYFUNCTION("""COMPUTED_VALUE"""),"Segunda Taça")</f>
        <v>Segunda Taça</v>
      </c>
      <c r="E340" t="str">
        <f>IFERROR(__xludf.DUMMYFUNCTION("""COMPUTED_VALUE"""),"João Bosco &amp; Vinicius, Matheus")</f>
        <v>João Bosco &amp; Vinicius, Matheus</v>
      </c>
      <c r="F340" t="str">
        <f>IFERROR(__xludf.DUMMYFUNCTION("""COMPUTED_VALUE"""),"Segunda Taça")</f>
        <v>Segunda Taça</v>
      </c>
      <c r="G340">
        <f>IFERROR(__xludf.DUMMYFUNCTION("""COMPUTED_VALUE"""),0.0)</f>
        <v>0</v>
      </c>
      <c r="H340" s="5">
        <f>IFERROR(__xludf.DUMMYFUNCTION("""COMPUTED_VALUE"""),0.125)</f>
        <v>0.125</v>
      </c>
    </row>
    <row r="341">
      <c r="A341" t="str">
        <f>IFERROR(__xludf.DUMMYFUNCTION("""COMPUTED_VALUE"""),"Brazil")</f>
        <v>Brazil</v>
      </c>
      <c r="B341" t="str">
        <f>IFERROR(__xludf.DUMMYFUNCTION("""COMPUTED_VALUE"""),"South America")</f>
        <v>South America</v>
      </c>
      <c r="C341">
        <f>IFERROR(__xludf.DUMMYFUNCTION("""COMPUTED_VALUE"""),40.0)</f>
        <v>40</v>
      </c>
      <c r="D341" t="str">
        <f>IFERROR(__xludf.DUMMYFUNCTION("""COMPUTED_VALUE"""),"Quem Traiu Levou - Ao Vivo")</f>
        <v>Quem Traiu Levou - Ao Vivo</v>
      </c>
      <c r="E341" t="str">
        <f>IFERROR(__xludf.DUMMYFUNCTION("""COMPUTED_VALUE"""),"Gusttavo Lima")</f>
        <v>Gusttavo Lima</v>
      </c>
      <c r="F341" t="str">
        <f>IFERROR(__xludf.DUMMYFUNCTION("""COMPUTED_VALUE"""),"O Embaixador in Cariri (Ao Vivo)")</f>
        <v>O Embaixador in Cariri (Ao Vivo)</v>
      </c>
      <c r="G341">
        <f>IFERROR(__xludf.DUMMYFUNCTION("""COMPUTED_VALUE"""),0.0)</f>
        <v>0</v>
      </c>
      <c r="H341" s="5">
        <f>IFERROR(__xludf.DUMMYFUNCTION("""COMPUTED_VALUE"""),0.10694444444379769)</f>
        <v>0.1069444444</v>
      </c>
    </row>
    <row r="342">
      <c r="A342" t="str">
        <f>IFERROR(__xludf.DUMMYFUNCTION("""COMPUTED_VALUE"""),"Brazil")</f>
        <v>Brazil</v>
      </c>
      <c r="B342" t="str">
        <f>IFERROR(__xludf.DUMMYFUNCTION("""COMPUTED_VALUE"""),"South America")</f>
        <v>South America</v>
      </c>
      <c r="C342">
        <f>IFERROR(__xludf.DUMMYFUNCTION("""COMPUTED_VALUE"""),41.0)</f>
        <v>41</v>
      </c>
      <c r="D342" t="str">
        <f>IFERROR(__xludf.DUMMYFUNCTION("""COMPUTED_VALUE"""),"boa memória - ao vivo")</f>
        <v>boa memória - ao vivo</v>
      </c>
      <c r="E342" t="str">
        <f>IFERROR(__xludf.DUMMYFUNCTION("""COMPUTED_VALUE"""),"Luan Santana")</f>
        <v>Luan Santana</v>
      </c>
      <c r="F342" t="str">
        <f>IFERROR(__xludf.DUMMYFUNCTION("""COMPUTED_VALUE"""),"VIVA (Ao Vivo)")</f>
        <v>VIVA (Ao Vivo)</v>
      </c>
      <c r="G342">
        <f>IFERROR(__xludf.DUMMYFUNCTION("""COMPUTED_VALUE"""),0.0)</f>
        <v>0</v>
      </c>
      <c r="H342" s="5">
        <f>IFERROR(__xludf.DUMMYFUNCTION("""COMPUTED_VALUE"""),0.14861111111167702)</f>
        <v>0.1486111111</v>
      </c>
    </row>
    <row r="343">
      <c r="A343" t="str">
        <f>IFERROR(__xludf.DUMMYFUNCTION("""COMPUTED_VALUE"""),"Brazil")</f>
        <v>Brazil</v>
      </c>
      <c r="B343" t="str">
        <f>IFERROR(__xludf.DUMMYFUNCTION("""COMPUTED_VALUE"""),"South America")</f>
        <v>South America</v>
      </c>
      <c r="C343">
        <f>IFERROR(__xludf.DUMMYFUNCTION("""COMPUTED_VALUE"""),42.0)</f>
        <v>42</v>
      </c>
      <c r="D343" t="str">
        <f>IFERROR(__xludf.DUMMYFUNCTION("""COMPUTED_VALUE"""),"Amor de Fim de Noite")</f>
        <v>Amor de Fim de Noite</v>
      </c>
      <c r="E343" t="str">
        <f>IFERROR(__xludf.DUMMYFUNCTION("""COMPUTED_VALUE"""),"Orochi, Papatinho")</f>
        <v>Orochi, Papatinho</v>
      </c>
      <c r="F343" t="str">
        <f>IFERROR(__xludf.DUMMYFUNCTION("""COMPUTED_VALUE"""),"Celebridade")</f>
        <v>Celebridade</v>
      </c>
      <c r="G343">
        <f>IFERROR(__xludf.DUMMYFUNCTION("""COMPUTED_VALUE"""),1.0)</f>
        <v>1</v>
      </c>
      <c r="H343" s="5">
        <f>IFERROR(__xludf.DUMMYFUNCTION("""COMPUTED_VALUE"""),0.15347222222044365)</f>
        <v>0.1534722222</v>
      </c>
    </row>
    <row r="344">
      <c r="A344" t="str">
        <f>IFERROR(__xludf.DUMMYFUNCTION("""COMPUTED_VALUE"""),"Brazil")</f>
        <v>Brazil</v>
      </c>
      <c r="B344" t="str">
        <f>IFERROR(__xludf.DUMMYFUNCTION("""COMPUTED_VALUE"""),"South America")</f>
        <v>South America</v>
      </c>
      <c r="C344">
        <f>IFERROR(__xludf.DUMMYFUNCTION("""COMPUTED_VALUE"""),43.0)</f>
        <v>43</v>
      </c>
      <c r="D344" t="str">
        <f>IFERROR(__xludf.DUMMYFUNCTION("""COMPUTED_VALUE"""),"Viva Voz - Ao Vivo")</f>
        <v>Viva Voz - Ao Vivo</v>
      </c>
      <c r="E344" t="str">
        <f>IFERROR(__xludf.DUMMYFUNCTION("""COMPUTED_VALUE"""),"Lauana Prado")</f>
        <v>Lauana Prado</v>
      </c>
      <c r="F344" t="str">
        <f>IFERROR(__xludf.DUMMYFUNCTION("""COMPUTED_VALUE"""),"Livre (Ao Vivo / Vol.1)")</f>
        <v>Livre (Ao Vivo / Vol.1)</v>
      </c>
      <c r="G344">
        <f>IFERROR(__xludf.DUMMYFUNCTION("""COMPUTED_VALUE"""),0.0)</f>
        <v>0</v>
      </c>
      <c r="H344" s="5">
        <f>IFERROR(__xludf.DUMMYFUNCTION("""COMPUTED_VALUE"""),0.11388888888905058)</f>
        <v>0.1138888889</v>
      </c>
    </row>
    <row r="345">
      <c r="A345" t="str">
        <f>IFERROR(__xludf.DUMMYFUNCTION("""COMPUTED_VALUE"""),"Brazil")</f>
        <v>Brazil</v>
      </c>
      <c r="B345" t="str">
        <f>IFERROR(__xludf.DUMMYFUNCTION("""COMPUTED_VALUE"""),"South America")</f>
        <v>South America</v>
      </c>
      <c r="C345">
        <f>IFERROR(__xludf.DUMMYFUNCTION("""COMPUTED_VALUE"""),44.0)</f>
        <v>44</v>
      </c>
      <c r="D345" t="str">
        <f>IFERROR(__xludf.DUMMYFUNCTION("""COMPUTED_VALUE"""),"Break My Heart")</f>
        <v>Break My Heart</v>
      </c>
      <c r="E345" t="str">
        <f>IFERROR(__xludf.DUMMYFUNCTION("""COMPUTED_VALUE"""),"Dua Lipa")</f>
        <v>Dua Lipa</v>
      </c>
      <c r="F345" t="str">
        <f>IFERROR(__xludf.DUMMYFUNCTION("""COMPUTED_VALUE"""),"Future Nostalgia")</f>
        <v>Future Nostalgia</v>
      </c>
      <c r="G345">
        <f>IFERROR(__xludf.DUMMYFUNCTION("""COMPUTED_VALUE"""),0.0)</f>
        <v>0</v>
      </c>
      <c r="H345" s="5">
        <f>IFERROR(__xludf.DUMMYFUNCTION("""COMPUTED_VALUE"""),0.15347222222044365)</f>
        <v>0.1534722222</v>
      </c>
    </row>
    <row r="346">
      <c r="A346" t="str">
        <f>IFERROR(__xludf.DUMMYFUNCTION("""COMPUTED_VALUE"""),"Brazil")</f>
        <v>Brazil</v>
      </c>
      <c r="B346" t="str">
        <f>IFERROR(__xludf.DUMMYFUNCTION("""COMPUTED_VALUE"""),"South America")</f>
        <v>South America</v>
      </c>
      <c r="C346">
        <f>IFERROR(__xludf.DUMMYFUNCTION("""COMPUTED_VALUE"""),45.0)</f>
        <v>45</v>
      </c>
      <c r="D346" t="str">
        <f>IFERROR(__xludf.DUMMYFUNCTION("""COMPUTED_VALUE"""),"Tijolão - Ao Vivo")</f>
        <v>Tijolão - Ao Vivo</v>
      </c>
      <c r="E346" t="str">
        <f>IFERROR(__xludf.DUMMYFUNCTION("""COMPUTED_VALUE"""),"Jorge &amp; Mateus")</f>
        <v>Jorge &amp; Mateus</v>
      </c>
      <c r="F346" t="str">
        <f>IFERROR(__xludf.DUMMYFUNCTION("""COMPUTED_VALUE"""),"Tijolão (ao Vivo)")</f>
        <v>Tijolão (ao Vivo)</v>
      </c>
      <c r="G346">
        <f>IFERROR(__xludf.DUMMYFUNCTION("""COMPUTED_VALUE"""),0.0)</f>
        <v>0</v>
      </c>
      <c r="H346" s="5">
        <f>IFERROR(__xludf.DUMMYFUNCTION("""COMPUTED_VALUE"""),0.12152777777737356)</f>
        <v>0.1215277778</v>
      </c>
    </row>
    <row r="347">
      <c r="A347" t="str">
        <f>IFERROR(__xludf.DUMMYFUNCTION("""COMPUTED_VALUE"""),"Brazil")</f>
        <v>Brazil</v>
      </c>
      <c r="B347" t="str">
        <f>IFERROR(__xludf.DUMMYFUNCTION("""COMPUTED_VALUE"""),"South America")</f>
        <v>South America</v>
      </c>
      <c r="C347">
        <f>IFERROR(__xludf.DUMMYFUNCTION("""COMPUTED_VALUE"""),46.0)</f>
        <v>46</v>
      </c>
      <c r="D347" t="str">
        <f>IFERROR(__xludf.DUMMYFUNCTION("""COMPUTED_VALUE"""),"Toosie Slide")</f>
        <v>Toosie Slide</v>
      </c>
      <c r="E347" t="str">
        <f>IFERROR(__xludf.DUMMYFUNCTION("""COMPUTED_VALUE"""),"Drake")</f>
        <v>Drake</v>
      </c>
      <c r="F347" t="str">
        <f>IFERROR(__xludf.DUMMYFUNCTION("""COMPUTED_VALUE"""),"Dark Lane Demo Tapes")</f>
        <v>Dark Lane Demo Tapes</v>
      </c>
      <c r="G347">
        <f>IFERROR(__xludf.DUMMYFUNCTION("""COMPUTED_VALUE"""),1.0)</f>
        <v>1</v>
      </c>
      <c r="H347" s="5">
        <f>IFERROR(__xludf.DUMMYFUNCTION("""COMPUTED_VALUE"""),0.17152777777664596)</f>
        <v>0.1715277778</v>
      </c>
    </row>
    <row r="348">
      <c r="A348" t="str">
        <f>IFERROR(__xludf.DUMMYFUNCTION("""COMPUTED_VALUE"""),"Brazil")</f>
        <v>Brazil</v>
      </c>
      <c r="B348" t="str">
        <f>IFERROR(__xludf.DUMMYFUNCTION("""COMPUTED_VALUE"""),"South America")</f>
        <v>South America</v>
      </c>
      <c r="C348">
        <f>IFERROR(__xludf.DUMMYFUNCTION("""COMPUTED_VALUE"""),47.0)</f>
        <v>47</v>
      </c>
      <c r="D348" t="str">
        <f>IFERROR(__xludf.DUMMYFUNCTION("""COMPUTED_VALUE"""),"Não Vai Embora")</f>
        <v>Não Vai Embora</v>
      </c>
      <c r="E348" t="str">
        <f>IFERROR(__xludf.DUMMYFUNCTION("""COMPUTED_VALUE"""),"Dilsinho, Luísa Sonza, Malibu")</f>
        <v>Dilsinho, Luísa Sonza, Malibu</v>
      </c>
      <c r="F348" t="str">
        <f>IFERROR(__xludf.DUMMYFUNCTION("""COMPUTED_VALUE"""),"Não Vai Embora")</f>
        <v>Não Vai Embora</v>
      </c>
      <c r="G348">
        <f>IFERROR(__xludf.DUMMYFUNCTION("""COMPUTED_VALUE"""),0.0)</f>
        <v>0</v>
      </c>
      <c r="H348" s="5">
        <f>IFERROR(__xludf.DUMMYFUNCTION("""COMPUTED_VALUE"""),0.14236111110949423)</f>
        <v>0.1423611111</v>
      </c>
    </row>
    <row r="349">
      <c r="A349" t="str">
        <f>IFERROR(__xludf.DUMMYFUNCTION("""COMPUTED_VALUE"""),"Brazil")</f>
        <v>Brazil</v>
      </c>
      <c r="B349" t="str">
        <f>IFERROR(__xludf.DUMMYFUNCTION("""COMPUTED_VALUE"""),"South America")</f>
        <v>South America</v>
      </c>
      <c r="C349">
        <f>IFERROR(__xludf.DUMMYFUNCTION("""COMPUTED_VALUE"""),48.0)</f>
        <v>48</v>
      </c>
      <c r="D349" t="str">
        <f>IFERROR(__xludf.DUMMYFUNCTION("""COMPUTED_VALUE"""),"Tudo Ok")</f>
        <v>Tudo Ok</v>
      </c>
      <c r="E349" t="str">
        <f>IFERROR(__xludf.DUMMYFUNCTION("""COMPUTED_VALUE"""),"Thiaguinho MT, Mila, JS o Mão de Ouro")</f>
        <v>Thiaguinho MT, Mila, JS o Mão de Ouro</v>
      </c>
      <c r="F349" t="str">
        <f>IFERROR(__xludf.DUMMYFUNCTION("""COMPUTED_VALUE"""),"Tudo Ok")</f>
        <v>Tudo Ok</v>
      </c>
      <c r="G349">
        <f>IFERROR(__xludf.DUMMYFUNCTION("""COMPUTED_VALUE"""),0.0)</f>
        <v>0</v>
      </c>
      <c r="H349" s="5">
        <f>IFERROR(__xludf.DUMMYFUNCTION("""COMPUTED_VALUE"""),0.12361111111022183)</f>
        <v>0.1236111111</v>
      </c>
    </row>
    <row r="350">
      <c r="A350" t="str">
        <f>IFERROR(__xludf.DUMMYFUNCTION("""COMPUTED_VALUE"""),"Brazil")</f>
        <v>Brazil</v>
      </c>
      <c r="B350" t="str">
        <f>IFERROR(__xludf.DUMMYFUNCTION("""COMPUTED_VALUE"""),"South America")</f>
        <v>South America</v>
      </c>
      <c r="C350">
        <f>IFERROR(__xludf.DUMMYFUNCTION("""COMPUTED_VALUE"""),49.0)</f>
        <v>49</v>
      </c>
      <c r="D350" t="str">
        <f>IFERROR(__xludf.DUMMYFUNCTION("""COMPUTED_VALUE"""),"Pipa Voada (feat. Emicida)")</f>
        <v>Pipa Voada (feat. Emicida)</v>
      </c>
      <c r="E350" t="str">
        <f>IFERROR(__xludf.DUMMYFUNCTION("""COMPUTED_VALUE"""),"Rashid, Lukinhas, Emicida")</f>
        <v>Rashid, Lukinhas, Emicida</v>
      </c>
      <c r="F350" t="str">
        <f>IFERROR(__xludf.DUMMYFUNCTION("""COMPUTED_VALUE"""),"Tão Real")</f>
        <v>Tão Real</v>
      </c>
      <c r="G350">
        <f>IFERROR(__xludf.DUMMYFUNCTION("""COMPUTED_VALUE"""),0.0)</f>
        <v>0</v>
      </c>
      <c r="H350" s="5">
        <f>IFERROR(__xludf.DUMMYFUNCTION("""COMPUTED_VALUE"""),0.12847222222262644)</f>
        <v>0.1284722222</v>
      </c>
    </row>
    <row r="351">
      <c r="A351" t="str">
        <f>IFERROR(__xludf.DUMMYFUNCTION("""COMPUTED_VALUE"""),"Brazil")</f>
        <v>Brazil</v>
      </c>
      <c r="B351" t="str">
        <f>IFERROR(__xludf.DUMMYFUNCTION("""COMPUTED_VALUE"""),"South America")</f>
        <v>South America</v>
      </c>
      <c r="C351">
        <f>IFERROR(__xludf.DUMMYFUNCTION("""COMPUTED_VALUE"""),50.0)</f>
        <v>50</v>
      </c>
      <c r="D351" t="str">
        <f>IFERROR(__xludf.DUMMYFUNCTION("""COMPUTED_VALUE"""),"Então Toma - Ao Vivo")</f>
        <v>Então Toma - Ao Vivo</v>
      </c>
      <c r="E351" t="str">
        <f>IFERROR(__xludf.DUMMYFUNCTION("""COMPUTED_VALUE"""),"Matheus &amp; Kauan")</f>
        <v>Matheus &amp; Kauan</v>
      </c>
      <c r="F351" t="str">
        <f>IFERROR(__xludf.DUMMYFUNCTION("""COMPUTED_VALUE"""),"Então Toma (Ao Vivo)")</f>
        <v>Então Toma (Ao Vivo)</v>
      </c>
      <c r="G351">
        <f>IFERROR(__xludf.DUMMYFUNCTION("""COMPUTED_VALUE"""),0.0)</f>
        <v>0</v>
      </c>
      <c r="H351" s="5">
        <f>IFERROR(__xludf.DUMMYFUNCTION("""COMPUTED_VALUE"""),0.11180555555620231)</f>
        <v>0.1118055556</v>
      </c>
    </row>
    <row r="352">
      <c r="A352" t="str">
        <f>IFERROR(__xludf.DUMMYFUNCTION("""COMPUTED_VALUE"""),"Bulgaria")</f>
        <v>Bulgaria</v>
      </c>
      <c r="B352" t="str">
        <f>IFERROR(__xludf.DUMMYFUNCTION("""COMPUTED_VALUE"""),"Europe")</f>
        <v>Europe</v>
      </c>
      <c r="C352">
        <f>IFERROR(__xludf.DUMMYFUNCTION("""COMPUTED_VALUE"""),1.0)</f>
        <v>1</v>
      </c>
      <c r="D352" t="str">
        <f>IFERROR(__xludf.DUMMYFUNCTION("""COMPUTED_VALUE"""),"GOOBA")</f>
        <v>GOOBA</v>
      </c>
      <c r="E352" t="str">
        <f>IFERROR(__xludf.DUMMYFUNCTION("""COMPUTED_VALUE"""),"6ix9ine")</f>
        <v>6ix9ine</v>
      </c>
      <c r="F352" t="str">
        <f>IFERROR(__xludf.DUMMYFUNCTION("""COMPUTED_VALUE"""),"GOOBA")</f>
        <v>GOOBA</v>
      </c>
      <c r="G352">
        <f>IFERROR(__xludf.DUMMYFUNCTION("""COMPUTED_VALUE"""),1.0)</f>
        <v>1</v>
      </c>
      <c r="H352" s="5">
        <f>IFERROR(__xludf.DUMMYFUNCTION("""COMPUTED_VALUE"""),0.09166666666715173)</f>
        <v>0.09166666667</v>
      </c>
    </row>
    <row r="353">
      <c r="A353" t="str">
        <f>IFERROR(__xludf.DUMMYFUNCTION("""COMPUTED_VALUE"""),"Bulgaria")</f>
        <v>Bulgaria</v>
      </c>
      <c r="B353" t="str">
        <f>IFERROR(__xludf.DUMMYFUNCTION("""COMPUTED_VALUE"""),"Europe")</f>
        <v>Europe</v>
      </c>
      <c r="C353">
        <f>IFERROR(__xludf.DUMMYFUNCTION("""COMPUTED_VALUE"""),2.0)</f>
        <v>2</v>
      </c>
      <c r="D353" t="str">
        <f>IFERROR(__xludf.DUMMYFUNCTION("""COMPUTED_VALUE"""),"Rain On Me (with Ariana Grande)")</f>
        <v>Rain On Me (with Ariana Grande)</v>
      </c>
      <c r="E353" t="str">
        <f>IFERROR(__xludf.DUMMYFUNCTION("""COMPUTED_VALUE"""),"Lady Gaga, Ariana Grande")</f>
        <v>Lady Gaga, Ariana Grande</v>
      </c>
      <c r="F353" t="str">
        <f>IFERROR(__xludf.DUMMYFUNCTION("""COMPUTED_VALUE"""),"Rain On Me (with Ariana Grande)")</f>
        <v>Rain On Me (with Ariana Grande)</v>
      </c>
      <c r="G353">
        <f>IFERROR(__xludf.DUMMYFUNCTION("""COMPUTED_VALUE"""),0.0)</f>
        <v>0</v>
      </c>
      <c r="H353" s="5">
        <f>IFERROR(__xludf.DUMMYFUNCTION("""COMPUTED_VALUE"""),0.12638888888977817)</f>
        <v>0.1263888889</v>
      </c>
    </row>
    <row r="354">
      <c r="A354" t="str">
        <f>IFERROR(__xludf.DUMMYFUNCTION("""COMPUTED_VALUE"""),"Bulgaria")</f>
        <v>Bulgaria</v>
      </c>
      <c r="B354" t="str">
        <f>IFERROR(__xludf.DUMMYFUNCTION("""COMPUTED_VALUE"""),"Europe")</f>
        <v>Europe</v>
      </c>
      <c r="C354">
        <f>IFERROR(__xludf.DUMMYFUNCTION("""COMPUTED_VALUE"""),3.0)</f>
        <v>3</v>
      </c>
      <c r="D354" t="str">
        <f>IFERROR(__xludf.DUMMYFUNCTION("""COMPUTED_VALUE"""),"THE SCOTTS")</f>
        <v>THE SCOTTS</v>
      </c>
      <c r="E354" t="str">
        <f>IFERROR(__xludf.DUMMYFUNCTION("""COMPUTED_VALUE"""),"THE SCOTTS, Travis Scott, Kid Cudi")</f>
        <v>THE SCOTTS, Travis Scott, Kid Cudi</v>
      </c>
      <c r="F354" t="str">
        <f>IFERROR(__xludf.DUMMYFUNCTION("""COMPUTED_VALUE"""),"THE SCOTTS")</f>
        <v>THE SCOTTS</v>
      </c>
      <c r="G354">
        <f>IFERROR(__xludf.DUMMYFUNCTION("""COMPUTED_VALUE"""),1.0)</f>
        <v>1</v>
      </c>
      <c r="H354" s="5">
        <f>IFERROR(__xludf.DUMMYFUNCTION("""COMPUTED_VALUE"""),0.11458333333212067)</f>
        <v>0.1145833333</v>
      </c>
    </row>
    <row r="355">
      <c r="A355" t="str">
        <f>IFERROR(__xludf.DUMMYFUNCTION("""COMPUTED_VALUE"""),"Bulgaria")</f>
        <v>Bulgaria</v>
      </c>
      <c r="B355" t="str">
        <f>IFERROR(__xludf.DUMMYFUNCTION("""COMPUTED_VALUE"""),"Europe")</f>
        <v>Europe</v>
      </c>
      <c r="C355">
        <f>IFERROR(__xludf.DUMMYFUNCTION("""COMPUTED_VALUE"""),4.0)</f>
        <v>4</v>
      </c>
      <c r="D355" t="str">
        <f>IFERROR(__xludf.DUMMYFUNCTION("""COMPUTED_VALUE"""),"100 zhivota")</f>
        <v>100 zhivota</v>
      </c>
      <c r="E355" t="str">
        <f>IFERROR(__xludf.DUMMYFUNCTION("""COMPUTED_VALUE"""),"Galena")</f>
        <v>Galena</v>
      </c>
      <c r="F355" t="str">
        <f>IFERROR(__xludf.DUMMYFUNCTION("""COMPUTED_VALUE"""),"100 zhivota")</f>
        <v>100 zhivota</v>
      </c>
      <c r="G355">
        <f>IFERROR(__xludf.DUMMYFUNCTION("""COMPUTED_VALUE"""),0.0)</f>
        <v>0</v>
      </c>
      <c r="H355" s="5">
        <f>IFERROR(__xludf.DUMMYFUNCTION("""COMPUTED_VALUE"""),0.17569444444598048)</f>
        <v>0.1756944444</v>
      </c>
    </row>
    <row r="356">
      <c r="A356" t="str">
        <f>IFERROR(__xludf.DUMMYFUNCTION("""COMPUTED_VALUE"""),"Bulgaria")</f>
        <v>Bulgaria</v>
      </c>
      <c r="B356" t="str">
        <f>IFERROR(__xludf.DUMMYFUNCTION("""COMPUTED_VALUE"""),"Europe")</f>
        <v>Europe</v>
      </c>
      <c r="C356">
        <f>IFERROR(__xludf.DUMMYFUNCTION("""COMPUTED_VALUE"""),5.0)</f>
        <v>5</v>
      </c>
      <c r="D356" t="str">
        <f>IFERROR(__xludf.DUMMYFUNCTION("""COMPUTED_VALUE"""),"Roses - Imanbek Remix")</f>
        <v>Roses - Imanbek Remix</v>
      </c>
      <c r="E356" t="str">
        <f>IFERROR(__xludf.DUMMYFUNCTION("""COMPUTED_VALUE"""),"SAINt JHN, Imanbek")</f>
        <v>SAINt JHN, Imanbek</v>
      </c>
      <c r="F356" t="str">
        <f>IFERROR(__xludf.DUMMYFUNCTION("""COMPUTED_VALUE"""),"Roses (Imanbek Remix)")</f>
        <v>Roses (Imanbek Remix)</v>
      </c>
      <c r="G356">
        <f>IFERROR(__xludf.DUMMYFUNCTION("""COMPUTED_VALUE"""),1.0)</f>
        <v>1</v>
      </c>
      <c r="H356" s="5">
        <f>IFERROR(__xludf.DUMMYFUNCTION("""COMPUTED_VALUE"""),0.12222222222044365)</f>
        <v>0.1222222222</v>
      </c>
    </row>
    <row r="357">
      <c r="A357" t="str">
        <f>IFERROR(__xludf.DUMMYFUNCTION("""COMPUTED_VALUE"""),"Bulgaria")</f>
        <v>Bulgaria</v>
      </c>
      <c r="B357" t="str">
        <f>IFERROR(__xludf.DUMMYFUNCTION("""COMPUTED_VALUE"""),"Europe")</f>
        <v>Europe</v>
      </c>
      <c r="C357">
        <f>IFERROR(__xludf.DUMMYFUNCTION("""COMPUTED_VALUE"""),6.0)</f>
        <v>6</v>
      </c>
      <c r="D357" t="str">
        <f>IFERROR(__xludf.DUMMYFUNCTION("""COMPUTED_VALUE"""),"Blinding Lights")</f>
        <v>Blinding Lights</v>
      </c>
      <c r="E357" t="str">
        <f>IFERROR(__xludf.DUMMYFUNCTION("""COMPUTED_VALUE"""),"The Weeknd")</f>
        <v>The Weeknd</v>
      </c>
      <c r="F357" t="str">
        <f>IFERROR(__xludf.DUMMYFUNCTION("""COMPUTED_VALUE"""),"After Hours")</f>
        <v>After Hours</v>
      </c>
      <c r="G357">
        <f>IFERROR(__xludf.DUMMYFUNCTION("""COMPUTED_VALUE"""),0.0)</f>
        <v>0</v>
      </c>
      <c r="H357" s="5">
        <f>IFERROR(__xludf.DUMMYFUNCTION("""COMPUTED_VALUE"""),0.13888888889050577)</f>
        <v>0.1388888889</v>
      </c>
    </row>
    <row r="358">
      <c r="A358" t="str">
        <f>IFERROR(__xludf.DUMMYFUNCTION("""COMPUTED_VALUE"""),"Bulgaria")</f>
        <v>Bulgaria</v>
      </c>
      <c r="B358" t="str">
        <f>IFERROR(__xludf.DUMMYFUNCTION("""COMPUTED_VALUE"""),"Europe")</f>
        <v>Europe</v>
      </c>
      <c r="C358">
        <f>IFERROR(__xludf.DUMMYFUNCTION("""COMPUTED_VALUE"""),7.0)</f>
        <v>7</v>
      </c>
      <c r="D358" t="str">
        <f>IFERROR(__xludf.DUMMYFUNCTION("""COMPUTED_VALUE"""),"Вивалди")</f>
        <v>Вивалди</v>
      </c>
      <c r="E358" t="str">
        <f>IFERROR(__xludf.DUMMYFUNCTION("""COMPUTED_VALUE"""),"Boro Purvi, Tita")</f>
        <v>Boro Purvi, Tita</v>
      </c>
      <c r="F358" t="str">
        <f>IFERROR(__xludf.DUMMYFUNCTION("""COMPUTED_VALUE"""),"Вивалди")</f>
        <v>Вивалди</v>
      </c>
      <c r="G358">
        <f>IFERROR(__xludf.DUMMYFUNCTION("""COMPUTED_VALUE"""),1.0)</f>
        <v>1</v>
      </c>
      <c r="H358" s="5">
        <f>IFERROR(__xludf.DUMMYFUNCTION("""COMPUTED_VALUE"""),0.10138888888832298)</f>
        <v>0.1013888889</v>
      </c>
    </row>
    <row r="359">
      <c r="A359" t="str">
        <f>IFERROR(__xludf.DUMMYFUNCTION("""COMPUTED_VALUE"""),"Bulgaria")</f>
        <v>Bulgaria</v>
      </c>
      <c r="B359" t="str">
        <f>IFERROR(__xludf.DUMMYFUNCTION("""COMPUTED_VALUE"""),"Europe")</f>
        <v>Europe</v>
      </c>
      <c r="C359">
        <f>IFERROR(__xludf.DUMMYFUNCTION("""COMPUTED_VALUE"""),8.0)</f>
        <v>8</v>
      </c>
      <c r="D359" t="str">
        <f>IFERROR(__xludf.DUMMYFUNCTION("""COMPUTED_VALUE"""),"Toosie Slide")</f>
        <v>Toosie Slide</v>
      </c>
      <c r="E359" t="str">
        <f>IFERROR(__xludf.DUMMYFUNCTION("""COMPUTED_VALUE"""),"Drake")</f>
        <v>Drake</v>
      </c>
      <c r="F359" t="str">
        <f>IFERROR(__xludf.DUMMYFUNCTION("""COMPUTED_VALUE"""),"Dark Lane Demo Tapes")</f>
        <v>Dark Lane Demo Tapes</v>
      </c>
      <c r="G359">
        <f>IFERROR(__xludf.DUMMYFUNCTION("""COMPUTED_VALUE"""),1.0)</f>
        <v>1</v>
      </c>
      <c r="H359" s="5">
        <f>IFERROR(__xludf.DUMMYFUNCTION("""COMPUTED_VALUE"""),0.17152777777664596)</f>
        <v>0.1715277778</v>
      </c>
    </row>
    <row r="360">
      <c r="A360" t="str">
        <f>IFERROR(__xludf.DUMMYFUNCTION("""COMPUTED_VALUE"""),"Bulgaria")</f>
        <v>Bulgaria</v>
      </c>
      <c r="B360" t="str">
        <f>IFERROR(__xludf.DUMMYFUNCTION("""COMPUTED_VALUE"""),"Europe")</f>
        <v>Europe</v>
      </c>
      <c r="C360">
        <f>IFERROR(__xludf.DUMMYFUNCTION("""COMPUTED_VALUE"""),9.0)</f>
        <v>9</v>
      </c>
      <c r="D360" t="str">
        <f>IFERROR(__xludf.DUMMYFUNCTION("""COMPUTED_VALUE"""),"ROCKSTAR (feat. Roddy Ricch)")</f>
        <v>ROCKSTAR (feat. Roddy Ricch)</v>
      </c>
      <c r="E360" t="str">
        <f>IFERROR(__xludf.DUMMYFUNCTION("""COMPUTED_VALUE"""),"DaBaby, Roddy Ricch")</f>
        <v>DaBaby, Roddy Ricch</v>
      </c>
      <c r="F360" t="str">
        <f>IFERROR(__xludf.DUMMYFUNCTION("""COMPUTED_VALUE"""),"BLAME IT ON BABY")</f>
        <v>BLAME IT ON BABY</v>
      </c>
      <c r="G360">
        <f>IFERROR(__xludf.DUMMYFUNCTION("""COMPUTED_VALUE"""),1.0)</f>
        <v>1</v>
      </c>
      <c r="H360" s="5">
        <f>IFERROR(__xludf.DUMMYFUNCTION("""COMPUTED_VALUE"""),0.1256944444430701)</f>
        <v>0.1256944444</v>
      </c>
    </row>
    <row r="361">
      <c r="A361" t="str">
        <f>IFERROR(__xludf.DUMMYFUNCTION("""COMPUTED_VALUE"""),"Bulgaria")</f>
        <v>Bulgaria</v>
      </c>
      <c r="B361" t="str">
        <f>IFERROR(__xludf.DUMMYFUNCTION("""COMPUTED_VALUE"""),"Europe")</f>
        <v>Europe</v>
      </c>
      <c r="C361">
        <f>IFERROR(__xludf.DUMMYFUNCTION("""COMPUTED_VALUE"""),10.0)</f>
        <v>10</v>
      </c>
      <c r="D361" t="str">
        <f>IFERROR(__xludf.DUMMYFUNCTION("""COMPUTED_VALUE"""),"The Box")</f>
        <v>The Box</v>
      </c>
      <c r="E361" t="str">
        <f>IFERROR(__xludf.DUMMYFUNCTION("""COMPUTED_VALUE"""),"Roddy Ricch")</f>
        <v>Roddy Ricch</v>
      </c>
      <c r="F361" t="str">
        <f>IFERROR(__xludf.DUMMYFUNCTION("""COMPUTED_VALUE"""),"Please Excuse Me For Being Antisocial")</f>
        <v>Please Excuse Me For Being Antisocial</v>
      </c>
      <c r="G361">
        <f>IFERROR(__xludf.DUMMYFUNCTION("""COMPUTED_VALUE"""),1.0)</f>
        <v>1</v>
      </c>
      <c r="H361" s="5">
        <f>IFERROR(__xludf.DUMMYFUNCTION("""COMPUTED_VALUE"""),0.13611111111094942)</f>
        <v>0.1361111111</v>
      </c>
    </row>
    <row r="362">
      <c r="A362" t="str">
        <f>IFERROR(__xludf.DUMMYFUNCTION("""COMPUTED_VALUE"""),"Bulgaria")</f>
        <v>Bulgaria</v>
      </c>
      <c r="B362" t="str">
        <f>IFERROR(__xludf.DUMMYFUNCTION("""COMPUTED_VALUE"""),"Europe")</f>
        <v>Europe</v>
      </c>
      <c r="C362">
        <f>IFERROR(__xludf.DUMMYFUNCTION("""COMPUTED_VALUE"""),11.0)</f>
        <v>11</v>
      </c>
      <c r="D362" t="str">
        <f>IFERROR(__xludf.DUMMYFUNCTION("""COMPUTED_VALUE"""),"Daechwita")</f>
        <v>Daechwita</v>
      </c>
      <c r="E362" t="str">
        <f>IFERROR(__xludf.DUMMYFUNCTION("""COMPUTED_VALUE"""),"Agust D")</f>
        <v>Agust D</v>
      </c>
      <c r="F362" t="str">
        <f>IFERROR(__xludf.DUMMYFUNCTION("""COMPUTED_VALUE"""),"D-2")</f>
        <v>D-2</v>
      </c>
      <c r="G362">
        <f>IFERROR(__xludf.DUMMYFUNCTION("""COMPUTED_VALUE"""),1.0)</f>
        <v>1</v>
      </c>
      <c r="H362" s="5">
        <f>IFERROR(__xludf.DUMMYFUNCTION("""COMPUTED_VALUE"""),0.15625)</f>
        <v>0.15625</v>
      </c>
    </row>
    <row r="363">
      <c r="A363" t="str">
        <f>IFERROR(__xludf.DUMMYFUNCTION("""COMPUTED_VALUE"""),"Bulgaria")</f>
        <v>Bulgaria</v>
      </c>
      <c r="B363" t="str">
        <f>IFERROR(__xludf.DUMMYFUNCTION("""COMPUTED_VALUE"""),"Europe")</f>
        <v>Europe</v>
      </c>
      <c r="C363">
        <f>IFERROR(__xludf.DUMMYFUNCTION("""COMPUTED_VALUE"""),12.0)</f>
        <v>12</v>
      </c>
      <c r="D363" t="str">
        <f>IFERROR(__xludf.DUMMYFUNCTION("""COMPUTED_VALUE"""),"HIGHEST IN THE ROOM")</f>
        <v>HIGHEST IN THE ROOM</v>
      </c>
      <c r="E363" t="str">
        <f>IFERROR(__xludf.DUMMYFUNCTION("""COMPUTED_VALUE"""),"Travis Scott")</f>
        <v>Travis Scott</v>
      </c>
      <c r="F363" t="str">
        <f>IFERROR(__xludf.DUMMYFUNCTION("""COMPUTED_VALUE"""),"HIGHEST IN THE ROOM")</f>
        <v>HIGHEST IN THE ROOM</v>
      </c>
      <c r="G363">
        <f>IFERROR(__xludf.DUMMYFUNCTION("""COMPUTED_VALUE"""),1.0)</f>
        <v>1</v>
      </c>
      <c r="H363" s="5">
        <f>IFERROR(__xludf.DUMMYFUNCTION("""COMPUTED_VALUE"""),0.12152777777737356)</f>
        <v>0.1215277778</v>
      </c>
    </row>
    <row r="364">
      <c r="A364" t="str">
        <f>IFERROR(__xludf.DUMMYFUNCTION("""COMPUTED_VALUE"""),"Bulgaria")</f>
        <v>Bulgaria</v>
      </c>
      <c r="B364" t="str">
        <f>IFERROR(__xludf.DUMMYFUNCTION("""COMPUTED_VALUE"""),"Europe")</f>
        <v>Europe</v>
      </c>
      <c r="C364">
        <f>IFERROR(__xludf.DUMMYFUNCTION("""COMPUTED_VALUE"""),13.0)</f>
        <v>13</v>
      </c>
      <c r="D364" t="str">
        <f>IFERROR(__xludf.DUMMYFUNCTION("""COMPUTED_VALUE"""),"SICKO MODE")</f>
        <v>SICKO MODE</v>
      </c>
      <c r="E364" t="str">
        <f>IFERROR(__xludf.DUMMYFUNCTION("""COMPUTED_VALUE"""),"Travis Scott")</f>
        <v>Travis Scott</v>
      </c>
      <c r="F364" t="str">
        <f>IFERROR(__xludf.DUMMYFUNCTION("""COMPUTED_VALUE"""),"ASTROWORLD")</f>
        <v>ASTROWORLD</v>
      </c>
      <c r="G364">
        <f>IFERROR(__xludf.DUMMYFUNCTION("""COMPUTED_VALUE"""),1.0)</f>
        <v>1</v>
      </c>
      <c r="H364" s="5">
        <f>IFERROR(__xludf.DUMMYFUNCTION("""COMPUTED_VALUE"""),0.21666666666715173)</f>
        <v>0.2166666667</v>
      </c>
    </row>
    <row r="365">
      <c r="A365" t="str">
        <f>IFERROR(__xludf.DUMMYFUNCTION("""COMPUTED_VALUE"""),"Bulgaria")</f>
        <v>Bulgaria</v>
      </c>
      <c r="B365" t="str">
        <f>IFERROR(__xludf.DUMMYFUNCTION("""COMPUTED_VALUE"""),"Europe")</f>
        <v>Europe</v>
      </c>
      <c r="C365">
        <f>IFERROR(__xludf.DUMMYFUNCTION("""COMPUTED_VALUE"""),14.0)</f>
        <v>14</v>
      </c>
      <c r="D365" t="str">
        <f>IFERROR(__xludf.DUMMYFUNCTION("""COMPUTED_VALUE"""),"Life Is Good (feat. Drake)")</f>
        <v>Life Is Good (feat. Drake)</v>
      </c>
      <c r="E365" t="str">
        <f>IFERROR(__xludf.DUMMYFUNCTION("""COMPUTED_VALUE"""),"Future, Drake")</f>
        <v>Future, Drake</v>
      </c>
      <c r="F365" t="str">
        <f>IFERROR(__xludf.DUMMYFUNCTION("""COMPUTED_VALUE"""),"High Off Life")</f>
        <v>High Off Life</v>
      </c>
      <c r="G365">
        <f>IFERROR(__xludf.DUMMYFUNCTION("""COMPUTED_VALUE"""),1.0)</f>
        <v>1</v>
      </c>
      <c r="H365" s="5">
        <f>IFERROR(__xludf.DUMMYFUNCTION("""COMPUTED_VALUE"""),0.16458333333503106)</f>
        <v>0.1645833333</v>
      </c>
    </row>
    <row r="366">
      <c r="A366" t="str">
        <f>IFERROR(__xludf.DUMMYFUNCTION("""COMPUTED_VALUE"""),"Bulgaria")</f>
        <v>Bulgaria</v>
      </c>
      <c r="B366" t="str">
        <f>IFERROR(__xludf.DUMMYFUNCTION("""COMPUTED_VALUE"""),"Europe")</f>
        <v>Europe</v>
      </c>
      <c r="C366">
        <f>IFERROR(__xludf.DUMMYFUNCTION("""COMPUTED_VALUE"""),15.0)</f>
        <v>15</v>
      </c>
      <c r="D366" t="str">
        <f>IFERROR(__xludf.DUMMYFUNCTION("""COMPUTED_VALUE"""),"goosebumps")</f>
        <v>goosebumps</v>
      </c>
      <c r="E366" t="str">
        <f>IFERROR(__xludf.DUMMYFUNCTION("""COMPUTED_VALUE"""),"Travis Scott")</f>
        <v>Travis Scott</v>
      </c>
      <c r="F366" t="str">
        <f>IFERROR(__xludf.DUMMYFUNCTION("""COMPUTED_VALUE"""),"Birds In The Trap Sing McKnight")</f>
        <v>Birds In The Trap Sing McKnight</v>
      </c>
      <c r="G366">
        <f>IFERROR(__xludf.DUMMYFUNCTION("""COMPUTED_VALUE"""),1.0)</f>
        <v>1</v>
      </c>
      <c r="H366" s="5">
        <f>IFERROR(__xludf.DUMMYFUNCTION("""COMPUTED_VALUE"""),0.1687500000007276)</f>
        <v>0.16875</v>
      </c>
    </row>
    <row r="367">
      <c r="A367" t="str">
        <f>IFERROR(__xludf.DUMMYFUNCTION("""COMPUTED_VALUE"""),"Bulgaria")</f>
        <v>Bulgaria</v>
      </c>
      <c r="B367" t="str">
        <f>IFERROR(__xludf.DUMMYFUNCTION("""COMPUTED_VALUE"""),"Europe")</f>
        <v>Europe</v>
      </c>
      <c r="C367">
        <f>IFERROR(__xludf.DUMMYFUNCTION("""COMPUTED_VALUE"""),16.0)</f>
        <v>16</v>
      </c>
      <c r="D367" t="str">
        <f>IFERROR(__xludf.DUMMYFUNCTION("""COMPUTED_VALUE"""),"Blueberry Faygo")</f>
        <v>Blueberry Faygo</v>
      </c>
      <c r="E367" t="str">
        <f>IFERROR(__xludf.DUMMYFUNCTION("""COMPUTED_VALUE"""),"Lil Mosey")</f>
        <v>Lil Mosey</v>
      </c>
      <c r="F367" t="str">
        <f>IFERROR(__xludf.DUMMYFUNCTION("""COMPUTED_VALUE"""),"Certified Hitmaker")</f>
        <v>Certified Hitmaker</v>
      </c>
      <c r="G367">
        <f>IFERROR(__xludf.DUMMYFUNCTION("""COMPUTED_VALUE"""),1.0)</f>
        <v>1</v>
      </c>
      <c r="H367" s="5">
        <f>IFERROR(__xludf.DUMMYFUNCTION("""COMPUTED_VALUE"""),0.1124999999992724)</f>
        <v>0.1125</v>
      </c>
    </row>
    <row r="368">
      <c r="A368" t="str">
        <f>IFERROR(__xludf.DUMMYFUNCTION("""COMPUTED_VALUE"""),"Bulgaria")</f>
        <v>Bulgaria</v>
      </c>
      <c r="B368" t="str">
        <f>IFERROR(__xludf.DUMMYFUNCTION("""COMPUTED_VALUE"""),"Europe")</f>
        <v>Europe</v>
      </c>
      <c r="C368">
        <f>IFERROR(__xludf.DUMMYFUNCTION("""COMPUTED_VALUE"""),17.0)</f>
        <v>17</v>
      </c>
      <c r="D368" t="str">
        <f>IFERROR(__xludf.DUMMYFUNCTION("""COMPUTED_VALUE"""),"Don't Start Now")</f>
        <v>Don't Start Now</v>
      </c>
      <c r="E368" t="str">
        <f>IFERROR(__xludf.DUMMYFUNCTION("""COMPUTED_VALUE"""),"Dua Lipa")</f>
        <v>Dua Lipa</v>
      </c>
      <c r="F368" t="str">
        <f>IFERROR(__xludf.DUMMYFUNCTION("""COMPUTED_VALUE"""),"Future Nostalgia")</f>
        <v>Future Nostalgia</v>
      </c>
      <c r="G368">
        <f>IFERROR(__xludf.DUMMYFUNCTION("""COMPUTED_VALUE"""),0.0)</f>
        <v>0</v>
      </c>
      <c r="H368" s="5">
        <f>IFERROR(__xludf.DUMMYFUNCTION("""COMPUTED_VALUE"""),0.12708333333284827)</f>
        <v>0.1270833333</v>
      </c>
    </row>
    <row r="369">
      <c r="A369" t="str">
        <f>IFERROR(__xludf.DUMMYFUNCTION("""COMPUTED_VALUE"""),"Bulgaria")</f>
        <v>Bulgaria</v>
      </c>
      <c r="B369" t="str">
        <f>IFERROR(__xludf.DUMMYFUNCTION("""COMPUTED_VALUE"""),"Europe")</f>
        <v>Europe</v>
      </c>
      <c r="C369">
        <f>IFERROR(__xludf.DUMMYFUNCTION("""COMPUTED_VALUE"""),18.0)</f>
        <v>18</v>
      </c>
      <c r="D369" t="str">
        <f>IFERROR(__xludf.DUMMYFUNCTION("""COMPUTED_VALUE"""),"Break My Heart")</f>
        <v>Break My Heart</v>
      </c>
      <c r="E369" t="str">
        <f>IFERROR(__xludf.DUMMYFUNCTION("""COMPUTED_VALUE"""),"Dua Lipa")</f>
        <v>Dua Lipa</v>
      </c>
      <c r="F369" t="str">
        <f>IFERROR(__xludf.DUMMYFUNCTION("""COMPUTED_VALUE"""),"Future Nostalgia")</f>
        <v>Future Nostalgia</v>
      </c>
      <c r="G369">
        <f>IFERROR(__xludf.DUMMYFUNCTION("""COMPUTED_VALUE"""),0.0)</f>
        <v>0</v>
      </c>
      <c r="H369" s="5">
        <f>IFERROR(__xludf.DUMMYFUNCTION("""COMPUTED_VALUE"""),0.15347222222044365)</f>
        <v>0.1534722222</v>
      </c>
    </row>
    <row r="370">
      <c r="A370" t="str">
        <f>IFERROR(__xludf.DUMMYFUNCTION("""COMPUTED_VALUE"""),"Bulgaria")</f>
        <v>Bulgaria</v>
      </c>
      <c r="B370" t="str">
        <f>IFERROR(__xludf.DUMMYFUNCTION("""COMPUTED_VALUE"""),"Europe")</f>
        <v>Europe</v>
      </c>
      <c r="C370">
        <f>IFERROR(__xludf.DUMMYFUNCTION("""COMPUTED_VALUE"""),19.0)</f>
        <v>19</v>
      </c>
      <c r="D370" t="str">
        <f>IFERROR(__xludf.DUMMYFUNCTION("""COMPUTED_VALUE"""),"Breaking Me")</f>
        <v>Breaking Me</v>
      </c>
      <c r="E370" t="str">
        <f>IFERROR(__xludf.DUMMYFUNCTION("""COMPUTED_VALUE"""),"Topic, A7S")</f>
        <v>Topic, A7S</v>
      </c>
      <c r="F370" t="str">
        <f>IFERROR(__xludf.DUMMYFUNCTION("""COMPUTED_VALUE"""),"Breaking Me")</f>
        <v>Breaking Me</v>
      </c>
      <c r="G370">
        <f>IFERROR(__xludf.DUMMYFUNCTION("""COMPUTED_VALUE"""),0.0)</f>
        <v>0</v>
      </c>
      <c r="H370" s="5">
        <f>IFERROR(__xludf.DUMMYFUNCTION("""COMPUTED_VALUE"""),0.11527777777882875)</f>
        <v>0.1152777778</v>
      </c>
    </row>
    <row r="371">
      <c r="A371" t="str">
        <f>IFERROR(__xludf.DUMMYFUNCTION("""COMPUTED_VALUE"""),"Bulgaria")</f>
        <v>Bulgaria</v>
      </c>
      <c r="B371" t="str">
        <f>IFERROR(__xludf.DUMMYFUNCTION("""COMPUTED_VALUE"""),"Europe")</f>
        <v>Europe</v>
      </c>
      <c r="C371">
        <f>IFERROR(__xludf.DUMMYFUNCTION("""COMPUTED_VALUE"""),20.0)</f>
        <v>20</v>
      </c>
      <c r="D371" t="str">
        <f>IFERROR(__xludf.DUMMYFUNCTION("""COMPUTED_VALUE"""),"In Your Eyes")</f>
        <v>In Your Eyes</v>
      </c>
      <c r="E371" t="str">
        <f>IFERROR(__xludf.DUMMYFUNCTION("""COMPUTED_VALUE"""),"The Weeknd")</f>
        <v>The Weeknd</v>
      </c>
      <c r="F371" t="str">
        <f>IFERROR(__xludf.DUMMYFUNCTION("""COMPUTED_VALUE"""),"After Hours")</f>
        <v>After Hours</v>
      </c>
      <c r="G371">
        <f>IFERROR(__xludf.DUMMYFUNCTION("""COMPUTED_VALUE"""),1.0)</f>
        <v>1</v>
      </c>
      <c r="H371" s="5">
        <f>IFERROR(__xludf.DUMMYFUNCTION("""COMPUTED_VALUE"""),0.16458333333503106)</f>
        <v>0.1645833333</v>
      </c>
    </row>
    <row r="372">
      <c r="A372" t="str">
        <f>IFERROR(__xludf.DUMMYFUNCTION("""COMPUTED_VALUE"""),"Bulgaria")</f>
        <v>Bulgaria</v>
      </c>
      <c r="B372" t="str">
        <f>IFERROR(__xludf.DUMMYFUNCTION("""COMPUTED_VALUE"""),"Europe")</f>
        <v>Europe</v>
      </c>
      <c r="C372">
        <f>IFERROR(__xludf.DUMMYFUNCTION("""COMPUTED_VALUE"""),21.0)</f>
        <v>21</v>
      </c>
      <c r="D372" t="str">
        <f>IFERROR(__xludf.DUMMYFUNCTION("""COMPUTED_VALUE"""),"WHATS POPPIN")</f>
        <v>WHATS POPPIN</v>
      </c>
      <c r="E372" t="str">
        <f>IFERROR(__xludf.DUMMYFUNCTION("""COMPUTED_VALUE"""),"Jack Harlow")</f>
        <v>Jack Harlow</v>
      </c>
      <c r="F372" t="str">
        <f>IFERROR(__xludf.DUMMYFUNCTION("""COMPUTED_VALUE"""),"Sweet Action")</f>
        <v>Sweet Action</v>
      </c>
      <c r="G372">
        <f>IFERROR(__xludf.DUMMYFUNCTION("""COMPUTED_VALUE"""),1.0)</f>
        <v>1</v>
      </c>
      <c r="H372" s="5">
        <f>IFERROR(__xludf.DUMMYFUNCTION("""COMPUTED_VALUE"""),0.09652777777955635)</f>
        <v>0.09652777778</v>
      </c>
    </row>
    <row r="373">
      <c r="A373" t="str">
        <f>IFERROR(__xludf.DUMMYFUNCTION("""COMPUTED_VALUE"""),"Bulgaria")</f>
        <v>Bulgaria</v>
      </c>
      <c r="B373" t="str">
        <f>IFERROR(__xludf.DUMMYFUNCTION("""COMPUTED_VALUE"""),"Europe")</f>
        <v>Europe</v>
      </c>
      <c r="C373">
        <f>IFERROR(__xludf.DUMMYFUNCTION("""COMPUTED_VALUE"""),22.0)</f>
        <v>22</v>
      </c>
      <c r="D373" t="str">
        <f>IFERROR(__xludf.DUMMYFUNCTION("""COMPUTED_VALUE"""),"Stuck with U (with Justin Bieber)")</f>
        <v>Stuck with U (with Justin Bieber)</v>
      </c>
      <c r="E373" t="str">
        <f>IFERROR(__xludf.DUMMYFUNCTION("""COMPUTED_VALUE"""),"Ariana Grande, Justin Bieber")</f>
        <v>Ariana Grande, Justin Bieber</v>
      </c>
      <c r="F373" t="str">
        <f>IFERROR(__xludf.DUMMYFUNCTION("""COMPUTED_VALUE"""),"Stuck with U")</f>
        <v>Stuck with U</v>
      </c>
      <c r="G373">
        <f>IFERROR(__xludf.DUMMYFUNCTION("""COMPUTED_VALUE"""),0.0)</f>
        <v>0</v>
      </c>
      <c r="H373" s="5">
        <f>IFERROR(__xludf.DUMMYFUNCTION("""COMPUTED_VALUE"""),0.15833333333284827)</f>
        <v>0.1583333333</v>
      </c>
    </row>
    <row r="374">
      <c r="A374" t="str">
        <f>IFERROR(__xludf.DUMMYFUNCTION("""COMPUTED_VALUE"""),"Bulgaria")</f>
        <v>Bulgaria</v>
      </c>
      <c r="B374" t="str">
        <f>IFERROR(__xludf.DUMMYFUNCTION("""COMPUTED_VALUE"""),"Europe")</f>
        <v>Europe</v>
      </c>
      <c r="C374">
        <f>IFERROR(__xludf.DUMMYFUNCTION("""COMPUTED_VALUE"""),23.0)</f>
        <v>23</v>
      </c>
      <c r="D374" t="str">
        <f>IFERROR(__xludf.DUMMYFUNCTION("""COMPUTED_VALUE"""),"Falling")</f>
        <v>Falling</v>
      </c>
      <c r="E374" t="str">
        <f>IFERROR(__xludf.DUMMYFUNCTION("""COMPUTED_VALUE"""),"Trevor Daniel")</f>
        <v>Trevor Daniel</v>
      </c>
      <c r="F374" t="str">
        <f>IFERROR(__xludf.DUMMYFUNCTION("""COMPUTED_VALUE"""),"Nicotine")</f>
        <v>Nicotine</v>
      </c>
      <c r="G374">
        <f>IFERROR(__xludf.DUMMYFUNCTION("""COMPUTED_VALUE"""),0.0)</f>
        <v>0</v>
      </c>
      <c r="H374" s="5">
        <f>IFERROR(__xludf.DUMMYFUNCTION("""COMPUTED_VALUE"""),0.11041666666642413)</f>
        <v>0.1104166667</v>
      </c>
    </row>
    <row r="375">
      <c r="A375" t="str">
        <f>IFERROR(__xludf.DUMMYFUNCTION("""COMPUTED_VALUE"""),"Bulgaria")</f>
        <v>Bulgaria</v>
      </c>
      <c r="B375" t="str">
        <f>IFERROR(__xludf.DUMMYFUNCTION("""COMPUTED_VALUE"""),"Europe")</f>
        <v>Europe</v>
      </c>
      <c r="C375">
        <f>IFERROR(__xludf.DUMMYFUNCTION("""COMPUTED_VALUE"""),24.0)</f>
        <v>24</v>
      </c>
      <c r="D375" t="str">
        <f>IFERROR(__xludf.DUMMYFUNCTION("""COMPUTED_VALUE"""),"Godzilla (feat. Juice WRLD)")</f>
        <v>Godzilla (feat. Juice WRLD)</v>
      </c>
      <c r="E375" t="str">
        <f>IFERROR(__xludf.DUMMYFUNCTION("""COMPUTED_VALUE"""),"Eminem, Juice WRLD")</f>
        <v>Eminem, Juice WRLD</v>
      </c>
      <c r="F375" t="str">
        <f>IFERROR(__xludf.DUMMYFUNCTION("""COMPUTED_VALUE"""),"Music To Be Murdered By")</f>
        <v>Music To Be Murdered By</v>
      </c>
      <c r="G375">
        <f>IFERROR(__xludf.DUMMYFUNCTION("""COMPUTED_VALUE"""),1.0)</f>
        <v>1</v>
      </c>
      <c r="H375" s="5">
        <f>IFERROR(__xludf.DUMMYFUNCTION("""COMPUTED_VALUE"""),0.14583333333212067)</f>
        <v>0.1458333333</v>
      </c>
    </row>
    <row r="376">
      <c r="A376" t="str">
        <f>IFERROR(__xludf.DUMMYFUNCTION("""COMPUTED_VALUE"""),"Bulgaria")</f>
        <v>Bulgaria</v>
      </c>
      <c r="B376" t="str">
        <f>IFERROR(__xludf.DUMMYFUNCTION("""COMPUTED_VALUE"""),"Europe")</f>
        <v>Europe</v>
      </c>
      <c r="C376">
        <f>IFERROR(__xludf.DUMMYFUNCTION("""COMPUTED_VALUE"""),25.0)</f>
        <v>25</v>
      </c>
      <c r="D376" t="str">
        <f>IFERROR(__xludf.DUMMYFUNCTION("""COMPUTED_VALUE"""),"After Party")</f>
        <v>After Party</v>
      </c>
      <c r="E376" t="str">
        <f>IFERROR(__xludf.DUMMYFUNCTION("""COMPUTED_VALUE"""),"Don Toliver")</f>
        <v>Don Toliver</v>
      </c>
      <c r="F376" t="str">
        <f>IFERROR(__xludf.DUMMYFUNCTION("""COMPUTED_VALUE"""),"Heaven Or Hell")</f>
        <v>Heaven Or Hell</v>
      </c>
      <c r="G376">
        <f>IFERROR(__xludf.DUMMYFUNCTION("""COMPUTED_VALUE"""),1.0)</f>
        <v>1</v>
      </c>
      <c r="H376" s="5">
        <f>IFERROR(__xludf.DUMMYFUNCTION("""COMPUTED_VALUE"""),0.11597222222189885)</f>
        <v>0.1159722222</v>
      </c>
    </row>
    <row r="377">
      <c r="A377" t="str">
        <f>IFERROR(__xludf.DUMMYFUNCTION("""COMPUTED_VALUE"""),"Bulgaria")</f>
        <v>Bulgaria</v>
      </c>
      <c r="B377" t="str">
        <f>IFERROR(__xludf.DUMMYFUNCTION("""COMPUTED_VALUE"""),"Europe")</f>
        <v>Europe</v>
      </c>
      <c r="C377">
        <f>IFERROR(__xludf.DUMMYFUNCTION("""COMPUTED_VALUE"""),26.0)</f>
        <v>26</v>
      </c>
      <c r="D377" t="str">
        <f>IFERROR(__xludf.DUMMYFUNCTION("""COMPUTED_VALUE"""),"Dance Monkey")</f>
        <v>Dance Monkey</v>
      </c>
      <c r="E377" t="str">
        <f>IFERROR(__xludf.DUMMYFUNCTION("""COMPUTED_VALUE"""),"Tones And I")</f>
        <v>Tones And I</v>
      </c>
      <c r="F377" t="str">
        <f>IFERROR(__xludf.DUMMYFUNCTION("""COMPUTED_VALUE"""),"Dance Monkey (Stripped Back) / Dance Monkey")</f>
        <v>Dance Monkey (Stripped Back) / Dance Monkey</v>
      </c>
      <c r="G377">
        <f>IFERROR(__xludf.DUMMYFUNCTION("""COMPUTED_VALUE"""),0.0)</f>
        <v>0</v>
      </c>
      <c r="H377" s="5">
        <f>IFERROR(__xludf.DUMMYFUNCTION("""COMPUTED_VALUE"""),0.14513888888905058)</f>
        <v>0.1451388889</v>
      </c>
    </row>
    <row r="378">
      <c r="A378" t="str">
        <f>IFERROR(__xludf.DUMMYFUNCTION("""COMPUTED_VALUE"""),"Bulgaria")</f>
        <v>Bulgaria</v>
      </c>
      <c r="B378" t="str">
        <f>IFERROR(__xludf.DUMMYFUNCTION("""COMPUTED_VALUE"""),"Europe")</f>
        <v>Europe</v>
      </c>
      <c r="C378">
        <f>IFERROR(__xludf.DUMMYFUNCTION("""COMPUTED_VALUE"""),27.0)</f>
        <v>27</v>
      </c>
      <c r="D378" t="str">
        <f>IFERROR(__xludf.DUMMYFUNCTION("""COMPUTED_VALUE"""),"Watermelon Sugar")</f>
        <v>Watermelon Sugar</v>
      </c>
      <c r="E378" t="str">
        <f>IFERROR(__xludf.DUMMYFUNCTION("""COMPUTED_VALUE"""),"Harry Styles")</f>
        <v>Harry Styles</v>
      </c>
      <c r="F378" t="str">
        <f>IFERROR(__xludf.DUMMYFUNCTION("""COMPUTED_VALUE"""),"Fine Line")</f>
        <v>Fine Line</v>
      </c>
      <c r="G378">
        <f>IFERROR(__xludf.DUMMYFUNCTION("""COMPUTED_VALUE"""),0.0)</f>
        <v>0</v>
      </c>
      <c r="H378" s="5">
        <f>IFERROR(__xludf.DUMMYFUNCTION("""COMPUTED_VALUE"""),0.12083333333430346)</f>
        <v>0.1208333333</v>
      </c>
    </row>
    <row r="379">
      <c r="A379" t="str">
        <f>IFERROR(__xludf.DUMMYFUNCTION("""COMPUTED_VALUE"""),"Bulgaria")</f>
        <v>Bulgaria</v>
      </c>
      <c r="B379" t="str">
        <f>IFERROR(__xludf.DUMMYFUNCTION("""COMPUTED_VALUE"""),"Europe")</f>
        <v>Europe</v>
      </c>
      <c r="C379">
        <f>IFERROR(__xludf.DUMMYFUNCTION("""COMPUTED_VALUE"""),28.0)</f>
        <v>28</v>
      </c>
      <c r="D379" t="str">
        <f>IFERROR(__xludf.DUMMYFUNCTION("""COMPUTED_VALUE"""),"ily (i love you baby) (feat. Emilee)")</f>
        <v>ily (i love you baby) (feat. Emilee)</v>
      </c>
      <c r="E379" t="str">
        <f>IFERROR(__xludf.DUMMYFUNCTION("""COMPUTED_VALUE"""),"Surf Mesa, Emilee")</f>
        <v>Surf Mesa, Emilee</v>
      </c>
      <c r="F379" t="str">
        <f>IFERROR(__xludf.DUMMYFUNCTION("""COMPUTED_VALUE"""),"ily (i love you baby) (feat. Emilee)")</f>
        <v>ily (i love you baby) (feat. Emilee)</v>
      </c>
      <c r="G379">
        <f>IFERROR(__xludf.DUMMYFUNCTION("""COMPUTED_VALUE"""),0.0)</f>
        <v>0</v>
      </c>
      <c r="H379" s="5">
        <f>IFERROR(__xludf.DUMMYFUNCTION("""COMPUTED_VALUE"""),0.12222222222044365)</f>
        <v>0.1222222222</v>
      </c>
    </row>
    <row r="380">
      <c r="A380" t="str">
        <f>IFERROR(__xludf.DUMMYFUNCTION("""COMPUTED_VALUE"""),"Bulgaria")</f>
        <v>Bulgaria</v>
      </c>
      <c r="B380" t="str">
        <f>IFERROR(__xludf.DUMMYFUNCTION("""COMPUTED_VALUE"""),"Europe")</f>
        <v>Europe</v>
      </c>
      <c r="C380">
        <f>IFERROR(__xludf.DUMMYFUNCTION("""COMPUTED_VALUE"""),29.0)</f>
        <v>29</v>
      </c>
      <c r="D380" t="str">
        <f>IFERROR(__xludf.DUMMYFUNCTION("""COMPUTED_VALUE"""),"Boss Bitch")</f>
        <v>Boss Bitch</v>
      </c>
      <c r="E380" t="str">
        <f>IFERROR(__xludf.DUMMYFUNCTION("""COMPUTED_VALUE"""),"Doja Cat")</f>
        <v>Doja Cat</v>
      </c>
      <c r="F380" t="str">
        <f>IFERROR(__xludf.DUMMYFUNCTION("""COMPUTED_VALUE"""),"Boss Bitch")</f>
        <v>Boss Bitch</v>
      </c>
      <c r="G380">
        <f>IFERROR(__xludf.DUMMYFUNCTION("""COMPUTED_VALUE"""),0.0)</f>
        <v>0</v>
      </c>
      <c r="H380" s="5">
        <f>IFERROR(__xludf.DUMMYFUNCTION("""COMPUTED_VALUE"""),0.0930555555569299)</f>
        <v>0.09305555556</v>
      </c>
    </row>
    <row r="381">
      <c r="A381" t="str">
        <f>IFERROR(__xludf.DUMMYFUNCTION("""COMPUTED_VALUE"""),"Bulgaria")</f>
        <v>Bulgaria</v>
      </c>
      <c r="B381" t="str">
        <f>IFERROR(__xludf.DUMMYFUNCTION("""COMPUTED_VALUE"""),"Europe")</f>
        <v>Europe</v>
      </c>
      <c r="C381">
        <f>IFERROR(__xludf.DUMMYFUNCTION("""COMPUTED_VALUE"""),30.0)</f>
        <v>30</v>
      </c>
      <c r="D381" t="str">
        <f>IFERROR(__xludf.DUMMYFUNCTION("""COMPUTED_VALUE"""),"Physical")</f>
        <v>Physical</v>
      </c>
      <c r="E381" t="str">
        <f>IFERROR(__xludf.DUMMYFUNCTION("""COMPUTED_VALUE"""),"Dua Lipa")</f>
        <v>Dua Lipa</v>
      </c>
      <c r="F381" t="str">
        <f>IFERROR(__xludf.DUMMYFUNCTION("""COMPUTED_VALUE"""),"Future Nostalgia")</f>
        <v>Future Nostalgia</v>
      </c>
      <c r="G381">
        <f>IFERROR(__xludf.DUMMYFUNCTION("""COMPUTED_VALUE"""),0.0)</f>
        <v>0</v>
      </c>
      <c r="H381" s="5">
        <f>IFERROR(__xludf.DUMMYFUNCTION("""COMPUTED_VALUE"""),0.13402777777810115)</f>
        <v>0.1340277778</v>
      </c>
    </row>
    <row r="382">
      <c r="A382" t="str">
        <f>IFERROR(__xludf.DUMMYFUNCTION("""COMPUTED_VALUE"""),"Bulgaria")</f>
        <v>Bulgaria</v>
      </c>
      <c r="B382" t="str">
        <f>IFERROR(__xludf.DUMMYFUNCTION("""COMPUTED_VALUE"""),"Europe")</f>
        <v>Europe</v>
      </c>
      <c r="C382">
        <f>IFERROR(__xludf.DUMMYFUNCTION("""COMPUTED_VALUE"""),31.0)</f>
        <v>31</v>
      </c>
      <c r="D382" t="str">
        <f>IFERROR(__xludf.DUMMYFUNCTION("""COMPUTED_VALUE"""),"OUT WEST (feat. Young Thug)")</f>
        <v>OUT WEST (feat. Young Thug)</v>
      </c>
      <c r="E382" t="str">
        <f>IFERROR(__xludf.DUMMYFUNCTION("""COMPUTED_VALUE"""),"JACKBOYS, Travis Scott, Young Thug")</f>
        <v>JACKBOYS, Travis Scott, Young Thug</v>
      </c>
      <c r="F382" t="str">
        <f>IFERROR(__xludf.DUMMYFUNCTION("""COMPUTED_VALUE"""),"JACKBOYS")</f>
        <v>JACKBOYS</v>
      </c>
      <c r="G382">
        <f>IFERROR(__xludf.DUMMYFUNCTION("""COMPUTED_VALUE"""),1.0)</f>
        <v>1</v>
      </c>
      <c r="H382" s="5">
        <f>IFERROR(__xludf.DUMMYFUNCTION("""COMPUTED_VALUE"""),0.10902777777664596)</f>
        <v>0.1090277778</v>
      </c>
    </row>
    <row r="383">
      <c r="A383" t="str">
        <f>IFERROR(__xludf.DUMMYFUNCTION("""COMPUTED_VALUE"""),"Bulgaria")</f>
        <v>Bulgaria</v>
      </c>
      <c r="B383" t="str">
        <f>IFERROR(__xludf.DUMMYFUNCTION("""COMPUTED_VALUE"""),"Europe")</f>
        <v>Europe</v>
      </c>
      <c r="C383">
        <f>IFERROR(__xludf.DUMMYFUNCTION("""COMPUTED_VALUE"""),32.0)</f>
        <v>32</v>
      </c>
      <c r="D383" t="str">
        <f>IFERROR(__xludf.DUMMYFUNCTION("""COMPUTED_VALUE"""),"Savage Remix (feat. Beyoncé)")</f>
        <v>Savage Remix (feat. Beyoncé)</v>
      </c>
      <c r="E383" t="str">
        <f>IFERROR(__xludf.DUMMYFUNCTION("""COMPUTED_VALUE"""),"Megan Thee Stallion, Beyoncé")</f>
        <v>Megan Thee Stallion, Beyoncé</v>
      </c>
      <c r="F383" t="str">
        <f>IFERROR(__xludf.DUMMYFUNCTION("""COMPUTED_VALUE"""),"Savage Remix (feat. Beyoncé)")</f>
        <v>Savage Remix (feat. Beyoncé)</v>
      </c>
      <c r="G383">
        <f>IFERROR(__xludf.DUMMYFUNCTION("""COMPUTED_VALUE"""),1.0)</f>
        <v>1</v>
      </c>
      <c r="H383" s="5">
        <f>IFERROR(__xludf.DUMMYFUNCTION("""COMPUTED_VALUE"""),0.16805555555401952)</f>
        <v>0.1680555556</v>
      </c>
    </row>
    <row r="384">
      <c r="A384" t="str">
        <f>IFERROR(__xludf.DUMMYFUNCTION("""COMPUTED_VALUE"""),"Bulgaria")</f>
        <v>Bulgaria</v>
      </c>
      <c r="B384" t="str">
        <f>IFERROR(__xludf.DUMMYFUNCTION("""COMPUTED_VALUE"""),"Europe")</f>
        <v>Europe</v>
      </c>
      <c r="C384">
        <f>IFERROR(__xludf.DUMMYFUNCTION("""COMPUTED_VALUE"""),33.0)</f>
        <v>33</v>
      </c>
      <c r="D384" t="str">
        <f>IFERROR(__xludf.DUMMYFUNCTION("""COMPUTED_VALUE"""),"Savage")</f>
        <v>Savage</v>
      </c>
      <c r="E384" t="str">
        <f>IFERROR(__xludf.DUMMYFUNCTION("""COMPUTED_VALUE"""),"Megan Thee Stallion")</f>
        <v>Megan Thee Stallion</v>
      </c>
      <c r="F384" t="str">
        <f>IFERROR(__xludf.DUMMYFUNCTION("""COMPUTED_VALUE"""),"Suga")</f>
        <v>Suga</v>
      </c>
      <c r="G384">
        <f>IFERROR(__xludf.DUMMYFUNCTION("""COMPUTED_VALUE"""),1.0)</f>
        <v>1</v>
      </c>
      <c r="H384" s="5">
        <f>IFERROR(__xludf.DUMMYFUNCTION("""COMPUTED_VALUE"""),0.10763888889050577)</f>
        <v>0.1076388889</v>
      </c>
    </row>
    <row r="385">
      <c r="A385" t="str">
        <f>IFERROR(__xludf.DUMMYFUNCTION("""COMPUTED_VALUE"""),"Bulgaria")</f>
        <v>Bulgaria</v>
      </c>
      <c r="B385" t="str">
        <f>IFERROR(__xludf.DUMMYFUNCTION("""COMPUTED_VALUE"""),"Europe")</f>
        <v>Europe</v>
      </c>
      <c r="C385">
        <f>IFERROR(__xludf.DUMMYFUNCTION("""COMPUTED_VALUE"""),34.0)</f>
        <v>34</v>
      </c>
      <c r="D385" t="str">
        <f>IFERROR(__xludf.DUMMYFUNCTION("""COMPUTED_VALUE"""),"death bed (coffee for your head) (feat. beabadoobee)")</f>
        <v>death bed (coffee for your head) (feat. beabadoobee)</v>
      </c>
      <c r="E385" t="str">
        <f>IFERROR(__xludf.DUMMYFUNCTION("""COMPUTED_VALUE"""),"Powfu, beabadoobee")</f>
        <v>Powfu, beabadoobee</v>
      </c>
      <c r="F385" t="str">
        <f>IFERROR(__xludf.DUMMYFUNCTION("""COMPUTED_VALUE"""),"death bed (coffee for your head) (feat. beabadoobee)")</f>
        <v>death bed (coffee for your head) (feat. beabadoobee)</v>
      </c>
      <c r="G385">
        <f>IFERROR(__xludf.DUMMYFUNCTION("""COMPUTED_VALUE"""),0.0)</f>
        <v>0</v>
      </c>
      <c r="H385" s="5">
        <f>IFERROR(__xludf.DUMMYFUNCTION("""COMPUTED_VALUE"""),0.12013888888759539)</f>
        <v>0.1201388889</v>
      </c>
    </row>
    <row r="386">
      <c r="A386" t="str">
        <f>IFERROR(__xludf.DUMMYFUNCTION("""COMPUTED_VALUE"""),"Bulgaria")</f>
        <v>Bulgaria</v>
      </c>
      <c r="B386" t="str">
        <f>IFERROR(__xludf.DUMMYFUNCTION("""COMPUTED_VALUE"""),"Europe")</f>
        <v>Europe</v>
      </c>
      <c r="C386">
        <f>IFERROR(__xludf.DUMMYFUNCTION("""COMPUTED_VALUE"""),35.0)</f>
        <v>35</v>
      </c>
      <c r="D386" t="str">
        <f>IFERROR(__xludf.DUMMYFUNCTION("""COMPUTED_VALUE"""),"Say So")</f>
        <v>Say So</v>
      </c>
      <c r="E386" t="str">
        <f>IFERROR(__xludf.DUMMYFUNCTION("""COMPUTED_VALUE"""),"Doja Cat")</f>
        <v>Doja Cat</v>
      </c>
      <c r="F386" t="str">
        <f>IFERROR(__xludf.DUMMYFUNCTION("""COMPUTED_VALUE"""),"Hot Pink")</f>
        <v>Hot Pink</v>
      </c>
      <c r="G386">
        <f>IFERROR(__xludf.DUMMYFUNCTION("""COMPUTED_VALUE"""),1.0)</f>
        <v>1</v>
      </c>
      <c r="H386" s="5">
        <f>IFERROR(__xludf.DUMMYFUNCTION("""COMPUTED_VALUE"""),0.16458333333503106)</f>
        <v>0.1645833333</v>
      </c>
    </row>
    <row r="387">
      <c r="A387" t="str">
        <f>IFERROR(__xludf.DUMMYFUNCTION("""COMPUTED_VALUE"""),"Bulgaria")</f>
        <v>Bulgaria</v>
      </c>
      <c r="B387" t="str">
        <f>IFERROR(__xludf.DUMMYFUNCTION("""COMPUTED_VALUE"""),"Europe")</f>
        <v>Europe</v>
      </c>
      <c r="C387">
        <f>IFERROR(__xludf.DUMMYFUNCTION("""COMPUTED_VALUE"""),36.0)</f>
        <v>36</v>
      </c>
      <c r="D387" t="str">
        <f>IFERROR(__xludf.DUMMYFUNCTION("""COMPUTED_VALUE"""),"bad guy")</f>
        <v>bad guy</v>
      </c>
      <c r="E387" t="str">
        <f>IFERROR(__xludf.DUMMYFUNCTION("""COMPUTED_VALUE"""),"Billie Eilish")</f>
        <v>Billie Eilish</v>
      </c>
      <c r="F387" t="str">
        <f>IFERROR(__xludf.DUMMYFUNCTION("""COMPUTED_VALUE"""),"WHEN WE ALL FALL ASLEEP, WHERE DO WE GO?")</f>
        <v>WHEN WE ALL FALL ASLEEP, WHERE DO WE GO?</v>
      </c>
      <c r="G387">
        <f>IFERROR(__xludf.DUMMYFUNCTION("""COMPUTED_VALUE"""),0.0)</f>
        <v>0</v>
      </c>
      <c r="H387" s="5">
        <f>IFERROR(__xludf.DUMMYFUNCTION("""COMPUTED_VALUE"""),0.13472222222117125)</f>
        <v>0.1347222222</v>
      </c>
    </row>
    <row r="388">
      <c r="A388" t="str">
        <f>IFERROR(__xludf.DUMMYFUNCTION("""COMPUTED_VALUE"""),"Bulgaria")</f>
        <v>Bulgaria</v>
      </c>
      <c r="B388" t="str">
        <f>IFERROR(__xludf.DUMMYFUNCTION("""COMPUTED_VALUE"""),"Europe")</f>
        <v>Europe</v>
      </c>
      <c r="C388">
        <f>IFERROR(__xludf.DUMMYFUNCTION("""COMPUTED_VALUE"""),37.0)</f>
        <v>37</v>
      </c>
      <c r="D388" t="str">
        <f>IFERROR(__xludf.DUMMYFUNCTION("""COMPUTED_VALUE"""),"ROXANNE")</f>
        <v>ROXANNE</v>
      </c>
      <c r="E388" t="str">
        <f>IFERROR(__xludf.DUMMYFUNCTION("""COMPUTED_VALUE"""),"Arizona Zervas")</f>
        <v>Arizona Zervas</v>
      </c>
      <c r="F388" t="str">
        <f>IFERROR(__xludf.DUMMYFUNCTION("""COMPUTED_VALUE"""),"ROXANNE")</f>
        <v>ROXANNE</v>
      </c>
      <c r="G388">
        <f>IFERROR(__xludf.DUMMYFUNCTION("""COMPUTED_VALUE"""),1.0)</f>
        <v>1</v>
      </c>
      <c r="H388" s="5">
        <f>IFERROR(__xludf.DUMMYFUNCTION("""COMPUTED_VALUE"""),0.11319444444598048)</f>
        <v>0.1131944444</v>
      </c>
    </row>
    <row r="389">
      <c r="A389" t="str">
        <f>IFERROR(__xludf.DUMMYFUNCTION("""COMPUTED_VALUE"""),"Bulgaria")</f>
        <v>Bulgaria</v>
      </c>
      <c r="B389" t="str">
        <f>IFERROR(__xludf.DUMMYFUNCTION("""COMPUTED_VALUE"""),"Europe")</f>
        <v>Europe</v>
      </c>
      <c r="C389">
        <f>IFERROR(__xludf.DUMMYFUNCTION("""COMPUTED_VALUE"""),38.0)</f>
        <v>38</v>
      </c>
      <c r="D389" t="str">
        <f>IFERROR(__xludf.DUMMYFUNCTION("""COMPUTED_VALUE"""),"Party Girl")</f>
        <v>Party Girl</v>
      </c>
      <c r="E389" t="str">
        <f>IFERROR(__xludf.DUMMYFUNCTION("""COMPUTED_VALUE"""),"StaySolidRocky")</f>
        <v>StaySolidRocky</v>
      </c>
      <c r="F389" t="str">
        <f>IFERROR(__xludf.DUMMYFUNCTION("""COMPUTED_VALUE"""),"Party Girl")</f>
        <v>Party Girl</v>
      </c>
      <c r="G389">
        <f>IFERROR(__xludf.DUMMYFUNCTION("""COMPUTED_VALUE"""),0.0)</f>
        <v>0</v>
      </c>
      <c r="H389" s="5">
        <f>IFERROR(__xludf.DUMMYFUNCTION("""COMPUTED_VALUE"""),0.10208333333503106)</f>
        <v>0.1020833333</v>
      </c>
    </row>
    <row r="390">
      <c r="A390" t="str">
        <f>IFERROR(__xludf.DUMMYFUNCTION("""COMPUTED_VALUE"""),"Bulgaria")</f>
        <v>Bulgaria</v>
      </c>
      <c r="B390" t="str">
        <f>IFERROR(__xludf.DUMMYFUNCTION("""COMPUTED_VALUE"""),"Europe")</f>
        <v>Europe</v>
      </c>
      <c r="C390">
        <f>IFERROR(__xludf.DUMMYFUNCTION("""COMPUTED_VALUE"""),39.0)</f>
        <v>39</v>
      </c>
      <c r="D390" t="str">
        <f>IFERROR(__xludf.DUMMYFUNCTION("""COMPUTED_VALUE"""),"Supalonely")</f>
        <v>Supalonely</v>
      </c>
      <c r="E390" t="str">
        <f>IFERROR(__xludf.DUMMYFUNCTION("""COMPUTED_VALUE"""),"BENEE, Gus Dapperton")</f>
        <v>BENEE, Gus Dapperton</v>
      </c>
      <c r="F390" t="str">
        <f>IFERROR(__xludf.DUMMYFUNCTION("""COMPUTED_VALUE"""),"STELLA &amp; STEVE")</f>
        <v>STELLA &amp; STEVE</v>
      </c>
      <c r="G390">
        <f>IFERROR(__xludf.DUMMYFUNCTION("""COMPUTED_VALUE"""),1.0)</f>
        <v>1</v>
      </c>
      <c r="H390" s="5">
        <f>IFERROR(__xludf.DUMMYFUNCTION("""COMPUTED_VALUE"""),0.15486111111022183)</f>
        <v>0.1548611111</v>
      </c>
    </row>
    <row r="391">
      <c r="A391" t="str">
        <f>IFERROR(__xludf.DUMMYFUNCTION("""COMPUTED_VALUE"""),"Bulgaria")</f>
        <v>Bulgaria</v>
      </c>
      <c r="B391" t="str">
        <f>IFERROR(__xludf.DUMMYFUNCTION("""COMPUTED_VALUE"""),"Europe")</f>
        <v>Europe</v>
      </c>
      <c r="C391">
        <f>IFERROR(__xludf.DUMMYFUNCTION("""COMPUTED_VALUE"""),40.0)</f>
        <v>40</v>
      </c>
      <c r="D391" t="str">
        <f>IFERROR(__xludf.DUMMYFUNCTION("""COMPUTED_VALUE"""),"What do you think?")</f>
        <v>What do you think?</v>
      </c>
      <c r="E391" t="str">
        <f>IFERROR(__xludf.DUMMYFUNCTION("""COMPUTED_VALUE"""),"Agust D")</f>
        <v>Agust D</v>
      </c>
      <c r="F391" t="str">
        <f>IFERROR(__xludf.DUMMYFUNCTION("""COMPUTED_VALUE"""),"D-2")</f>
        <v>D-2</v>
      </c>
      <c r="G391">
        <f>IFERROR(__xludf.DUMMYFUNCTION("""COMPUTED_VALUE"""),1.0)</f>
        <v>1</v>
      </c>
      <c r="H391" s="5">
        <f>IFERROR(__xludf.DUMMYFUNCTION("""COMPUTED_VALUE"""),0.12638888888977817)</f>
        <v>0.1263888889</v>
      </c>
    </row>
    <row r="392">
      <c r="A392" t="str">
        <f>IFERROR(__xludf.DUMMYFUNCTION("""COMPUTED_VALUE"""),"Bulgaria")</f>
        <v>Bulgaria</v>
      </c>
      <c r="B392" t="str">
        <f>IFERROR(__xludf.DUMMYFUNCTION("""COMPUTED_VALUE"""),"Europe")</f>
        <v>Europe</v>
      </c>
      <c r="C392">
        <f>IFERROR(__xludf.DUMMYFUNCTION("""COMPUTED_VALUE"""),41.0)</f>
        <v>41</v>
      </c>
      <c r="D392" t="str">
        <f>IFERROR(__xludf.DUMMYFUNCTION("""COMPUTED_VALUE"""),"Say So (feat. Nicki Minaj)")</f>
        <v>Say So (feat. Nicki Minaj)</v>
      </c>
      <c r="E392" t="str">
        <f>IFERROR(__xludf.DUMMYFUNCTION("""COMPUTED_VALUE"""),"Doja Cat, Nicki Minaj")</f>
        <v>Doja Cat, Nicki Minaj</v>
      </c>
      <c r="F392" t="str">
        <f>IFERROR(__xludf.DUMMYFUNCTION("""COMPUTED_VALUE"""),"Say So (feat. Nicki Minaj)")</f>
        <v>Say So (feat. Nicki Minaj)</v>
      </c>
      <c r="G392">
        <f>IFERROR(__xludf.DUMMYFUNCTION("""COMPUTED_VALUE"""),1.0)</f>
        <v>1</v>
      </c>
      <c r="H392" s="5">
        <f>IFERROR(__xludf.DUMMYFUNCTION("""COMPUTED_VALUE"""),0.1430555555562023)</f>
        <v>0.1430555556</v>
      </c>
    </row>
    <row r="393">
      <c r="A393" t="str">
        <f>IFERROR(__xludf.DUMMYFUNCTION("""COMPUTED_VALUE"""),"Bulgaria")</f>
        <v>Bulgaria</v>
      </c>
      <c r="B393" t="str">
        <f>IFERROR(__xludf.DUMMYFUNCTION("""COMPUTED_VALUE"""),"Europe")</f>
        <v>Europe</v>
      </c>
      <c r="C393">
        <f>IFERROR(__xludf.DUMMYFUNCTION("""COMPUTED_VALUE"""),42.0)</f>
        <v>42</v>
      </c>
      <c r="D393" t="str">
        <f>IFERROR(__xludf.DUMMYFUNCTION("""COMPUTED_VALUE"""),"Burn It")</f>
        <v>Burn It</v>
      </c>
      <c r="E393" t="str">
        <f>IFERROR(__xludf.DUMMYFUNCTION("""COMPUTED_VALUE"""),"Agust D, MAX")</f>
        <v>Agust D, MAX</v>
      </c>
      <c r="F393" t="str">
        <f>IFERROR(__xludf.DUMMYFUNCTION("""COMPUTED_VALUE"""),"D-2")</f>
        <v>D-2</v>
      </c>
      <c r="G393">
        <f>IFERROR(__xludf.DUMMYFUNCTION("""COMPUTED_VALUE"""),0.0)</f>
        <v>0</v>
      </c>
      <c r="H393" s="5">
        <f>IFERROR(__xludf.DUMMYFUNCTION("""COMPUTED_VALUE"""),0.13333333333503106)</f>
        <v>0.1333333333</v>
      </c>
    </row>
    <row r="394">
      <c r="A394" t="str">
        <f>IFERROR(__xludf.DUMMYFUNCTION("""COMPUTED_VALUE"""),"Bulgaria")</f>
        <v>Bulgaria</v>
      </c>
      <c r="B394" t="str">
        <f>IFERROR(__xludf.DUMMYFUNCTION("""COMPUTED_VALUE"""),"Europe")</f>
        <v>Europe</v>
      </c>
      <c r="C394">
        <f>IFERROR(__xludf.DUMMYFUNCTION("""COMPUTED_VALUE"""),43.0)</f>
        <v>43</v>
      </c>
      <c r="D394" t="str">
        <f>IFERROR(__xludf.DUMMYFUNCTION("""COMPUTED_VALUE"""),"KISLOROD")</f>
        <v>KISLOROD</v>
      </c>
      <c r="E394" t="str">
        <f>IFERROR(__xludf.DUMMYFUNCTION("""COMPUTED_VALUE"""),"V:RGO")</f>
        <v>V:RGO</v>
      </c>
      <c r="F394" t="str">
        <f>IFERROR(__xludf.DUMMYFUNCTION("""COMPUTED_VALUE"""),"ENERGY EP")</f>
        <v>ENERGY EP</v>
      </c>
      <c r="G394">
        <f>IFERROR(__xludf.DUMMYFUNCTION("""COMPUTED_VALUE"""),1.0)</f>
        <v>1</v>
      </c>
      <c r="H394" s="5">
        <f>IFERROR(__xludf.DUMMYFUNCTION("""COMPUTED_VALUE"""),0.12986111111240461)</f>
        <v>0.1298611111</v>
      </c>
    </row>
    <row r="395">
      <c r="A395" t="str">
        <f>IFERROR(__xludf.DUMMYFUNCTION("""COMPUTED_VALUE"""),"Bulgaria")</f>
        <v>Bulgaria</v>
      </c>
      <c r="B395" t="str">
        <f>IFERROR(__xludf.DUMMYFUNCTION("""COMPUTED_VALUE"""),"Europe")</f>
        <v>Europe</v>
      </c>
      <c r="C395">
        <f>IFERROR(__xludf.DUMMYFUNCTION("""COMPUTED_VALUE"""),44.0)</f>
        <v>44</v>
      </c>
      <c r="D395" t="str">
        <f>IFERROR(__xludf.DUMMYFUNCTION("""COMPUTED_VALUE"""),"Piyan")</f>
        <v>Piyan</v>
      </c>
      <c r="E395" t="str">
        <f>IFERROR(__xludf.DUMMYFUNCTION("""COMPUTED_VALUE"""),"Preslava")</f>
        <v>Preslava</v>
      </c>
      <c r="F395" t="str">
        <f>IFERROR(__xludf.DUMMYFUNCTION("""COMPUTED_VALUE"""),"Da gori v lyubov")</f>
        <v>Da gori v lyubov</v>
      </c>
      <c r="G395">
        <f>IFERROR(__xludf.DUMMYFUNCTION("""COMPUTED_VALUE"""),0.0)</f>
        <v>0</v>
      </c>
      <c r="H395" s="5">
        <f>IFERROR(__xludf.DUMMYFUNCTION("""COMPUTED_VALUE"""),0.15763888888977817)</f>
        <v>0.1576388889</v>
      </c>
    </row>
    <row r="396">
      <c r="A396" t="str">
        <f>IFERROR(__xludf.DUMMYFUNCTION("""COMPUTED_VALUE"""),"Bulgaria")</f>
        <v>Bulgaria</v>
      </c>
      <c r="B396" t="str">
        <f>IFERROR(__xludf.DUMMYFUNCTION("""COMPUTED_VALUE"""),"Europe")</f>
        <v>Europe</v>
      </c>
      <c r="C396">
        <f>IFERROR(__xludf.DUMMYFUNCTION("""COMPUTED_VALUE"""),45.0)</f>
        <v>45</v>
      </c>
      <c r="D396" t="str">
        <f>IFERROR(__xludf.DUMMYFUNCTION("""COMPUTED_VALUE"""),"everything i wanted")</f>
        <v>everything i wanted</v>
      </c>
      <c r="E396" t="str">
        <f>IFERROR(__xludf.DUMMYFUNCTION("""COMPUTED_VALUE"""),"Billie Eilish")</f>
        <v>Billie Eilish</v>
      </c>
      <c r="F396" t="str">
        <f>IFERROR(__xludf.DUMMYFUNCTION("""COMPUTED_VALUE"""),"everything i wanted")</f>
        <v>everything i wanted</v>
      </c>
      <c r="G396">
        <f>IFERROR(__xludf.DUMMYFUNCTION("""COMPUTED_VALUE"""),0.0)</f>
        <v>0</v>
      </c>
      <c r="H396" s="5">
        <f>IFERROR(__xludf.DUMMYFUNCTION("""COMPUTED_VALUE"""),0.17013888889050577)</f>
        <v>0.1701388889</v>
      </c>
    </row>
    <row r="397">
      <c r="A397" t="str">
        <f>IFERROR(__xludf.DUMMYFUNCTION("""COMPUTED_VALUE"""),"Bulgaria")</f>
        <v>Bulgaria</v>
      </c>
      <c r="B397" t="str">
        <f>IFERROR(__xludf.DUMMYFUNCTION("""COMPUTED_VALUE"""),"Europe")</f>
        <v>Europe</v>
      </c>
      <c r="C397">
        <f>IFERROR(__xludf.DUMMYFUNCTION("""COMPUTED_VALUE"""),46.0)</f>
        <v>46</v>
      </c>
      <c r="D397" t="str">
        <f>IFERROR(__xludf.DUMMYFUNCTION("""COMPUTED_VALUE"""),"Señorita")</f>
        <v>Señorita</v>
      </c>
      <c r="E397" t="str">
        <f>IFERROR(__xludf.DUMMYFUNCTION("""COMPUTED_VALUE"""),"Shawn Mendes, Camila Cabello")</f>
        <v>Shawn Mendes, Camila Cabello</v>
      </c>
      <c r="F397" t="str">
        <f>IFERROR(__xludf.DUMMYFUNCTION("""COMPUTED_VALUE"""),"Shawn Mendes (Deluxe)")</f>
        <v>Shawn Mendes (Deluxe)</v>
      </c>
      <c r="G397">
        <f>IFERROR(__xludf.DUMMYFUNCTION("""COMPUTED_VALUE"""),0.0)</f>
        <v>0</v>
      </c>
      <c r="H397" s="5">
        <f>IFERROR(__xludf.DUMMYFUNCTION("""COMPUTED_VALUE"""),0.13194444444525288)</f>
        <v>0.1319444444</v>
      </c>
    </row>
    <row r="398">
      <c r="A398" t="str">
        <f>IFERROR(__xludf.DUMMYFUNCTION("""COMPUTED_VALUE"""),"Bulgaria")</f>
        <v>Bulgaria</v>
      </c>
      <c r="B398" t="str">
        <f>IFERROR(__xludf.DUMMYFUNCTION("""COMPUTED_VALUE"""),"Europe")</f>
        <v>Europe</v>
      </c>
      <c r="C398">
        <f>IFERROR(__xludf.DUMMYFUNCTION("""COMPUTED_VALUE"""),47.0)</f>
        <v>47</v>
      </c>
      <c r="D398" t="str">
        <f>IFERROR(__xludf.DUMMYFUNCTION("""COMPUTED_VALUE"""),"Adore You")</f>
        <v>Adore You</v>
      </c>
      <c r="E398" t="str">
        <f>IFERROR(__xludf.DUMMYFUNCTION("""COMPUTED_VALUE"""),"Harry Styles")</f>
        <v>Harry Styles</v>
      </c>
      <c r="F398" t="str">
        <f>IFERROR(__xludf.DUMMYFUNCTION("""COMPUTED_VALUE"""),"Fine Line")</f>
        <v>Fine Line</v>
      </c>
      <c r="G398">
        <f>IFERROR(__xludf.DUMMYFUNCTION("""COMPUTED_VALUE"""),0.0)</f>
        <v>0</v>
      </c>
      <c r="H398" s="5">
        <f>IFERROR(__xludf.DUMMYFUNCTION("""COMPUTED_VALUE"""),0.1437499999992724)</f>
        <v>0.14375</v>
      </c>
    </row>
    <row r="399">
      <c r="A399" t="str">
        <f>IFERROR(__xludf.DUMMYFUNCTION("""COMPUTED_VALUE"""),"Bulgaria")</f>
        <v>Bulgaria</v>
      </c>
      <c r="B399" t="str">
        <f>IFERROR(__xludf.DUMMYFUNCTION("""COMPUTED_VALUE"""),"Europe")</f>
        <v>Europe</v>
      </c>
      <c r="C399">
        <f>IFERROR(__xludf.DUMMYFUNCTION("""COMPUTED_VALUE"""),48.0)</f>
        <v>48</v>
      </c>
      <c r="D399" t="str">
        <f>IFERROR(__xludf.DUMMYFUNCTION("""COMPUTED_VALUE"""),"Don Omar")</f>
        <v>Don Omar</v>
      </c>
      <c r="E399" t="str">
        <f>IFERROR(__xludf.DUMMYFUNCTION("""COMPUTED_VALUE"""),"EMIL TRF")</f>
        <v>EMIL TRF</v>
      </c>
      <c r="F399" t="str">
        <f>IFERROR(__xludf.DUMMYFUNCTION("""COMPUTED_VALUE"""),"Don Omar")</f>
        <v>Don Omar</v>
      </c>
      <c r="G399">
        <f>IFERROR(__xludf.DUMMYFUNCTION("""COMPUTED_VALUE"""),0.0)</f>
        <v>0</v>
      </c>
      <c r="H399" s="5">
        <f>IFERROR(__xludf.DUMMYFUNCTION("""COMPUTED_VALUE"""),0.12291666666715173)</f>
        <v>0.1229166667</v>
      </c>
    </row>
    <row r="400">
      <c r="A400" t="str">
        <f>IFERROR(__xludf.DUMMYFUNCTION("""COMPUTED_VALUE"""),"Bulgaria")</f>
        <v>Bulgaria</v>
      </c>
      <c r="B400" t="str">
        <f>IFERROR(__xludf.DUMMYFUNCTION("""COMPUTED_VALUE"""),"Europe")</f>
        <v>Europe</v>
      </c>
      <c r="C400">
        <f>IFERROR(__xludf.DUMMYFUNCTION("""COMPUTED_VALUE"""),49.0)</f>
        <v>49</v>
      </c>
      <c r="D400" t="str">
        <f>IFERROR(__xludf.DUMMYFUNCTION("""COMPUTED_VALUE"""),"Strange")</f>
        <v>Strange</v>
      </c>
      <c r="E400" t="str">
        <f>IFERROR(__xludf.DUMMYFUNCTION("""COMPUTED_VALUE"""),"Agust D, RM")</f>
        <v>Agust D, RM</v>
      </c>
      <c r="F400" t="str">
        <f>IFERROR(__xludf.DUMMYFUNCTION("""COMPUTED_VALUE"""),"D-2")</f>
        <v>D-2</v>
      </c>
      <c r="G400">
        <f>IFERROR(__xludf.DUMMYFUNCTION("""COMPUTED_VALUE"""),0.0)</f>
        <v>0</v>
      </c>
      <c r="H400" s="5">
        <f>IFERROR(__xludf.DUMMYFUNCTION("""COMPUTED_VALUE"""),0.13611111111094942)</f>
        <v>0.1361111111</v>
      </c>
    </row>
    <row r="401">
      <c r="A401" t="str">
        <f>IFERROR(__xludf.DUMMYFUNCTION("""COMPUTED_VALUE"""),"Bulgaria")</f>
        <v>Bulgaria</v>
      </c>
      <c r="B401" t="str">
        <f>IFERROR(__xludf.DUMMYFUNCTION("""COMPUTED_VALUE"""),"Europe")</f>
        <v>Europe</v>
      </c>
      <c r="C401">
        <f>IFERROR(__xludf.DUMMYFUNCTION("""COMPUTED_VALUE"""),50.0)</f>
        <v>50</v>
      </c>
      <c r="D401" t="str">
        <f>IFERROR(__xludf.DUMMYFUNCTION("""COMPUTED_VALUE"""),"Lamborghini")</f>
        <v>Lamborghini</v>
      </c>
      <c r="E401" t="str">
        <f>IFERROR(__xludf.DUMMYFUNCTION("""COMPUTED_VALUE"""),"Galena, Fiki")</f>
        <v>Galena, Fiki</v>
      </c>
      <c r="F401" t="str">
        <f>IFERROR(__xludf.DUMMYFUNCTION("""COMPUTED_VALUE"""),"Lamborghini")</f>
        <v>Lamborghini</v>
      </c>
      <c r="G401">
        <f>IFERROR(__xludf.DUMMYFUNCTION("""COMPUTED_VALUE"""),0.0)</f>
        <v>0</v>
      </c>
      <c r="H401" s="5">
        <f>IFERROR(__xludf.DUMMYFUNCTION("""COMPUTED_VALUE"""),0.14513888888905058)</f>
        <v>0.1451388889</v>
      </c>
    </row>
    <row r="402">
      <c r="A402" t="str">
        <f>IFERROR(__xludf.DUMMYFUNCTION("""COMPUTED_VALUE"""),"Canada")</f>
        <v>Canada</v>
      </c>
      <c r="B402" t="str">
        <f>IFERROR(__xludf.DUMMYFUNCTION("""COMPUTED_VALUE"""),"North America")</f>
        <v>North America</v>
      </c>
      <c r="C402">
        <f>IFERROR(__xludf.DUMMYFUNCTION("""COMPUTED_VALUE"""),1.0)</f>
        <v>1</v>
      </c>
      <c r="D402" t="str">
        <f>IFERROR(__xludf.DUMMYFUNCTION("""COMPUTED_VALUE"""),"ROCKSTAR (feat. Roddy Ricch)")</f>
        <v>ROCKSTAR (feat. Roddy Ricch)</v>
      </c>
      <c r="E402" t="str">
        <f>IFERROR(__xludf.DUMMYFUNCTION("""COMPUTED_VALUE"""),"DaBaby, Roddy Ricch")</f>
        <v>DaBaby, Roddy Ricch</v>
      </c>
      <c r="F402" t="str">
        <f>IFERROR(__xludf.DUMMYFUNCTION("""COMPUTED_VALUE"""),"BLAME IT ON BABY")</f>
        <v>BLAME IT ON BABY</v>
      </c>
      <c r="G402">
        <f>IFERROR(__xludf.DUMMYFUNCTION("""COMPUTED_VALUE"""),1.0)</f>
        <v>1</v>
      </c>
      <c r="H402" s="5">
        <f>IFERROR(__xludf.DUMMYFUNCTION("""COMPUTED_VALUE"""),0.1256944444430701)</f>
        <v>0.1256944444</v>
      </c>
    </row>
    <row r="403">
      <c r="A403" t="str">
        <f>IFERROR(__xludf.DUMMYFUNCTION("""COMPUTED_VALUE"""),"Canada")</f>
        <v>Canada</v>
      </c>
      <c r="B403" t="str">
        <f>IFERROR(__xludf.DUMMYFUNCTION("""COMPUTED_VALUE"""),"North America")</f>
        <v>North America</v>
      </c>
      <c r="C403">
        <f>IFERROR(__xludf.DUMMYFUNCTION("""COMPUTED_VALUE"""),2.0)</f>
        <v>2</v>
      </c>
      <c r="D403" t="str">
        <f>IFERROR(__xludf.DUMMYFUNCTION("""COMPUTED_VALUE"""),"Rain On Me (with Ariana Grande)")</f>
        <v>Rain On Me (with Ariana Grande)</v>
      </c>
      <c r="E403" t="str">
        <f>IFERROR(__xludf.DUMMYFUNCTION("""COMPUTED_VALUE"""),"Lady Gaga, Ariana Grande")</f>
        <v>Lady Gaga, Ariana Grande</v>
      </c>
      <c r="F403" t="str">
        <f>IFERROR(__xludf.DUMMYFUNCTION("""COMPUTED_VALUE"""),"Rain On Me (with Ariana Grande)")</f>
        <v>Rain On Me (with Ariana Grande)</v>
      </c>
      <c r="G403">
        <f>IFERROR(__xludf.DUMMYFUNCTION("""COMPUTED_VALUE"""),0.0)</f>
        <v>0</v>
      </c>
      <c r="H403" s="5">
        <f>IFERROR(__xludf.DUMMYFUNCTION("""COMPUTED_VALUE"""),0.12638888888977817)</f>
        <v>0.1263888889</v>
      </c>
    </row>
    <row r="404">
      <c r="A404" t="str">
        <f>IFERROR(__xludf.DUMMYFUNCTION("""COMPUTED_VALUE"""),"Canada")</f>
        <v>Canada</v>
      </c>
      <c r="B404" t="str">
        <f>IFERROR(__xludf.DUMMYFUNCTION("""COMPUTED_VALUE"""),"North America")</f>
        <v>North America</v>
      </c>
      <c r="C404">
        <f>IFERROR(__xludf.DUMMYFUNCTION("""COMPUTED_VALUE"""),3.0)</f>
        <v>3</v>
      </c>
      <c r="D404" t="str">
        <f>IFERROR(__xludf.DUMMYFUNCTION("""COMPUTED_VALUE"""),"Roses - Imanbek Remix")</f>
        <v>Roses - Imanbek Remix</v>
      </c>
      <c r="E404" t="str">
        <f>IFERROR(__xludf.DUMMYFUNCTION("""COMPUTED_VALUE"""),"SAINt JHN, Imanbek")</f>
        <v>SAINt JHN, Imanbek</v>
      </c>
      <c r="F404" t="str">
        <f>IFERROR(__xludf.DUMMYFUNCTION("""COMPUTED_VALUE"""),"Roses (Imanbek Remix)")</f>
        <v>Roses (Imanbek Remix)</v>
      </c>
      <c r="G404">
        <f>IFERROR(__xludf.DUMMYFUNCTION("""COMPUTED_VALUE"""),1.0)</f>
        <v>1</v>
      </c>
      <c r="H404" s="5">
        <f>IFERROR(__xludf.DUMMYFUNCTION("""COMPUTED_VALUE"""),0.12222222222044365)</f>
        <v>0.1222222222</v>
      </c>
    </row>
    <row r="405">
      <c r="A405" t="str">
        <f>IFERROR(__xludf.DUMMYFUNCTION("""COMPUTED_VALUE"""),"Canada")</f>
        <v>Canada</v>
      </c>
      <c r="B405" t="str">
        <f>IFERROR(__xludf.DUMMYFUNCTION("""COMPUTED_VALUE"""),"North America")</f>
        <v>North America</v>
      </c>
      <c r="C405">
        <f>IFERROR(__xludf.DUMMYFUNCTION("""COMPUTED_VALUE"""),4.0)</f>
        <v>4</v>
      </c>
      <c r="D405" t="str">
        <f>IFERROR(__xludf.DUMMYFUNCTION("""COMPUTED_VALUE"""),"Blinding Lights")</f>
        <v>Blinding Lights</v>
      </c>
      <c r="E405" t="str">
        <f>IFERROR(__xludf.DUMMYFUNCTION("""COMPUTED_VALUE"""),"The Weeknd")</f>
        <v>The Weeknd</v>
      </c>
      <c r="F405" t="str">
        <f>IFERROR(__xludf.DUMMYFUNCTION("""COMPUTED_VALUE"""),"After Hours")</f>
        <v>After Hours</v>
      </c>
      <c r="G405">
        <f>IFERROR(__xludf.DUMMYFUNCTION("""COMPUTED_VALUE"""),0.0)</f>
        <v>0</v>
      </c>
      <c r="H405" s="5">
        <f>IFERROR(__xludf.DUMMYFUNCTION("""COMPUTED_VALUE"""),0.13888888889050577)</f>
        <v>0.1388888889</v>
      </c>
    </row>
    <row r="406">
      <c r="A406" t="str">
        <f>IFERROR(__xludf.DUMMYFUNCTION("""COMPUTED_VALUE"""),"Canada")</f>
        <v>Canada</v>
      </c>
      <c r="B406" t="str">
        <f>IFERROR(__xludf.DUMMYFUNCTION("""COMPUTED_VALUE"""),"North America")</f>
        <v>North America</v>
      </c>
      <c r="C406">
        <f>IFERROR(__xludf.DUMMYFUNCTION("""COMPUTED_VALUE"""),5.0)</f>
        <v>5</v>
      </c>
      <c r="D406" t="str">
        <f>IFERROR(__xludf.DUMMYFUNCTION("""COMPUTED_VALUE"""),"THE SCOTTS")</f>
        <v>THE SCOTTS</v>
      </c>
      <c r="E406" t="str">
        <f>IFERROR(__xludf.DUMMYFUNCTION("""COMPUTED_VALUE"""),"THE SCOTTS, Travis Scott, Kid Cudi")</f>
        <v>THE SCOTTS, Travis Scott, Kid Cudi</v>
      </c>
      <c r="F406" t="str">
        <f>IFERROR(__xludf.DUMMYFUNCTION("""COMPUTED_VALUE"""),"THE SCOTTS")</f>
        <v>THE SCOTTS</v>
      </c>
      <c r="G406">
        <f>IFERROR(__xludf.DUMMYFUNCTION("""COMPUTED_VALUE"""),1.0)</f>
        <v>1</v>
      </c>
      <c r="H406" s="5">
        <f>IFERROR(__xludf.DUMMYFUNCTION("""COMPUTED_VALUE"""),0.11458333333212067)</f>
        <v>0.1145833333</v>
      </c>
    </row>
    <row r="407">
      <c r="A407" t="str">
        <f>IFERROR(__xludf.DUMMYFUNCTION("""COMPUTED_VALUE"""),"Canada")</f>
        <v>Canada</v>
      </c>
      <c r="B407" t="str">
        <f>IFERROR(__xludf.DUMMYFUNCTION("""COMPUTED_VALUE"""),"North America")</f>
        <v>North America</v>
      </c>
      <c r="C407">
        <f>IFERROR(__xludf.DUMMYFUNCTION("""COMPUTED_VALUE"""),6.0)</f>
        <v>6</v>
      </c>
      <c r="D407" t="str">
        <f>IFERROR(__xludf.DUMMYFUNCTION("""COMPUTED_VALUE"""),"Toosie Slide")</f>
        <v>Toosie Slide</v>
      </c>
      <c r="E407" t="str">
        <f>IFERROR(__xludf.DUMMYFUNCTION("""COMPUTED_VALUE"""),"Drake")</f>
        <v>Drake</v>
      </c>
      <c r="F407" t="str">
        <f>IFERROR(__xludf.DUMMYFUNCTION("""COMPUTED_VALUE"""),"Dark Lane Demo Tapes")</f>
        <v>Dark Lane Demo Tapes</v>
      </c>
      <c r="G407">
        <f>IFERROR(__xludf.DUMMYFUNCTION("""COMPUTED_VALUE"""),1.0)</f>
        <v>1</v>
      </c>
      <c r="H407" s="5">
        <f>IFERROR(__xludf.DUMMYFUNCTION("""COMPUTED_VALUE"""),0.17152777777664596)</f>
        <v>0.1715277778</v>
      </c>
    </row>
    <row r="408">
      <c r="A408" t="str">
        <f>IFERROR(__xludf.DUMMYFUNCTION("""COMPUTED_VALUE"""),"Canada")</f>
        <v>Canada</v>
      </c>
      <c r="B408" t="str">
        <f>IFERROR(__xludf.DUMMYFUNCTION("""COMPUTED_VALUE"""),"North America")</f>
        <v>North America</v>
      </c>
      <c r="C408">
        <f>IFERROR(__xludf.DUMMYFUNCTION("""COMPUTED_VALUE"""),7.0)</f>
        <v>7</v>
      </c>
      <c r="D408" t="str">
        <f>IFERROR(__xludf.DUMMYFUNCTION("""COMPUTED_VALUE"""),"Blueberry Faygo")</f>
        <v>Blueberry Faygo</v>
      </c>
      <c r="E408" t="str">
        <f>IFERROR(__xludf.DUMMYFUNCTION("""COMPUTED_VALUE"""),"Lil Mosey")</f>
        <v>Lil Mosey</v>
      </c>
      <c r="F408" t="str">
        <f>IFERROR(__xludf.DUMMYFUNCTION("""COMPUTED_VALUE"""),"Certified Hitmaker")</f>
        <v>Certified Hitmaker</v>
      </c>
      <c r="G408">
        <f>IFERROR(__xludf.DUMMYFUNCTION("""COMPUTED_VALUE"""),1.0)</f>
        <v>1</v>
      </c>
      <c r="H408" s="5">
        <f>IFERROR(__xludf.DUMMYFUNCTION("""COMPUTED_VALUE"""),0.1124999999992724)</f>
        <v>0.1125</v>
      </c>
    </row>
    <row r="409">
      <c r="A409" t="str">
        <f>IFERROR(__xludf.DUMMYFUNCTION("""COMPUTED_VALUE"""),"Canada")</f>
        <v>Canada</v>
      </c>
      <c r="B409" t="str">
        <f>IFERROR(__xludf.DUMMYFUNCTION("""COMPUTED_VALUE"""),"North America")</f>
        <v>North America</v>
      </c>
      <c r="C409">
        <f>IFERROR(__xludf.DUMMYFUNCTION("""COMPUTED_VALUE"""),8.0)</f>
        <v>8</v>
      </c>
      <c r="D409" t="str">
        <f>IFERROR(__xludf.DUMMYFUNCTION("""COMPUTED_VALUE"""),"Stuck with U (with Justin Bieber)")</f>
        <v>Stuck with U (with Justin Bieber)</v>
      </c>
      <c r="E409" t="str">
        <f>IFERROR(__xludf.DUMMYFUNCTION("""COMPUTED_VALUE"""),"Ariana Grande, Justin Bieber")</f>
        <v>Ariana Grande, Justin Bieber</v>
      </c>
      <c r="F409" t="str">
        <f>IFERROR(__xludf.DUMMYFUNCTION("""COMPUTED_VALUE"""),"Stuck with U")</f>
        <v>Stuck with U</v>
      </c>
      <c r="G409">
        <f>IFERROR(__xludf.DUMMYFUNCTION("""COMPUTED_VALUE"""),0.0)</f>
        <v>0</v>
      </c>
      <c r="H409" s="5">
        <f>IFERROR(__xludf.DUMMYFUNCTION("""COMPUTED_VALUE"""),0.15833333333284827)</f>
        <v>0.1583333333</v>
      </c>
    </row>
    <row r="410">
      <c r="A410" t="str">
        <f>IFERROR(__xludf.DUMMYFUNCTION("""COMPUTED_VALUE"""),"Canada")</f>
        <v>Canada</v>
      </c>
      <c r="B410" t="str">
        <f>IFERROR(__xludf.DUMMYFUNCTION("""COMPUTED_VALUE"""),"North America")</f>
        <v>North America</v>
      </c>
      <c r="C410">
        <f>IFERROR(__xludf.DUMMYFUNCTION("""COMPUTED_VALUE"""),9.0)</f>
        <v>9</v>
      </c>
      <c r="D410" t="str">
        <f>IFERROR(__xludf.DUMMYFUNCTION("""COMPUTED_VALUE"""),"death bed (coffee for your head) (feat. beabadoobee)")</f>
        <v>death bed (coffee for your head) (feat. beabadoobee)</v>
      </c>
      <c r="E410" t="str">
        <f>IFERROR(__xludf.DUMMYFUNCTION("""COMPUTED_VALUE"""),"Powfu, beabadoobee")</f>
        <v>Powfu, beabadoobee</v>
      </c>
      <c r="F410" t="str">
        <f>IFERROR(__xludf.DUMMYFUNCTION("""COMPUTED_VALUE"""),"death bed (coffee for your head) (feat. beabadoobee)")</f>
        <v>death bed (coffee for your head) (feat. beabadoobee)</v>
      </c>
      <c r="G410">
        <f>IFERROR(__xludf.DUMMYFUNCTION("""COMPUTED_VALUE"""),0.0)</f>
        <v>0</v>
      </c>
      <c r="H410" s="5">
        <f>IFERROR(__xludf.DUMMYFUNCTION("""COMPUTED_VALUE"""),0.12013888888759539)</f>
        <v>0.1201388889</v>
      </c>
    </row>
    <row r="411">
      <c r="A411" t="str">
        <f>IFERROR(__xludf.DUMMYFUNCTION("""COMPUTED_VALUE"""),"Canada")</f>
        <v>Canada</v>
      </c>
      <c r="B411" t="str">
        <f>IFERROR(__xludf.DUMMYFUNCTION("""COMPUTED_VALUE"""),"North America")</f>
        <v>North America</v>
      </c>
      <c r="C411">
        <f>IFERROR(__xludf.DUMMYFUNCTION("""COMPUTED_VALUE"""),10.0)</f>
        <v>10</v>
      </c>
      <c r="D411" t="str">
        <f>IFERROR(__xludf.DUMMYFUNCTION("""COMPUTED_VALUE"""),"The Box")</f>
        <v>The Box</v>
      </c>
      <c r="E411" t="str">
        <f>IFERROR(__xludf.DUMMYFUNCTION("""COMPUTED_VALUE"""),"Roddy Ricch")</f>
        <v>Roddy Ricch</v>
      </c>
      <c r="F411" t="str">
        <f>IFERROR(__xludf.DUMMYFUNCTION("""COMPUTED_VALUE"""),"Please Excuse Me For Being Antisocial")</f>
        <v>Please Excuse Me For Being Antisocial</v>
      </c>
      <c r="G411">
        <f>IFERROR(__xludf.DUMMYFUNCTION("""COMPUTED_VALUE"""),1.0)</f>
        <v>1</v>
      </c>
      <c r="H411" s="5">
        <f>IFERROR(__xludf.DUMMYFUNCTION("""COMPUTED_VALUE"""),0.13611111111094942)</f>
        <v>0.1361111111</v>
      </c>
    </row>
    <row r="412">
      <c r="A412" t="str">
        <f>IFERROR(__xludf.DUMMYFUNCTION("""COMPUTED_VALUE"""),"Canada")</f>
        <v>Canada</v>
      </c>
      <c r="B412" t="str">
        <f>IFERROR(__xludf.DUMMYFUNCTION("""COMPUTED_VALUE"""),"North America")</f>
        <v>North America</v>
      </c>
      <c r="C412">
        <f>IFERROR(__xludf.DUMMYFUNCTION("""COMPUTED_VALUE"""),11.0)</f>
        <v>11</v>
      </c>
      <c r="D412" t="str">
        <f>IFERROR(__xludf.DUMMYFUNCTION("""COMPUTED_VALUE"""),"Dance Monkey")</f>
        <v>Dance Monkey</v>
      </c>
      <c r="E412" t="str">
        <f>IFERROR(__xludf.DUMMYFUNCTION("""COMPUTED_VALUE"""),"Tones And I")</f>
        <v>Tones And I</v>
      </c>
      <c r="F412" t="str">
        <f>IFERROR(__xludf.DUMMYFUNCTION("""COMPUTED_VALUE"""),"Dance Monkey (Stripped Back) / Dance Monkey")</f>
        <v>Dance Monkey (Stripped Back) / Dance Monkey</v>
      </c>
      <c r="G412">
        <f>IFERROR(__xludf.DUMMYFUNCTION("""COMPUTED_VALUE"""),0.0)</f>
        <v>0</v>
      </c>
      <c r="H412" s="5">
        <f>IFERROR(__xludf.DUMMYFUNCTION("""COMPUTED_VALUE"""),0.14513888888905058)</f>
        <v>0.1451388889</v>
      </c>
    </row>
    <row r="413">
      <c r="A413" t="str">
        <f>IFERROR(__xludf.DUMMYFUNCTION("""COMPUTED_VALUE"""),"Canada")</f>
        <v>Canada</v>
      </c>
      <c r="B413" t="str">
        <f>IFERROR(__xludf.DUMMYFUNCTION("""COMPUTED_VALUE"""),"North America")</f>
        <v>North America</v>
      </c>
      <c r="C413">
        <f>IFERROR(__xludf.DUMMYFUNCTION("""COMPUTED_VALUE"""),12.0)</f>
        <v>12</v>
      </c>
      <c r="D413" t="str">
        <f>IFERROR(__xludf.DUMMYFUNCTION("""COMPUTED_VALUE"""),"GOOBA")</f>
        <v>GOOBA</v>
      </c>
      <c r="E413" t="str">
        <f>IFERROR(__xludf.DUMMYFUNCTION("""COMPUTED_VALUE"""),"6ix9ine")</f>
        <v>6ix9ine</v>
      </c>
      <c r="F413" t="str">
        <f>IFERROR(__xludf.DUMMYFUNCTION("""COMPUTED_VALUE"""),"GOOBA")</f>
        <v>GOOBA</v>
      </c>
      <c r="G413">
        <f>IFERROR(__xludf.DUMMYFUNCTION("""COMPUTED_VALUE"""),1.0)</f>
        <v>1</v>
      </c>
      <c r="H413" s="5">
        <f>IFERROR(__xludf.DUMMYFUNCTION("""COMPUTED_VALUE"""),0.09166666666715173)</f>
        <v>0.09166666667</v>
      </c>
    </row>
    <row r="414">
      <c r="A414" t="str">
        <f>IFERROR(__xludf.DUMMYFUNCTION("""COMPUTED_VALUE"""),"Canada")</f>
        <v>Canada</v>
      </c>
      <c r="B414" t="str">
        <f>IFERROR(__xludf.DUMMYFUNCTION("""COMPUTED_VALUE"""),"North America")</f>
        <v>North America</v>
      </c>
      <c r="C414">
        <f>IFERROR(__xludf.DUMMYFUNCTION("""COMPUTED_VALUE"""),13.0)</f>
        <v>13</v>
      </c>
      <c r="D414" t="str">
        <f>IFERROR(__xludf.DUMMYFUNCTION("""COMPUTED_VALUE"""),"Don't Start Now")</f>
        <v>Don't Start Now</v>
      </c>
      <c r="E414" t="str">
        <f>IFERROR(__xludf.DUMMYFUNCTION("""COMPUTED_VALUE"""),"Dua Lipa")</f>
        <v>Dua Lipa</v>
      </c>
      <c r="F414" t="str">
        <f>IFERROR(__xludf.DUMMYFUNCTION("""COMPUTED_VALUE"""),"Future Nostalgia")</f>
        <v>Future Nostalgia</v>
      </c>
      <c r="G414">
        <f>IFERROR(__xludf.DUMMYFUNCTION("""COMPUTED_VALUE"""),0.0)</f>
        <v>0</v>
      </c>
      <c r="H414" s="5">
        <f>IFERROR(__xludf.DUMMYFUNCTION("""COMPUTED_VALUE"""),0.12708333333284827)</f>
        <v>0.1270833333</v>
      </c>
    </row>
    <row r="415">
      <c r="A415" t="str">
        <f>IFERROR(__xludf.DUMMYFUNCTION("""COMPUTED_VALUE"""),"Canada")</f>
        <v>Canada</v>
      </c>
      <c r="B415" t="str">
        <f>IFERROR(__xludf.DUMMYFUNCTION("""COMPUTED_VALUE"""),"North America")</f>
        <v>North America</v>
      </c>
      <c r="C415">
        <f>IFERROR(__xludf.DUMMYFUNCTION("""COMPUTED_VALUE"""),14.0)</f>
        <v>14</v>
      </c>
      <c r="D415" t="str">
        <f>IFERROR(__xludf.DUMMYFUNCTION("""COMPUTED_VALUE"""),"Intentions (feat. Quavo)")</f>
        <v>Intentions (feat. Quavo)</v>
      </c>
      <c r="E415" t="str">
        <f>IFERROR(__xludf.DUMMYFUNCTION("""COMPUTED_VALUE"""),"Justin Bieber, Quavo")</f>
        <v>Justin Bieber, Quavo</v>
      </c>
      <c r="F415" t="str">
        <f>IFERROR(__xludf.DUMMYFUNCTION("""COMPUTED_VALUE"""),"Changes")</f>
        <v>Changes</v>
      </c>
      <c r="G415">
        <f>IFERROR(__xludf.DUMMYFUNCTION("""COMPUTED_VALUE"""),0.0)</f>
        <v>0</v>
      </c>
      <c r="H415" s="5">
        <f>IFERROR(__xludf.DUMMYFUNCTION("""COMPUTED_VALUE"""),0.14722222222189885)</f>
        <v>0.1472222222</v>
      </c>
    </row>
    <row r="416">
      <c r="A416" t="str">
        <f>IFERROR(__xludf.DUMMYFUNCTION("""COMPUTED_VALUE"""),"Canada")</f>
        <v>Canada</v>
      </c>
      <c r="B416" t="str">
        <f>IFERROR(__xludf.DUMMYFUNCTION("""COMPUTED_VALUE"""),"North America")</f>
        <v>North America</v>
      </c>
      <c r="C416">
        <f>IFERROR(__xludf.DUMMYFUNCTION("""COMPUTED_VALUE"""),15.0)</f>
        <v>15</v>
      </c>
      <c r="D416" t="str">
        <f>IFERROR(__xludf.DUMMYFUNCTION("""COMPUTED_VALUE"""),"Party Girl")</f>
        <v>Party Girl</v>
      </c>
      <c r="E416" t="str">
        <f>IFERROR(__xludf.DUMMYFUNCTION("""COMPUTED_VALUE"""),"StaySolidRocky")</f>
        <v>StaySolidRocky</v>
      </c>
      <c r="F416" t="str">
        <f>IFERROR(__xludf.DUMMYFUNCTION("""COMPUTED_VALUE"""),"Party Girl")</f>
        <v>Party Girl</v>
      </c>
      <c r="G416">
        <f>IFERROR(__xludf.DUMMYFUNCTION("""COMPUTED_VALUE"""),0.0)</f>
        <v>0</v>
      </c>
      <c r="H416" s="5">
        <f>IFERROR(__xludf.DUMMYFUNCTION("""COMPUTED_VALUE"""),0.10208333333503106)</f>
        <v>0.1020833333</v>
      </c>
    </row>
    <row r="417">
      <c r="A417" t="str">
        <f>IFERROR(__xludf.DUMMYFUNCTION("""COMPUTED_VALUE"""),"Canada")</f>
        <v>Canada</v>
      </c>
      <c r="B417" t="str">
        <f>IFERROR(__xludf.DUMMYFUNCTION("""COMPUTED_VALUE"""),"North America")</f>
        <v>North America</v>
      </c>
      <c r="C417">
        <f>IFERROR(__xludf.DUMMYFUNCTION("""COMPUTED_VALUE"""),16.0)</f>
        <v>16</v>
      </c>
      <c r="D417" t="str">
        <f>IFERROR(__xludf.DUMMYFUNCTION("""COMPUTED_VALUE"""),"Sunday Best")</f>
        <v>Sunday Best</v>
      </c>
      <c r="E417" t="str">
        <f>IFERROR(__xludf.DUMMYFUNCTION("""COMPUTED_VALUE"""),"Surfaces")</f>
        <v>Surfaces</v>
      </c>
      <c r="F417" t="str">
        <f>IFERROR(__xludf.DUMMYFUNCTION("""COMPUTED_VALUE"""),"Where the Light Is")</f>
        <v>Where the Light Is</v>
      </c>
      <c r="G417">
        <f>IFERROR(__xludf.DUMMYFUNCTION("""COMPUTED_VALUE"""),0.0)</f>
        <v>0</v>
      </c>
      <c r="H417" s="5">
        <f>IFERROR(__xludf.DUMMYFUNCTION("""COMPUTED_VALUE"""),0.10972222222335404)</f>
        <v>0.1097222222</v>
      </c>
    </row>
    <row r="418">
      <c r="A418" t="str">
        <f>IFERROR(__xludf.DUMMYFUNCTION("""COMPUTED_VALUE"""),"Canada")</f>
        <v>Canada</v>
      </c>
      <c r="B418" t="str">
        <f>IFERROR(__xludf.DUMMYFUNCTION("""COMPUTED_VALUE"""),"North America")</f>
        <v>North America</v>
      </c>
      <c r="C418">
        <f>IFERROR(__xludf.DUMMYFUNCTION("""COMPUTED_VALUE"""),17.0)</f>
        <v>17</v>
      </c>
      <c r="D418" t="str">
        <f>IFERROR(__xludf.DUMMYFUNCTION("""COMPUTED_VALUE"""),"ily (i love you baby) (feat. Emilee)")</f>
        <v>ily (i love you baby) (feat. Emilee)</v>
      </c>
      <c r="E418" t="str">
        <f>IFERROR(__xludf.DUMMYFUNCTION("""COMPUTED_VALUE"""),"Surf Mesa, Emilee")</f>
        <v>Surf Mesa, Emilee</v>
      </c>
      <c r="F418" t="str">
        <f>IFERROR(__xludf.DUMMYFUNCTION("""COMPUTED_VALUE"""),"ily (i love you baby) (feat. Emilee)")</f>
        <v>ily (i love you baby) (feat. Emilee)</v>
      </c>
      <c r="G418">
        <f>IFERROR(__xludf.DUMMYFUNCTION("""COMPUTED_VALUE"""),0.0)</f>
        <v>0</v>
      </c>
      <c r="H418" s="5">
        <f>IFERROR(__xludf.DUMMYFUNCTION("""COMPUTED_VALUE"""),0.12222222222044365)</f>
        <v>0.1222222222</v>
      </c>
    </row>
    <row r="419">
      <c r="A419" t="str">
        <f>IFERROR(__xludf.DUMMYFUNCTION("""COMPUTED_VALUE"""),"Canada")</f>
        <v>Canada</v>
      </c>
      <c r="B419" t="str">
        <f>IFERROR(__xludf.DUMMYFUNCTION("""COMPUTED_VALUE"""),"North America")</f>
        <v>North America</v>
      </c>
      <c r="C419">
        <f>IFERROR(__xludf.DUMMYFUNCTION("""COMPUTED_VALUE"""),18.0)</f>
        <v>18</v>
      </c>
      <c r="D419" t="str">
        <f>IFERROR(__xludf.DUMMYFUNCTION("""COMPUTED_VALUE"""),"WHATS POPPIN")</f>
        <v>WHATS POPPIN</v>
      </c>
      <c r="E419" t="str">
        <f>IFERROR(__xludf.DUMMYFUNCTION("""COMPUTED_VALUE"""),"Jack Harlow")</f>
        <v>Jack Harlow</v>
      </c>
      <c r="F419" t="str">
        <f>IFERROR(__xludf.DUMMYFUNCTION("""COMPUTED_VALUE"""),"Sweet Action")</f>
        <v>Sweet Action</v>
      </c>
      <c r="G419">
        <f>IFERROR(__xludf.DUMMYFUNCTION("""COMPUTED_VALUE"""),1.0)</f>
        <v>1</v>
      </c>
      <c r="H419" s="5">
        <f>IFERROR(__xludf.DUMMYFUNCTION("""COMPUTED_VALUE"""),0.09652777777955635)</f>
        <v>0.09652777778</v>
      </c>
    </row>
    <row r="420">
      <c r="A420" t="str">
        <f>IFERROR(__xludf.DUMMYFUNCTION("""COMPUTED_VALUE"""),"Canada")</f>
        <v>Canada</v>
      </c>
      <c r="B420" t="str">
        <f>IFERROR(__xludf.DUMMYFUNCTION("""COMPUTED_VALUE"""),"North America")</f>
        <v>North America</v>
      </c>
      <c r="C420">
        <f>IFERROR(__xludf.DUMMYFUNCTION("""COMPUTED_VALUE"""),19.0)</f>
        <v>19</v>
      </c>
      <c r="D420" t="str">
        <f>IFERROR(__xludf.DUMMYFUNCTION("""COMPUTED_VALUE"""),"Be Kind (with Halsey)")</f>
        <v>Be Kind (with Halsey)</v>
      </c>
      <c r="E420" t="str">
        <f>IFERROR(__xludf.DUMMYFUNCTION("""COMPUTED_VALUE"""),"Marshmello, Halsey")</f>
        <v>Marshmello, Halsey</v>
      </c>
      <c r="F420" t="str">
        <f>IFERROR(__xludf.DUMMYFUNCTION("""COMPUTED_VALUE"""),"Be Kind (with Halsey)")</f>
        <v>Be Kind (with Halsey)</v>
      </c>
      <c r="G420">
        <f>IFERROR(__xludf.DUMMYFUNCTION("""COMPUTED_VALUE"""),0.0)</f>
        <v>0</v>
      </c>
      <c r="H420" s="5">
        <f>IFERROR(__xludf.DUMMYFUNCTION("""COMPUTED_VALUE"""),0.11944444444452529)</f>
        <v>0.1194444444</v>
      </c>
    </row>
    <row r="421">
      <c r="A421" t="str">
        <f>IFERROR(__xludf.DUMMYFUNCTION("""COMPUTED_VALUE"""),"Canada")</f>
        <v>Canada</v>
      </c>
      <c r="B421" t="str">
        <f>IFERROR(__xludf.DUMMYFUNCTION("""COMPUTED_VALUE"""),"North America")</f>
        <v>North America</v>
      </c>
      <c r="C421">
        <f>IFERROR(__xludf.DUMMYFUNCTION("""COMPUTED_VALUE"""),20.0)</f>
        <v>20</v>
      </c>
      <c r="D421" t="str">
        <f>IFERROR(__xludf.DUMMYFUNCTION("""COMPUTED_VALUE"""),"Savage Remix (feat. Beyoncé)")</f>
        <v>Savage Remix (feat. Beyoncé)</v>
      </c>
      <c r="E421" t="str">
        <f>IFERROR(__xludf.DUMMYFUNCTION("""COMPUTED_VALUE"""),"Megan Thee Stallion, Beyoncé")</f>
        <v>Megan Thee Stallion, Beyoncé</v>
      </c>
      <c r="F421" t="str">
        <f>IFERROR(__xludf.DUMMYFUNCTION("""COMPUTED_VALUE"""),"Savage Remix (feat. Beyoncé)")</f>
        <v>Savage Remix (feat. Beyoncé)</v>
      </c>
      <c r="G421">
        <f>IFERROR(__xludf.DUMMYFUNCTION("""COMPUTED_VALUE"""),1.0)</f>
        <v>1</v>
      </c>
      <c r="H421" s="5">
        <f>IFERROR(__xludf.DUMMYFUNCTION("""COMPUTED_VALUE"""),0.16805555555401952)</f>
        <v>0.1680555556</v>
      </c>
    </row>
    <row r="422">
      <c r="A422" t="str">
        <f>IFERROR(__xludf.DUMMYFUNCTION("""COMPUTED_VALUE"""),"Canada")</f>
        <v>Canada</v>
      </c>
      <c r="B422" t="str">
        <f>IFERROR(__xludf.DUMMYFUNCTION("""COMPUTED_VALUE"""),"North America")</f>
        <v>North America</v>
      </c>
      <c r="C422">
        <f>IFERROR(__xludf.DUMMYFUNCTION("""COMPUTED_VALUE"""),21.0)</f>
        <v>21</v>
      </c>
      <c r="D422" t="str">
        <f>IFERROR(__xludf.DUMMYFUNCTION("""COMPUTED_VALUE"""),"Say So (feat. Nicki Minaj)")</f>
        <v>Say So (feat. Nicki Minaj)</v>
      </c>
      <c r="E422" t="str">
        <f>IFERROR(__xludf.DUMMYFUNCTION("""COMPUTED_VALUE"""),"Doja Cat, Nicki Minaj")</f>
        <v>Doja Cat, Nicki Minaj</v>
      </c>
      <c r="F422" t="str">
        <f>IFERROR(__xludf.DUMMYFUNCTION("""COMPUTED_VALUE"""),"Say So (feat. Nicki Minaj)")</f>
        <v>Say So (feat. Nicki Minaj)</v>
      </c>
      <c r="G422">
        <f>IFERROR(__xludf.DUMMYFUNCTION("""COMPUTED_VALUE"""),1.0)</f>
        <v>1</v>
      </c>
      <c r="H422" s="5">
        <f>IFERROR(__xludf.DUMMYFUNCTION("""COMPUTED_VALUE"""),0.1430555555562023)</f>
        <v>0.1430555556</v>
      </c>
    </row>
    <row r="423">
      <c r="A423" t="str">
        <f>IFERROR(__xludf.DUMMYFUNCTION("""COMPUTED_VALUE"""),"Canada")</f>
        <v>Canada</v>
      </c>
      <c r="B423" t="str">
        <f>IFERROR(__xludf.DUMMYFUNCTION("""COMPUTED_VALUE"""),"North America")</f>
        <v>North America</v>
      </c>
      <c r="C423">
        <f>IFERROR(__xludf.DUMMYFUNCTION("""COMPUTED_VALUE"""),22.0)</f>
        <v>22</v>
      </c>
      <c r="D423" t="str">
        <f>IFERROR(__xludf.DUMMYFUNCTION("""COMPUTED_VALUE"""),"Circles")</f>
        <v>Circles</v>
      </c>
      <c r="E423" t="str">
        <f>IFERROR(__xludf.DUMMYFUNCTION("""COMPUTED_VALUE"""),"Post Malone")</f>
        <v>Post Malone</v>
      </c>
      <c r="F423" t="str">
        <f>IFERROR(__xludf.DUMMYFUNCTION("""COMPUTED_VALUE"""),"Hollywood's Bleeding")</f>
        <v>Hollywood's Bleeding</v>
      </c>
      <c r="G423">
        <f>IFERROR(__xludf.DUMMYFUNCTION("""COMPUTED_VALUE"""),0.0)</f>
        <v>0</v>
      </c>
      <c r="H423" s="5">
        <f>IFERROR(__xludf.DUMMYFUNCTION("""COMPUTED_VALUE"""),0.14930555555474712)</f>
        <v>0.1493055556</v>
      </c>
    </row>
    <row r="424">
      <c r="A424" t="str">
        <f>IFERROR(__xludf.DUMMYFUNCTION("""COMPUTED_VALUE"""),"Canada")</f>
        <v>Canada</v>
      </c>
      <c r="B424" t="str">
        <f>IFERROR(__xludf.DUMMYFUNCTION("""COMPUTED_VALUE"""),"North America")</f>
        <v>North America</v>
      </c>
      <c r="C424">
        <f>IFERROR(__xludf.DUMMYFUNCTION("""COMPUTED_VALUE"""),23.0)</f>
        <v>23</v>
      </c>
      <c r="D424" t="str">
        <f>IFERROR(__xludf.DUMMYFUNCTION("""COMPUTED_VALUE"""),"After Party")</f>
        <v>After Party</v>
      </c>
      <c r="E424" t="str">
        <f>IFERROR(__xludf.DUMMYFUNCTION("""COMPUTED_VALUE"""),"Don Toliver")</f>
        <v>Don Toliver</v>
      </c>
      <c r="F424" t="str">
        <f>IFERROR(__xludf.DUMMYFUNCTION("""COMPUTED_VALUE"""),"Heaven Or Hell")</f>
        <v>Heaven Or Hell</v>
      </c>
      <c r="G424">
        <f>IFERROR(__xludf.DUMMYFUNCTION("""COMPUTED_VALUE"""),1.0)</f>
        <v>1</v>
      </c>
      <c r="H424" s="5">
        <f>IFERROR(__xludf.DUMMYFUNCTION("""COMPUTED_VALUE"""),0.11597222222189885)</f>
        <v>0.1159722222</v>
      </c>
    </row>
    <row r="425">
      <c r="A425" t="str">
        <f>IFERROR(__xludf.DUMMYFUNCTION("""COMPUTED_VALUE"""),"Canada")</f>
        <v>Canada</v>
      </c>
      <c r="B425" t="str">
        <f>IFERROR(__xludf.DUMMYFUNCTION("""COMPUTED_VALUE"""),"North America")</f>
        <v>North America</v>
      </c>
      <c r="C425">
        <f>IFERROR(__xludf.DUMMYFUNCTION("""COMPUTED_VALUE"""),24.0)</f>
        <v>24</v>
      </c>
      <c r="D425" t="str">
        <f>IFERROR(__xludf.DUMMYFUNCTION("""COMPUTED_VALUE"""),"Break My Heart")</f>
        <v>Break My Heart</v>
      </c>
      <c r="E425" t="str">
        <f>IFERROR(__xludf.DUMMYFUNCTION("""COMPUTED_VALUE"""),"Dua Lipa")</f>
        <v>Dua Lipa</v>
      </c>
      <c r="F425" t="str">
        <f>IFERROR(__xludf.DUMMYFUNCTION("""COMPUTED_VALUE"""),"Future Nostalgia")</f>
        <v>Future Nostalgia</v>
      </c>
      <c r="G425">
        <f>IFERROR(__xludf.DUMMYFUNCTION("""COMPUTED_VALUE"""),0.0)</f>
        <v>0</v>
      </c>
      <c r="H425" s="5">
        <f>IFERROR(__xludf.DUMMYFUNCTION("""COMPUTED_VALUE"""),0.15347222222044365)</f>
        <v>0.1534722222</v>
      </c>
    </row>
    <row r="426">
      <c r="A426" t="str">
        <f>IFERROR(__xludf.DUMMYFUNCTION("""COMPUTED_VALUE"""),"Canada")</f>
        <v>Canada</v>
      </c>
      <c r="B426" t="str">
        <f>IFERROR(__xludf.DUMMYFUNCTION("""COMPUTED_VALUE"""),"North America")</f>
        <v>North America</v>
      </c>
      <c r="C426">
        <f>IFERROR(__xludf.DUMMYFUNCTION("""COMPUTED_VALUE"""),25.0)</f>
        <v>25</v>
      </c>
      <c r="D426" t="str">
        <f>IFERROR(__xludf.DUMMYFUNCTION("""COMPUTED_VALUE"""),"In Your Eyes")</f>
        <v>In Your Eyes</v>
      </c>
      <c r="E426" t="str">
        <f>IFERROR(__xludf.DUMMYFUNCTION("""COMPUTED_VALUE"""),"The Weeknd")</f>
        <v>The Weeknd</v>
      </c>
      <c r="F426" t="str">
        <f>IFERROR(__xludf.DUMMYFUNCTION("""COMPUTED_VALUE"""),"After Hours")</f>
        <v>After Hours</v>
      </c>
      <c r="G426">
        <f>IFERROR(__xludf.DUMMYFUNCTION("""COMPUTED_VALUE"""),1.0)</f>
        <v>1</v>
      </c>
      <c r="H426" s="5">
        <f>IFERROR(__xludf.DUMMYFUNCTION("""COMPUTED_VALUE"""),0.16458333333503106)</f>
        <v>0.1645833333</v>
      </c>
    </row>
    <row r="427">
      <c r="A427" t="str">
        <f>IFERROR(__xludf.DUMMYFUNCTION("""COMPUTED_VALUE"""),"Canada")</f>
        <v>Canada</v>
      </c>
      <c r="B427" t="str">
        <f>IFERROR(__xludf.DUMMYFUNCTION("""COMPUTED_VALUE"""),"North America")</f>
        <v>North America</v>
      </c>
      <c r="C427">
        <f>IFERROR(__xludf.DUMMYFUNCTION("""COMPUTED_VALUE"""),26.0)</f>
        <v>26</v>
      </c>
      <c r="D427" t="str">
        <f>IFERROR(__xludf.DUMMYFUNCTION("""COMPUTED_VALUE"""),"Life Is Good (feat. Drake)")</f>
        <v>Life Is Good (feat. Drake)</v>
      </c>
      <c r="E427" t="str">
        <f>IFERROR(__xludf.DUMMYFUNCTION("""COMPUTED_VALUE"""),"Future, Drake")</f>
        <v>Future, Drake</v>
      </c>
      <c r="F427" t="str">
        <f>IFERROR(__xludf.DUMMYFUNCTION("""COMPUTED_VALUE"""),"High Off Life")</f>
        <v>High Off Life</v>
      </c>
      <c r="G427">
        <f>IFERROR(__xludf.DUMMYFUNCTION("""COMPUTED_VALUE"""),1.0)</f>
        <v>1</v>
      </c>
      <c r="H427" s="5">
        <f>IFERROR(__xludf.DUMMYFUNCTION("""COMPUTED_VALUE"""),0.16458333333503106)</f>
        <v>0.1645833333</v>
      </c>
    </row>
    <row r="428">
      <c r="A428" t="str">
        <f>IFERROR(__xludf.DUMMYFUNCTION("""COMPUTED_VALUE"""),"Canada")</f>
        <v>Canada</v>
      </c>
      <c r="B428" t="str">
        <f>IFERROR(__xludf.DUMMYFUNCTION("""COMPUTED_VALUE"""),"North America")</f>
        <v>North America</v>
      </c>
      <c r="C428">
        <f>IFERROR(__xludf.DUMMYFUNCTION("""COMPUTED_VALUE"""),27.0)</f>
        <v>27</v>
      </c>
      <c r="D428" t="str">
        <f>IFERROR(__xludf.DUMMYFUNCTION("""COMPUTED_VALUE"""),"Supalonely")</f>
        <v>Supalonely</v>
      </c>
      <c r="E428" t="str">
        <f>IFERROR(__xludf.DUMMYFUNCTION("""COMPUTED_VALUE"""),"BENEE, Gus Dapperton")</f>
        <v>BENEE, Gus Dapperton</v>
      </c>
      <c r="F428" t="str">
        <f>IFERROR(__xludf.DUMMYFUNCTION("""COMPUTED_VALUE"""),"STELLA &amp; STEVE")</f>
        <v>STELLA &amp; STEVE</v>
      </c>
      <c r="G428">
        <f>IFERROR(__xludf.DUMMYFUNCTION("""COMPUTED_VALUE"""),1.0)</f>
        <v>1</v>
      </c>
      <c r="H428" s="5">
        <f>IFERROR(__xludf.DUMMYFUNCTION("""COMPUTED_VALUE"""),0.15486111111022183)</f>
        <v>0.1548611111</v>
      </c>
    </row>
    <row r="429">
      <c r="A429" t="str">
        <f>IFERROR(__xludf.DUMMYFUNCTION("""COMPUTED_VALUE"""),"Canada")</f>
        <v>Canada</v>
      </c>
      <c r="B429" t="str">
        <f>IFERROR(__xludf.DUMMYFUNCTION("""COMPUTED_VALUE"""),"North America")</f>
        <v>North America</v>
      </c>
      <c r="C429">
        <f>IFERROR(__xludf.DUMMYFUNCTION("""COMPUTED_VALUE"""),28.0)</f>
        <v>28</v>
      </c>
      <c r="D429" t="str">
        <f>IFERROR(__xludf.DUMMYFUNCTION("""COMPUTED_VALUE"""),"Watermelon Sugar")</f>
        <v>Watermelon Sugar</v>
      </c>
      <c r="E429" t="str">
        <f>IFERROR(__xludf.DUMMYFUNCTION("""COMPUTED_VALUE"""),"Harry Styles")</f>
        <v>Harry Styles</v>
      </c>
      <c r="F429" t="str">
        <f>IFERROR(__xludf.DUMMYFUNCTION("""COMPUTED_VALUE"""),"Fine Line")</f>
        <v>Fine Line</v>
      </c>
      <c r="G429">
        <f>IFERROR(__xludf.DUMMYFUNCTION("""COMPUTED_VALUE"""),0.0)</f>
        <v>0</v>
      </c>
      <c r="H429" s="5">
        <f>IFERROR(__xludf.DUMMYFUNCTION("""COMPUTED_VALUE"""),0.12083333333430346)</f>
        <v>0.1208333333</v>
      </c>
    </row>
    <row r="430">
      <c r="A430" t="str">
        <f>IFERROR(__xludf.DUMMYFUNCTION("""COMPUTED_VALUE"""),"Canada")</f>
        <v>Canada</v>
      </c>
      <c r="B430" t="str">
        <f>IFERROR(__xludf.DUMMYFUNCTION("""COMPUTED_VALUE"""),"North America")</f>
        <v>North America</v>
      </c>
      <c r="C430">
        <f>IFERROR(__xludf.DUMMYFUNCTION("""COMPUTED_VALUE"""),29.0)</f>
        <v>29</v>
      </c>
      <c r="D430" t="str">
        <f>IFERROR(__xludf.DUMMYFUNCTION("""COMPUTED_VALUE"""),"ROXANNE")</f>
        <v>ROXANNE</v>
      </c>
      <c r="E430" t="str">
        <f>IFERROR(__xludf.DUMMYFUNCTION("""COMPUTED_VALUE"""),"Arizona Zervas")</f>
        <v>Arizona Zervas</v>
      </c>
      <c r="F430" t="str">
        <f>IFERROR(__xludf.DUMMYFUNCTION("""COMPUTED_VALUE"""),"ROXANNE")</f>
        <v>ROXANNE</v>
      </c>
      <c r="G430">
        <f>IFERROR(__xludf.DUMMYFUNCTION("""COMPUTED_VALUE"""),1.0)</f>
        <v>1</v>
      </c>
      <c r="H430" s="5">
        <f>IFERROR(__xludf.DUMMYFUNCTION("""COMPUTED_VALUE"""),0.11319444444598048)</f>
        <v>0.1131944444</v>
      </c>
    </row>
    <row r="431">
      <c r="A431" t="str">
        <f>IFERROR(__xludf.DUMMYFUNCTION("""COMPUTED_VALUE"""),"Canada")</f>
        <v>Canada</v>
      </c>
      <c r="B431" t="str">
        <f>IFERROR(__xludf.DUMMYFUNCTION("""COMPUTED_VALUE"""),"North America")</f>
        <v>North America</v>
      </c>
      <c r="C431">
        <f>IFERROR(__xludf.DUMMYFUNCTION("""COMPUTED_VALUE"""),30.0)</f>
        <v>30</v>
      </c>
      <c r="D431" t="str">
        <f>IFERROR(__xludf.DUMMYFUNCTION("""COMPUTED_VALUE"""),"Someone You Loved")</f>
        <v>Someone You Loved</v>
      </c>
      <c r="E431" t="str">
        <f>IFERROR(__xludf.DUMMYFUNCTION("""COMPUTED_VALUE"""),"Lewis Capaldi")</f>
        <v>Lewis Capaldi</v>
      </c>
      <c r="F431" t="str">
        <f>IFERROR(__xludf.DUMMYFUNCTION("""COMPUTED_VALUE"""),"Divinely Uninspired To A Hellish Extent")</f>
        <v>Divinely Uninspired To A Hellish Extent</v>
      </c>
      <c r="G431">
        <f>IFERROR(__xludf.DUMMYFUNCTION("""COMPUTED_VALUE"""),0.0)</f>
        <v>0</v>
      </c>
      <c r="H431" s="5">
        <f>IFERROR(__xludf.DUMMYFUNCTION("""COMPUTED_VALUE"""),0.12638888888977817)</f>
        <v>0.1263888889</v>
      </c>
    </row>
    <row r="432">
      <c r="A432" t="str">
        <f>IFERROR(__xludf.DUMMYFUNCTION("""COMPUTED_VALUE"""),"Canada")</f>
        <v>Canada</v>
      </c>
      <c r="B432" t="str">
        <f>IFERROR(__xludf.DUMMYFUNCTION("""COMPUTED_VALUE"""),"North America")</f>
        <v>North America</v>
      </c>
      <c r="C432">
        <f>IFERROR(__xludf.DUMMYFUNCTION("""COMPUTED_VALUE"""),31.0)</f>
        <v>31</v>
      </c>
      <c r="D432" t="str">
        <f>IFERROR(__xludf.DUMMYFUNCTION("""COMPUTED_VALUE"""),"Righteous")</f>
        <v>Righteous</v>
      </c>
      <c r="E432" t="str">
        <f>IFERROR(__xludf.DUMMYFUNCTION("""COMPUTED_VALUE"""),"Juice WRLD")</f>
        <v>Juice WRLD</v>
      </c>
      <c r="F432" t="str">
        <f>IFERROR(__xludf.DUMMYFUNCTION("""COMPUTED_VALUE"""),"Righteous")</f>
        <v>Righteous</v>
      </c>
      <c r="G432">
        <f>IFERROR(__xludf.DUMMYFUNCTION("""COMPUTED_VALUE"""),1.0)</f>
        <v>1</v>
      </c>
      <c r="H432" s="5">
        <f>IFERROR(__xludf.DUMMYFUNCTION("""COMPUTED_VALUE"""),0.1687500000007276)</f>
        <v>0.16875</v>
      </c>
    </row>
    <row r="433">
      <c r="A433" t="str">
        <f>IFERROR(__xludf.DUMMYFUNCTION("""COMPUTED_VALUE"""),"Canada")</f>
        <v>Canada</v>
      </c>
      <c r="B433" t="str">
        <f>IFERROR(__xludf.DUMMYFUNCTION("""COMPUTED_VALUE"""),"North America")</f>
        <v>North America</v>
      </c>
      <c r="C433">
        <f>IFERROR(__xludf.DUMMYFUNCTION("""COMPUTED_VALUE"""),32.0)</f>
        <v>32</v>
      </c>
      <c r="D433" t="str">
        <f>IFERROR(__xludf.DUMMYFUNCTION("""COMPUTED_VALUE"""),"Falling")</f>
        <v>Falling</v>
      </c>
      <c r="E433" t="str">
        <f>IFERROR(__xludf.DUMMYFUNCTION("""COMPUTED_VALUE"""),"Trevor Daniel")</f>
        <v>Trevor Daniel</v>
      </c>
      <c r="F433" t="str">
        <f>IFERROR(__xludf.DUMMYFUNCTION("""COMPUTED_VALUE"""),"Nicotine")</f>
        <v>Nicotine</v>
      </c>
      <c r="G433">
        <f>IFERROR(__xludf.DUMMYFUNCTION("""COMPUTED_VALUE"""),0.0)</f>
        <v>0</v>
      </c>
      <c r="H433" s="5">
        <f>IFERROR(__xludf.DUMMYFUNCTION("""COMPUTED_VALUE"""),0.11041666666642413)</f>
        <v>0.1104166667</v>
      </c>
    </row>
    <row r="434">
      <c r="A434" t="str">
        <f>IFERROR(__xludf.DUMMYFUNCTION("""COMPUTED_VALUE"""),"Canada")</f>
        <v>Canada</v>
      </c>
      <c r="B434" t="str">
        <f>IFERROR(__xludf.DUMMYFUNCTION("""COMPUTED_VALUE"""),"North America")</f>
        <v>North America</v>
      </c>
      <c r="C434">
        <f>IFERROR(__xludf.DUMMYFUNCTION("""COMPUTED_VALUE"""),33.0)</f>
        <v>33</v>
      </c>
      <c r="D434" t="str">
        <f>IFERROR(__xludf.DUMMYFUNCTION("""COMPUTED_VALUE"""),"Walk Em Down (feat. Roddy Ricch)")</f>
        <v>Walk Em Down (feat. Roddy Ricch)</v>
      </c>
      <c r="E434" t="str">
        <f>IFERROR(__xludf.DUMMYFUNCTION("""COMPUTED_VALUE"""),"NLE Choppa, Roddy Ricch")</f>
        <v>NLE Choppa, Roddy Ricch</v>
      </c>
      <c r="F434" t="str">
        <f>IFERROR(__xludf.DUMMYFUNCTION("""COMPUTED_VALUE"""),"Walk Em Down (feat. Roddy Ricch)")</f>
        <v>Walk Em Down (feat. Roddy Ricch)</v>
      </c>
      <c r="G434">
        <f>IFERROR(__xludf.DUMMYFUNCTION("""COMPUTED_VALUE"""),1.0)</f>
        <v>1</v>
      </c>
      <c r="H434" s="5">
        <f>IFERROR(__xludf.DUMMYFUNCTION("""COMPUTED_VALUE"""),0.12013888888759539)</f>
        <v>0.1201388889</v>
      </c>
    </row>
    <row r="435">
      <c r="A435" t="str">
        <f>IFERROR(__xludf.DUMMYFUNCTION("""COMPUTED_VALUE"""),"Canada")</f>
        <v>Canada</v>
      </c>
      <c r="B435" t="str">
        <f>IFERROR(__xludf.DUMMYFUNCTION("""COMPUTED_VALUE"""),"North America")</f>
        <v>North America</v>
      </c>
      <c r="C435">
        <f>IFERROR(__xludf.DUMMYFUNCTION("""COMPUTED_VALUE"""),34.0)</f>
        <v>34</v>
      </c>
      <c r="D435" t="str">
        <f>IFERROR(__xludf.DUMMYFUNCTION("""COMPUTED_VALUE"""),"COOLER THAN A BITCH (feat. Roddy Ricch)")</f>
        <v>COOLER THAN A BITCH (feat. Roddy Ricch)</v>
      </c>
      <c r="E435" t="str">
        <f>IFERROR(__xludf.DUMMYFUNCTION("""COMPUTED_VALUE"""),"Gunna, Roddy Ricch")</f>
        <v>Gunna, Roddy Ricch</v>
      </c>
      <c r="F435" t="str">
        <f>IFERROR(__xludf.DUMMYFUNCTION("""COMPUTED_VALUE"""),"WUNNA")</f>
        <v>WUNNA</v>
      </c>
      <c r="G435">
        <f>IFERROR(__xludf.DUMMYFUNCTION("""COMPUTED_VALUE"""),1.0)</f>
        <v>1</v>
      </c>
      <c r="H435" s="5">
        <f>IFERROR(__xludf.DUMMYFUNCTION("""COMPUTED_VALUE"""),0.13680555555401952)</f>
        <v>0.1368055556</v>
      </c>
    </row>
    <row r="436">
      <c r="A436" t="str">
        <f>IFERROR(__xludf.DUMMYFUNCTION("""COMPUTED_VALUE"""),"Canada")</f>
        <v>Canada</v>
      </c>
      <c r="B436" t="str">
        <f>IFERROR(__xludf.DUMMYFUNCTION("""COMPUTED_VALUE"""),"North America")</f>
        <v>North America</v>
      </c>
      <c r="C436">
        <f>IFERROR(__xludf.DUMMYFUNCTION("""COMPUTED_VALUE"""),35.0)</f>
        <v>35</v>
      </c>
      <c r="D436" t="str">
        <f>IFERROR(__xludf.DUMMYFUNCTION("""COMPUTED_VALUE"""),"Chicago Freestyle (feat. Giveon)")</f>
        <v>Chicago Freestyle (feat. Giveon)</v>
      </c>
      <c r="E436" t="str">
        <f>IFERROR(__xludf.DUMMYFUNCTION("""COMPUTED_VALUE"""),"Drake, Giveon")</f>
        <v>Drake, Giveon</v>
      </c>
      <c r="F436" t="str">
        <f>IFERROR(__xludf.DUMMYFUNCTION("""COMPUTED_VALUE"""),"Dark Lane Demo Tapes")</f>
        <v>Dark Lane Demo Tapes</v>
      </c>
      <c r="G436">
        <f>IFERROR(__xludf.DUMMYFUNCTION("""COMPUTED_VALUE"""),1.0)</f>
        <v>1</v>
      </c>
      <c r="H436" s="5">
        <f>IFERROR(__xludf.DUMMYFUNCTION("""COMPUTED_VALUE"""),0.15277777777737356)</f>
        <v>0.1527777778</v>
      </c>
    </row>
    <row r="437">
      <c r="A437" t="str">
        <f>IFERROR(__xludf.DUMMYFUNCTION("""COMPUTED_VALUE"""),"Canada")</f>
        <v>Canada</v>
      </c>
      <c r="B437" t="str">
        <f>IFERROR(__xludf.DUMMYFUNCTION("""COMPUTED_VALUE"""),"North America")</f>
        <v>North America</v>
      </c>
      <c r="C437">
        <f>IFERROR(__xludf.DUMMYFUNCTION("""COMPUTED_VALUE"""),36.0)</f>
        <v>36</v>
      </c>
      <c r="D437" t="str">
        <f>IFERROR(__xludf.DUMMYFUNCTION("""COMPUTED_VALUE"""),"If the World Was Ending - feat. Julia Michaels")</f>
        <v>If the World Was Ending - feat. Julia Michaels</v>
      </c>
      <c r="E437" t="str">
        <f>IFERROR(__xludf.DUMMYFUNCTION("""COMPUTED_VALUE"""),"JP Saxe, Julia Michaels")</f>
        <v>JP Saxe, Julia Michaels</v>
      </c>
      <c r="F437" t="str">
        <f>IFERROR(__xludf.DUMMYFUNCTION("""COMPUTED_VALUE"""),"If the World Was Ending (feat. Julia Michaels)")</f>
        <v>If the World Was Ending (feat. Julia Michaels)</v>
      </c>
      <c r="G437">
        <f>IFERROR(__xludf.DUMMYFUNCTION("""COMPUTED_VALUE"""),0.0)</f>
        <v>0</v>
      </c>
      <c r="H437" s="5">
        <f>IFERROR(__xludf.DUMMYFUNCTION("""COMPUTED_VALUE"""),0.14444444444598048)</f>
        <v>0.1444444444</v>
      </c>
    </row>
    <row r="438">
      <c r="A438" t="str">
        <f>IFERROR(__xludf.DUMMYFUNCTION("""COMPUTED_VALUE"""),"Canada")</f>
        <v>Canada</v>
      </c>
      <c r="B438" t="str">
        <f>IFERROR(__xludf.DUMMYFUNCTION("""COMPUTED_VALUE"""),"North America")</f>
        <v>North America</v>
      </c>
      <c r="C438">
        <f>IFERROR(__xludf.DUMMYFUNCTION("""COMPUTED_VALUE"""),37.0)</f>
        <v>37</v>
      </c>
      <c r="D438" t="str">
        <f>IFERROR(__xludf.DUMMYFUNCTION("""COMPUTED_VALUE"""),"DOLLAZ ON MY HEAD (feat. Young Thug)")</f>
        <v>DOLLAZ ON MY HEAD (feat. Young Thug)</v>
      </c>
      <c r="E438" t="str">
        <f>IFERROR(__xludf.DUMMYFUNCTION("""COMPUTED_VALUE"""),"Gunna, Young Thug")</f>
        <v>Gunna, Young Thug</v>
      </c>
      <c r="F438" t="str">
        <f>IFERROR(__xludf.DUMMYFUNCTION("""COMPUTED_VALUE"""),"WUNNA")</f>
        <v>WUNNA</v>
      </c>
      <c r="G438">
        <f>IFERROR(__xludf.DUMMYFUNCTION("""COMPUTED_VALUE"""),1.0)</f>
        <v>1</v>
      </c>
      <c r="H438" s="5">
        <f>IFERROR(__xludf.DUMMYFUNCTION("""COMPUTED_VALUE"""),0.13680555555401952)</f>
        <v>0.1368055556</v>
      </c>
    </row>
    <row r="439">
      <c r="A439" t="str">
        <f>IFERROR(__xludf.DUMMYFUNCTION("""COMPUTED_VALUE"""),"Canada")</f>
        <v>Canada</v>
      </c>
      <c r="B439" t="str">
        <f>IFERROR(__xludf.DUMMYFUNCTION("""COMPUTED_VALUE"""),"North America")</f>
        <v>North America</v>
      </c>
      <c r="C439">
        <f>IFERROR(__xludf.DUMMYFUNCTION("""COMPUTED_VALUE"""),38.0)</f>
        <v>38</v>
      </c>
      <c r="D439" t="str">
        <f>IFERROR(__xludf.DUMMYFUNCTION("""COMPUTED_VALUE"""),"Lose Somebody")</f>
        <v>Lose Somebody</v>
      </c>
      <c r="E439" t="str">
        <f>IFERROR(__xludf.DUMMYFUNCTION("""COMPUTED_VALUE"""),"Kygo, OneRepublic")</f>
        <v>Kygo, OneRepublic</v>
      </c>
      <c r="F439" t="str">
        <f>IFERROR(__xludf.DUMMYFUNCTION("""COMPUTED_VALUE"""),"Lose Somebody")</f>
        <v>Lose Somebody</v>
      </c>
      <c r="G439">
        <f>IFERROR(__xludf.DUMMYFUNCTION("""COMPUTED_VALUE"""),0.0)</f>
        <v>0</v>
      </c>
      <c r="H439" s="5">
        <f>IFERROR(__xludf.DUMMYFUNCTION("""COMPUTED_VALUE"""),0.1381944444437977)</f>
        <v>0.1381944444</v>
      </c>
    </row>
    <row r="440">
      <c r="A440" t="str">
        <f>IFERROR(__xludf.DUMMYFUNCTION("""COMPUTED_VALUE"""),"Canada")</f>
        <v>Canada</v>
      </c>
      <c r="B440" t="str">
        <f>IFERROR(__xludf.DUMMYFUNCTION("""COMPUTED_VALUE"""),"North America")</f>
        <v>North America</v>
      </c>
      <c r="C440">
        <f>IFERROR(__xludf.DUMMYFUNCTION("""COMPUTED_VALUE"""),39.0)</f>
        <v>39</v>
      </c>
      <c r="D440" t="str">
        <f>IFERROR(__xludf.DUMMYFUNCTION("""COMPUTED_VALUE"""),"Breaking Me")</f>
        <v>Breaking Me</v>
      </c>
      <c r="E440" t="str">
        <f>IFERROR(__xludf.DUMMYFUNCTION("""COMPUTED_VALUE"""),"Topic, A7S")</f>
        <v>Topic, A7S</v>
      </c>
      <c r="F440" t="str">
        <f>IFERROR(__xludf.DUMMYFUNCTION("""COMPUTED_VALUE"""),"Breaking Me")</f>
        <v>Breaking Me</v>
      </c>
      <c r="G440">
        <f>IFERROR(__xludf.DUMMYFUNCTION("""COMPUTED_VALUE"""),0.0)</f>
        <v>0</v>
      </c>
      <c r="H440" s="5">
        <f>IFERROR(__xludf.DUMMYFUNCTION("""COMPUTED_VALUE"""),0.11527777777882875)</f>
        <v>0.1152777778</v>
      </c>
    </row>
    <row r="441">
      <c r="A441" t="str">
        <f>IFERROR(__xludf.DUMMYFUNCTION("""COMPUTED_VALUE"""),"Canada")</f>
        <v>Canada</v>
      </c>
      <c r="B441" t="str">
        <f>IFERROR(__xludf.DUMMYFUNCTION("""COMPUTED_VALUE"""),"North America")</f>
        <v>North America</v>
      </c>
      <c r="C441">
        <f>IFERROR(__xludf.DUMMYFUNCTION("""COMPUTED_VALUE"""),40.0)</f>
        <v>40</v>
      </c>
      <c r="D441" t="str">
        <f>IFERROR(__xludf.DUMMYFUNCTION("""COMPUTED_VALUE"""),"Before You Go")</f>
        <v>Before You Go</v>
      </c>
      <c r="E441" t="str">
        <f>IFERROR(__xludf.DUMMYFUNCTION("""COMPUTED_VALUE"""),"Lewis Capaldi")</f>
        <v>Lewis Capaldi</v>
      </c>
      <c r="F441" t="str">
        <f>IFERROR(__xludf.DUMMYFUNCTION("""COMPUTED_VALUE"""),"Divinely Uninspired To A Hellish Extent (Extended Edition)")</f>
        <v>Divinely Uninspired To A Hellish Extent (Extended Edition)</v>
      </c>
      <c r="G441">
        <f>IFERROR(__xludf.DUMMYFUNCTION("""COMPUTED_VALUE"""),0.0)</f>
        <v>0</v>
      </c>
      <c r="H441" s="5">
        <f>IFERROR(__xludf.DUMMYFUNCTION("""COMPUTED_VALUE"""),0.14930555555474712)</f>
        <v>0.1493055556</v>
      </c>
    </row>
    <row r="442">
      <c r="A442" t="str">
        <f>IFERROR(__xludf.DUMMYFUNCTION("""COMPUTED_VALUE"""),"Canada")</f>
        <v>Canada</v>
      </c>
      <c r="B442" t="str">
        <f>IFERROR(__xludf.DUMMYFUNCTION("""COMPUTED_VALUE"""),"North America")</f>
        <v>North America</v>
      </c>
      <c r="C442">
        <f>IFERROR(__xludf.DUMMYFUNCTION("""COMPUTED_VALUE"""),41.0)</f>
        <v>41</v>
      </c>
      <c r="D442" t="str">
        <f>IFERROR(__xludf.DUMMYFUNCTION("""COMPUTED_VALUE"""),"Say So")</f>
        <v>Say So</v>
      </c>
      <c r="E442" t="str">
        <f>IFERROR(__xludf.DUMMYFUNCTION("""COMPUTED_VALUE"""),"Doja Cat")</f>
        <v>Doja Cat</v>
      </c>
      <c r="F442" t="str">
        <f>IFERROR(__xludf.DUMMYFUNCTION("""COMPUTED_VALUE"""),"Hot Pink")</f>
        <v>Hot Pink</v>
      </c>
      <c r="G442">
        <f>IFERROR(__xludf.DUMMYFUNCTION("""COMPUTED_VALUE"""),1.0)</f>
        <v>1</v>
      </c>
      <c r="H442" s="5">
        <f>IFERROR(__xludf.DUMMYFUNCTION("""COMPUTED_VALUE"""),0.16458333333503106)</f>
        <v>0.1645833333</v>
      </c>
    </row>
    <row r="443">
      <c r="A443" t="str">
        <f>IFERROR(__xludf.DUMMYFUNCTION("""COMPUTED_VALUE"""),"Canada")</f>
        <v>Canada</v>
      </c>
      <c r="B443" t="str">
        <f>IFERROR(__xludf.DUMMYFUNCTION("""COMPUTED_VALUE"""),"North America")</f>
        <v>North America</v>
      </c>
      <c r="C443">
        <f>IFERROR(__xludf.DUMMYFUNCTION("""COMPUTED_VALUE"""),42.0)</f>
        <v>42</v>
      </c>
      <c r="D443" t="str">
        <f>IFERROR(__xludf.DUMMYFUNCTION("""COMPUTED_VALUE"""),"Adore You")</f>
        <v>Adore You</v>
      </c>
      <c r="E443" t="str">
        <f>IFERROR(__xludf.DUMMYFUNCTION("""COMPUTED_VALUE"""),"Harry Styles")</f>
        <v>Harry Styles</v>
      </c>
      <c r="F443" t="str">
        <f>IFERROR(__xludf.DUMMYFUNCTION("""COMPUTED_VALUE"""),"Fine Line")</f>
        <v>Fine Line</v>
      </c>
      <c r="G443">
        <f>IFERROR(__xludf.DUMMYFUNCTION("""COMPUTED_VALUE"""),0.0)</f>
        <v>0</v>
      </c>
      <c r="H443" s="5">
        <f>IFERROR(__xludf.DUMMYFUNCTION("""COMPUTED_VALUE"""),0.1437499999992724)</f>
        <v>0.14375</v>
      </c>
    </row>
    <row r="444">
      <c r="A444" t="str">
        <f>IFERROR(__xludf.DUMMYFUNCTION("""COMPUTED_VALUE"""),"Canada")</f>
        <v>Canada</v>
      </c>
      <c r="B444" t="str">
        <f>IFERROR(__xludf.DUMMYFUNCTION("""COMPUTED_VALUE"""),"North America")</f>
        <v>North America</v>
      </c>
      <c r="C444">
        <f>IFERROR(__xludf.DUMMYFUNCTION("""COMPUTED_VALUE"""),43.0)</f>
        <v>43</v>
      </c>
      <c r="D444" t="str">
        <f>IFERROR(__xludf.DUMMYFUNCTION("""COMPUTED_VALUE"""),"Sunflower - Spider-Man: Into the Spider-Verse")</f>
        <v>Sunflower - Spider-Man: Into the Spider-Verse</v>
      </c>
      <c r="E444" t="str">
        <f>IFERROR(__xludf.DUMMYFUNCTION("""COMPUTED_VALUE"""),"Post Malone, Swae Lee")</f>
        <v>Post Malone, Swae Lee</v>
      </c>
      <c r="F444" t="str">
        <f>IFERROR(__xludf.DUMMYFUNCTION("""COMPUTED_VALUE"""),"Hollywood's Bleeding")</f>
        <v>Hollywood's Bleeding</v>
      </c>
      <c r="G444">
        <f>IFERROR(__xludf.DUMMYFUNCTION("""COMPUTED_VALUE"""),0.0)</f>
        <v>0</v>
      </c>
      <c r="H444" s="5">
        <f>IFERROR(__xludf.DUMMYFUNCTION("""COMPUTED_VALUE"""),0.10902777777664596)</f>
        <v>0.1090277778</v>
      </c>
    </row>
    <row r="445">
      <c r="A445" t="str">
        <f>IFERROR(__xludf.DUMMYFUNCTION("""COMPUTED_VALUE"""),"Canada")</f>
        <v>Canada</v>
      </c>
      <c r="B445" t="str">
        <f>IFERROR(__xludf.DUMMYFUNCTION("""COMPUTED_VALUE"""),"North America")</f>
        <v>North America</v>
      </c>
      <c r="C445">
        <f>IFERROR(__xludf.DUMMYFUNCTION("""COMPUTED_VALUE"""),44.0)</f>
        <v>44</v>
      </c>
      <c r="D445" t="str">
        <f>IFERROR(__xludf.DUMMYFUNCTION("""COMPUTED_VALUE"""),"goosebumps")</f>
        <v>goosebumps</v>
      </c>
      <c r="E445" t="str">
        <f>IFERROR(__xludf.DUMMYFUNCTION("""COMPUTED_VALUE"""),"Travis Scott")</f>
        <v>Travis Scott</v>
      </c>
      <c r="F445" t="str">
        <f>IFERROR(__xludf.DUMMYFUNCTION("""COMPUTED_VALUE"""),"Birds In The Trap Sing McKnight")</f>
        <v>Birds In The Trap Sing McKnight</v>
      </c>
      <c r="G445">
        <f>IFERROR(__xludf.DUMMYFUNCTION("""COMPUTED_VALUE"""),1.0)</f>
        <v>1</v>
      </c>
      <c r="H445" s="5">
        <f>IFERROR(__xludf.DUMMYFUNCTION("""COMPUTED_VALUE"""),0.1687500000007276)</f>
        <v>0.16875</v>
      </c>
    </row>
    <row r="446">
      <c r="A446" t="str">
        <f>IFERROR(__xludf.DUMMYFUNCTION("""COMPUTED_VALUE"""),"Canada")</f>
        <v>Canada</v>
      </c>
      <c r="B446" t="str">
        <f>IFERROR(__xludf.DUMMYFUNCTION("""COMPUTED_VALUE"""),"North America")</f>
        <v>North America</v>
      </c>
      <c r="C446">
        <f>IFERROR(__xludf.DUMMYFUNCTION("""COMPUTED_VALUE"""),45.0)</f>
        <v>45</v>
      </c>
      <c r="D446" t="str">
        <f>IFERROR(__xludf.DUMMYFUNCTION("""COMPUTED_VALUE"""),"Boss Bitch")</f>
        <v>Boss Bitch</v>
      </c>
      <c r="E446" t="str">
        <f>IFERROR(__xludf.DUMMYFUNCTION("""COMPUTED_VALUE"""),"Doja Cat")</f>
        <v>Doja Cat</v>
      </c>
      <c r="F446" t="str">
        <f>IFERROR(__xludf.DUMMYFUNCTION("""COMPUTED_VALUE"""),"Boss Bitch")</f>
        <v>Boss Bitch</v>
      </c>
      <c r="G446">
        <f>IFERROR(__xludf.DUMMYFUNCTION("""COMPUTED_VALUE"""),0.0)</f>
        <v>0</v>
      </c>
      <c r="H446" s="5">
        <f>IFERROR(__xludf.DUMMYFUNCTION("""COMPUTED_VALUE"""),0.0930555555569299)</f>
        <v>0.09305555556</v>
      </c>
    </row>
    <row r="447">
      <c r="A447" t="str">
        <f>IFERROR(__xludf.DUMMYFUNCTION("""COMPUTED_VALUE"""),"Canada")</f>
        <v>Canada</v>
      </c>
      <c r="B447" t="str">
        <f>IFERROR(__xludf.DUMMYFUNCTION("""COMPUTED_VALUE"""),"North America")</f>
        <v>North America</v>
      </c>
      <c r="C447">
        <f>IFERROR(__xludf.DUMMYFUNCTION("""COMPUTED_VALUE"""),46.0)</f>
        <v>46</v>
      </c>
      <c r="D447" t="str">
        <f>IFERROR(__xludf.DUMMYFUNCTION("""COMPUTED_VALUE"""),"HIGHEST IN THE ROOM")</f>
        <v>HIGHEST IN THE ROOM</v>
      </c>
      <c r="E447" t="str">
        <f>IFERROR(__xludf.DUMMYFUNCTION("""COMPUTED_VALUE"""),"Travis Scott")</f>
        <v>Travis Scott</v>
      </c>
      <c r="F447" t="str">
        <f>IFERROR(__xludf.DUMMYFUNCTION("""COMPUTED_VALUE"""),"HIGHEST IN THE ROOM")</f>
        <v>HIGHEST IN THE ROOM</v>
      </c>
      <c r="G447">
        <f>IFERROR(__xludf.DUMMYFUNCTION("""COMPUTED_VALUE"""),1.0)</f>
        <v>1</v>
      </c>
      <c r="H447" s="5">
        <f>IFERROR(__xludf.DUMMYFUNCTION("""COMPUTED_VALUE"""),0.12152777777737356)</f>
        <v>0.1215277778</v>
      </c>
    </row>
    <row r="448">
      <c r="A448" t="str">
        <f>IFERROR(__xludf.DUMMYFUNCTION("""COMPUTED_VALUE"""),"Canada")</f>
        <v>Canada</v>
      </c>
      <c r="B448" t="str">
        <f>IFERROR(__xludf.DUMMYFUNCTION("""COMPUTED_VALUE"""),"North America")</f>
        <v>North America</v>
      </c>
      <c r="C448">
        <f>IFERROR(__xludf.DUMMYFUNCTION("""COMPUTED_VALUE"""),47.0)</f>
        <v>47</v>
      </c>
      <c r="D448" t="str">
        <f>IFERROR(__xludf.DUMMYFUNCTION("""COMPUTED_VALUE"""),"Play Date")</f>
        <v>Play Date</v>
      </c>
      <c r="E448" t="str">
        <f>IFERROR(__xludf.DUMMYFUNCTION("""COMPUTED_VALUE"""),"Melanie Martinez")</f>
        <v>Melanie Martinez</v>
      </c>
      <c r="F448" t="str">
        <f>IFERROR(__xludf.DUMMYFUNCTION("""COMPUTED_VALUE"""),"Cry Baby (Deluxe Edition)")</f>
        <v>Cry Baby (Deluxe Edition)</v>
      </c>
      <c r="G448">
        <f>IFERROR(__xludf.DUMMYFUNCTION("""COMPUTED_VALUE"""),1.0)</f>
        <v>1</v>
      </c>
      <c r="H448" s="5">
        <f>IFERROR(__xludf.DUMMYFUNCTION("""COMPUTED_VALUE"""),0.1243055555569299)</f>
        <v>0.1243055556</v>
      </c>
    </row>
    <row r="449">
      <c r="A449" t="str">
        <f>IFERROR(__xludf.DUMMYFUNCTION("""COMPUTED_VALUE"""),"Canada")</f>
        <v>Canada</v>
      </c>
      <c r="B449" t="str">
        <f>IFERROR(__xludf.DUMMYFUNCTION("""COMPUTED_VALUE"""),"North America")</f>
        <v>North America</v>
      </c>
      <c r="C449">
        <f>IFERROR(__xludf.DUMMYFUNCTION("""COMPUTED_VALUE"""),48.0)</f>
        <v>48</v>
      </c>
      <c r="D449" t="str">
        <f>IFERROR(__xludf.DUMMYFUNCTION("""COMPUTED_VALUE"""),"Memories")</f>
        <v>Memories</v>
      </c>
      <c r="E449" t="str">
        <f>IFERROR(__xludf.DUMMYFUNCTION("""COMPUTED_VALUE"""),"Maroon 5")</f>
        <v>Maroon 5</v>
      </c>
      <c r="F449" t="str">
        <f>IFERROR(__xludf.DUMMYFUNCTION("""COMPUTED_VALUE"""),"Memories")</f>
        <v>Memories</v>
      </c>
      <c r="G449">
        <f>IFERROR(__xludf.DUMMYFUNCTION("""COMPUTED_VALUE"""),0.0)</f>
        <v>0</v>
      </c>
      <c r="H449" s="5">
        <f>IFERROR(__xludf.DUMMYFUNCTION("""COMPUTED_VALUE"""),0.1312499999985448)</f>
        <v>0.13125</v>
      </c>
    </row>
    <row r="450">
      <c r="A450" t="str">
        <f>IFERROR(__xludf.DUMMYFUNCTION("""COMPUTED_VALUE"""),"Canada")</f>
        <v>Canada</v>
      </c>
      <c r="B450" t="str">
        <f>IFERROR(__xludf.DUMMYFUNCTION("""COMPUTED_VALUE"""),"North America")</f>
        <v>North America</v>
      </c>
      <c r="C450">
        <f>IFERROR(__xludf.DUMMYFUNCTION("""COMPUTED_VALUE"""),49.0)</f>
        <v>49</v>
      </c>
      <c r="D450" t="str">
        <f>IFERROR(__xludf.DUMMYFUNCTION("""COMPUTED_VALUE"""),"WUNNA")</f>
        <v>WUNNA</v>
      </c>
      <c r="E450" t="str">
        <f>IFERROR(__xludf.DUMMYFUNCTION("""COMPUTED_VALUE"""),"Gunna")</f>
        <v>Gunna</v>
      </c>
      <c r="F450" t="str">
        <f>IFERROR(__xludf.DUMMYFUNCTION("""COMPUTED_VALUE"""),"WUNNA")</f>
        <v>WUNNA</v>
      </c>
      <c r="G450">
        <f>IFERROR(__xludf.DUMMYFUNCTION("""COMPUTED_VALUE"""),1.0)</f>
        <v>1</v>
      </c>
      <c r="H450" s="5">
        <f>IFERROR(__xludf.DUMMYFUNCTION("""COMPUTED_VALUE"""),0.10972222222335404)</f>
        <v>0.1097222222</v>
      </c>
    </row>
    <row r="451">
      <c r="A451" t="str">
        <f>IFERROR(__xludf.DUMMYFUNCTION("""COMPUTED_VALUE"""),"Canada")</f>
        <v>Canada</v>
      </c>
      <c r="B451" t="str">
        <f>IFERROR(__xludf.DUMMYFUNCTION("""COMPUTED_VALUE"""),"North America")</f>
        <v>North America</v>
      </c>
      <c r="C451">
        <f>IFERROR(__xludf.DUMMYFUNCTION("""COMPUTED_VALUE"""),50.0)</f>
        <v>50</v>
      </c>
      <c r="D451" t="str">
        <f>IFERROR(__xludf.DUMMYFUNCTION("""COMPUTED_VALUE"""),"SICKO MODE")</f>
        <v>SICKO MODE</v>
      </c>
      <c r="E451" t="str">
        <f>IFERROR(__xludf.DUMMYFUNCTION("""COMPUTED_VALUE"""),"Travis Scott")</f>
        <v>Travis Scott</v>
      </c>
      <c r="F451" t="str">
        <f>IFERROR(__xludf.DUMMYFUNCTION("""COMPUTED_VALUE"""),"ASTROWORLD")</f>
        <v>ASTROWORLD</v>
      </c>
      <c r="G451">
        <f>IFERROR(__xludf.DUMMYFUNCTION("""COMPUTED_VALUE"""),1.0)</f>
        <v>1</v>
      </c>
      <c r="H451" s="5">
        <f>IFERROR(__xludf.DUMMYFUNCTION("""COMPUTED_VALUE"""),0.21666666666715173)</f>
        <v>0.2166666667</v>
      </c>
    </row>
    <row r="452">
      <c r="A452" t="str">
        <f>IFERROR(__xludf.DUMMYFUNCTION("""COMPUTED_VALUE"""),"Chile")</f>
        <v>Chile</v>
      </c>
      <c r="B452" t="str">
        <f>IFERROR(__xludf.DUMMYFUNCTION("""COMPUTED_VALUE"""),"South America")</f>
        <v>South America</v>
      </c>
      <c r="C452">
        <f>IFERROR(__xludf.DUMMYFUNCTION("""COMPUTED_VALUE"""),1.0)</f>
        <v>1</v>
      </c>
      <c r="D452" t="str">
        <f>IFERROR(__xludf.DUMMYFUNCTION("""COMPUTED_VALUE"""),"CÓMO SE SIENTE - Remix")</f>
        <v>CÓMO SE SIENTE - Remix</v>
      </c>
      <c r="E452" t="str">
        <f>IFERROR(__xludf.DUMMYFUNCTION("""COMPUTED_VALUE"""),"Jhay Cortez, Bad Bunny")</f>
        <v>Jhay Cortez, Bad Bunny</v>
      </c>
      <c r="F452" t="str">
        <f>IFERROR(__xludf.DUMMYFUNCTION("""COMPUTED_VALUE"""),"CÓMO SE SIENTE (Remix)")</f>
        <v>CÓMO SE SIENTE (Remix)</v>
      </c>
      <c r="G452">
        <f>IFERROR(__xludf.DUMMYFUNCTION("""COMPUTED_VALUE"""),1.0)</f>
        <v>1</v>
      </c>
      <c r="H452" s="5">
        <f>IFERROR(__xludf.DUMMYFUNCTION("""COMPUTED_VALUE"""),0.15763888888977817)</f>
        <v>0.1576388889</v>
      </c>
    </row>
    <row r="453">
      <c r="A453" t="str">
        <f>IFERROR(__xludf.DUMMYFUNCTION("""COMPUTED_VALUE"""),"Chile")</f>
        <v>Chile</v>
      </c>
      <c r="B453" t="str">
        <f>IFERROR(__xludf.DUMMYFUNCTION("""COMPUTED_VALUE"""),"South America")</f>
        <v>South America</v>
      </c>
      <c r="C453">
        <f>IFERROR(__xludf.DUMMYFUNCTION("""COMPUTED_VALUE"""),2.0)</f>
        <v>2</v>
      </c>
      <c r="D453" t="str">
        <f>IFERROR(__xludf.DUMMYFUNCTION("""COMPUTED_VALUE"""),"Safaera")</f>
        <v>Safaera</v>
      </c>
      <c r="E453" t="str">
        <f>IFERROR(__xludf.DUMMYFUNCTION("""COMPUTED_VALUE"""),"Bad Bunny, Jowell &amp; Randy, Nengo Flow")</f>
        <v>Bad Bunny, Jowell &amp; Randy, Nengo Flow</v>
      </c>
      <c r="F453" t="str">
        <f>IFERROR(__xludf.DUMMYFUNCTION("""COMPUTED_VALUE"""),"YHLQMDLG")</f>
        <v>YHLQMDLG</v>
      </c>
      <c r="G453">
        <f>IFERROR(__xludf.DUMMYFUNCTION("""COMPUTED_VALUE"""),1.0)</f>
        <v>1</v>
      </c>
      <c r="H453" s="5">
        <f>IFERROR(__xludf.DUMMYFUNCTION("""COMPUTED_VALUE"""),0.20486111110949423)</f>
        <v>0.2048611111</v>
      </c>
    </row>
    <row r="454">
      <c r="A454" t="str">
        <f>IFERROR(__xludf.DUMMYFUNCTION("""COMPUTED_VALUE"""),"Chile")</f>
        <v>Chile</v>
      </c>
      <c r="B454" t="str">
        <f>IFERROR(__xludf.DUMMYFUNCTION("""COMPUTED_VALUE"""),"South America")</f>
        <v>South America</v>
      </c>
      <c r="C454">
        <f>IFERROR(__xludf.DUMMYFUNCTION("""COMPUTED_VALUE"""),3.0)</f>
        <v>3</v>
      </c>
      <c r="D454" t="str">
        <f>IFERROR(__xludf.DUMMYFUNCTION("""COMPUTED_VALUE"""),"Yo Perreo Sola")</f>
        <v>Yo Perreo Sola</v>
      </c>
      <c r="E454" t="str">
        <f>IFERROR(__xludf.DUMMYFUNCTION("""COMPUTED_VALUE"""),"Bad Bunny")</f>
        <v>Bad Bunny</v>
      </c>
      <c r="F454" t="str">
        <f>IFERROR(__xludf.DUMMYFUNCTION("""COMPUTED_VALUE"""),"YHLQMDLG")</f>
        <v>YHLQMDLG</v>
      </c>
      <c r="G454">
        <f>IFERROR(__xludf.DUMMYFUNCTION("""COMPUTED_VALUE"""),0.0)</f>
        <v>0</v>
      </c>
      <c r="H454" s="5">
        <f>IFERROR(__xludf.DUMMYFUNCTION("""COMPUTED_VALUE"""),0.11944444444452529)</f>
        <v>0.1194444444</v>
      </c>
    </row>
    <row r="455">
      <c r="A455" t="str">
        <f>IFERROR(__xludf.DUMMYFUNCTION("""COMPUTED_VALUE"""),"Chile")</f>
        <v>Chile</v>
      </c>
      <c r="B455" t="str">
        <f>IFERROR(__xludf.DUMMYFUNCTION("""COMPUTED_VALUE"""),"South America")</f>
        <v>South America</v>
      </c>
      <c r="C455">
        <f>IFERROR(__xludf.DUMMYFUNCTION("""COMPUTED_VALUE"""),4.0)</f>
        <v>4</v>
      </c>
      <c r="D455" t="str">
        <f>IFERROR(__xludf.DUMMYFUNCTION("""COMPUTED_VALUE"""),"Elegí (feat. Dímelo Flow)")</f>
        <v>Elegí (feat. Dímelo Flow)</v>
      </c>
      <c r="E455" t="str">
        <f>IFERROR(__xludf.DUMMYFUNCTION("""COMPUTED_VALUE"""),"Rauw Alejandro, Dalex, Lenny Tavárez, Dímelo Flow")</f>
        <v>Rauw Alejandro, Dalex, Lenny Tavárez, Dímelo Flow</v>
      </c>
      <c r="F455" t="str">
        <f>IFERROR(__xludf.DUMMYFUNCTION("""COMPUTED_VALUE"""),"Elegí (feat. Dímelo Flow)")</f>
        <v>Elegí (feat. Dímelo Flow)</v>
      </c>
      <c r="G455">
        <f>IFERROR(__xludf.DUMMYFUNCTION("""COMPUTED_VALUE"""),0.0)</f>
        <v>0</v>
      </c>
      <c r="H455" s="5">
        <f>IFERROR(__xludf.DUMMYFUNCTION("""COMPUTED_VALUE"""),0.13680555555401952)</f>
        <v>0.1368055556</v>
      </c>
    </row>
    <row r="456">
      <c r="A456" t="str">
        <f>IFERROR(__xludf.DUMMYFUNCTION("""COMPUTED_VALUE"""),"Chile")</f>
        <v>Chile</v>
      </c>
      <c r="B456" t="str">
        <f>IFERROR(__xludf.DUMMYFUNCTION("""COMPUTED_VALUE"""),"South America")</f>
        <v>South America</v>
      </c>
      <c r="C456">
        <f>IFERROR(__xludf.DUMMYFUNCTION("""COMPUTED_VALUE"""),5.0)</f>
        <v>5</v>
      </c>
      <c r="D456" t="str">
        <f>IFERROR(__xludf.DUMMYFUNCTION("""COMPUTED_VALUE"""),"PORFA")</f>
        <v>PORFA</v>
      </c>
      <c r="E456" t="str">
        <f>IFERROR(__xludf.DUMMYFUNCTION("""COMPUTED_VALUE"""),"Feid, Justin Quiles")</f>
        <v>Feid, Justin Quiles</v>
      </c>
      <c r="F456" t="str">
        <f>IFERROR(__xludf.DUMMYFUNCTION("""COMPUTED_VALUE"""),"FERXXO (VOL 1: M.O.R)")</f>
        <v>FERXXO (VOL 1: M.O.R)</v>
      </c>
      <c r="G456">
        <f>IFERROR(__xludf.DUMMYFUNCTION("""COMPUTED_VALUE"""),0.0)</f>
        <v>0</v>
      </c>
      <c r="H456" s="5">
        <f>IFERROR(__xludf.DUMMYFUNCTION("""COMPUTED_VALUE"""),0.16111111111240461)</f>
        <v>0.1611111111</v>
      </c>
    </row>
    <row r="457">
      <c r="A457" t="str">
        <f>IFERROR(__xludf.DUMMYFUNCTION("""COMPUTED_VALUE"""),"Chile")</f>
        <v>Chile</v>
      </c>
      <c r="B457" t="str">
        <f>IFERROR(__xludf.DUMMYFUNCTION("""COMPUTED_VALUE"""),"South America")</f>
        <v>South America</v>
      </c>
      <c r="C457">
        <f>IFERROR(__xludf.DUMMYFUNCTION("""COMPUTED_VALUE"""),6.0)</f>
        <v>6</v>
      </c>
      <c r="D457" t="str">
        <f>IFERROR(__xludf.DUMMYFUNCTION("""COMPUTED_VALUE"""),"La Jeepeta - Remix")</f>
        <v>La Jeepeta - Remix</v>
      </c>
      <c r="E457" t="str">
        <f>IFERROR(__xludf.DUMMYFUNCTION("""COMPUTED_VALUE"""),"Nio Garcia, Anuel AA, Myke Towers, Brray, Juanka")</f>
        <v>Nio Garcia, Anuel AA, Myke Towers, Brray, Juanka</v>
      </c>
      <c r="F457" t="str">
        <f>IFERROR(__xludf.DUMMYFUNCTION("""COMPUTED_VALUE"""),"La Jeepeta (Remix)")</f>
        <v>La Jeepeta (Remix)</v>
      </c>
      <c r="G457">
        <f>IFERROR(__xludf.DUMMYFUNCTION("""COMPUTED_VALUE"""),1.0)</f>
        <v>1</v>
      </c>
      <c r="H457" s="5">
        <f>IFERROR(__xludf.DUMMYFUNCTION("""COMPUTED_VALUE"""),0.23958333333212067)</f>
        <v>0.2395833333</v>
      </c>
    </row>
    <row r="458">
      <c r="A458" t="str">
        <f>IFERROR(__xludf.DUMMYFUNCTION("""COMPUTED_VALUE"""),"Chile")</f>
        <v>Chile</v>
      </c>
      <c r="B458" t="str">
        <f>IFERROR(__xludf.DUMMYFUNCTION("""COMPUTED_VALUE"""),"South America")</f>
        <v>South America</v>
      </c>
      <c r="C458">
        <f>IFERROR(__xludf.DUMMYFUNCTION("""COMPUTED_VALUE"""),7.0)</f>
        <v>7</v>
      </c>
      <c r="D458" t="str">
        <f>IFERROR(__xludf.DUMMYFUNCTION("""COMPUTED_VALUE"""),"MÁS DE UNA CITA")</f>
        <v>MÁS DE UNA CITA</v>
      </c>
      <c r="E458" t="str">
        <f>IFERROR(__xludf.DUMMYFUNCTION("""COMPUTED_VALUE"""),"Bad Bunny, Zion &amp; Lennox")</f>
        <v>Bad Bunny, Zion &amp; Lennox</v>
      </c>
      <c r="F458" t="str">
        <f>IFERROR(__xludf.DUMMYFUNCTION("""COMPUTED_VALUE"""),"LAS QUE NO IBAN A SALIR")</f>
        <v>LAS QUE NO IBAN A SALIR</v>
      </c>
      <c r="G458">
        <f>IFERROR(__xludf.DUMMYFUNCTION("""COMPUTED_VALUE"""),1.0)</f>
        <v>1</v>
      </c>
      <c r="H458" s="5">
        <f>IFERROR(__xludf.DUMMYFUNCTION("""COMPUTED_VALUE"""),0.12708333333284827)</f>
        <v>0.1270833333</v>
      </c>
    </row>
    <row r="459">
      <c r="A459" t="str">
        <f>IFERROR(__xludf.DUMMYFUNCTION("""COMPUTED_VALUE"""),"Chile")</f>
        <v>Chile</v>
      </c>
      <c r="B459" t="str">
        <f>IFERROR(__xludf.DUMMYFUNCTION("""COMPUTED_VALUE"""),"South America")</f>
        <v>South America</v>
      </c>
      <c r="C459">
        <f>IFERROR(__xludf.DUMMYFUNCTION("""COMPUTED_VALUE"""),8.0)</f>
        <v>8</v>
      </c>
      <c r="D459" t="str">
        <f>IFERROR(__xludf.DUMMYFUNCTION("""COMPUTED_VALUE"""),"BYE ME FUI")</f>
        <v>BYE ME FUI</v>
      </c>
      <c r="E459" t="str">
        <f>IFERROR(__xludf.DUMMYFUNCTION("""COMPUTED_VALUE"""),"Bad Bunny")</f>
        <v>Bad Bunny</v>
      </c>
      <c r="F459" t="str">
        <f>IFERROR(__xludf.DUMMYFUNCTION("""COMPUTED_VALUE"""),"LAS QUE NO IBAN A SALIR")</f>
        <v>LAS QUE NO IBAN A SALIR</v>
      </c>
      <c r="G459">
        <f>IFERROR(__xludf.DUMMYFUNCTION("""COMPUTED_VALUE"""),1.0)</f>
        <v>1</v>
      </c>
      <c r="H459" s="5">
        <f>IFERROR(__xludf.DUMMYFUNCTION("""COMPUTED_VALUE"""),0.12361111111022183)</f>
        <v>0.1236111111</v>
      </c>
    </row>
    <row r="460">
      <c r="A460" t="str">
        <f>IFERROR(__xludf.DUMMYFUNCTION("""COMPUTED_VALUE"""),"Chile")</f>
        <v>Chile</v>
      </c>
      <c r="B460" t="str">
        <f>IFERROR(__xludf.DUMMYFUNCTION("""COMPUTED_VALUE"""),"South America")</f>
        <v>South America</v>
      </c>
      <c r="C460">
        <f>IFERROR(__xludf.DUMMYFUNCTION("""COMPUTED_VALUE"""),9.0)</f>
        <v>9</v>
      </c>
      <c r="D460" t="str">
        <f>IFERROR(__xludf.DUMMYFUNCTION("""COMPUTED_VALUE"""),"La Difícil")</f>
        <v>La Difícil</v>
      </c>
      <c r="E460" t="str">
        <f>IFERROR(__xludf.DUMMYFUNCTION("""COMPUTED_VALUE"""),"Bad Bunny")</f>
        <v>Bad Bunny</v>
      </c>
      <c r="F460" t="str">
        <f>IFERROR(__xludf.DUMMYFUNCTION("""COMPUTED_VALUE"""),"YHLQMDLG")</f>
        <v>YHLQMDLG</v>
      </c>
      <c r="G460">
        <f>IFERROR(__xludf.DUMMYFUNCTION("""COMPUTED_VALUE"""),1.0)</f>
        <v>1</v>
      </c>
      <c r="H460" s="5">
        <f>IFERROR(__xludf.DUMMYFUNCTION("""COMPUTED_VALUE"""),0.11319444444598048)</f>
        <v>0.1131944444</v>
      </c>
    </row>
    <row r="461">
      <c r="A461" t="str">
        <f>IFERROR(__xludf.DUMMYFUNCTION("""COMPUTED_VALUE"""),"Chile")</f>
        <v>Chile</v>
      </c>
      <c r="B461" t="str">
        <f>IFERROR(__xludf.DUMMYFUNCTION("""COMPUTED_VALUE"""),"South America")</f>
        <v>South America</v>
      </c>
      <c r="C461">
        <f>IFERROR(__xludf.DUMMYFUNCTION("""COMPUTED_VALUE"""),10.0)</f>
        <v>10</v>
      </c>
      <c r="D461" t="str">
        <f>IFERROR(__xludf.DUMMYFUNCTION("""COMPUTED_VALUE"""),"BAD CON NICKY")</f>
        <v>BAD CON NICKY</v>
      </c>
      <c r="E461" t="str">
        <f>IFERROR(__xludf.DUMMYFUNCTION("""COMPUTED_VALUE"""),"Bad Bunny, Nicky Jam")</f>
        <v>Bad Bunny, Nicky Jam</v>
      </c>
      <c r="F461" t="str">
        <f>IFERROR(__xludf.DUMMYFUNCTION("""COMPUTED_VALUE"""),"LAS QUE NO IBAN A SALIR")</f>
        <v>LAS QUE NO IBAN A SALIR</v>
      </c>
      <c r="G461">
        <f>IFERROR(__xludf.DUMMYFUNCTION("""COMPUTED_VALUE"""),1.0)</f>
        <v>1</v>
      </c>
      <c r="H461" s="5">
        <f>IFERROR(__xludf.DUMMYFUNCTION("""COMPUTED_VALUE"""),0.14027777777664596)</f>
        <v>0.1402777778</v>
      </c>
    </row>
    <row r="462">
      <c r="A462" t="str">
        <f>IFERROR(__xludf.DUMMYFUNCTION("""COMPUTED_VALUE"""),"Chile")</f>
        <v>Chile</v>
      </c>
      <c r="B462" t="str">
        <f>IFERROR(__xludf.DUMMYFUNCTION("""COMPUTED_VALUE"""),"South America")</f>
        <v>South America</v>
      </c>
      <c r="C462">
        <f>IFERROR(__xludf.DUMMYFUNCTION("""COMPUTED_VALUE"""),11.0)</f>
        <v>11</v>
      </c>
      <c r="D462" t="str">
        <f>IFERROR(__xludf.DUMMYFUNCTION("""COMPUTED_VALUE"""),"Rojo")</f>
        <v>Rojo</v>
      </c>
      <c r="E462" t="str">
        <f>IFERROR(__xludf.DUMMYFUNCTION("""COMPUTED_VALUE"""),"J Balvin")</f>
        <v>J Balvin</v>
      </c>
      <c r="F462" t="str">
        <f>IFERROR(__xludf.DUMMYFUNCTION("""COMPUTED_VALUE"""),"Colores")</f>
        <v>Colores</v>
      </c>
      <c r="G462">
        <f>IFERROR(__xludf.DUMMYFUNCTION("""COMPUTED_VALUE"""),0.0)</f>
        <v>0</v>
      </c>
      <c r="H462" s="5">
        <f>IFERROR(__xludf.DUMMYFUNCTION("""COMPUTED_VALUE"""),0.10416666666787933)</f>
        <v>0.1041666667</v>
      </c>
    </row>
    <row r="463">
      <c r="A463" t="str">
        <f>IFERROR(__xludf.DUMMYFUNCTION("""COMPUTED_VALUE"""),"Chile")</f>
        <v>Chile</v>
      </c>
      <c r="B463" t="str">
        <f>IFERROR(__xludf.DUMMYFUNCTION("""COMPUTED_VALUE"""),"South America")</f>
        <v>South America</v>
      </c>
      <c r="C463">
        <f>IFERROR(__xludf.DUMMYFUNCTION("""COMPUTED_VALUE"""),12.0)</f>
        <v>12</v>
      </c>
      <c r="D463" t="str">
        <f>IFERROR(__xludf.DUMMYFUNCTION("""COMPUTED_VALUE"""),"Ignorantes")</f>
        <v>Ignorantes</v>
      </c>
      <c r="E463" t="str">
        <f>IFERROR(__xludf.DUMMYFUNCTION("""COMPUTED_VALUE"""),"Bad Bunny, Sech")</f>
        <v>Bad Bunny, Sech</v>
      </c>
      <c r="F463" t="str">
        <f>IFERROR(__xludf.DUMMYFUNCTION("""COMPUTED_VALUE"""),"YHLQMDLG")</f>
        <v>YHLQMDLG</v>
      </c>
      <c r="G463">
        <f>IFERROR(__xludf.DUMMYFUNCTION("""COMPUTED_VALUE"""),1.0)</f>
        <v>1</v>
      </c>
      <c r="H463" s="5">
        <f>IFERROR(__xludf.DUMMYFUNCTION("""COMPUTED_VALUE"""),0.14583333333212067)</f>
        <v>0.1458333333</v>
      </c>
    </row>
    <row r="464">
      <c r="A464" t="str">
        <f>IFERROR(__xludf.DUMMYFUNCTION("""COMPUTED_VALUE"""),"Chile")</f>
        <v>Chile</v>
      </c>
      <c r="B464" t="str">
        <f>IFERROR(__xludf.DUMMYFUNCTION("""COMPUTED_VALUE"""),"South America")</f>
        <v>South America</v>
      </c>
      <c r="C464">
        <f>IFERROR(__xludf.DUMMYFUNCTION("""COMPUTED_VALUE"""),13.0)</f>
        <v>13</v>
      </c>
      <c r="D464" t="str">
        <f>IFERROR(__xludf.DUMMYFUNCTION("""COMPUTED_VALUE"""),"Favorito")</f>
        <v>Favorito</v>
      </c>
      <c r="E464" t="str">
        <f>IFERROR(__xludf.DUMMYFUNCTION("""COMPUTED_VALUE"""),"Camilo")</f>
        <v>Camilo</v>
      </c>
      <c r="F464" t="str">
        <f>IFERROR(__xludf.DUMMYFUNCTION("""COMPUTED_VALUE"""),"Por Primera Vez")</f>
        <v>Por Primera Vez</v>
      </c>
      <c r="G464">
        <f>IFERROR(__xludf.DUMMYFUNCTION("""COMPUTED_VALUE"""),0.0)</f>
        <v>0</v>
      </c>
      <c r="H464" s="5">
        <f>IFERROR(__xludf.DUMMYFUNCTION("""COMPUTED_VALUE"""),0.14513888888905058)</f>
        <v>0.1451388889</v>
      </c>
    </row>
    <row r="465">
      <c r="A465" t="str">
        <f>IFERROR(__xludf.DUMMYFUNCTION("""COMPUTED_VALUE"""),"Chile")</f>
        <v>Chile</v>
      </c>
      <c r="B465" t="str">
        <f>IFERROR(__xludf.DUMMYFUNCTION("""COMPUTED_VALUE"""),"South America")</f>
        <v>South America</v>
      </c>
      <c r="C465">
        <f>IFERROR(__xludf.DUMMYFUNCTION("""COMPUTED_VALUE"""),14.0)</f>
        <v>14</v>
      </c>
      <c r="D465" t="str">
        <f>IFERROR(__xludf.DUMMYFUNCTION("""COMPUTED_VALUE"""),"El Efecto - Remix")</f>
        <v>El Efecto - Remix</v>
      </c>
      <c r="E465" t="str">
        <f>IFERROR(__xludf.DUMMYFUNCTION("""COMPUTED_VALUE"""),"Rauw Alejandro, Chencho Corleone, KEVVO, Bryant Myers, Lyanno, Dalex")</f>
        <v>Rauw Alejandro, Chencho Corleone, KEVVO, Bryant Myers, Lyanno, Dalex</v>
      </c>
      <c r="F465" t="str">
        <f>IFERROR(__xludf.DUMMYFUNCTION("""COMPUTED_VALUE"""),"El Efecto (Remix)")</f>
        <v>El Efecto (Remix)</v>
      </c>
      <c r="G465">
        <f>IFERROR(__xludf.DUMMYFUNCTION("""COMPUTED_VALUE"""),1.0)</f>
        <v>1</v>
      </c>
      <c r="H465" s="5">
        <f>IFERROR(__xludf.DUMMYFUNCTION("""COMPUTED_VALUE"""),0.2006944444437977)</f>
        <v>0.2006944444</v>
      </c>
    </row>
    <row r="466">
      <c r="A466" t="str">
        <f>IFERROR(__xludf.DUMMYFUNCTION("""COMPUTED_VALUE"""),"Chile")</f>
        <v>Chile</v>
      </c>
      <c r="B466" t="str">
        <f>IFERROR(__xludf.DUMMYFUNCTION("""COMPUTED_VALUE"""),"South America")</f>
        <v>South America</v>
      </c>
      <c r="C466">
        <f>IFERROR(__xludf.DUMMYFUNCTION("""COMPUTED_VALUE"""),15.0)</f>
        <v>15</v>
      </c>
      <c r="D466" t="str">
        <f>IFERROR(__xludf.DUMMYFUNCTION("""COMPUTED_VALUE"""),"CANCIÓN CON YANDEL")</f>
        <v>CANCIÓN CON YANDEL</v>
      </c>
      <c r="E466" t="str">
        <f>IFERROR(__xludf.DUMMYFUNCTION("""COMPUTED_VALUE"""),"Yandel, Bad Bunny")</f>
        <v>Yandel, Bad Bunny</v>
      </c>
      <c r="F466" t="str">
        <f>IFERROR(__xludf.DUMMYFUNCTION("""COMPUTED_VALUE"""),"LAS QUE NO IBAN A SALIR")</f>
        <v>LAS QUE NO IBAN A SALIR</v>
      </c>
      <c r="G466">
        <f>IFERROR(__xludf.DUMMYFUNCTION("""COMPUTED_VALUE"""),1.0)</f>
        <v>1</v>
      </c>
      <c r="H466" s="5">
        <f>IFERROR(__xludf.DUMMYFUNCTION("""COMPUTED_VALUE"""),0.14513888888905058)</f>
        <v>0.1451388889</v>
      </c>
    </row>
    <row r="467">
      <c r="A467" t="str">
        <f>IFERROR(__xludf.DUMMYFUNCTION("""COMPUTED_VALUE"""),"Chile")</f>
        <v>Chile</v>
      </c>
      <c r="B467" t="str">
        <f>IFERROR(__xludf.DUMMYFUNCTION("""COMPUTED_VALUE"""),"South America")</f>
        <v>South America</v>
      </c>
      <c r="C467">
        <f>IFERROR(__xludf.DUMMYFUNCTION("""COMPUTED_VALUE"""),16.0)</f>
        <v>16</v>
      </c>
      <c r="D467" t="str">
        <f>IFERROR(__xludf.DUMMYFUNCTION("""COMPUTED_VALUE"""),"Diosa")</f>
        <v>Diosa</v>
      </c>
      <c r="E467" t="str">
        <f>IFERROR(__xludf.DUMMYFUNCTION("""COMPUTED_VALUE"""),"Myke Towers")</f>
        <v>Myke Towers</v>
      </c>
      <c r="F467" t="str">
        <f>IFERROR(__xludf.DUMMYFUNCTION("""COMPUTED_VALUE"""),"Easy Money Baby")</f>
        <v>Easy Money Baby</v>
      </c>
      <c r="G467">
        <f>IFERROR(__xludf.DUMMYFUNCTION("""COMPUTED_VALUE"""),1.0)</f>
        <v>1</v>
      </c>
      <c r="H467" s="5">
        <f>IFERROR(__xludf.DUMMYFUNCTION("""COMPUTED_VALUE"""),0.14861111111167702)</f>
        <v>0.1486111111</v>
      </c>
    </row>
    <row r="468">
      <c r="A468" t="str">
        <f>IFERROR(__xludf.DUMMYFUNCTION("""COMPUTED_VALUE"""),"Chile")</f>
        <v>Chile</v>
      </c>
      <c r="B468" t="str">
        <f>IFERROR(__xludf.DUMMYFUNCTION("""COMPUTED_VALUE"""),"South America")</f>
        <v>South America</v>
      </c>
      <c r="C468">
        <f>IFERROR(__xludf.DUMMYFUNCTION("""COMPUTED_VALUE"""),17.0)</f>
        <v>17</v>
      </c>
      <c r="D468" t="str">
        <f>IFERROR(__xludf.DUMMYFUNCTION("""COMPUTED_VALUE"""),"Relación")</f>
        <v>Relación</v>
      </c>
      <c r="E468" t="str">
        <f>IFERROR(__xludf.DUMMYFUNCTION("""COMPUTED_VALUE"""),"Sech")</f>
        <v>Sech</v>
      </c>
      <c r="F468" t="str">
        <f>IFERROR(__xludf.DUMMYFUNCTION("""COMPUTED_VALUE"""),"1 of 1")</f>
        <v>1 of 1</v>
      </c>
      <c r="G468">
        <f>IFERROR(__xludf.DUMMYFUNCTION("""COMPUTED_VALUE"""),0.0)</f>
        <v>0</v>
      </c>
      <c r="H468" s="5">
        <f>IFERROR(__xludf.DUMMYFUNCTION("""COMPUTED_VALUE"""),0.12777777777955635)</f>
        <v>0.1277777778</v>
      </c>
    </row>
    <row r="469">
      <c r="A469" t="str">
        <f>IFERROR(__xludf.DUMMYFUNCTION("""COMPUTED_VALUE"""),"Chile")</f>
        <v>Chile</v>
      </c>
      <c r="B469" t="str">
        <f>IFERROR(__xludf.DUMMYFUNCTION("""COMPUTED_VALUE"""),"South America")</f>
        <v>South America</v>
      </c>
      <c r="C469">
        <f>IFERROR(__xludf.DUMMYFUNCTION("""COMPUTED_VALUE"""),18.0)</f>
        <v>18</v>
      </c>
      <c r="D469" t="str">
        <f>IFERROR(__xludf.DUMMYFUNCTION("""COMPUTED_VALUE"""),"Tattoo")</f>
        <v>Tattoo</v>
      </c>
      <c r="E469" t="str">
        <f>IFERROR(__xludf.DUMMYFUNCTION("""COMPUTED_VALUE"""),"Rauw Alejandro")</f>
        <v>Rauw Alejandro</v>
      </c>
      <c r="F469" t="str">
        <f>IFERROR(__xludf.DUMMYFUNCTION("""COMPUTED_VALUE"""),"Tattoo")</f>
        <v>Tattoo</v>
      </c>
      <c r="G469">
        <f>IFERROR(__xludf.DUMMYFUNCTION("""COMPUTED_VALUE"""),0.0)</f>
        <v>0</v>
      </c>
      <c r="H469" s="5">
        <f>IFERROR(__xludf.DUMMYFUNCTION("""COMPUTED_VALUE"""),0.14027777777664596)</f>
        <v>0.1402777778</v>
      </c>
    </row>
    <row r="470">
      <c r="A470" t="str">
        <f>IFERROR(__xludf.DUMMYFUNCTION("""COMPUTED_VALUE"""),"Chile")</f>
        <v>Chile</v>
      </c>
      <c r="B470" t="str">
        <f>IFERROR(__xludf.DUMMYFUNCTION("""COMPUTED_VALUE"""),"South America")</f>
        <v>South America</v>
      </c>
      <c r="C470">
        <f>IFERROR(__xludf.DUMMYFUNCTION("""COMPUTED_VALUE"""),19.0)</f>
        <v>19</v>
      </c>
      <c r="D470" t="str">
        <f>IFERROR(__xludf.DUMMYFUNCTION("""COMPUTED_VALUE"""),"La Santa")</f>
        <v>La Santa</v>
      </c>
      <c r="E470" t="str">
        <f>IFERROR(__xludf.DUMMYFUNCTION("""COMPUTED_VALUE"""),"Bad Bunny, Daddy Yankee")</f>
        <v>Bad Bunny, Daddy Yankee</v>
      </c>
      <c r="F470" t="str">
        <f>IFERROR(__xludf.DUMMYFUNCTION("""COMPUTED_VALUE"""),"YHLQMDLG")</f>
        <v>YHLQMDLG</v>
      </c>
      <c r="G470">
        <f>IFERROR(__xludf.DUMMYFUNCTION("""COMPUTED_VALUE"""),1.0)</f>
        <v>1</v>
      </c>
      <c r="H470" s="5">
        <f>IFERROR(__xludf.DUMMYFUNCTION("""COMPUTED_VALUE"""),0.1430555555562023)</f>
        <v>0.1430555556</v>
      </c>
    </row>
    <row r="471">
      <c r="A471" t="str">
        <f>IFERROR(__xludf.DUMMYFUNCTION("""COMPUTED_VALUE"""),"Chile")</f>
        <v>Chile</v>
      </c>
      <c r="B471" t="str">
        <f>IFERROR(__xludf.DUMMYFUNCTION("""COMPUTED_VALUE"""),"South America")</f>
        <v>South America</v>
      </c>
      <c r="C471">
        <f>IFERROR(__xludf.DUMMYFUNCTION("""COMPUTED_VALUE"""),20.0)</f>
        <v>20</v>
      </c>
      <c r="D471" t="str">
        <f>IFERROR(__xludf.DUMMYFUNCTION("""COMPUTED_VALUE"""),"Sigues Con El")</f>
        <v>Sigues Con El</v>
      </c>
      <c r="E471" t="str">
        <f>IFERROR(__xludf.DUMMYFUNCTION("""COMPUTED_VALUE"""),"Dímelo Flow, Arcangel, Sech")</f>
        <v>Dímelo Flow, Arcangel, Sech</v>
      </c>
      <c r="F471" t="str">
        <f>IFERROR(__xludf.DUMMYFUNCTION("""COMPUTED_VALUE"""),"Sigues Con El")</f>
        <v>Sigues Con El</v>
      </c>
      <c r="G471">
        <f>IFERROR(__xludf.DUMMYFUNCTION("""COMPUTED_VALUE"""),0.0)</f>
        <v>0</v>
      </c>
      <c r="H471" s="5">
        <f>IFERROR(__xludf.DUMMYFUNCTION("""COMPUTED_VALUE"""),0.1569444444430701)</f>
        <v>0.1569444444</v>
      </c>
    </row>
    <row r="472">
      <c r="A472" t="str">
        <f>IFERROR(__xludf.DUMMYFUNCTION("""COMPUTED_VALUE"""),"Chile")</f>
        <v>Chile</v>
      </c>
      <c r="B472" t="str">
        <f>IFERROR(__xludf.DUMMYFUNCTION("""COMPUTED_VALUE"""),"South America")</f>
        <v>South America</v>
      </c>
      <c r="C472">
        <f>IFERROR(__xludf.DUMMYFUNCTION("""COMPUTED_VALUE"""),21.0)</f>
        <v>21</v>
      </c>
      <c r="D472" t="str">
        <f>IFERROR(__xludf.DUMMYFUNCTION("""COMPUTED_VALUE"""),"Hola - Remix")</f>
        <v>Hola - Remix</v>
      </c>
      <c r="E472" t="str">
        <f>IFERROR(__xludf.DUMMYFUNCTION("""COMPUTED_VALUE"""),"Dalex, Lenny Tavárez, Chencho Corleone, Juhn, Dímelo Flow")</f>
        <v>Dalex, Lenny Tavárez, Chencho Corleone, Juhn, Dímelo Flow</v>
      </c>
      <c r="F472" t="str">
        <f>IFERROR(__xludf.DUMMYFUNCTION("""COMPUTED_VALUE"""),"Hola (Remix)")</f>
        <v>Hola (Remix)</v>
      </c>
      <c r="G472">
        <f>IFERROR(__xludf.DUMMYFUNCTION("""COMPUTED_VALUE"""),0.0)</f>
        <v>0</v>
      </c>
      <c r="H472" s="5">
        <f>IFERROR(__xludf.DUMMYFUNCTION("""COMPUTED_VALUE"""),0.17291666666642413)</f>
        <v>0.1729166667</v>
      </c>
    </row>
    <row r="473">
      <c r="A473" t="str">
        <f>IFERROR(__xludf.DUMMYFUNCTION("""COMPUTED_VALUE"""),"Chile")</f>
        <v>Chile</v>
      </c>
      <c r="B473" t="str">
        <f>IFERROR(__xludf.DUMMYFUNCTION("""COMPUTED_VALUE"""),"South America")</f>
        <v>South America</v>
      </c>
      <c r="C473">
        <f>IFERROR(__xludf.DUMMYFUNCTION("""COMPUTED_VALUE"""),22.0)</f>
        <v>22</v>
      </c>
      <c r="D473" t="str">
        <f>IFERROR(__xludf.DUMMYFUNCTION("""COMPUTED_VALUE"""),"Jangueo")</f>
        <v>Jangueo</v>
      </c>
      <c r="E473" t="str">
        <f>IFERROR(__xludf.DUMMYFUNCTION("""COMPUTED_VALUE"""),"Alex Rose, Rafa Pabön")</f>
        <v>Alex Rose, Rafa Pabön</v>
      </c>
      <c r="F473" t="str">
        <f>IFERROR(__xludf.DUMMYFUNCTION("""COMPUTED_VALUE"""),"LOST")</f>
        <v>LOST</v>
      </c>
      <c r="G473">
        <f>IFERROR(__xludf.DUMMYFUNCTION("""COMPUTED_VALUE"""),0.0)</f>
        <v>0</v>
      </c>
      <c r="H473" s="5">
        <f>IFERROR(__xludf.DUMMYFUNCTION("""COMPUTED_VALUE"""),0.17986111111167702)</f>
        <v>0.1798611111</v>
      </c>
    </row>
    <row r="474">
      <c r="A474" t="str">
        <f>IFERROR(__xludf.DUMMYFUNCTION("""COMPUTED_VALUE"""),"Chile")</f>
        <v>Chile</v>
      </c>
      <c r="B474" t="str">
        <f>IFERROR(__xludf.DUMMYFUNCTION("""COMPUTED_VALUE"""),"South America")</f>
        <v>South America</v>
      </c>
      <c r="C474">
        <f>IFERROR(__xludf.DUMMYFUNCTION("""COMPUTED_VALUE"""),23.0)</f>
        <v>23</v>
      </c>
      <c r="D474" t="str">
        <f>IFERROR(__xludf.DUMMYFUNCTION("""COMPUTED_VALUE"""),"Blinding Lights")</f>
        <v>Blinding Lights</v>
      </c>
      <c r="E474" t="str">
        <f>IFERROR(__xludf.DUMMYFUNCTION("""COMPUTED_VALUE"""),"The Weeknd")</f>
        <v>The Weeknd</v>
      </c>
      <c r="F474" t="str">
        <f>IFERROR(__xludf.DUMMYFUNCTION("""COMPUTED_VALUE"""),"After Hours")</f>
        <v>After Hours</v>
      </c>
      <c r="G474">
        <f>IFERROR(__xludf.DUMMYFUNCTION("""COMPUTED_VALUE"""),0.0)</f>
        <v>0</v>
      </c>
      <c r="H474" s="5">
        <f>IFERROR(__xludf.DUMMYFUNCTION("""COMPUTED_VALUE"""),0.13888888889050577)</f>
        <v>0.1388888889</v>
      </c>
    </row>
    <row r="475">
      <c r="A475" t="str">
        <f>IFERROR(__xludf.DUMMYFUNCTION("""COMPUTED_VALUE"""),"Chile")</f>
        <v>Chile</v>
      </c>
      <c r="B475" t="str">
        <f>IFERROR(__xludf.DUMMYFUNCTION("""COMPUTED_VALUE"""),"South America")</f>
        <v>South America</v>
      </c>
      <c r="C475">
        <f>IFERROR(__xludf.DUMMYFUNCTION("""COMPUTED_VALUE"""),24.0)</f>
        <v>24</v>
      </c>
      <c r="D475" t="str">
        <f>IFERROR(__xludf.DUMMYFUNCTION("""COMPUTED_VALUE"""),"PA' ROMPERLA")</f>
        <v>PA' ROMPERLA</v>
      </c>
      <c r="E475" t="str">
        <f>IFERROR(__xludf.DUMMYFUNCTION("""COMPUTED_VALUE"""),"Bad Bunny, Don Omar")</f>
        <v>Bad Bunny, Don Omar</v>
      </c>
      <c r="F475" t="str">
        <f>IFERROR(__xludf.DUMMYFUNCTION("""COMPUTED_VALUE"""),"LAS QUE NO IBAN A SALIR")</f>
        <v>LAS QUE NO IBAN A SALIR</v>
      </c>
      <c r="G475">
        <f>IFERROR(__xludf.DUMMYFUNCTION("""COMPUTED_VALUE"""),1.0)</f>
        <v>1</v>
      </c>
      <c r="H475" s="5">
        <f>IFERROR(__xludf.DUMMYFUNCTION("""COMPUTED_VALUE"""),0.13472222222117125)</f>
        <v>0.1347222222</v>
      </c>
    </row>
    <row r="476">
      <c r="A476" t="str">
        <f>IFERROR(__xludf.DUMMYFUNCTION("""COMPUTED_VALUE"""),"Chile")</f>
        <v>Chile</v>
      </c>
      <c r="B476" t="str">
        <f>IFERROR(__xludf.DUMMYFUNCTION("""COMPUTED_VALUE"""),"South America")</f>
        <v>South America</v>
      </c>
      <c r="C476">
        <f>IFERROR(__xludf.DUMMYFUNCTION("""COMPUTED_VALUE"""),25.0)</f>
        <v>25</v>
      </c>
      <c r="D476" t="str">
        <f>IFERROR(__xludf.DUMMYFUNCTION("""COMPUTED_VALUE"""),"Tusa")</f>
        <v>Tusa</v>
      </c>
      <c r="E476" t="str">
        <f>IFERROR(__xludf.DUMMYFUNCTION("""COMPUTED_VALUE"""),"KAROL G, Nicki Minaj")</f>
        <v>KAROL G, Nicki Minaj</v>
      </c>
      <c r="F476" t="str">
        <f>IFERROR(__xludf.DUMMYFUNCTION("""COMPUTED_VALUE"""),"Tusa")</f>
        <v>Tusa</v>
      </c>
      <c r="G476">
        <f>IFERROR(__xludf.DUMMYFUNCTION("""COMPUTED_VALUE"""),0.0)</f>
        <v>0</v>
      </c>
      <c r="H476" s="5">
        <f>IFERROR(__xludf.DUMMYFUNCTION("""COMPUTED_VALUE"""),0.13888888889050577)</f>
        <v>0.1388888889</v>
      </c>
    </row>
    <row r="477">
      <c r="A477" t="str">
        <f>IFERROR(__xludf.DUMMYFUNCTION("""COMPUTED_VALUE"""),"Chile")</f>
        <v>Chile</v>
      </c>
      <c r="B477" t="str">
        <f>IFERROR(__xludf.DUMMYFUNCTION("""COMPUTED_VALUE"""),"South America")</f>
        <v>South America</v>
      </c>
      <c r="C477">
        <f>IFERROR(__xludf.DUMMYFUNCTION("""COMPUTED_VALUE"""),26.0)</f>
        <v>26</v>
      </c>
      <c r="D477" t="str">
        <f>IFERROR(__xludf.DUMMYFUNCTION("""COMPUTED_VALUE"""),"A Tu Merced")</f>
        <v>A Tu Merced</v>
      </c>
      <c r="E477" t="str">
        <f>IFERROR(__xludf.DUMMYFUNCTION("""COMPUTED_VALUE"""),"Bad Bunny")</f>
        <v>Bad Bunny</v>
      </c>
      <c r="F477" t="str">
        <f>IFERROR(__xludf.DUMMYFUNCTION("""COMPUTED_VALUE"""),"YHLQMDLG")</f>
        <v>YHLQMDLG</v>
      </c>
      <c r="G477">
        <f>IFERROR(__xludf.DUMMYFUNCTION("""COMPUTED_VALUE"""),0.0)</f>
        <v>0</v>
      </c>
      <c r="H477" s="5">
        <f>IFERROR(__xludf.DUMMYFUNCTION("""COMPUTED_VALUE"""),0.12152777777737356)</f>
        <v>0.1215277778</v>
      </c>
    </row>
    <row r="478">
      <c r="A478" t="str">
        <f>IFERROR(__xludf.DUMMYFUNCTION("""COMPUTED_VALUE"""),"Chile")</f>
        <v>Chile</v>
      </c>
      <c r="B478" t="str">
        <f>IFERROR(__xludf.DUMMYFUNCTION("""COMPUTED_VALUE"""),"South America")</f>
        <v>South America</v>
      </c>
      <c r="C478">
        <f>IFERROR(__xludf.DUMMYFUNCTION("""COMPUTED_VALUE"""),27.0)</f>
        <v>27</v>
      </c>
      <c r="D478" t="str">
        <f>IFERROR(__xludf.DUMMYFUNCTION("""COMPUTED_VALUE"""),"Tak Tiki Tak")</f>
        <v>Tak Tiki Tak</v>
      </c>
      <c r="E478" t="str">
        <f>IFERROR(__xludf.DUMMYFUNCTION("""COMPUTED_VALUE"""),"Harry Nach")</f>
        <v>Harry Nach</v>
      </c>
      <c r="F478" t="str">
        <f>IFERROR(__xludf.DUMMYFUNCTION("""COMPUTED_VALUE"""),"Tak Tiki Tak")</f>
        <v>Tak Tiki Tak</v>
      </c>
      <c r="G478">
        <f>IFERROR(__xludf.DUMMYFUNCTION("""COMPUTED_VALUE"""),1.0)</f>
        <v>1</v>
      </c>
      <c r="H478" s="5">
        <f>IFERROR(__xludf.DUMMYFUNCTION("""COMPUTED_VALUE"""),0.14722222222189885)</f>
        <v>0.1472222222</v>
      </c>
    </row>
    <row r="479">
      <c r="A479" t="str">
        <f>IFERROR(__xludf.DUMMYFUNCTION("""COMPUTED_VALUE"""),"Chile")</f>
        <v>Chile</v>
      </c>
      <c r="B479" t="str">
        <f>IFERROR(__xludf.DUMMYFUNCTION("""COMPUTED_VALUE"""),"South America")</f>
        <v>South America</v>
      </c>
      <c r="C479">
        <f>IFERROR(__xludf.DUMMYFUNCTION("""COMPUTED_VALUE"""),28.0)</f>
        <v>28</v>
      </c>
      <c r="D479" t="str">
        <f>IFERROR(__xludf.DUMMYFUNCTION("""COMPUTED_VALUE"""),"La Cama - Remix")</f>
        <v>La Cama - Remix</v>
      </c>
      <c r="E479" t="str">
        <f>IFERROR(__xludf.DUMMYFUNCTION("""COMPUTED_VALUE"""),"Lunay, Myke Towers, Ozuna, Chencho Corleone, Rauw Alejandro")</f>
        <v>Lunay, Myke Towers, Ozuna, Chencho Corleone, Rauw Alejandro</v>
      </c>
      <c r="F479" t="str">
        <f>IFERROR(__xludf.DUMMYFUNCTION("""COMPUTED_VALUE"""),"La Cama (Remix)")</f>
        <v>La Cama (Remix)</v>
      </c>
      <c r="G479">
        <f>IFERROR(__xludf.DUMMYFUNCTION("""COMPUTED_VALUE"""),0.0)</f>
        <v>0</v>
      </c>
      <c r="H479" s="5">
        <f>IFERROR(__xludf.DUMMYFUNCTION("""COMPUTED_VALUE"""),0.22916666666787933)</f>
        <v>0.2291666667</v>
      </c>
    </row>
    <row r="480">
      <c r="A480" t="str">
        <f>IFERROR(__xludf.DUMMYFUNCTION("""COMPUTED_VALUE"""),"Chile")</f>
        <v>Chile</v>
      </c>
      <c r="B480" t="str">
        <f>IFERROR(__xludf.DUMMYFUNCTION("""COMPUTED_VALUE"""),"South America")</f>
        <v>South America</v>
      </c>
      <c r="C480">
        <f>IFERROR(__xludf.DUMMYFUNCTION("""COMPUTED_VALUE"""),29.0)</f>
        <v>29</v>
      </c>
      <c r="D480" t="str">
        <f>IFERROR(__xludf.DUMMYFUNCTION("""COMPUTED_VALUE"""),"Si Veo a Tu Mamá")</f>
        <v>Si Veo a Tu Mamá</v>
      </c>
      <c r="E480" t="str">
        <f>IFERROR(__xludf.DUMMYFUNCTION("""COMPUTED_VALUE"""),"Bad Bunny")</f>
        <v>Bad Bunny</v>
      </c>
      <c r="F480" t="str">
        <f>IFERROR(__xludf.DUMMYFUNCTION("""COMPUTED_VALUE"""),"YHLQMDLG")</f>
        <v>YHLQMDLG</v>
      </c>
      <c r="G480">
        <f>IFERROR(__xludf.DUMMYFUNCTION("""COMPUTED_VALUE"""),0.0)</f>
        <v>0</v>
      </c>
      <c r="H480" s="5">
        <f>IFERROR(__xludf.DUMMYFUNCTION("""COMPUTED_VALUE"""),0.11805555555474712)</f>
        <v>0.1180555556</v>
      </c>
    </row>
    <row r="481">
      <c r="A481" t="str">
        <f>IFERROR(__xludf.DUMMYFUNCTION("""COMPUTED_VALUE"""),"Chile")</f>
        <v>Chile</v>
      </c>
      <c r="B481" t="str">
        <f>IFERROR(__xludf.DUMMYFUNCTION("""COMPUTED_VALUE"""),"South America")</f>
        <v>South America</v>
      </c>
      <c r="C481">
        <f>IFERROR(__xludf.DUMMYFUNCTION("""COMPUTED_VALUE"""),30.0)</f>
        <v>30</v>
      </c>
      <c r="D481" t="str">
        <f>IFERROR(__xludf.DUMMYFUNCTION("""COMPUTED_VALUE"""),"Confía")</f>
        <v>Confía</v>
      </c>
      <c r="E481" t="str">
        <f>IFERROR(__xludf.DUMMYFUNCTION("""COMPUTED_VALUE"""),"Sech, Daddy Yankee")</f>
        <v>Sech, Daddy Yankee</v>
      </c>
      <c r="F481" t="str">
        <f>IFERROR(__xludf.DUMMYFUNCTION("""COMPUTED_VALUE"""),"1 of 1")</f>
        <v>1 of 1</v>
      </c>
      <c r="G481">
        <f>IFERROR(__xludf.DUMMYFUNCTION("""COMPUTED_VALUE"""),0.0)</f>
        <v>0</v>
      </c>
      <c r="H481" s="5">
        <f>IFERROR(__xludf.DUMMYFUNCTION("""COMPUTED_VALUE"""),0.14027777777664596)</f>
        <v>0.1402777778</v>
      </c>
    </row>
    <row r="482">
      <c r="A482" t="str">
        <f>IFERROR(__xludf.DUMMYFUNCTION("""COMPUTED_VALUE"""),"Chile")</f>
        <v>Chile</v>
      </c>
      <c r="B482" t="str">
        <f>IFERROR(__xludf.DUMMYFUNCTION("""COMPUTED_VALUE"""),"South America")</f>
        <v>South America</v>
      </c>
      <c r="C482">
        <f>IFERROR(__xludf.DUMMYFUNCTION("""COMPUTED_VALUE"""),31.0)</f>
        <v>31</v>
      </c>
      <c r="D482" t="str">
        <f>IFERROR(__xludf.DUMMYFUNCTION("""COMPUTED_VALUE"""),"Rain On Me (with Ariana Grande)")</f>
        <v>Rain On Me (with Ariana Grande)</v>
      </c>
      <c r="E482" t="str">
        <f>IFERROR(__xludf.DUMMYFUNCTION("""COMPUTED_VALUE"""),"Lady Gaga, Ariana Grande")</f>
        <v>Lady Gaga, Ariana Grande</v>
      </c>
      <c r="F482" t="str">
        <f>IFERROR(__xludf.DUMMYFUNCTION("""COMPUTED_VALUE"""),"Rain On Me (with Ariana Grande)")</f>
        <v>Rain On Me (with Ariana Grande)</v>
      </c>
      <c r="G482">
        <f>IFERROR(__xludf.DUMMYFUNCTION("""COMPUTED_VALUE"""),0.0)</f>
        <v>0</v>
      </c>
      <c r="H482" s="5">
        <f>IFERROR(__xludf.DUMMYFUNCTION("""COMPUTED_VALUE"""),0.12638888888977817)</f>
        <v>0.1263888889</v>
      </c>
    </row>
    <row r="483">
      <c r="A483" t="str">
        <f>IFERROR(__xludf.DUMMYFUNCTION("""COMPUTED_VALUE"""),"Chile")</f>
        <v>Chile</v>
      </c>
      <c r="B483" t="str">
        <f>IFERROR(__xludf.DUMMYFUNCTION("""COMPUTED_VALUE"""),"South America")</f>
        <v>South America</v>
      </c>
      <c r="C483">
        <f>IFERROR(__xludf.DUMMYFUNCTION("""COMPUTED_VALUE"""),32.0)</f>
        <v>32</v>
      </c>
      <c r="D483" t="str">
        <f>IFERROR(__xludf.DUMMYFUNCTION("""COMPUTED_VALUE"""),"Vete")</f>
        <v>Vete</v>
      </c>
      <c r="E483" t="str">
        <f>IFERROR(__xludf.DUMMYFUNCTION("""COMPUTED_VALUE"""),"Bad Bunny")</f>
        <v>Bad Bunny</v>
      </c>
      <c r="F483" t="str">
        <f>IFERROR(__xludf.DUMMYFUNCTION("""COMPUTED_VALUE"""),"YHLQMDLG")</f>
        <v>YHLQMDLG</v>
      </c>
      <c r="G483">
        <f>IFERROR(__xludf.DUMMYFUNCTION("""COMPUTED_VALUE"""),1.0)</f>
        <v>1</v>
      </c>
      <c r="H483" s="5">
        <f>IFERROR(__xludf.DUMMYFUNCTION("""COMPUTED_VALUE"""),0.13333333333503106)</f>
        <v>0.1333333333</v>
      </c>
    </row>
    <row r="484">
      <c r="A484" t="str">
        <f>IFERROR(__xludf.DUMMYFUNCTION("""COMPUTED_VALUE"""),"Chile")</f>
        <v>Chile</v>
      </c>
      <c r="B484" t="str">
        <f>IFERROR(__xludf.DUMMYFUNCTION("""COMPUTED_VALUE"""),"South America")</f>
        <v>South America</v>
      </c>
      <c r="C484">
        <f>IFERROR(__xludf.DUMMYFUNCTION("""COMPUTED_VALUE"""),33.0)</f>
        <v>33</v>
      </c>
      <c r="D484" t="str">
        <f>IFERROR(__xludf.DUMMYFUNCTION("""COMPUTED_VALUE"""),"Locura")</f>
        <v>Locura</v>
      </c>
      <c r="E484" t="str">
        <f>IFERROR(__xludf.DUMMYFUNCTION("""COMPUTED_VALUE"""),"Cali Y El Dandee, Sebastian Yatra")</f>
        <v>Cali Y El Dandee, Sebastian Yatra</v>
      </c>
      <c r="F484" t="str">
        <f>IFERROR(__xludf.DUMMYFUNCTION("""COMPUTED_VALUE"""),"Colegio")</f>
        <v>Colegio</v>
      </c>
      <c r="G484">
        <f>IFERROR(__xludf.DUMMYFUNCTION("""COMPUTED_VALUE"""),0.0)</f>
        <v>0</v>
      </c>
      <c r="H484" s="5">
        <f>IFERROR(__xludf.DUMMYFUNCTION("""COMPUTED_VALUE"""),0.14513888888905058)</f>
        <v>0.1451388889</v>
      </c>
    </row>
    <row r="485">
      <c r="A485" t="str">
        <f>IFERROR(__xludf.DUMMYFUNCTION("""COMPUTED_VALUE"""),"Chile")</f>
        <v>Chile</v>
      </c>
      <c r="B485" t="str">
        <f>IFERROR(__xludf.DUMMYFUNCTION("""COMPUTED_VALUE"""),"South America")</f>
        <v>South America</v>
      </c>
      <c r="C485">
        <f>IFERROR(__xludf.DUMMYFUNCTION("""COMPUTED_VALUE"""),34.0)</f>
        <v>34</v>
      </c>
      <c r="D485" t="str">
        <f>IFERROR(__xludf.DUMMYFUNCTION("""COMPUTED_VALUE"""),"Dance Monkey")</f>
        <v>Dance Monkey</v>
      </c>
      <c r="E485" t="str">
        <f>IFERROR(__xludf.DUMMYFUNCTION("""COMPUTED_VALUE"""),"Tones And I")</f>
        <v>Tones And I</v>
      </c>
      <c r="F485" t="str">
        <f>IFERROR(__xludf.DUMMYFUNCTION("""COMPUTED_VALUE"""),"Dance Monkey (Stripped Back) / Dance Monkey")</f>
        <v>Dance Monkey (Stripped Back) / Dance Monkey</v>
      </c>
      <c r="G485">
        <f>IFERROR(__xludf.DUMMYFUNCTION("""COMPUTED_VALUE"""),0.0)</f>
        <v>0</v>
      </c>
      <c r="H485" s="5">
        <f>IFERROR(__xludf.DUMMYFUNCTION("""COMPUTED_VALUE"""),0.14513888888905058)</f>
        <v>0.1451388889</v>
      </c>
    </row>
    <row r="486">
      <c r="A486" t="str">
        <f>IFERROR(__xludf.DUMMYFUNCTION("""COMPUTED_VALUE"""),"Chile")</f>
        <v>Chile</v>
      </c>
      <c r="B486" t="str">
        <f>IFERROR(__xludf.DUMMYFUNCTION("""COMPUTED_VALUE"""),"South America")</f>
        <v>South America</v>
      </c>
      <c r="C486">
        <f>IFERROR(__xludf.DUMMYFUNCTION("""COMPUTED_VALUE"""),35.0)</f>
        <v>35</v>
      </c>
      <c r="D486" t="str">
        <f>IFERROR(__xludf.DUMMYFUNCTION("""COMPUTED_VALUE"""),"Morado")</f>
        <v>Morado</v>
      </c>
      <c r="E486" t="str">
        <f>IFERROR(__xludf.DUMMYFUNCTION("""COMPUTED_VALUE"""),"J Balvin")</f>
        <v>J Balvin</v>
      </c>
      <c r="F486" t="str">
        <f>IFERROR(__xludf.DUMMYFUNCTION("""COMPUTED_VALUE"""),"Colores")</f>
        <v>Colores</v>
      </c>
      <c r="G486">
        <f>IFERROR(__xludf.DUMMYFUNCTION("""COMPUTED_VALUE"""),0.0)</f>
        <v>0</v>
      </c>
      <c r="H486" s="5">
        <f>IFERROR(__xludf.DUMMYFUNCTION("""COMPUTED_VALUE"""),0.13888888889050577)</f>
        <v>0.1388888889</v>
      </c>
    </row>
    <row r="487">
      <c r="A487" t="str">
        <f>IFERROR(__xludf.DUMMYFUNCTION("""COMPUTED_VALUE"""),"Chile")</f>
        <v>Chile</v>
      </c>
      <c r="B487" t="str">
        <f>IFERROR(__xludf.DUMMYFUNCTION("""COMPUTED_VALUE"""),"South America")</f>
        <v>South America</v>
      </c>
      <c r="C487">
        <f>IFERROR(__xludf.DUMMYFUNCTION("""COMPUTED_VALUE"""),36.0)</f>
        <v>36</v>
      </c>
      <c r="D487" t="str">
        <f>IFERROR(__xludf.DUMMYFUNCTION("""COMPUTED_VALUE"""),"Keii")</f>
        <v>Keii</v>
      </c>
      <c r="E487" t="str">
        <f>IFERROR(__xludf.DUMMYFUNCTION("""COMPUTED_VALUE"""),"Anuel AA")</f>
        <v>Anuel AA</v>
      </c>
      <c r="F487" t="str">
        <f>IFERROR(__xludf.DUMMYFUNCTION("""COMPUTED_VALUE"""),"Keii")</f>
        <v>Keii</v>
      </c>
      <c r="G487">
        <f>IFERROR(__xludf.DUMMYFUNCTION("""COMPUTED_VALUE"""),0.0)</f>
        <v>0</v>
      </c>
      <c r="H487" s="5">
        <f>IFERROR(__xludf.DUMMYFUNCTION("""COMPUTED_VALUE"""),0.14583333333212067)</f>
        <v>0.1458333333</v>
      </c>
    </row>
    <row r="488">
      <c r="A488" t="str">
        <f>IFERROR(__xludf.DUMMYFUNCTION("""COMPUTED_VALUE"""),"Chile")</f>
        <v>Chile</v>
      </c>
      <c r="B488" t="str">
        <f>IFERROR(__xludf.DUMMYFUNCTION("""COMPUTED_VALUE"""),"South America")</f>
        <v>South America</v>
      </c>
      <c r="C488">
        <f>IFERROR(__xludf.DUMMYFUNCTION("""COMPUTED_VALUE"""),37.0)</f>
        <v>37</v>
      </c>
      <c r="D488" t="str">
        <f>IFERROR(__xludf.DUMMYFUNCTION("""COMPUTED_VALUE"""),"Girl")</f>
        <v>Girl</v>
      </c>
      <c r="E488" t="str">
        <f>IFERROR(__xludf.DUMMYFUNCTION("""COMPUTED_VALUE"""),"Myke Towers")</f>
        <v>Myke Towers</v>
      </c>
      <c r="F488" t="str">
        <f>IFERROR(__xludf.DUMMYFUNCTION("""COMPUTED_VALUE"""),"Easy Money Baby")</f>
        <v>Easy Money Baby</v>
      </c>
      <c r="G488">
        <f>IFERROR(__xludf.DUMMYFUNCTION("""COMPUTED_VALUE"""),1.0)</f>
        <v>1</v>
      </c>
      <c r="H488" s="5">
        <f>IFERROR(__xludf.DUMMYFUNCTION("""COMPUTED_VALUE"""),0.12916666666569654)</f>
        <v>0.1291666667</v>
      </c>
    </row>
    <row r="489">
      <c r="A489" t="str">
        <f>IFERROR(__xludf.DUMMYFUNCTION("""COMPUTED_VALUE"""),"Chile")</f>
        <v>Chile</v>
      </c>
      <c r="B489" t="str">
        <f>IFERROR(__xludf.DUMMYFUNCTION("""COMPUTED_VALUE"""),"South America")</f>
        <v>South America</v>
      </c>
      <c r="C489">
        <f>IFERROR(__xludf.DUMMYFUNCTION("""COMPUTED_VALUE"""),38.0)</f>
        <v>38</v>
      </c>
      <c r="D489" t="str">
        <f>IFERROR(__xludf.DUMMYFUNCTION("""COMPUTED_VALUE"""),"Bellaquita - Remix")</f>
        <v>Bellaquita - Remix</v>
      </c>
      <c r="E489" t="str">
        <f>IFERROR(__xludf.DUMMYFUNCTION("""COMPUTED_VALUE"""),"Dalex, Lenny Tavárez, Anitta, Natti Natasha, Farruko, Justin Quiles")</f>
        <v>Dalex, Lenny Tavárez, Anitta, Natti Natasha, Farruko, Justin Quiles</v>
      </c>
      <c r="F489" t="str">
        <f>IFERROR(__xludf.DUMMYFUNCTION("""COMPUTED_VALUE"""),"Modo Avión")</f>
        <v>Modo Avión</v>
      </c>
      <c r="G489">
        <f>IFERROR(__xludf.DUMMYFUNCTION("""COMPUTED_VALUE"""),1.0)</f>
        <v>1</v>
      </c>
      <c r="H489" s="5">
        <f>IFERROR(__xludf.DUMMYFUNCTION("""COMPUTED_VALUE"""),0.21111111111167702)</f>
        <v>0.2111111111</v>
      </c>
    </row>
    <row r="490">
      <c r="A490" t="str">
        <f>IFERROR(__xludf.DUMMYFUNCTION("""COMPUTED_VALUE"""),"Chile")</f>
        <v>Chile</v>
      </c>
      <c r="B490" t="str">
        <f>IFERROR(__xludf.DUMMYFUNCTION("""COMPUTED_VALUE"""),"South America")</f>
        <v>South America</v>
      </c>
      <c r="C490">
        <f>IFERROR(__xludf.DUMMYFUNCTION("""COMPUTED_VALUE"""),39.0)</f>
        <v>39</v>
      </c>
      <c r="D490" t="str">
        <f>IFERROR(__xludf.DUMMYFUNCTION("""COMPUTED_VALUE"""),"Sigues Con El - Remix")</f>
        <v>Sigues Con El - Remix</v>
      </c>
      <c r="E490" t="str">
        <f>IFERROR(__xludf.DUMMYFUNCTION("""COMPUTED_VALUE"""),"Arcangel, Sech, Romeo Santos")</f>
        <v>Arcangel, Sech, Romeo Santos</v>
      </c>
      <c r="F490" t="str">
        <f>IFERROR(__xludf.DUMMYFUNCTION("""COMPUTED_VALUE"""),"Sigues Con El (Remix)")</f>
        <v>Sigues Con El (Remix)</v>
      </c>
      <c r="G490">
        <f>IFERROR(__xludf.DUMMYFUNCTION("""COMPUTED_VALUE"""),0.0)</f>
        <v>0</v>
      </c>
      <c r="H490" s="5">
        <f>IFERROR(__xludf.DUMMYFUNCTION("""COMPUTED_VALUE"""),0.1312499999985448)</f>
        <v>0.13125</v>
      </c>
    </row>
    <row r="491">
      <c r="A491" t="str">
        <f>IFERROR(__xludf.DUMMYFUNCTION("""COMPUTED_VALUE"""),"Chile")</f>
        <v>Chile</v>
      </c>
      <c r="B491" t="str">
        <f>IFERROR(__xludf.DUMMYFUNCTION("""COMPUTED_VALUE"""),"South America")</f>
        <v>South America</v>
      </c>
      <c r="C491">
        <f>IFERROR(__xludf.DUMMYFUNCTION("""COMPUTED_VALUE"""),40.0)</f>
        <v>40</v>
      </c>
      <c r="D491" t="str">
        <f>IFERROR(__xludf.DUMMYFUNCTION("""COMPUTED_VALUE"""),"BENDICIONES")</f>
        <v>BENDICIONES</v>
      </c>
      <c r="E491" t="str">
        <f>IFERROR(__xludf.DUMMYFUNCTION("""COMPUTED_VALUE"""),"Bad Bunny")</f>
        <v>Bad Bunny</v>
      </c>
      <c r="F491" t="str">
        <f>IFERROR(__xludf.DUMMYFUNCTION("""COMPUTED_VALUE"""),"LAS QUE NO IBAN A SALIR")</f>
        <v>LAS QUE NO IBAN A SALIR</v>
      </c>
      <c r="G491">
        <f>IFERROR(__xludf.DUMMYFUNCTION("""COMPUTED_VALUE"""),0.0)</f>
        <v>0</v>
      </c>
      <c r="H491" s="5">
        <f>IFERROR(__xludf.DUMMYFUNCTION("""COMPUTED_VALUE"""),0.10763888889050577)</f>
        <v>0.1076388889</v>
      </c>
    </row>
    <row r="492">
      <c r="A492" t="str">
        <f>IFERROR(__xludf.DUMMYFUNCTION("""COMPUTED_VALUE"""),"Chile")</f>
        <v>Chile</v>
      </c>
      <c r="B492" t="str">
        <f>IFERROR(__xludf.DUMMYFUNCTION("""COMPUTED_VALUE"""),"South America")</f>
        <v>South America</v>
      </c>
      <c r="C492">
        <f>IFERROR(__xludf.DUMMYFUNCTION("""COMPUTED_VALUE"""),41.0)</f>
        <v>41</v>
      </c>
      <c r="D492" t="str">
        <f>IFERROR(__xludf.DUMMYFUNCTION("""COMPUTED_VALUE"""),"Goteo")</f>
        <v>Goteo</v>
      </c>
      <c r="E492" t="str">
        <f>IFERROR(__xludf.DUMMYFUNCTION("""COMPUTED_VALUE"""),"Paloma Mami")</f>
        <v>Paloma Mami</v>
      </c>
      <c r="F492" t="str">
        <f>IFERROR(__xludf.DUMMYFUNCTION("""COMPUTED_VALUE"""),"Goteo")</f>
        <v>Goteo</v>
      </c>
      <c r="G492">
        <f>IFERROR(__xludf.DUMMYFUNCTION("""COMPUTED_VALUE"""),0.0)</f>
        <v>0</v>
      </c>
      <c r="H492" s="5">
        <f>IFERROR(__xludf.DUMMYFUNCTION("""COMPUTED_VALUE"""),0.11041666666642413)</f>
        <v>0.1104166667</v>
      </c>
    </row>
    <row r="493">
      <c r="A493" t="str">
        <f>IFERROR(__xludf.DUMMYFUNCTION("""COMPUTED_VALUE"""),"Chile")</f>
        <v>Chile</v>
      </c>
      <c r="B493" t="str">
        <f>IFERROR(__xludf.DUMMYFUNCTION("""COMPUTED_VALUE"""),"South America")</f>
        <v>South America</v>
      </c>
      <c r="C493">
        <f>IFERROR(__xludf.DUMMYFUNCTION("""COMPUTED_VALUE"""),42.0)</f>
        <v>42</v>
      </c>
      <c r="D493" t="str">
        <f>IFERROR(__xludf.DUMMYFUNCTION("""COMPUTED_VALUE"""),"Sola &amp; Vacía")</f>
        <v>Sola &amp; Vacía</v>
      </c>
      <c r="E493" t="str">
        <f>IFERROR(__xludf.DUMMYFUNCTION("""COMPUTED_VALUE"""),"Casper Magico, Anuel AA")</f>
        <v>Casper Magico, Anuel AA</v>
      </c>
      <c r="F493" t="str">
        <f>IFERROR(__xludf.DUMMYFUNCTION("""COMPUTED_VALUE"""),"Sola &amp; Vacía")</f>
        <v>Sola &amp; Vacía</v>
      </c>
      <c r="G493">
        <f>IFERROR(__xludf.DUMMYFUNCTION("""COMPUTED_VALUE"""),1.0)</f>
        <v>1</v>
      </c>
      <c r="H493" s="5">
        <f>IFERROR(__xludf.DUMMYFUNCTION("""COMPUTED_VALUE"""),0.12638888888977817)</f>
        <v>0.1263888889</v>
      </c>
    </row>
    <row r="494">
      <c r="A494" t="str">
        <f>IFERROR(__xludf.DUMMYFUNCTION("""COMPUTED_VALUE"""),"Chile")</f>
        <v>Chile</v>
      </c>
      <c r="B494" t="str">
        <f>IFERROR(__xludf.DUMMYFUNCTION("""COMPUTED_VALUE"""),"South America")</f>
        <v>South America</v>
      </c>
      <c r="C494">
        <f>IFERROR(__xludf.DUMMYFUNCTION("""COMPUTED_VALUE"""),43.0)</f>
        <v>43</v>
      </c>
      <c r="D494" t="str">
        <f>IFERROR(__xludf.DUMMYFUNCTION("""COMPUTED_VALUE"""),"Fantasias")</f>
        <v>Fantasias</v>
      </c>
      <c r="E494" t="str">
        <f>IFERROR(__xludf.DUMMYFUNCTION("""COMPUTED_VALUE"""),"Rauw Alejandro, Farruko")</f>
        <v>Rauw Alejandro, Farruko</v>
      </c>
      <c r="F494" t="str">
        <f>IFERROR(__xludf.DUMMYFUNCTION("""COMPUTED_VALUE"""),"Fantasias")</f>
        <v>Fantasias</v>
      </c>
      <c r="G494">
        <f>IFERROR(__xludf.DUMMYFUNCTION("""COMPUTED_VALUE"""),0.0)</f>
        <v>0</v>
      </c>
      <c r="H494" s="5">
        <f>IFERROR(__xludf.DUMMYFUNCTION("""COMPUTED_VALUE"""),0.1381944444437977)</f>
        <v>0.1381944444</v>
      </c>
    </row>
    <row r="495">
      <c r="A495" t="str">
        <f>IFERROR(__xludf.DUMMYFUNCTION("""COMPUTED_VALUE"""),"Chile")</f>
        <v>Chile</v>
      </c>
      <c r="B495" t="str">
        <f>IFERROR(__xludf.DUMMYFUNCTION("""COMPUTED_VALUE"""),"South America")</f>
        <v>South America</v>
      </c>
      <c r="C495">
        <f>IFERROR(__xludf.DUMMYFUNCTION("""COMPUTED_VALUE"""),44.0)</f>
        <v>44</v>
      </c>
      <c r="D495" t="str">
        <f>IFERROR(__xludf.DUMMYFUNCTION("""COMPUTED_VALUE"""),"Amarillo")</f>
        <v>Amarillo</v>
      </c>
      <c r="E495" t="str">
        <f>IFERROR(__xludf.DUMMYFUNCTION("""COMPUTED_VALUE"""),"J Balvin")</f>
        <v>J Balvin</v>
      </c>
      <c r="F495" t="str">
        <f>IFERROR(__xludf.DUMMYFUNCTION("""COMPUTED_VALUE"""),"Colores")</f>
        <v>Colores</v>
      </c>
      <c r="G495">
        <f>IFERROR(__xludf.DUMMYFUNCTION("""COMPUTED_VALUE"""),0.0)</f>
        <v>0</v>
      </c>
      <c r="H495" s="5">
        <f>IFERROR(__xludf.DUMMYFUNCTION("""COMPUTED_VALUE"""),0.10902777777664596)</f>
        <v>0.1090277778</v>
      </c>
    </row>
    <row r="496">
      <c r="A496" t="str">
        <f>IFERROR(__xludf.DUMMYFUNCTION("""COMPUTED_VALUE"""),"Chile")</f>
        <v>Chile</v>
      </c>
      <c r="B496" t="str">
        <f>IFERROR(__xludf.DUMMYFUNCTION("""COMPUTED_VALUE"""),"South America")</f>
        <v>South America</v>
      </c>
      <c r="C496">
        <f>IFERROR(__xludf.DUMMYFUNCTION("""COMPUTED_VALUE"""),45.0)</f>
        <v>45</v>
      </c>
      <c r="D496" t="str">
        <f>IFERROR(__xludf.DUMMYFUNCTION("""COMPUTED_VALUE"""),"Don't Start Now")</f>
        <v>Don't Start Now</v>
      </c>
      <c r="E496" t="str">
        <f>IFERROR(__xludf.DUMMYFUNCTION("""COMPUTED_VALUE"""),"Dua Lipa")</f>
        <v>Dua Lipa</v>
      </c>
      <c r="F496" t="str">
        <f>IFERROR(__xludf.DUMMYFUNCTION("""COMPUTED_VALUE"""),"Future Nostalgia")</f>
        <v>Future Nostalgia</v>
      </c>
      <c r="G496">
        <f>IFERROR(__xludf.DUMMYFUNCTION("""COMPUTED_VALUE"""),0.0)</f>
        <v>0</v>
      </c>
      <c r="H496" s="5">
        <f>IFERROR(__xludf.DUMMYFUNCTION("""COMPUTED_VALUE"""),0.12708333333284827)</f>
        <v>0.1270833333</v>
      </c>
    </row>
    <row r="497">
      <c r="A497" t="str">
        <f>IFERROR(__xludf.DUMMYFUNCTION("""COMPUTED_VALUE"""),"Chile")</f>
        <v>Chile</v>
      </c>
      <c r="B497" t="str">
        <f>IFERROR(__xludf.DUMMYFUNCTION("""COMPUTED_VALUE"""),"South America")</f>
        <v>South America</v>
      </c>
      <c r="C497">
        <f>IFERROR(__xludf.DUMMYFUNCTION("""COMPUTED_VALUE"""),46.0)</f>
        <v>46</v>
      </c>
      <c r="D497" t="str">
        <f>IFERROR(__xludf.DUMMYFUNCTION("""COMPUTED_VALUE"""),"Fantasias - Remix")</f>
        <v>Fantasias - Remix</v>
      </c>
      <c r="E497" t="str">
        <f>IFERROR(__xludf.DUMMYFUNCTION("""COMPUTED_VALUE"""),"Rauw Alejandro, Anuel AA, Natti Natasha, Farruko, Lunay")</f>
        <v>Rauw Alejandro, Anuel AA, Natti Natasha, Farruko, Lunay</v>
      </c>
      <c r="F497" t="str">
        <f>IFERROR(__xludf.DUMMYFUNCTION("""COMPUTED_VALUE"""),"Fantasias (Remix) [feat. Farruko &amp; Lunay]")</f>
        <v>Fantasias (Remix) [feat. Farruko &amp; Lunay]</v>
      </c>
      <c r="G497">
        <f>IFERROR(__xludf.DUMMYFUNCTION("""COMPUTED_VALUE"""),0.0)</f>
        <v>0</v>
      </c>
      <c r="H497" s="5">
        <f>IFERROR(__xludf.DUMMYFUNCTION("""COMPUTED_VALUE"""),0.18541666666715173)</f>
        <v>0.1854166667</v>
      </c>
    </row>
    <row r="498">
      <c r="A498" t="str">
        <f>IFERROR(__xludf.DUMMYFUNCTION("""COMPUTED_VALUE"""),"Chile")</f>
        <v>Chile</v>
      </c>
      <c r="B498" t="str">
        <f>IFERROR(__xludf.DUMMYFUNCTION("""COMPUTED_VALUE"""),"South America")</f>
        <v>South America</v>
      </c>
      <c r="C498">
        <f>IFERROR(__xludf.DUMMYFUNCTION("""COMPUTED_VALUE"""),47.0)</f>
        <v>47</v>
      </c>
      <c r="D498" t="str">
        <f>IFERROR(__xludf.DUMMYFUNCTION("""COMPUTED_VALUE"""),"No Me Conoce - Remix")</f>
        <v>No Me Conoce - Remix</v>
      </c>
      <c r="E498" t="str">
        <f>IFERROR(__xludf.DUMMYFUNCTION("""COMPUTED_VALUE"""),"Jhay Cortez, J Balvin, Bad Bunny")</f>
        <v>Jhay Cortez, J Balvin, Bad Bunny</v>
      </c>
      <c r="F498" t="str">
        <f>IFERROR(__xludf.DUMMYFUNCTION("""COMPUTED_VALUE"""),"Famouz")</f>
        <v>Famouz</v>
      </c>
      <c r="G498">
        <f>IFERROR(__xludf.DUMMYFUNCTION("""COMPUTED_VALUE"""),0.0)</f>
        <v>0</v>
      </c>
      <c r="H498" s="5">
        <f>IFERROR(__xludf.DUMMYFUNCTION("""COMPUTED_VALUE"""),0.21458333333430346)</f>
        <v>0.2145833333</v>
      </c>
    </row>
    <row r="499">
      <c r="A499" t="str">
        <f>IFERROR(__xludf.DUMMYFUNCTION("""COMPUTED_VALUE"""),"Chile")</f>
        <v>Chile</v>
      </c>
      <c r="B499" t="str">
        <f>IFERROR(__xludf.DUMMYFUNCTION("""COMPUTED_VALUE"""),"South America")</f>
        <v>South America</v>
      </c>
      <c r="C499">
        <f>IFERROR(__xludf.DUMMYFUNCTION("""COMPUTED_VALUE"""),48.0)</f>
        <v>48</v>
      </c>
      <c r="D499" t="str">
        <f>IFERROR(__xludf.DUMMYFUNCTION("""COMPUTED_VALUE"""),"Adicto (with Anuel AA &amp; Ozuna)")</f>
        <v>Adicto (with Anuel AA &amp; Ozuna)</v>
      </c>
      <c r="E499" t="str">
        <f>IFERROR(__xludf.DUMMYFUNCTION("""COMPUTED_VALUE"""),"Tainy, Anuel AA, Ozuna")</f>
        <v>Tainy, Anuel AA, Ozuna</v>
      </c>
      <c r="F499" t="str">
        <f>IFERROR(__xludf.DUMMYFUNCTION("""COMPUTED_VALUE"""),"Adicto (with Anuel AA &amp; Ozuna)")</f>
        <v>Adicto (with Anuel AA &amp; Ozuna)</v>
      </c>
      <c r="G499">
        <f>IFERROR(__xludf.DUMMYFUNCTION("""COMPUTED_VALUE"""),0.0)</f>
        <v>0</v>
      </c>
      <c r="H499" s="5">
        <f>IFERROR(__xludf.DUMMYFUNCTION("""COMPUTED_VALUE"""),0.1875)</f>
        <v>0.1875</v>
      </c>
    </row>
    <row r="500">
      <c r="A500" t="str">
        <f>IFERROR(__xludf.DUMMYFUNCTION("""COMPUTED_VALUE"""),"Chile")</f>
        <v>Chile</v>
      </c>
      <c r="B500" t="str">
        <f>IFERROR(__xludf.DUMMYFUNCTION("""COMPUTED_VALUE"""),"South America")</f>
        <v>South America</v>
      </c>
      <c r="C500">
        <f>IFERROR(__xludf.DUMMYFUNCTION("""COMPUTED_VALUE"""),49.0)</f>
        <v>49</v>
      </c>
      <c r="D500" t="str">
        <f>IFERROR(__xludf.DUMMYFUNCTION("""COMPUTED_VALUE"""),"death bed (coffee for your head) (feat. beabadoobee)")</f>
        <v>death bed (coffee for your head) (feat. beabadoobee)</v>
      </c>
      <c r="E500" t="str">
        <f>IFERROR(__xludf.DUMMYFUNCTION("""COMPUTED_VALUE"""),"Powfu, beabadoobee")</f>
        <v>Powfu, beabadoobee</v>
      </c>
      <c r="F500" t="str">
        <f>IFERROR(__xludf.DUMMYFUNCTION("""COMPUTED_VALUE"""),"death bed (coffee for your head) (feat. beabadoobee)")</f>
        <v>death bed (coffee for your head) (feat. beabadoobee)</v>
      </c>
      <c r="G500">
        <f>IFERROR(__xludf.DUMMYFUNCTION("""COMPUTED_VALUE"""),0.0)</f>
        <v>0</v>
      </c>
      <c r="H500" s="5">
        <f>IFERROR(__xludf.DUMMYFUNCTION("""COMPUTED_VALUE"""),0.12013888888759539)</f>
        <v>0.1201388889</v>
      </c>
    </row>
    <row r="501">
      <c r="A501" t="str">
        <f>IFERROR(__xludf.DUMMYFUNCTION("""COMPUTED_VALUE"""),"Chile")</f>
        <v>Chile</v>
      </c>
      <c r="B501" t="str">
        <f>IFERROR(__xludf.DUMMYFUNCTION("""COMPUTED_VALUE"""),"South America")</f>
        <v>South America</v>
      </c>
      <c r="C501">
        <f>IFERROR(__xludf.DUMMYFUNCTION("""COMPUTED_VALUE"""),50.0)</f>
        <v>50</v>
      </c>
      <c r="D501" t="str">
        <f>IFERROR(__xludf.DUMMYFUNCTION("""COMPUTED_VALUE"""),"Definitivamente")</f>
        <v>Definitivamente</v>
      </c>
      <c r="E501" t="str">
        <f>IFERROR(__xludf.DUMMYFUNCTION("""COMPUTED_VALUE"""),"Daddy Yankee, Sech")</f>
        <v>Daddy Yankee, Sech</v>
      </c>
      <c r="F501" t="str">
        <f>IFERROR(__xludf.DUMMYFUNCTION("""COMPUTED_VALUE"""),"Definitivamente")</f>
        <v>Definitivamente</v>
      </c>
      <c r="G501">
        <f>IFERROR(__xludf.DUMMYFUNCTION("""COMPUTED_VALUE"""),0.0)</f>
        <v>0</v>
      </c>
      <c r="H501" s="5">
        <f>IFERROR(__xludf.DUMMYFUNCTION("""COMPUTED_VALUE"""),0.1506944444445253)</f>
        <v>0.1506944444</v>
      </c>
    </row>
    <row r="502">
      <c r="A502" t="str">
        <f>IFERROR(__xludf.DUMMYFUNCTION("""COMPUTED_VALUE"""),"Colombia")</f>
        <v>Colombia</v>
      </c>
      <c r="B502" t="str">
        <f>IFERROR(__xludf.DUMMYFUNCTION("""COMPUTED_VALUE"""),"South America")</f>
        <v>South America</v>
      </c>
      <c r="C502">
        <f>IFERROR(__xludf.DUMMYFUNCTION("""COMPUTED_VALUE"""),1.0)</f>
        <v>1</v>
      </c>
      <c r="D502" t="str">
        <f>IFERROR(__xludf.DUMMYFUNCTION("""COMPUTED_VALUE"""),"Rojo")</f>
        <v>Rojo</v>
      </c>
      <c r="E502" t="str">
        <f>IFERROR(__xludf.DUMMYFUNCTION("""COMPUTED_VALUE"""),"J Balvin")</f>
        <v>J Balvin</v>
      </c>
      <c r="F502" t="str">
        <f>IFERROR(__xludf.DUMMYFUNCTION("""COMPUTED_VALUE"""),"Colores")</f>
        <v>Colores</v>
      </c>
      <c r="G502">
        <f>IFERROR(__xludf.DUMMYFUNCTION("""COMPUTED_VALUE"""),0.0)</f>
        <v>0</v>
      </c>
      <c r="H502" s="5">
        <f>IFERROR(__xludf.DUMMYFUNCTION("""COMPUTED_VALUE"""),0.10416666666787933)</f>
        <v>0.1041666667</v>
      </c>
    </row>
    <row r="503">
      <c r="A503" t="str">
        <f>IFERROR(__xludf.DUMMYFUNCTION("""COMPUTED_VALUE"""),"Colombia")</f>
        <v>Colombia</v>
      </c>
      <c r="B503" t="str">
        <f>IFERROR(__xludf.DUMMYFUNCTION("""COMPUTED_VALUE"""),"South America")</f>
        <v>South America</v>
      </c>
      <c r="C503">
        <f>IFERROR(__xludf.DUMMYFUNCTION("""COMPUTED_VALUE"""),2.0)</f>
        <v>2</v>
      </c>
      <c r="D503" t="str">
        <f>IFERROR(__xludf.DUMMYFUNCTION("""COMPUTED_VALUE"""),"PORFA")</f>
        <v>PORFA</v>
      </c>
      <c r="E503" t="str">
        <f>IFERROR(__xludf.DUMMYFUNCTION("""COMPUTED_VALUE"""),"Feid, Justin Quiles")</f>
        <v>Feid, Justin Quiles</v>
      </c>
      <c r="F503" t="str">
        <f>IFERROR(__xludf.DUMMYFUNCTION("""COMPUTED_VALUE"""),"FERXXO (VOL 1: M.O.R)")</f>
        <v>FERXXO (VOL 1: M.O.R)</v>
      </c>
      <c r="G503">
        <f>IFERROR(__xludf.DUMMYFUNCTION("""COMPUTED_VALUE"""),0.0)</f>
        <v>0</v>
      </c>
      <c r="H503" s="5">
        <f>IFERROR(__xludf.DUMMYFUNCTION("""COMPUTED_VALUE"""),0.16111111111240461)</f>
        <v>0.1611111111</v>
      </c>
    </row>
    <row r="504">
      <c r="A504" t="str">
        <f>IFERROR(__xludf.DUMMYFUNCTION("""COMPUTED_VALUE"""),"Colombia")</f>
        <v>Colombia</v>
      </c>
      <c r="B504" t="str">
        <f>IFERROR(__xludf.DUMMYFUNCTION("""COMPUTED_VALUE"""),"South America")</f>
        <v>South America</v>
      </c>
      <c r="C504">
        <f>IFERROR(__xludf.DUMMYFUNCTION("""COMPUTED_VALUE"""),3.0)</f>
        <v>3</v>
      </c>
      <c r="D504" t="str">
        <f>IFERROR(__xludf.DUMMYFUNCTION("""COMPUTED_VALUE"""),"Safaera")</f>
        <v>Safaera</v>
      </c>
      <c r="E504" t="str">
        <f>IFERROR(__xludf.DUMMYFUNCTION("""COMPUTED_VALUE"""),"Bad Bunny, Jowell &amp; Randy, Nengo Flow")</f>
        <v>Bad Bunny, Jowell &amp; Randy, Nengo Flow</v>
      </c>
      <c r="F504" t="str">
        <f>IFERROR(__xludf.DUMMYFUNCTION("""COMPUTED_VALUE"""),"YHLQMDLG")</f>
        <v>YHLQMDLG</v>
      </c>
      <c r="G504">
        <f>IFERROR(__xludf.DUMMYFUNCTION("""COMPUTED_VALUE"""),1.0)</f>
        <v>1</v>
      </c>
      <c r="H504" s="5">
        <f>IFERROR(__xludf.DUMMYFUNCTION("""COMPUTED_VALUE"""),0.20486111110949423)</f>
        <v>0.2048611111</v>
      </c>
    </row>
    <row r="505">
      <c r="A505" t="str">
        <f>IFERROR(__xludf.DUMMYFUNCTION("""COMPUTED_VALUE"""),"Colombia")</f>
        <v>Colombia</v>
      </c>
      <c r="B505" t="str">
        <f>IFERROR(__xludf.DUMMYFUNCTION("""COMPUTED_VALUE"""),"South America")</f>
        <v>South America</v>
      </c>
      <c r="C505">
        <f>IFERROR(__xludf.DUMMYFUNCTION("""COMPUTED_VALUE"""),4.0)</f>
        <v>4</v>
      </c>
      <c r="D505" t="str">
        <f>IFERROR(__xludf.DUMMYFUNCTION("""COMPUTED_VALUE"""),"Amarillo")</f>
        <v>Amarillo</v>
      </c>
      <c r="E505" t="str">
        <f>IFERROR(__xludf.DUMMYFUNCTION("""COMPUTED_VALUE"""),"J Balvin")</f>
        <v>J Balvin</v>
      </c>
      <c r="F505" t="str">
        <f>IFERROR(__xludf.DUMMYFUNCTION("""COMPUTED_VALUE"""),"Colores")</f>
        <v>Colores</v>
      </c>
      <c r="G505">
        <f>IFERROR(__xludf.DUMMYFUNCTION("""COMPUTED_VALUE"""),0.0)</f>
        <v>0</v>
      </c>
      <c r="H505" s="5">
        <f>IFERROR(__xludf.DUMMYFUNCTION("""COMPUTED_VALUE"""),0.10902777777664596)</f>
        <v>0.1090277778</v>
      </c>
    </row>
    <row r="506">
      <c r="A506" t="str">
        <f>IFERROR(__xludf.DUMMYFUNCTION("""COMPUTED_VALUE"""),"Colombia")</f>
        <v>Colombia</v>
      </c>
      <c r="B506" t="str">
        <f>IFERROR(__xludf.DUMMYFUNCTION("""COMPUTED_VALUE"""),"South America")</f>
        <v>South America</v>
      </c>
      <c r="C506">
        <f>IFERROR(__xludf.DUMMYFUNCTION("""COMPUTED_VALUE"""),5.0)</f>
        <v>5</v>
      </c>
      <c r="D506" t="str">
        <f>IFERROR(__xludf.DUMMYFUNCTION("""COMPUTED_VALUE"""),"Yo Perreo Sola")</f>
        <v>Yo Perreo Sola</v>
      </c>
      <c r="E506" t="str">
        <f>IFERROR(__xludf.DUMMYFUNCTION("""COMPUTED_VALUE"""),"Bad Bunny")</f>
        <v>Bad Bunny</v>
      </c>
      <c r="F506" t="str">
        <f>IFERROR(__xludf.DUMMYFUNCTION("""COMPUTED_VALUE"""),"YHLQMDLG")</f>
        <v>YHLQMDLG</v>
      </c>
      <c r="G506">
        <f>IFERROR(__xludf.DUMMYFUNCTION("""COMPUTED_VALUE"""),0.0)</f>
        <v>0</v>
      </c>
      <c r="H506" s="5">
        <f>IFERROR(__xludf.DUMMYFUNCTION("""COMPUTED_VALUE"""),0.11944444444452529)</f>
        <v>0.1194444444</v>
      </c>
    </row>
    <row r="507">
      <c r="A507" t="str">
        <f>IFERROR(__xludf.DUMMYFUNCTION("""COMPUTED_VALUE"""),"Colombia")</f>
        <v>Colombia</v>
      </c>
      <c r="B507" t="str">
        <f>IFERROR(__xludf.DUMMYFUNCTION("""COMPUTED_VALUE"""),"South America")</f>
        <v>South America</v>
      </c>
      <c r="C507">
        <f>IFERROR(__xludf.DUMMYFUNCTION("""COMPUTED_VALUE"""),6.0)</f>
        <v>6</v>
      </c>
      <c r="D507" t="str">
        <f>IFERROR(__xludf.DUMMYFUNCTION("""COMPUTED_VALUE"""),"Favorito")</f>
        <v>Favorito</v>
      </c>
      <c r="E507" t="str">
        <f>IFERROR(__xludf.DUMMYFUNCTION("""COMPUTED_VALUE"""),"Camilo")</f>
        <v>Camilo</v>
      </c>
      <c r="F507" t="str">
        <f>IFERROR(__xludf.DUMMYFUNCTION("""COMPUTED_VALUE"""),"Por Primera Vez")</f>
        <v>Por Primera Vez</v>
      </c>
      <c r="G507">
        <f>IFERROR(__xludf.DUMMYFUNCTION("""COMPUTED_VALUE"""),0.0)</f>
        <v>0</v>
      </c>
      <c r="H507" s="5">
        <f>IFERROR(__xludf.DUMMYFUNCTION("""COMPUTED_VALUE"""),0.14513888888905058)</f>
        <v>0.1451388889</v>
      </c>
    </row>
    <row r="508">
      <c r="A508" t="str">
        <f>IFERROR(__xludf.DUMMYFUNCTION("""COMPUTED_VALUE"""),"Colombia")</f>
        <v>Colombia</v>
      </c>
      <c r="B508" t="str">
        <f>IFERROR(__xludf.DUMMYFUNCTION("""COMPUTED_VALUE"""),"South America")</f>
        <v>South America</v>
      </c>
      <c r="C508">
        <f>IFERROR(__xludf.DUMMYFUNCTION("""COMPUTED_VALUE"""),7.0)</f>
        <v>7</v>
      </c>
      <c r="D508" t="str">
        <f>IFERROR(__xludf.DUMMYFUNCTION("""COMPUTED_VALUE"""),"Tattoo")</f>
        <v>Tattoo</v>
      </c>
      <c r="E508" t="str">
        <f>IFERROR(__xludf.DUMMYFUNCTION("""COMPUTED_VALUE"""),"Rauw Alejandro")</f>
        <v>Rauw Alejandro</v>
      </c>
      <c r="F508" t="str">
        <f>IFERROR(__xludf.DUMMYFUNCTION("""COMPUTED_VALUE"""),"Tattoo")</f>
        <v>Tattoo</v>
      </c>
      <c r="G508">
        <f>IFERROR(__xludf.DUMMYFUNCTION("""COMPUTED_VALUE"""),0.0)</f>
        <v>0</v>
      </c>
      <c r="H508" s="5">
        <f>IFERROR(__xludf.DUMMYFUNCTION("""COMPUTED_VALUE"""),0.14027777777664596)</f>
        <v>0.1402777778</v>
      </c>
    </row>
    <row r="509">
      <c r="A509" t="str">
        <f>IFERROR(__xludf.DUMMYFUNCTION("""COMPUTED_VALUE"""),"Colombia")</f>
        <v>Colombia</v>
      </c>
      <c r="B509" t="str">
        <f>IFERROR(__xludf.DUMMYFUNCTION("""COMPUTED_VALUE"""),"South America")</f>
        <v>South America</v>
      </c>
      <c r="C509">
        <f>IFERROR(__xludf.DUMMYFUNCTION("""COMPUTED_VALUE"""),8.0)</f>
        <v>8</v>
      </c>
      <c r="D509" t="str">
        <f>IFERROR(__xludf.DUMMYFUNCTION("""COMPUTED_VALUE"""),"Morado")</f>
        <v>Morado</v>
      </c>
      <c r="E509" t="str">
        <f>IFERROR(__xludf.DUMMYFUNCTION("""COMPUTED_VALUE"""),"J Balvin")</f>
        <v>J Balvin</v>
      </c>
      <c r="F509" t="str">
        <f>IFERROR(__xludf.DUMMYFUNCTION("""COMPUTED_VALUE"""),"Colores")</f>
        <v>Colores</v>
      </c>
      <c r="G509">
        <f>IFERROR(__xludf.DUMMYFUNCTION("""COMPUTED_VALUE"""),0.0)</f>
        <v>0</v>
      </c>
      <c r="H509" s="5">
        <f>IFERROR(__xludf.DUMMYFUNCTION("""COMPUTED_VALUE"""),0.13888888889050577)</f>
        <v>0.1388888889</v>
      </c>
    </row>
    <row r="510">
      <c r="A510" t="str">
        <f>IFERROR(__xludf.DUMMYFUNCTION("""COMPUTED_VALUE"""),"Colombia")</f>
        <v>Colombia</v>
      </c>
      <c r="B510" t="str">
        <f>IFERROR(__xludf.DUMMYFUNCTION("""COMPUTED_VALUE"""),"South America")</f>
        <v>South America</v>
      </c>
      <c r="C510">
        <f>IFERROR(__xludf.DUMMYFUNCTION("""COMPUTED_VALUE"""),9.0)</f>
        <v>9</v>
      </c>
      <c r="D510" t="str">
        <f>IFERROR(__xludf.DUMMYFUNCTION("""COMPUTED_VALUE"""),"Elegí (feat. Dímelo Flow)")</f>
        <v>Elegí (feat. Dímelo Flow)</v>
      </c>
      <c r="E510" t="str">
        <f>IFERROR(__xludf.DUMMYFUNCTION("""COMPUTED_VALUE"""),"Rauw Alejandro, Dalex, Lenny Tavárez, Dímelo Flow")</f>
        <v>Rauw Alejandro, Dalex, Lenny Tavárez, Dímelo Flow</v>
      </c>
      <c r="F510" t="str">
        <f>IFERROR(__xludf.DUMMYFUNCTION("""COMPUTED_VALUE"""),"Elegí (feat. Dímelo Flow)")</f>
        <v>Elegí (feat. Dímelo Flow)</v>
      </c>
      <c r="G510">
        <f>IFERROR(__xludf.DUMMYFUNCTION("""COMPUTED_VALUE"""),0.0)</f>
        <v>0</v>
      </c>
      <c r="H510" s="5">
        <f>IFERROR(__xludf.DUMMYFUNCTION("""COMPUTED_VALUE"""),0.13680555555401952)</f>
        <v>0.1368055556</v>
      </c>
    </row>
    <row r="511">
      <c r="A511" t="str">
        <f>IFERROR(__xludf.DUMMYFUNCTION("""COMPUTED_VALUE"""),"Colombia")</f>
        <v>Colombia</v>
      </c>
      <c r="B511" t="str">
        <f>IFERROR(__xludf.DUMMYFUNCTION("""COMPUTED_VALUE"""),"South America")</f>
        <v>South America</v>
      </c>
      <c r="C511">
        <f>IFERROR(__xludf.DUMMYFUNCTION("""COMPUTED_VALUE"""),10.0)</f>
        <v>10</v>
      </c>
      <c r="D511" t="str">
        <f>IFERROR(__xludf.DUMMYFUNCTION("""COMPUTED_VALUE"""),"Azul")</f>
        <v>Azul</v>
      </c>
      <c r="E511" t="str">
        <f>IFERROR(__xludf.DUMMYFUNCTION("""COMPUTED_VALUE"""),"J Balvin")</f>
        <v>J Balvin</v>
      </c>
      <c r="F511" t="str">
        <f>IFERROR(__xludf.DUMMYFUNCTION("""COMPUTED_VALUE"""),"Colores")</f>
        <v>Colores</v>
      </c>
      <c r="G511">
        <f>IFERROR(__xludf.DUMMYFUNCTION("""COMPUTED_VALUE"""),0.0)</f>
        <v>0</v>
      </c>
      <c r="H511" s="5">
        <f>IFERROR(__xludf.DUMMYFUNCTION("""COMPUTED_VALUE"""),0.14236111110949423)</f>
        <v>0.1423611111</v>
      </c>
    </row>
    <row r="512">
      <c r="A512" t="str">
        <f>IFERROR(__xludf.DUMMYFUNCTION("""COMPUTED_VALUE"""),"Colombia")</f>
        <v>Colombia</v>
      </c>
      <c r="B512" t="str">
        <f>IFERROR(__xludf.DUMMYFUNCTION("""COMPUTED_VALUE"""),"South America")</f>
        <v>South America</v>
      </c>
      <c r="C512">
        <f>IFERROR(__xludf.DUMMYFUNCTION("""COMPUTED_VALUE"""),11.0)</f>
        <v>11</v>
      </c>
      <c r="D512" t="str">
        <f>IFERROR(__xludf.DUMMYFUNCTION("""COMPUTED_VALUE"""),"Bajo La Mesa")</f>
        <v>Bajo La Mesa</v>
      </c>
      <c r="E512" t="str">
        <f>IFERROR(__xludf.DUMMYFUNCTION("""COMPUTED_VALUE"""),"Morat, Sebastian Yatra")</f>
        <v>Morat, Sebastian Yatra</v>
      </c>
      <c r="F512" t="str">
        <f>IFERROR(__xludf.DUMMYFUNCTION("""COMPUTED_VALUE"""),"Bajo La Mesa")</f>
        <v>Bajo La Mesa</v>
      </c>
      <c r="G512">
        <f>IFERROR(__xludf.DUMMYFUNCTION("""COMPUTED_VALUE"""),0.0)</f>
        <v>0</v>
      </c>
      <c r="H512" s="5">
        <f>IFERROR(__xludf.DUMMYFUNCTION("""COMPUTED_VALUE"""),0.10902777777664596)</f>
        <v>0.1090277778</v>
      </c>
    </row>
    <row r="513">
      <c r="A513" t="str">
        <f>IFERROR(__xludf.DUMMYFUNCTION("""COMPUTED_VALUE"""),"Colombia")</f>
        <v>Colombia</v>
      </c>
      <c r="B513" t="str">
        <f>IFERROR(__xludf.DUMMYFUNCTION("""COMPUTED_VALUE"""),"South America")</f>
        <v>South America</v>
      </c>
      <c r="C513">
        <f>IFERROR(__xludf.DUMMYFUNCTION("""COMPUTED_VALUE"""),12.0)</f>
        <v>12</v>
      </c>
      <c r="D513" t="str">
        <f>IFERROR(__xludf.DUMMYFUNCTION("""COMPUTED_VALUE"""),"Tusa")</f>
        <v>Tusa</v>
      </c>
      <c r="E513" t="str">
        <f>IFERROR(__xludf.DUMMYFUNCTION("""COMPUTED_VALUE"""),"KAROL G, Nicki Minaj")</f>
        <v>KAROL G, Nicki Minaj</v>
      </c>
      <c r="F513" t="str">
        <f>IFERROR(__xludf.DUMMYFUNCTION("""COMPUTED_VALUE"""),"Tusa")</f>
        <v>Tusa</v>
      </c>
      <c r="G513">
        <f>IFERROR(__xludf.DUMMYFUNCTION("""COMPUTED_VALUE"""),0.0)</f>
        <v>0</v>
      </c>
      <c r="H513" s="5">
        <f>IFERROR(__xludf.DUMMYFUNCTION("""COMPUTED_VALUE"""),0.13888888889050577)</f>
        <v>0.1388888889</v>
      </c>
    </row>
    <row r="514">
      <c r="A514" t="str">
        <f>IFERROR(__xludf.DUMMYFUNCTION("""COMPUTED_VALUE"""),"Colombia")</f>
        <v>Colombia</v>
      </c>
      <c r="B514" t="str">
        <f>IFERROR(__xludf.DUMMYFUNCTION("""COMPUTED_VALUE"""),"South America")</f>
        <v>South America</v>
      </c>
      <c r="C514">
        <f>IFERROR(__xludf.DUMMYFUNCTION("""COMPUTED_VALUE"""),13.0)</f>
        <v>13</v>
      </c>
      <c r="D514" t="str">
        <f>IFERROR(__xludf.DUMMYFUNCTION("""COMPUTED_VALUE"""),"Hola - Remix")</f>
        <v>Hola - Remix</v>
      </c>
      <c r="E514" t="str">
        <f>IFERROR(__xludf.DUMMYFUNCTION("""COMPUTED_VALUE"""),"Dalex, Lenny Tavárez, Chencho Corleone, Juhn, Dímelo Flow")</f>
        <v>Dalex, Lenny Tavárez, Chencho Corleone, Juhn, Dímelo Flow</v>
      </c>
      <c r="F514" t="str">
        <f>IFERROR(__xludf.DUMMYFUNCTION("""COMPUTED_VALUE"""),"Hola (Remix)")</f>
        <v>Hola (Remix)</v>
      </c>
      <c r="G514">
        <f>IFERROR(__xludf.DUMMYFUNCTION("""COMPUTED_VALUE"""),0.0)</f>
        <v>0</v>
      </c>
      <c r="H514" s="5">
        <f>IFERROR(__xludf.DUMMYFUNCTION("""COMPUTED_VALUE"""),0.17291666666642413)</f>
        <v>0.1729166667</v>
      </c>
    </row>
    <row r="515">
      <c r="A515" t="str">
        <f>IFERROR(__xludf.DUMMYFUNCTION("""COMPUTED_VALUE"""),"Colombia")</f>
        <v>Colombia</v>
      </c>
      <c r="B515" t="str">
        <f>IFERROR(__xludf.DUMMYFUNCTION("""COMPUTED_VALUE"""),"South America")</f>
        <v>South America</v>
      </c>
      <c r="C515">
        <f>IFERROR(__xludf.DUMMYFUNCTION("""COMPUTED_VALUE"""),14.0)</f>
        <v>14</v>
      </c>
      <c r="D515" t="str">
        <f>IFERROR(__xludf.DUMMYFUNCTION("""COMPUTED_VALUE"""),"Sigues Con El")</f>
        <v>Sigues Con El</v>
      </c>
      <c r="E515" t="str">
        <f>IFERROR(__xludf.DUMMYFUNCTION("""COMPUTED_VALUE"""),"Dímelo Flow, Arcangel, Sech")</f>
        <v>Dímelo Flow, Arcangel, Sech</v>
      </c>
      <c r="F515" t="str">
        <f>IFERROR(__xludf.DUMMYFUNCTION("""COMPUTED_VALUE"""),"Sigues Con El")</f>
        <v>Sigues Con El</v>
      </c>
      <c r="G515">
        <f>IFERROR(__xludf.DUMMYFUNCTION("""COMPUTED_VALUE"""),0.0)</f>
        <v>0</v>
      </c>
      <c r="H515" s="5">
        <f>IFERROR(__xludf.DUMMYFUNCTION("""COMPUTED_VALUE"""),0.1569444444430701)</f>
        <v>0.1569444444</v>
      </c>
    </row>
    <row r="516">
      <c r="A516" t="str">
        <f>IFERROR(__xludf.DUMMYFUNCTION("""COMPUTED_VALUE"""),"Colombia")</f>
        <v>Colombia</v>
      </c>
      <c r="B516" t="str">
        <f>IFERROR(__xludf.DUMMYFUNCTION("""COMPUTED_VALUE"""),"South America")</f>
        <v>South America</v>
      </c>
      <c r="C516">
        <f>IFERROR(__xludf.DUMMYFUNCTION("""COMPUTED_VALUE"""),15.0)</f>
        <v>15</v>
      </c>
      <c r="D516" t="str">
        <f>IFERROR(__xludf.DUMMYFUNCTION("""COMPUTED_VALUE"""),"Relación")</f>
        <v>Relación</v>
      </c>
      <c r="E516" t="str">
        <f>IFERROR(__xludf.DUMMYFUNCTION("""COMPUTED_VALUE"""),"Sech")</f>
        <v>Sech</v>
      </c>
      <c r="F516" t="str">
        <f>IFERROR(__xludf.DUMMYFUNCTION("""COMPUTED_VALUE"""),"1 of 1")</f>
        <v>1 of 1</v>
      </c>
      <c r="G516">
        <f>IFERROR(__xludf.DUMMYFUNCTION("""COMPUTED_VALUE"""),0.0)</f>
        <v>0</v>
      </c>
      <c r="H516" s="5">
        <f>IFERROR(__xludf.DUMMYFUNCTION("""COMPUTED_VALUE"""),0.12777777777955635)</f>
        <v>0.1277777778</v>
      </c>
    </row>
    <row r="517">
      <c r="A517" t="str">
        <f>IFERROR(__xludf.DUMMYFUNCTION("""COMPUTED_VALUE"""),"Colombia")</f>
        <v>Colombia</v>
      </c>
      <c r="B517" t="str">
        <f>IFERROR(__xludf.DUMMYFUNCTION("""COMPUTED_VALUE"""),"South America")</f>
        <v>South America</v>
      </c>
      <c r="C517">
        <f>IFERROR(__xludf.DUMMYFUNCTION("""COMPUTED_VALUE"""),16.0)</f>
        <v>16</v>
      </c>
      <c r="D517" t="str">
        <f>IFERROR(__xludf.DUMMYFUNCTION("""COMPUTED_VALUE"""),"Blinding Lights")</f>
        <v>Blinding Lights</v>
      </c>
      <c r="E517" t="str">
        <f>IFERROR(__xludf.DUMMYFUNCTION("""COMPUTED_VALUE"""),"The Weeknd")</f>
        <v>The Weeknd</v>
      </c>
      <c r="F517" t="str">
        <f>IFERROR(__xludf.DUMMYFUNCTION("""COMPUTED_VALUE"""),"After Hours")</f>
        <v>After Hours</v>
      </c>
      <c r="G517">
        <f>IFERROR(__xludf.DUMMYFUNCTION("""COMPUTED_VALUE"""),0.0)</f>
        <v>0</v>
      </c>
      <c r="H517" s="5">
        <f>IFERROR(__xludf.DUMMYFUNCTION("""COMPUTED_VALUE"""),0.13888888889050577)</f>
        <v>0.1388888889</v>
      </c>
    </row>
    <row r="518">
      <c r="A518" t="str">
        <f>IFERROR(__xludf.DUMMYFUNCTION("""COMPUTED_VALUE"""),"Colombia")</f>
        <v>Colombia</v>
      </c>
      <c r="B518" t="str">
        <f>IFERROR(__xludf.DUMMYFUNCTION("""COMPUTED_VALUE"""),"South America")</f>
        <v>South America</v>
      </c>
      <c r="C518">
        <f>IFERROR(__xludf.DUMMYFUNCTION("""COMPUTED_VALUE"""),17.0)</f>
        <v>17</v>
      </c>
      <c r="D518" t="str">
        <f>IFERROR(__xludf.DUMMYFUNCTION("""COMPUTED_VALUE"""),"Ignorantes")</f>
        <v>Ignorantes</v>
      </c>
      <c r="E518" t="str">
        <f>IFERROR(__xludf.DUMMYFUNCTION("""COMPUTED_VALUE"""),"Bad Bunny, Sech")</f>
        <v>Bad Bunny, Sech</v>
      </c>
      <c r="F518" t="str">
        <f>IFERROR(__xludf.DUMMYFUNCTION("""COMPUTED_VALUE"""),"YHLQMDLG")</f>
        <v>YHLQMDLG</v>
      </c>
      <c r="G518">
        <f>IFERROR(__xludf.DUMMYFUNCTION("""COMPUTED_VALUE"""),1.0)</f>
        <v>1</v>
      </c>
      <c r="H518" s="5">
        <f>IFERROR(__xludf.DUMMYFUNCTION("""COMPUTED_VALUE"""),0.14583333333212067)</f>
        <v>0.1458333333</v>
      </c>
    </row>
    <row r="519">
      <c r="A519" t="str">
        <f>IFERROR(__xludf.DUMMYFUNCTION("""COMPUTED_VALUE"""),"Colombia")</f>
        <v>Colombia</v>
      </c>
      <c r="B519" t="str">
        <f>IFERROR(__xludf.DUMMYFUNCTION("""COMPUTED_VALUE"""),"South America")</f>
        <v>South America</v>
      </c>
      <c r="C519">
        <f>IFERROR(__xludf.DUMMYFUNCTION("""COMPUTED_VALUE"""),18.0)</f>
        <v>18</v>
      </c>
      <c r="D519" t="str">
        <f>IFERROR(__xludf.DUMMYFUNCTION("""COMPUTED_VALUE"""),"Rain On Me (with Ariana Grande)")</f>
        <v>Rain On Me (with Ariana Grande)</v>
      </c>
      <c r="E519" t="str">
        <f>IFERROR(__xludf.DUMMYFUNCTION("""COMPUTED_VALUE"""),"Lady Gaga, Ariana Grande")</f>
        <v>Lady Gaga, Ariana Grande</v>
      </c>
      <c r="F519" t="str">
        <f>IFERROR(__xludf.DUMMYFUNCTION("""COMPUTED_VALUE"""),"Rain On Me (with Ariana Grande)")</f>
        <v>Rain On Me (with Ariana Grande)</v>
      </c>
      <c r="G519">
        <f>IFERROR(__xludf.DUMMYFUNCTION("""COMPUTED_VALUE"""),0.0)</f>
        <v>0</v>
      </c>
      <c r="H519" s="5">
        <f>IFERROR(__xludf.DUMMYFUNCTION("""COMPUTED_VALUE"""),0.12638888888977817)</f>
        <v>0.1263888889</v>
      </c>
    </row>
    <row r="520">
      <c r="A520" t="str">
        <f>IFERROR(__xludf.DUMMYFUNCTION("""COMPUTED_VALUE"""),"Colombia")</f>
        <v>Colombia</v>
      </c>
      <c r="B520" t="str">
        <f>IFERROR(__xludf.DUMMYFUNCTION("""COMPUTED_VALUE"""),"South America")</f>
        <v>South America</v>
      </c>
      <c r="C520">
        <f>IFERROR(__xludf.DUMMYFUNCTION("""COMPUTED_VALUE"""),19.0)</f>
        <v>19</v>
      </c>
      <c r="D520" t="str">
        <f>IFERROR(__xludf.DUMMYFUNCTION("""COMPUTED_VALUE"""),"Los Besos")</f>
        <v>Los Besos</v>
      </c>
      <c r="E520" t="str">
        <f>IFERROR(__xludf.DUMMYFUNCTION("""COMPUTED_VALUE"""),"Greeicy")</f>
        <v>Greeicy</v>
      </c>
      <c r="F520" t="str">
        <f>IFERROR(__xludf.DUMMYFUNCTION("""COMPUTED_VALUE"""),"Los Besos")</f>
        <v>Los Besos</v>
      </c>
      <c r="G520">
        <f>IFERROR(__xludf.DUMMYFUNCTION("""COMPUTED_VALUE"""),0.0)</f>
        <v>0</v>
      </c>
      <c r="H520" s="5">
        <f>IFERROR(__xludf.DUMMYFUNCTION("""COMPUTED_VALUE"""),0.14027777777664596)</f>
        <v>0.1402777778</v>
      </c>
    </row>
    <row r="521">
      <c r="A521" t="str">
        <f>IFERROR(__xludf.DUMMYFUNCTION("""COMPUTED_VALUE"""),"Colombia")</f>
        <v>Colombia</v>
      </c>
      <c r="B521" t="str">
        <f>IFERROR(__xludf.DUMMYFUNCTION("""COMPUTED_VALUE"""),"South America")</f>
        <v>South America</v>
      </c>
      <c r="C521">
        <f>IFERROR(__xludf.DUMMYFUNCTION("""COMPUTED_VALUE"""),20.0)</f>
        <v>20</v>
      </c>
      <c r="D521" t="str">
        <f>IFERROR(__xludf.DUMMYFUNCTION("""COMPUTED_VALUE"""),"Diosa")</f>
        <v>Diosa</v>
      </c>
      <c r="E521" t="str">
        <f>IFERROR(__xludf.DUMMYFUNCTION("""COMPUTED_VALUE"""),"Myke Towers")</f>
        <v>Myke Towers</v>
      </c>
      <c r="F521" t="str">
        <f>IFERROR(__xludf.DUMMYFUNCTION("""COMPUTED_VALUE"""),"Easy Money Baby")</f>
        <v>Easy Money Baby</v>
      </c>
      <c r="G521">
        <f>IFERROR(__xludf.DUMMYFUNCTION("""COMPUTED_VALUE"""),1.0)</f>
        <v>1</v>
      </c>
      <c r="H521" s="5">
        <f>IFERROR(__xludf.DUMMYFUNCTION("""COMPUTED_VALUE"""),0.14861111111167702)</f>
        <v>0.1486111111</v>
      </c>
    </row>
    <row r="522">
      <c r="A522" t="str">
        <f>IFERROR(__xludf.DUMMYFUNCTION("""COMPUTED_VALUE"""),"Colombia")</f>
        <v>Colombia</v>
      </c>
      <c r="B522" t="str">
        <f>IFERROR(__xludf.DUMMYFUNCTION("""COMPUTED_VALUE"""),"South America")</f>
        <v>South America</v>
      </c>
      <c r="C522">
        <f>IFERROR(__xludf.DUMMYFUNCTION("""COMPUTED_VALUE"""),21.0)</f>
        <v>21</v>
      </c>
      <c r="D522" t="str">
        <f>IFERROR(__xludf.DUMMYFUNCTION("""COMPUTED_VALUE"""),"Blanco")</f>
        <v>Blanco</v>
      </c>
      <c r="E522" t="str">
        <f>IFERROR(__xludf.DUMMYFUNCTION("""COMPUTED_VALUE"""),"J Balvin")</f>
        <v>J Balvin</v>
      </c>
      <c r="F522" t="str">
        <f>IFERROR(__xludf.DUMMYFUNCTION("""COMPUTED_VALUE"""),"Colores")</f>
        <v>Colores</v>
      </c>
      <c r="G522">
        <f>IFERROR(__xludf.DUMMYFUNCTION("""COMPUTED_VALUE"""),0.0)</f>
        <v>0</v>
      </c>
      <c r="H522" s="5">
        <f>IFERROR(__xludf.DUMMYFUNCTION("""COMPUTED_VALUE"""),0.10069444444525288)</f>
        <v>0.1006944444</v>
      </c>
    </row>
    <row r="523">
      <c r="A523" t="str">
        <f>IFERROR(__xludf.DUMMYFUNCTION("""COMPUTED_VALUE"""),"Colombia")</f>
        <v>Colombia</v>
      </c>
      <c r="B523" t="str">
        <f>IFERROR(__xludf.DUMMYFUNCTION("""COMPUTED_VALUE"""),"South America")</f>
        <v>South America</v>
      </c>
      <c r="C523">
        <f>IFERROR(__xludf.DUMMYFUNCTION("""COMPUTED_VALUE"""),22.0)</f>
        <v>22</v>
      </c>
      <c r="D523" t="str">
        <f>IFERROR(__xludf.DUMMYFUNCTION("""COMPUTED_VALUE"""),"Si Veo a Tu Mamá")</f>
        <v>Si Veo a Tu Mamá</v>
      </c>
      <c r="E523" t="str">
        <f>IFERROR(__xludf.DUMMYFUNCTION("""COMPUTED_VALUE"""),"Bad Bunny")</f>
        <v>Bad Bunny</v>
      </c>
      <c r="F523" t="str">
        <f>IFERROR(__xludf.DUMMYFUNCTION("""COMPUTED_VALUE"""),"YHLQMDLG")</f>
        <v>YHLQMDLG</v>
      </c>
      <c r="G523">
        <f>IFERROR(__xludf.DUMMYFUNCTION("""COMPUTED_VALUE"""),0.0)</f>
        <v>0</v>
      </c>
      <c r="H523" s="5">
        <f>IFERROR(__xludf.DUMMYFUNCTION("""COMPUTED_VALUE"""),0.11805555555474712)</f>
        <v>0.1180555556</v>
      </c>
    </row>
    <row r="524">
      <c r="A524" t="str">
        <f>IFERROR(__xludf.DUMMYFUNCTION("""COMPUTED_VALUE"""),"Colombia")</f>
        <v>Colombia</v>
      </c>
      <c r="B524" t="str">
        <f>IFERROR(__xludf.DUMMYFUNCTION("""COMPUTED_VALUE"""),"South America")</f>
        <v>South America</v>
      </c>
      <c r="C524">
        <f>IFERROR(__xludf.DUMMYFUNCTION("""COMPUTED_VALUE"""),23.0)</f>
        <v>23</v>
      </c>
      <c r="D524" t="str">
        <f>IFERROR(__xludf.DUMMYFUNCTION("""COMPUTED_VALUE"""),"Fantasias")</f>
        <v>Fantasias</v>
      </c>
      <c r="E524" t="str">
        <f>IFERROR(__xludf.DUMMYFUNCTION("""COMPUTED_VALUE"""),"Rauw Alejandro, Farruko")</f>
        <v>Rauw Alejandro, Farruko</v>
      </c>
      <c r="F524" t="str">
        <f>IFERROR(__xludf.DUMMYFUNCTION("""COMPUTED_VALUE"""),"Fantasias")</f>
        <v>Fantasias</v>
      </c>
      <c r="G524">
        <f>IFERROR(__xludf.DUMMYFUNCTION("""COMPUTED_VALUE"""),0.0)</f>
        <v>0</v>
      </c>
      <c r="H524" s="5">
        <f>IFERROR(__xludf.DUMMYFUNCTION("""COMPUTED_VALUE"""),0.1381944444437977)</f>
        <v>0.1381944444</v>
      </c>
    </row>
    <row r="525">
      <c r="A525" t="str">
        <f>IFERROR(__xludf.DUMMYFUNCTION("""COMPUTED_VALUE"""),"Colombia")</f>
        <v>Colombia</v>
      </c>
      <c r="B525" t="str">
        <f>IFERROR(__xludf.DUMMYFUNCTION("""COMPUTED_VALUE"""),"South America")</f>
        <v>South America</v>
      </c>
      <c r="C525">
        <f>IFERROR(__xludf.DUMMYFUNCTION("""COMPUTED_VALUE"""),24.0)</f>
        <v>24</v>
      </c>
      <c r="D525" t="str">
        <f>IFERROR(__xludf.DUMMYFUNCTION("""COMPUTED_VALUE"""),"Dance Monkey")</f>
        <v>Dance Monkey</v>
      </c>
      <c r="E525" t="str">
        <f>IFERROR(__xludf.DUMMYFUNCTION("""COMPUTED_VALUE"""),"Tones And I")</f>
        <v>Tones And I</v>
      </c>
      <c r="F525" t="str">
        <f>IFERROR(__xludf.DUMMYFUNCTION("""COMPUTED_VALUE"""),"Dance Monkey (Stripped Back) / Dance Monkey")</f>
        <v>Dance Monkey (Stripped Back) / Dance Monkey</v>
      </c>
      <c r="G525">
        <f>IFERROR(__xludf.DUMMYFUNCTION("""COMPUTED_VALUE"""),0.0)</f>
        <v>0</v>
      </c>
      <c r="H525" s="5">
        <f>IFERROR(__xludf.DUMMYFUNCTION("""COMPUTED_VALUE"""),0.14513888888905058)</f>
        <v>0.1451388889</v>
      </c>
    </row>
    <row r="526">
      <c r="A526" t="str">
        <f>IFERROR(__xludf.DUMMYFUNCTION("""COMPUTED_VALUE"""),"Colombia")</f>
        <v>Colombia</v>
      </c>
      <c r="B526" t="str">
        <f>IFERROR(__xludf.DUMMYFUNCTION("""COMPUTED_VALUE"""),"South America")</f>
        <v>South America</v>
      </c>
      <c r="C526">
        <f>IFERROR(__xludf.DUMMYFUNCTION("""COMPUTED_VALUE"""),25.0)</f>
        <v>25</v>
      </c>
      <c r="D526" t="str">
        <f>IFERROR(__xludf.DUMMYFUNCTION("""COMPUTED_VALUE"""),"Negro")</f>
        <v>Negro</v>
      </c>
      <c r="E526" t="str">
        <f>IFERROR(__xludf.DUMMYFUNCTION("""COMPUTED_VALUE"""),"J Balvin")</f>
        <v>J Balvin</v>
      </c>
      <c r="F526" t="str">
        <f>IFERROR(__xludf.DUMMYFUNCTION("""COMPUTED_VALUE"""),"Colores")</f>
        <v>Colores</v>
      </c>
      <c r="G526">
        <f>IFERROR(__xludf.DUMMYFUNCTION("""COMPUTED_VALUE"""),0.0)</f>
        <v>0</v>
      </c>
      <c r="H526" s="5">
        <f>IFERROR(__xludf.DUMMYFUNCTION("""COMPUTED_VALUE"""),0.12638888888977817)</f>
        <v>0.1263888889</v>
      </c>
    </row>
    <row r="527">
      <c r="A527" t="str">
        <f>IFERROR(__xludf.DUMMYFUNCTION("""COMPUTED_VALUE"""),"Colombia")</f>
        <v>Colombia</v>
      </c>
      <c r="B527" t="str">
        <f>IFERROR(__xludf.DUMMYFUNCTION("""COMPUTED_VALUE"""),"South America")</f>
        <v>South America</v>
      </c>
      <c r="C527">
        <f>IFERROR(__xludf.DUMMYFUNCTION("""COMPUTED_VALUE"""),26.0)</f>
        <v>26</v>
      </c>
      <c r="D527" t="str">
        <f>IFERROR(__xludf.DUMMYFUNCTION("""COMPUTED_VALUE"""),"BYE ME FUI")</f>
        <v>BYE ME FUI</v>
      </c>
      <c r="E527" t="str">
        <f>IFERROR(__xludf.DUMMYFUNCTION("""COMPUTED_VALUE"""),"Bad Bunny")</f>
        <v>Bad Bunny</v>
      </c>
      <c r="F527" t="str">
        <f>IFERROR(__xludf.DUMMYFUNCTION("""COMPUTED_VALUE"""),"LAS QUE NO IBAN A SALIR")</f>
        <v>LAS QUE NO IBAN A SALIR</v>
      </c>
      <c r="G527">
        <f>IFERROR(__xludf.DUMMYFUNCTION("""COMPUTED_VALUE"""),1.0)</f>
        <v>1</v>
      </c>
      <c r="H527" s="5">
        <f>IFERROR(__xludf.DUMMYFUNCTION("""COMPUTED_VALUE"""),0.12361111111022183)</f>
        <v>0.1236111111</v>
      </c>
    </row>
    <row r="528">
      <c r="A528" t="str">
        <f>IFERROR(__xludf.DUMMYFUNCTION("""COMPUTED_VALUE"""),"Colombia")</f>
        <v>Colombia</v>
      </c>
      <c r="B528" t="str">
        <f>IFERROR(__xludf.DUMMYFUNCTION("""COMPUTED_VALUE"""),"South America")</f>
        <v>South America</v>
      </c>
      <c r="C528">
        <f>IFERROR(__xludf.DUMMYFUNCTION("""COMPUTED_VALUE"""),27.0)</f>
        <v>27</v>
      </c>
      <c r="D528" t="str">
        <f>IFERROR(__xludf.DUMMYFUNCTION("""COMPUTED_VALUE"""),"La Difícil")</f>
        <v>La Difícil</v>
      </c>
      <c r="E528" t="str">
        <f>IFERROR(__xludf.DUMMYFUNCTION("""COMPUTED_VALUE"""),"Bad Bunny")</f>
        <v>Bad Bunny</v>
      </c>
      <c r="F528" t="str">
        <f>IFERROR(__xludf.DUMMYFUNCTION("""COMPUTED_VALUE"""),"YHLQMDLG")</f>
        <v>YHLQMDLG</v>
      </c>
      <c r="G528">
        <f>IFERROR(__xludf.DUMMYFUNCTION("""COMPUTED_VALUE"""),1.0)</f>
        <v>1</v>
      </c>
      <c r="H528" s="5">
        <f>IFERROR(__xludf.DUMMYFUNCTION("""COMPUTED_VALUE"""),0.11319444444598048)</f>
        <v>0.1131944444</v>
      </c>
    </row>
    <row r="529">
      <c r="A529" t="str">
        <f>IFERROR(__xludf.DUMMYFUNCTION("""COMPUTED_VALUE"""),"Colombia")</f>
        <v>Colombia</v>
      </c>
      <c r="B529" t="str">
        <f>IFERROR(__xludf.DUMMYFUNCTION("""COMPUTED_VALUE"""),"South America")</f>
        <v>South America</v>
      </c>
      <c r="C529">
        <f>IFERROR(__xludf.DUMMYFUNCTION("""COMPUTED_VALUE"""),28.0)</f>
        <v>28</v>
      </c>
      <c r="D529" t="str">
        <f>IFERROR(__xludf.DUMMYFUNCTION("""COMPUTED_VALUE"""),"Locura")</f>
        <v>Locura</v>
      </c>
      <c r="E529" t="str">
        <f>IFERROR(__xludf.DUMMYFUNCTION("""COMPUTED_VALUE"""),"Cali Y El Dandee, Sebastian Yatra")</f>
        <v>Cali Y El Dandee, Sebastian Yatra</v>
      </c>
      <c r="F529" t="str">
        <f>IFERROR(__xludf.DUMMYFUNCTION("""COMPUTED_VALUE"""),"Colegio")</f>
        <v>Colegio</v>
      </c>
      <c r="G529">
        <f>IFERROR(__xludf.DUMMYFUNCTION("""COMPUTED_VALUE"""),0.0)</f>
        <v>0</v>
      </c>
      <c r="H529" s="5">
        <f>IFERROR(__xludf.DUMMYFUNCTION("""COMPUTED_VALUE"""),0.14513888888905058)</f>
        <v>0.1451388889</v>
      </c>
    </row>
    <row r="530">
      <c r="A530" t="str">
        <f>IFERROR(__xludf.DUMMYFUNCTION("""COMPUTED_VALUE"""),"Colombia")</f>
        <v>Colombia</v>
      </c>
      <c r="B530" t="str">
        <f>IFERROR(__xludf.DUMMYFUNCTION("""COMPUTED_VALUE"""),"South America")</f>
        <v>South America</v>
      </c>
      <c r="C530">
        <f>IFERROR(__xludf.DUMMYFUNCTION("""COMPUTED_VALUE"""),29.0)</f>
        <v>29</v>
      </c>
      <c r="D530" t="str">
        <f>IFERROR(__xludf.DUMMYFUNCTION("""COMPUTED_VALUE"""),"CÓMO SE SIENTE - Remix")</f>
        <v>CÓMO SE SIENTE - Remix</v>
      </c>
      <c r="E530" t="str">
        <f>IFERROR(__xludf.DUMMYFUNCTION("""COMPUTED_VALUE"""),"Jhay Cortez, Bad Bunny")</f>
        <v>Jhay Cortez, Bad Bunny</v>
      </c>
      <c r="F530" t="str">
        <f>IFERROR(__xludf.DUMMYFUNCTION("""COMPUTED_VALUE"""),"CÓMO SE SIENTE (Remix)")</f>
        <v>CÓMO SE SIENTE (Remix)</v>
      </c>
      <c r="G530">
        <f>IFERROR(__xludf.DUMMYFUNCTION("""COMPUTED_VALUE"""),1.0)</f>
        <v>1</v>
      </c>
      <c r="H530" s="5">
        <f>IFERROR(__xludf.DUMMYFUNCTION("""COMPUTED_VALUE"""),0.15763888888977817)</f>
        <v>0.1576388889</v>
      </c>
    </row>
    <row r="531">
      <c r="A531" t="str">
        <f>IFERROR(__xludf.DUMMYFUNCTION("""COMPUTED_VALUE"""),"Colombia")</f>
        <v>Colombia</v>
      </c>
      <c r="B531" t="str">
        <f>IFERROR(__xludf.DUMMYFUNCTION("""COMPUTED_VALUE"""),"South America")</f>
        <v>South America</v>
      </c>
      <c r="C531">
        <f>IFERROR(__xludf.DUMMYFUNCTION("""COMPUTED_VALUE"""),30.0)</f>
        <v>30</v>
      </c>
      <c r="D531" t="str">
        <f>IFERROR(__xludf.DUMMYFUNCTION("""COMPUTED_VALUE"""),"Quiéreme Mientras Se Pueda")</f>
        <v>Quiéreme Mientras Se Pueda</v>
      </c>
      <c r="E531" t="str">
        <f>IFERROR(__xludf.DUMMYFUNCTION("""COMPUTED_VALUE"""),"Manuel Turizo")</f>
        <v>Manuel Turizo</v>
      </c>
      <c r="F531" t="str">
        <f>IFERROR(__xludf.DUMMYFUNCTION("""COMPUTED_VALUE"""),"Quiéreme Mientras Se Pueda")</f>
        <v>Quiéreme Mientras Se Pueda</v>
      </c>
      <c r="G531">
        <f>IFERROR(__xludf.DUMMYFUNCTION("""COMPUTED_VALUE"""),0.0)</f>
        <v>0</v>
      </c>
      <c r="H531" s="5">
        <f>IFERROR(__xludf.DUMMYFUNCTION("""COMPUTED_VALUE"""),0.13263888888832298)</f>
        <v>0.1326388889</v>
      </c>
    </row>
    <row r="532">
      <c r="A532" t="str">
        <f>IFERROR(__xludf.DUMMYFUNCTION("""COMPUTED_VALUE"""),"Colombia")</f>
        <v>Colombia</v>
      </c>
      <c r="B532" t="str">
        <f>IFERROR(__xludf.DUMMYFUNCTION("""COMPUTED_VALUE"""),"South America")</f>
        <v>South America</v>
      </c>
      <c r="C532">
        <f>IFERROR(__xludf.DUMMYFUNCTION("""COMPUTED_VALUE"""),31.0)</f>
        <v>31</v>
      </c>
      <c r="D532" t="str">
        <f>IFERROR(__xludf.DUMMYFUNCTION("""COMPUTED_VALUE"""),"LA CANCIÓN")</f>
        <v>LA CANCIÓN</v>
      </c>
      <c r="E532" t="str">
        <f>IFERROR(__xludf.DUMMYFUNCTION("""COMPUTED_VALUE"""),"J Balvin, Bad Bunny")</f>
        <v>J Balvin, Bad Bunny</v>
      </c>
      <c r="F532" t="str">
        <f>IFERROR(__xludf.DUMMYFUNCTION("""COMPUTED_VALUE"""),"OASIS")</f>
        <v>OASIS</v>
      </c>
      <c r="G532">
        <f>IFERROR(__xludf.DUMMYFUNCTION("""COMPUTED_VALUE"""),0.0)</f>
        <v>0</v>
      </c>
      <c r="H532" s="5">
        <f>IFERROR(__xludf.DUMMYFUNCTION("""COMPUTED_VALUE"""),0.16805555555401952)</f>
        <v>0.1680555556</v>
      </c>
    </row>
    <row r="533">
      <c r="A533" t="str">
        <f>IFERROR(__xludf.DUMMYFUNCTION("""COMPUTED_VALUE"""),"Colombia")</f>
        <v>Colombia</v>
      </c>
      <c r="B533" t="str">
        <f>IFERROR(__xludf.DUMMYFUNCTION("""COMPUTED_VALUE"""),"South America")</f>
        <v>South America</v>
      </c>
      <c r="C533">
        <f>IFERROR(__xludf.DUMMYFUNCTION("""COMPUTED_VALUE"""),32.0)</f>
        <v>32</v>
      </c>
      <c r="D533" t="str">
        <f>IFERROR(__xludf.DUMMYFUNCTION("""COMPUTED_VALUE"""),"No Me Conoce - Remix")</f>
        <v>No Me Conoce - Remix</v>
      </c>
      <c r="E533" t="str">
        <f>IFERROR(__xludf.DUMMYFUNCTION("""COMPUTED_VALUE"""),"Jhay Cortez, J Balvin, Bad Bunny")</f>
        <v>Jhay Cortez, J Balvin, Bad Bunny</v>
      </c>
      <c r="F533" t="str">
        <f>IFERROR(__xludf.DUMMYFUNCTION("""COMPUTED_VALUE"""),"Famouz")</f>
        <v>Famouz</v>
      </c>
      <c r="G533">
        <f>IFERROR(__xludf.DUMMYFUNCTION("""COMPUTED_VALUE"""),0.0)</f>
        <v>0</v>
      </c>
      <c r="H533" s="5">
        <f>IFERROR(__xludf.DUMMYFUNCTION("""COMPUTED_VALUE"""),0.21458333333430346)</f>
        <v>0.2145833333</v>
      </c>
    </row>
    <row r="534">
      <c r="A534" t="str">
        <f>IFERROR(__xludf.DUMMYFUNCTION("""COMPUTED_VALUE"""),"Colombia")</f>
        <v>Colombia</v>
      </c>
      <c r="B534" t="str">
        <f>IFERROR(__xludf.DUMMYFUNCTION("""COMPUTED_VALUE"""),"South America")</f>
        <v>South America</v>
      </c>
      <c r="C534">
        <f>IFERROR(__xludf.DUMMYFUNCTION("""COMPUTED_VALUE"""),33.0)</f>
        <v>33</v>
      </c>
      <c r="D534" t="str">
        <f>IFERROR(__xludf.DUMMYFUNCTION("""COMPUTED_VALUE"""),"Don't Start Now")</f>
        <v>Don't Start Now</v>
      </c>
      <c r="E534" t="str">
        <f>IFERROR(__xludf.DUMMYFUNCTION("""COMPUTED_VALUE"""),"Dua Lipa")</f>
        <v>Dua Lipa</v>
      </c>
      <c r="F534" t="str">
        <f>IFERROR(__xludf.DUMMYFUNCTION("""COMPUTED_VALUE"""),"Future Nostalgia")</f>
        <v>Future Nostalgia</v>
      </c>
      <c r="G534">
        <f>IFERROR(__xludf.DUMMYFUNCTION("""COMPUTED_VALUE"""),0.0)</f>
        <v>0</v>
      </c>
      <c r="H534" s="5">
        <f>IFERROR(__xludf.DUMMYFUNCTION("""COMPUTED_VALUE"""),0.12708333333284827)</f>
        <v>0.1270833333</v>
      </c>
    </row>
    <row r="535">
      <c r="A535" t="str">
        <f>IFERROR(__xludf.DUMMYFUNCTION("""COMPUTED_VALUE"""),"Colombia")</f>
        <v>Colombia</v>
      </c>
      <c r="B535" t="str">
        <f>IFERROR(__xludf.DUMMYFUNCTION("""COMPUTED_VALUE"""),"South America")</f>
        <v>South America</v>
      </c>
      <c r="C535">
        <f>IFERROR(__xludf.DUMMYFUNCTION("""COMPUTED_VALUE"""),34.0)</f>
        <v>34</v>
      </c>
      <c r="D535" t="str">
        <f>IFERROR(__xludf.DUMMYFUNCTION("""COMPUTED_VALUE"""),"PA' ROMPERLA")</f>
        <v>PA' ROMPERLA</v>
      </c>
      <c r="E535" t="str">
        <f>IFERROR(__xludf.DUMMYFUNCTION("""COMPUTED_VALUE"""),"Bad Bunny, Don Omar")</f>
        <v>Bad Bunny, Don Omar</v>
      </c>
      <c r="F535" t="str">
        <f>IFERROR(__xludf.DUMMYFUNCTION("""COMPUTED_VALUE"""),"LAS QUE NO IBAN A SALIR")</f>
        <v>LAS QUE NO IBAN A SALIR</v>
      </c>
      <c r="G535">
        <f>IFERROR(__xludf.DUMMYFUNCTION("""COMPUTED_VALUE"""),1.0)</f>
        <v>1</v>
      </c>
      <c r="H535" s="5">
        <f>IFERROR(__xludf.DUMMYFUNCTION("""COMPUTED_VALUE"""),0.13472222222117125)</f>
        <v>0.1347222222</v>
      </c>
    </row>
    <row r="536">
      <c r="A536" t="str">
        <f>IFERROR(__xludf.DUMMYFUNCTION("""COMPUTED_VALUE"""),"Colombia")</f>
        <v>Colombia</v>
      </c>
      <c r="B536" t="str">
        <f>IFERROR(__xludf.DUMMYFUNCTION("""COMPUTED_VALUE"""),"South America")</f>
        <v>South America</v>
      </c>
      <c r="C536">
        <f>IFERROR(__xludf.DUMMYFUNCTION("""COMPUTED_VALUE"""),35.0)</f>
        <v>35</v>
      </c>
      <c r="D536" t="str">
        <f>IFERROR(__xludf.DUMMYFUNCTION("""COMPUTED_VALUE"""),"BORRAXXA")</f>
        <v>BORRAXXA</v>
      </c>
      <c r="E536" t="str">
        <f>IFERROR(__xludf.DUMMYFUNCTION("""COMPUTED_VALUE"""),"Feid, Manuel Turizo")</f>
        <v>Feid, Manuel Turizo</v>
      </c>
      <c r="F536" t="str">
        <f>IFERROR(__xludf.DUMMYFUNCTION("""COMPUTED_VALUE"""),"FERXXO (VOL 1: M.O.R)")</f>
        <v>FERXXO (VOL 1: M.O.R)</v>
      </c>
      <c r="G536">
        <f>IFERROR(__xludf.DUMMYFUNCTION("""COMPUTED_VALUE"""),0.0)</f>
        <v>0</v>
      </c>
      <c r="H536" s="5">
        <f>IFERROR(__xludf.DUMMYFUNCTION("""COMPUTED_VALUE"""),0.15486111111022183)</f>
        <v>0.1548611111</v>
      </c>
    </row>
    <row r="537">
      <c r="A537" t="str">
        <f>IFERROR(__xludf.DUMMYFUNCTION("""COMPUTED_VALUE"""),"Colombia")</f>
        <v>Colombia</v>
      </c>
      <c r="B537" t="str">
        <f>IFERROR(__xludf.DUMMYFUNCTION("""COMPUTED_VALUE"""),"South America")</f>
        <v>South America</v>
      </c>
      <c r="C537">
        <f>IFERROR(__xludf.DUMMYFUNCTION("""COMPUTED_VALUE"""),36.0)</f>
        <v>36</v>
      </c>
      <c r="D537" t="str">
        <f>IFERROR(__xludf.DUMMYFUNCTION("""COMPUTED_VALUE"""),"ADMV")</f>
        <v>ADMV</v>
      </c>
      <c r="E537" t="str">
        <f>IFERROR(__xludf.DUMMYFUNCTION("""COMPUTED_VALUE"""),"Maluma")</f>
        <v>Maluma</v>
      </c>
      <c r="F537" t="str">
        <f>IFERROR(__xludf.DUMMYFUNCTION("""COMPUTED_VALUE"""),"ADMV")</f>
        <v>ADMV</v>
      </c>
      <c r="G537">
        <f>IFERROR(__xludf.DUMMYFUNCTION("""COMPUTED_VALUE"""),0.0)</f>
        <v>0</v>
      </c>
      <c r="H537" s="5">
        <f>IFERROR(__xludf.DUMMYFUNCTION("""COMPUTED_VALUE"""),0.13402777777810115)</f>
        <v>0.1340277778</v>
      </c>
    </row>
    <row r="538">
      <c r="A538" t="str">
        <f>IFERROR(__xludf.DUMMYFUNCTION("""COMPUTED_VALUE"""),"Colombia")</f>
        <v>Colombia</v>
      </c>
      <c r="B538" t="str">
        <f>IFERROR(__xludf.DUMMYFUNCTION("""COMPUTED_VALUE"""),"South America")</f>
        <v>South America</v>
      </c>
      <c r="C538">
        <f>IFERROR(__xludf.DUMMYFUNCTION("""COMPUTED_VALUE"""),37.0)</f>
        <v>37</v>
      </c>
      <c r="D538" t="str">
        <f>IFERROR(__xludf.DUMMYFUNCTION("""COMPUTED_VALUE"""),"Gris")</f>
        <v>Gris</v>
      </c>
      <c r="E538" t="str">
        <f>IFERROR(__xludf.DUMMYFUNCTION("""COMPUTED_VALUE"""),"J Balvin")</f>
        <v>J Balvin</v>
      </c>
      <c r="F538" t="str">
        <f>IFERROR(__xludf.DUMMYFUNCTION("""COMPUTED_VALUE"""),"Colores")</f>
        <v>Colores</v>
      </c>
      <c r="G538">
        <f>IFERROR(__xludf.DUMMYFUNCTION("""COMPUTED_VALUE"""),0.0)</f>
        <v>0</v>
      </c>
      <c r="H538" s="5">
        <f>IFERROR(__xludf.DUMMYFUNCTION("""COMPUTED_VALUE"""),0.12222222222044365)</f>
        <v>0.1222222222</v>
      </c>
    </row>
    <row r="539">
      <c r="A539" t="str">
        <f>IFERROR(__xludf.DUMMYFUNCTION("""COMPUTED_VALUE"""),"Colombia")</f>
        <v>Colombia</v>
      </c>
      <c r="B539" t="str">
        <f>IFERROR(__xludf.DUMMYFUNCTION("""COMPUTED_VALUE"""),"South America")</f>
        <v>South America</v>
      </c>
      <c r="C539">
        <f>IFERROR(__xludf.DUMMYFUNCTION("""COMPUTED_VALUE"""),38.0)</f>
        <v>38</v>
      </c>
      <c r="D539" t="str">
        <f>IFERROR(__xludf.DUMMYFUNCTION("""COMPUTED_VALUE"""),"MÁS DE UNA CITA")</f>
        <v>MÁS DE UNA CITA</v>
      </c>
      <c r="E539" t="str">
        <f>IFERROR(__xludf.DUMMYFUNCTION("""COMPUTED_VALUE"""),"Bad Bunny, Zion &amp; Lennox")</f>
        <v>Bad Bunny, Zion &amp; Lennox</v>
      </c>
      <c r="F539" t="str">
        <f>IFERROR(__xludf.DUMMYFUNCTION("""COMPUTED_VALUE"""),"LAS QUE NO IBAN A SALIR")</f>
        <v>LAS QUE NO IBAN A SALIR</v>
      </c>
      <c r="G539">
        <f>IFERROR(__xludf.DUMMYFUNCTION("""COMPUTED_VALUE"""),1.0)</f>
        <v>1</v>
      </c>
      <c r="H539" s="5">
        <f>IFERROR(__xludf.DUMMYFUNCTION("""COMPUTED_VALUE"""),0.12708333333284827)</f>
        <v>0.1270833333</v>
      </c>
    </row>
    <row r="540">
      <c r="A540" t="str">
        <f>IFERROR(__xludf.DUMMYFUNCTION("""COMPUTED_VALUE"""),"Colombia")</f>
        <v>Colombia</v>
      </c>
      <c r="B540" t="str">
        <f>IFERROR(__xludf.DUMMYFUNCTION("""COMPUTED_VALUE"""),"South America")</f>
        <v>South America</v>
      </c>
      <c r="C540">
        <f>IFERROR(__xludf.DUMMYFUNCTION("""COMPUTED_VALUE"""),39.0)</f>
        <v>39</v>
      </c>
      <c r="D540" t="str">
        <f>IFERROR(__xludf.DUMMYFUNCTION("""COMPUTED_VALUE"""),"Por Primera Vez")</f>
        <v>Por Primera Vez</v>
      </c>
      <c r="E540" t="str">
        <f>IFERROR(__xludf.DUMMYFUNCTION("""COMPUTED_VALUE"""),"Camilo, Evaluna Montaner")</f>
        <v>Camilo, Evaluna Montaner</v>
      </c>
      <c r="F540" t="str">
        <f>IFERROR(__xludf.DUMMYFUNCTION("""COMPUTED_VALUE"""),"Por Primera Vez")</f>
        <v>Por Primera Vez</v>
      </c>
      <c r="G540">
        <f>IFERROR(__xludf.DUMMYFUNCTION("""COMPUTED_VALUE"""),0.0)</f>
        <v>0</v>
      </c>
      <c r="H540" s="5">
        <f>IFERROR(__xludf.DUMMYFUNCTION("""COMPUTED_VALUE"""),0.12638888888977817)</f>
        <v>0.1263888889</v>
      </c>
    </row>
    <row r="541">
      <c r="A541" t="str">
        <f>IFERROR(__xludf.DUMMYFUNCTION("""COMPUTED_VALUE"""),"Colombia")</f>
        <v>Colombia</v>
      </c>
      <c r="B541" t="str">
        <f>IFERROR(__xludf.DUMMYFUNCTION("""COMPUTED_VALUE"""),"South America")</f>
        <v>South America</v>
      </c>
      <c r="C541">
        <f>IFERROR(__xludf.DUMMYFUNCTION("""COMPUTED_VALUE"""),40.0)</f>
        <v>40</v>
      </c>
      <c r="D541" t="str">
        <f>IFERROR(__xludf.DUMMYFUNCTION("""COMPUTED_VALUE"""),"Vete")</f>
        <v>Vete</v>
      </c>
      <c r="E541" t="str">
        <f>IFERROR(__xludf.DUMMYFUNCTION("""COMPUTED_VALUE"""),"Bad Bunny")</f>
        <v>Bad Bunny</v>
      </c>
      <c r="F541" t="str">
        <f>IFERROR(__xludf.DUMMYFUNCTION("""COMPUTED_VALUE"""),"YHLQMDLG")</f>
        <v>YHLQMDLG</v>
      </c>
      <c r="G541">
        <f>IFERROR(__xludf.DUMMYFUNCTION("""COMPUTED_VALUE"""),1.0)</f>
        <v>1</v>
      </c>
      <c r="H541" s="5">
        <f>IFERROR(__xludf.DUMMYFUNCTION("""COMPUTED_VALUE"""),0.13333333333503106)</f>
        <v>0.1333333333</v>
      </c>
    </row>
    <row r="542">
      <c r="A542" t="str">
        <f>IFERROR(__xludf.DUMMYFUNCTION("""COMPUTED_VALUE"""),"Colombia")</f>
        <v>Colombia</v>
      </c>
      <c r="B542" t="str">
        <f>IFERROR(__xludf.DUMMYFUNCTION("""COMPUTED_VALUE"""),"South America")</f>
        <v>South America</v>
      </c>
      <c r="C542">
        <f>IFERROR(__xludf.DUMMYFUNCTION("""COMPUTED_VALUE"""),41.0)</f>
        <v>41</v>
      </c>
      <c r="D542" t="str">
        <f>IFERROR(__xludf.DUMMYFUNCTION("""COMPUTED_VALUE"""),"Bellaquita - Remix")</f>
        <v>Bellaquita - Remix</v>
      </c>
      <c r="E542" t="str">
        <f>IFERROR(__xludf.DUMMYFUNCTION("""COMPUTED_VALUE"""),"Dalex, Lenny Tavárez, Anitta, Natti Natasha, Farruko, Justin Quiles")</f>
        <v>Dalex, Lenny Tavárez, Anitta, Natti Natasha, Farruko, Justin Quiles</v>
      </c>
      <c r="F542" t="str">
        <f>IFERROR(__xludf.DUMMYFUNCTION("""COMPUTED_VALUE"""),"Modo Avión")</f>
        <v>Modo Avión</v>
      </c>
      <c r="G542">
        <f>IFERROR(__xludf.DUMMYFUNCTION("""COMPUTED_VALUE"""),1.0)</f>
        <v>1</v>
      </c>
      <c r="H542" s="5">
        <f>IFERROR(__xludf.DUMMYFUNCTION("""COMPUTED_VALUE"""),0.21111111111167702)</f>
        <v>0.2111111111</v>
      </c>
    </row>
    <row r="543">
      <c r="A543" t="str">
        <f>IFERROR(__xludf.DUMMYFUNCTION("""COMPUTED_VALUE"""),"Colombia")</f>
        <v>Colombia</v>
      </c>
      <c r="B543" t="str">
        <f>IFERROR(__xludf.DUMMYFUNCTION("""COMPUTED_VALUE"""),"South America")</f>
        <v>South America</v>
      </c>
      <c r="C543">
        <f>IFERROR(__xludf.DUMMYFUNCTION("""COMPUTED_VALUE"""),42.0)</f>
        <v>42</v>
      </c>
      <c r="D543" t="str">
        <f>IFERROR(__xludf.DUMMYFUNCTION("""COMPUTED_VALUE"""),"Loco - Remix")</f>
        <v>Loco - Remix</v>
      </c>
      <c r="E543" t="str">
        <f>IFERROR(__xludf.DUMMYFUNCTION("""COMPUTED_VALUE"""),"Farruko, Beéle, Natti Natasha, Manuel Turizo")</f>
        <v>Farruko, Beéle, Natti Natasha, Manuel Turizo</v>
      </c>
      <c r="F543" t="str">
        <f>IFERROR(__xludf.DUMMYFUNCTION("""COMPUTED_VALUE"""),"Loco (Remix)")</f>
        <v>Loco (Remix)</v>
      </c>
      <c r="G543">
        <f>IFERROR(__xludf.DUMMYFUNCTION("""COMPUTED_VALUE"""),0.0)</f>
        <v>0</v>
      </c>
      <c r="H543" s="5">
        <f>IFERROR(__xludf.DUMMYFUNCTION("""COMPUTED_VALUE"""),0.17222222222335404)</f>
        <v>0.1722222222</v>
      </c>
    </row>
    <row r="544">
      <c r="A544" t="str">
        <f>IFERROR(__xludf.DUMMYFUNCTION("""COMPUTED_VALUE"""),"Colombia")</f>
        <v>Colombia</v>
      </c>
      <c r="B544" t="str">
        <f>IFERROR(__xludf.DUMMYFUNCTION("""COMPUTED_VALUE"""),"South America")</f>
        <v>South America</v>
      </c>
      <c r="C544">
        <f>IFERROR(__xludf.DUMMYFUNCTION("""COMPUTED_VALUE"""),43.0)</f>
        <v>43</v>
      </c>
      <c r="D544" t="str">
        <f>IFERROR(__xludf.DUMMYFUNCTION("""COMPUTED_VALUE"""),"Tutu")</f>
        <v>Tutu</v>
      </c>
      <c r="E544" t="str">
        <f>IFERROR(__xludf.DUMMYFUNCTION("""COMPUTED_VALUE"""),"Camilo, Pedro Capó")</f>
        <v>Camilo, Pedro Capó</v>
      </c>
      <c r="F544" t="str">
        <f>IFERROR(__xludf.DUMMYFUNCTION("""COMPUTED_VALUE"""),"Por Primera Vez")</f>
        <v>Por Primera Vez</v>
      </c>
      <c r="G544">
        <f>IFERROR(__xludf.DUMMYFUNCTION("""COMPUTED_VALUE"""),0.0)</f>
        <v>0</v>
      </c>
      <c r="H544" s="5">
        <f>IFERROR(__xludf.DUMMYFUNCTION("""COMPUTED_VALUE"""),0.1243055555569299)</f>
        <v>0.1243055556</v>
      </c>
    </row>
    <row r="545">
      <c r="A545" t="str">
        <f>IFERROR(__xludf.DUMMYFUNCTION("""COMPUTED_VALUE"""),"Colombia")</f>
        <v>Colombia</v>
      </c>
      <c r="B545" t="str">
        <f>IFERROR(__xludf.DUMMYFUNCTION("""COMPUTED_VALUE"""),"South America")</f>
        <v>South America</v>
      </c>
      <c r="C545">
        <f>IFERROR(__xludf.DUMMYFUNCTION("""COMPUTED_VALUE"""),44.0)</f>
        <v>44</v>
      </c>
      <c r="D545" t="str">
        <f>IFERROR(__xludf.DUMMYFUNCTION("""COMPUTED_VALUE"""),"Quizas")</f>
        <v>Quizas</v>
      </c>
      <c r="E545" t="str">
        <f>IFERROR(__xludf.DUMMYFUNCTION("""COMPUTED_VALUE"""),"Rich Music LTD, Sech, Dalex, Justin Quiles, Lenny Tavárez, Feid, Wisin, Zion")</f>
        <v>Rich Music LTD, Sech, Dalex, Justin Quiles, Lenny Tavárez, Feid, Wisin, Zion</v>
      </c>
      <c r="F545" t="str">
        <f>IFERROR(__xludf.DUMMYFUNCTION("""COMPUTED_VALUE"""),"The Academy")</f>
        <v>The Academy</v>
      </c>
      <c r="G545">
        <f>IFERROR(__xludf.DUMMYFUNCTION("""COMPUTED_VALUE"""),1.0)</f>
        <v>1</v>
      </c>
      <c r="H545" s="5">
        <f>IFERROR(__xludf.DUMMYFUNCTION("""COMPUTED_VALUE"""),0.1500000000014552)</f>
        <v>0.15</v>
      </c>
    </row>
    <row r="546">
      <c r="A546" t="str">
        <f>IFERROR(__xludf.DUMMYFUNCTION("""COMPUTED_VALUE"""),"Colombia")</f>
        <v>Colombia</v>
      </c>
      <c r="B546" t="str">
        <f>IFERROR(__xludf.DUMMYFUNCTION("""COMPUTED_VALUE"""),"South America")</f>
        <v>South America</v>
      </c>
      <c r="C546">
        <f>IFERROR(__xludf.DUMMYFUNCTION("""COMPUTED_VALUE"""),45.0)</f>
        <v>45</v>
      </c>
      <c r="D546" t="str">
        <f>IFERROR(__xludf.DUMMYFUNCTION("""COMPUTED_VALUE"""),"RITMO (Bad Boys For Life)")</f>
        <v>RITMO (Bad Boys For Life)</v>
      </c>
      <c r="E546" t="str">
        <f>IFERROR(__xludf.DUMMYFUNCTION("""COMPUTED_VALUE"""),"Black Eyed Peas, J Balvin")</f>
        <v>Black Eyed Peas, J Balvin</v>
      </c>
      <c r="F546" t="str">
        <f>IFERROR(__xludf.DUMMYFUNCTION("""COMPUTED_VALUE"""),"RITMO (Bad Boys For Life)")</f>
        <v>RITMO (Bad Boys For Life)</v>
      </c>
      <c r="G546">
        <f>IFERROR(__xludf.DUMMYFUNCTION("""COMPUTED_VALUE"""),1.0)</f>
        <v>1</v>
      </c>
      <c r="H546" s="5">
        <f>IFERROR(__xludf.DUMMYFUNCTION("""COMPUTED_VALUE"""),0.15347222222044365)</f>
        <v>0.1534722222</v>
      </c>
    </row>
    <row r="547">
      <c r="A547" t="str">
        <f>IFERROR(__xludf.DUMMYFUNCTION("""COMPUTED_VALUE"""),"Colombia")</f>
        <v>Colombia</v>
      </c>
      <c r="B547" t="str">
        <f>IFERROR(__xludf.DUMMYFUNCTION("""COMPUTED_VALUE"""),"South America")</f>
        <v>South America</v>
      </c>
      <c r="C547">
        <f>IFERROR(__xludf.DUMMYFUNCTION("""COMPUTED_VALUE"""),46.0)</f>
        <v>46</v>
      </c>
      <c r="D547" t="str">
        <f>IFERROR(__xludf.DUMMYFUNCTION("""COMPUTED_VALUE"""),"CANCIÓN CON YANDEL")</f>
        <v>CANCIÓN CON YANDEL</v>
      </c>
      <c r="E547" t="str">
        <f>IFERROR(__xludf.DUMMYFUNCTION("""COMPUTED_VALUE"""),"Yandel, Bad Bunny")</f>
        <v>Yandel, Bad Bunny</v>
      </c>
      <c r="F547" t="str">
        <f>IFERROR(__xludf.DUMMYFUNCTION("""COMPUTED_VALUE"""),"LAS QUE NO IBAN A SALIR")</f>
        <v>LAS QUE NO IBAN A SALIR</v>
      </c>
      <c r="G547">
        <f>IFERROR(__xludf.DUMMYFUNCTION("""COMPUTED_VALUE"""),1.0)</f>
        <v>1</v>
      </c>
      <c r="H547" s="5">
        <f>IFERROR(__xludf.DUMMYFUNCTION("""COMPUTED_VALUE"""),0.14513888888905058)</f>
        <v>0.1451388889</v>
      </c>
    </row>
    <row r="548">
      <c r="A548" t="str">
        <f>IFERROR(__xludf.DUMMYFUNCTION("""COMPUTED_VALUE"""),"Colombia")</f>
        <v>Colombia</v>
      </c>
      <c r="B548" t="str">
        <f>IFERROR(__xludf.DUMMYFUNCTION("""COMPUTED_VALUE"""),"South America")</f>
        <v>South America</v>
      </c>
      <c r="C548">
        <f>IFERROR(__xludf.DUMMYFUNCTION("""COMPUTED_VALUE"""),47.0)</f>
        <v>47</v>
      </c>
      <c r="D548" t="str">
        <f>IFERROR(__xludf.DUMMYFUNCTION("""COMPUTED_VALUE"""),"Callaita")</f>
        <v>Callaita</v>
      </c>
      <c r="E548" t="str">
        <f>IFERROR(__xludf.DUMMYFUNCTION("""COMPUTED_VALUE"""),"Bad Bunny, Tainy")</f>
        <v>Bad Bunny, Tainy</v>
      </c>
      <c r="F548" t="str">
        <f>IFERROR(__xludf.DUMMYFUNCTION("""COMPUTED_VALUE"""),"Callaita")</f>
        <v>Callaita</v>
      </c>
      <c r="G548">
        <f>IFERROR(__xludf.DUMMYFUNCTION("""COMPUTED_VALUE"""),1.0)</f>
        <v>1</v>
      </c>
      <c r="H548" s="5">
        <f>IFERROR(__xludf.DUMMYFUNCTION("""COMPUTED_VALUE"""),0.17361111110949423)</f>
        <v>0.1736111111</v>
      </c>
    </row>
    <row r="549">
      <c r="A549" t="str">
        <f>IFERROR(__xludf.DUMMYFUNCTION("""COMPUTED_VALUE"""),"Colombia")</f>
        <v>Colombia</v>
      </c>
      <c r="B549" t="str">
        <f>IFERROR(__xludf.DUMMYFUNCTION("""COMPUTED_VALUE"""),"South America")</f>
        <v>South America</v>
      </c>
      <c r="C549">
        <f>IFERROR(__xludf.DUMMYFUNCTION("""COMPUTED_VALUE"""),48.0)</f>
        <v>48</v>
      </c>
      <c r="D549" t="str">
        <f>IFERROR(__xludf.DUMMYFUNCTION("""COMPUTED_VALUE"""),"death bed (coffee for your head) (feat. beabadoobee)")</f>
        <v>death bed (coffee for your head) (feat. beabadoobee)</v>
      </c>
      <c r="E549" t="str">
        <f>IFERROR(__xludf.DUMMYFUNCTION("""COMPUTED_VALUE"""),"Powfu, beabadoobee")</f>
        <v>Powfu, beabadoobee</v>
      </c>
      <c r="F549" t="str">
        <f>IFERROR(__xludf.DUMMYFUNCTION("""COMPUTED_VALUE"""),"death bed (coffee for your head) (feat. beabadoobee)")</f>
        <v>death bed (coffee for your head) (feat. beabadoobee)</v>
      </c>
      <c r="G549">
        <f>IFERROR(__xludf.DUMMYFUNCTION("""COMPUTED_VALUE"""),0.0)</f>
        <v>0</v>
      </c>
      <c r="H549" s="5">
        <f>IFERROR(__xludf.DUMMYFUNCTION("""COMPUTED_VALUE"""),0.12013888888759539)</f>
        <v>0.1201388889</v>
      </c>
    </row>
    <row r="550">
      <c r="A550" t="str">
        <f>IFERROR(__xludf.DUMMYFUNCTION("""COMPUTED_VALUE"""),"Colombia")</f>
        <v>Colombia</v>
      </c>
      <c r="B550" t="str">
        <f>IFERROR(__xludf.DUMMYFUNCTION("""COMPUTED_VALUE"""),"South America")</f>
        <v>South America</v>
      </c>
      <c r="C550">
        <f>IFERROR(__xludf.DUMMYFUNCTION("""COMPUTED_VALUE"""),49.0)</f>
        <v>49</v>
      </c>
      <c r="D550" t="str">
        <f>IFERROR(__xludf.DUMMYFUNCTION("""COMPUTED_VALUE"""),"Confía")</f>
        <v>Confía</v>
      </c>
      <c r="E550" t="str">
        <f>IFERROR(__xludf.DUMMYFUNCTION("""COMPUTED_VALUE"""),"Sech, Daddy Yankee")</f>
        <v>Sech, Daddy Yankee</v>
      </c>
      <c r="F550" t="str">
        <f>IFERROR(__xludf.DUMMYFUNCTION("""COMPUTED_VALUE"""),"1 of 1")</f>
        <v>1 of 1</v>
      </c>
      <c r="G550">
        <f>IFERROR(__xludf.DUMMYFUNCTION("""COMPUTED_VALUE"""),0.0)</f>
        <v>0</v>
      </c>
      <c r="H550" s="5">
        <f>IFERROR(__xludf.DUMMYFUNCTION("""COMPUTED_VALUE"""),0.14027777777664596)</f>
        <v>0.1402777778</v>
      </c>
    </row>
    <row r="551">
      <c r="A551" t="str">
        <f>IFERROR(__xludf.DUMMYFUNCTION("""COMPUTED_VALUE"""),"Colombia")</f>
        <v>Colombia</v>
      </c>
      <c r="B551" t="str">
        <f>IFERROR(__xludf.DUMMYFUNCTION("""COMPUTED_VALUE"""),"South America")</f>
        <v>South America</v>
      </c>
      <c r="C551">
        <f>IFERROR(__xludf.DUMMYFUNCTION("""COMPUTED_VALUE"""),50.0)</f>
        <v>50</v>
      </c>
      <c r="D551" t="str">
        <f>IFERROR(__xludf.DUMMYFUNCTION("""COMPUTED_VALUE"""),"BAD CON NICKY")</f>
        <v>BAD CON NICKY</v>
      </c>
      <c r="E551" t="str">
        <f>IFERROR(__xludf.DUMMYFUNCTION("""COMPUTED_VALUE"""),"Bad Bunny, Nicky Jam")</f>
        <v>Bad Bunny, Nicky Jam</v>
      </c>
      <c r="F551" t="str">
        <f>IFERROR(__xludf.DUMMYFUNCTION("""COMPUTED_VALUE"""),"LAS QUE NO IBAN A SALIR")</f>
        <v>LAS QUE NO IBAN A SALIR</v>
      </c>
      <c r="G551">
        <f>IFERROR(__xludf.DUMMYFUNCTION("""COMPUTED_VALUE"""),1.0)</f>
        <v>1</v>
      </c>
      <c r="H551" s="5">
        <f>IFERROR(__xludf.DUMMYFUNCTION("""COMPUTED_VALUE"""),0.14027777777664596)</f>
        <v>0.1402777778</v>
      </c>
    </row>
    <row r="552">
      <c r="A552" t="str">
        <f>IFERROR(__xludf.DUMMYFUNCTION("""COMPUTED_VALUE"""),"Costa Rica")</f>
        <v>Costa Rica</v>
      </c>
      <c r="B552" t="str">
        <f>IFERROR(__xludf.DUMMYFUNCTION("""COMPUTED_VALUE"""),"North America")</f>
        <v>North America</v>
      </c>
      <c r="C552">
        <f>IFERROR(__xludf.DUMMYFUNCTION("""COMPUTED_VALUE"""),1.0)</f>
        <v>1</v>
      </c>
      <c r="D552" t="str">
        <f>IFERROR(__xludf.DUMMYFUNCTION("""COMPUTED_VALUE"""),"Rojo")</f>
        <v>Rojo</v>
      </c>
      <c r="E552" t="str">
        <f>IFERROR(__xludf.DUMMYFUNCTION("""COMPUTED_VALUE"""),"J Balvin")</f>
        <v>J Balvin</v>
      </c>
      <c r="F552" t="str">
        <f>IFERROR(__xludf.DUMMYFUNCTION("""COMPUTED_VALUE"""),"Colores")</f>
        <v>Colores</v>
      </c>
      <c r="G552">
        <f>IFERROR(__xludf.DUMMYFUNCTION("""COMPUTED_VALUE"""),0.0)</f>
        <v>0</v>
      </c>
      <c r="H552" s="5">
        <f>IFERROR(__xludf.DUMMYFUNCTION("""COMPUTED_VALUE"""),0.10416666666787933)</f>
        <v>0.1041666667</v>
      </c>
    </row>
    <row r="553">
      <c r="A553" t="str">
        <f>IFERROR(__xludf.DUMMYFUNCTION("""COMPUTED_VALUE"""),"Costa Rica")</f>
        <v>Costa Rica</v>
      </c>
      <c r="B553" t="str">
        <f>IFERROR(__xludf.DUMMYFUNCTION("""COMPUTED_VALUE"""),"North America")</f>
        <v>North America</v>
      </c>
      <c r="C553">
        <f>IFERROR(__xludf.DUMMYFUNCTION("""COMPUTED_VALUE"""),2.0)</f>
        <v>2</v>
      </c>
      <c r="D553" t="str">
        <f>IFERROR(__xludf.DUMMYFUNCTION("""COMPUTED_VALUE"""),"Safaera")</f>
        <v>Safaera</v>
      </c>
      <c r="E553" t="str">
        <f>IFERROR(__xludf.DUMMYFUNCTION("""COMPUTED_VALUE"""),"Bad Bunny, Jowell &amp; Randy, Nengo Flow")</f>
        <v>Bad Bunny, Jowell &amp; Randy, Nengo Flow</v>
      </c>
      <c r="F553" t="str">
        <f>IFERROR(__xludf.DUMMYFUNCTION("""COMPUTED_VALUE"""),"YHLQMDLG")</f>
        <v>YHLQMDLG</v>
      </c>
      <c r="G553">
        <f>IFERROR(__xludf.DUMMYFUNCTION("""COMPUTED_VALUE"""),1.0)</f>
        <v>1</v>
      </c>
      <c r="H553" s="5">
        <f>IFERROR(__xludf.DUMMYFUNCTION("""COMPUTED_VALUE"""),0.20486111110949423)</f>
        <v>0.2048611111</v>
      </c>
    </row>
    <row r="554">
      <c r="A554" t="str">
        <f>IFERROR(__xludf.DUMMYFUNCTION("""COMPUTED_VALUE"""),"Costa Rica")</f>
        <v>Costa Rica</v>
      </c>
      <c r="B554" t="str">
        <f>IFERROR(__xludf.DUMMYFUNCTION("""COMPUTED_VALUE"""),"North America")</f>
        <v>North America</v>
      </c>
      <c r="C554">
        <f>IFERROR(__xludf.DUMMYFUNCTION("""COMPUTED_VALUE"""),3.0)</f>
        <v>3</v>
      </c>
      <c r="D554" t="str">
        <f>IFERROR(__xludf.DUMMYFUNCTION("""COMPUTED_VALUE"""),"Yo Perreo Sola")</f>
        <v>Yo Perreo Sola</v>
      </c>
      <c r="E554" t="str">
        <f>IFERROR(__xludf.DUMMYFUNCTION("""COMPUTED_VALUE"""),"Bad Bunny")</f>
        <v>Bad Bunny</v>
      </c>
      <c r="F554" t="str">
        <f>IFERROR(__xludf.DUMMYFUNCTION("""COMPUTED_VALUE"""),"YHLQMDLG")</f>
        <v>YHLQMDLG</v>
      </c>
      <c r="G554">
        <f>IFERROR(__xludf.DUMMYFUNCTION("""COMPUTED_VALUE"""),0.0)</f>
        <v>0</v>
      </c>
      <c r="H554" s="5">
        <f>IFERROR(__xludf.DUMMYFUNCTION("""COMPUTED_VALUE"""),0.11944444444452529)</f>
        <v>0.1194444444</v>
      </c>
    </row>
    <row r="555">
      <c r="A555" t="str">
        <f>IFERROR(__xludf.DUMMYFUNCTION("""COMPUTED_VALUE"""),"Costa Rica")</f>
        <v>Costa Rica</v>
      </c>
      <c r="B555" t="str">
        <f>IFERROR(__xludf.DUMMYFUNCTION("""COMPUTED_VALUE"""),"North America")</f>
        <v>North America</v>
      </c>
      <c r="C555">
        <f>IFERROR(__xludf.DUMMYFUNCTION("""COMPUTED_VALUE"""),4.0)</f>
        <v>4</v>
      </c>
      <c r="D555" t="str">
        <f>IFERROR(__xludf.DUMMYFUNCTION("""COMPUTED_VALUE"""),"Favorito")</f>
        <v>Favorito</v>
      </c>
      <c r="E555" t="str">
        <f>IFERROR(__xludf.DUMMYFUNCTION("""COMPUTED_VALUE"""),"Camilo")</f>
        <v>Camilo</v>
      </c>
      <c r="F555" t="str">
        <f>IFERROR(__xludf.DUMMYFUNCTION("""COMPUTED_VALUE"""),"Por Primera Vez")</f>
        <v>Por Primera Vez</v>
      </c>
      <c r="G555">
        <f>IFERROR(__xludf.DUMMYFUNCTION("""COMPUTED_VALUE"""),0.0)</f>
        <v>0</v>
      </c>
      <c r="H555" s="5">
        <f>IFERROR(__xludf.DUMMYFUNCTION("""COMPUTED_VALUE"""),0.14513888888905058)</f>
        <v>0.1451388889</v>
      </c>
    </row>
    <row r="556">
      <c r="A556" t="str">
        <f>IFERROR(__xludf.DUMMYFUNCTION("""COMPUTED_VALUE"""),"Costa Rica")</f>
        <v>Costa Rica</v>
      </c>
      <c r="B556" t="str">
        <f>IFERROR(__xludf.DUMMYFUNCTION("""COMPUTED_VALUE"""),"North America")</f>
        <v>North America</v>
      </c>
      <c r="C556">
        <f>IFERROR(__xludf.DUMMYFUNCTION("""COMPUTED_VALUE"""),5.0)</f>
        <v>5</v>
      </c>
      <c r="D556" t="str">
        <f>IFERROR(__xludf.DUMMYFUNCTION("""COMPUTED_VALUE"""),"Tattoo")</f>
        <v>Tattoo</v>
      </c>
      <c r="E556" t="str">
        <f>IFERROR(__xludf.DUMMYFUNCTION("""COMPUTED_VALUE"""),"Rauw Alejandro")</f>
        <v>Rauw Alejandro</v>
      </c>
      <c r="F556" t="str">
        <f>IFERROR(__xludf.DUMMYFUNCTION("""COMPUTED_VALUE"""),"Tattoo")</f>
        <v>Tattoo</v>
      </c>
      <c r="G556">
        <f>IFERROR(__xludf.DUMMYFUNCTION("""COMPUTED_VALUE"""),0.0)</f>
        <v>0</v>
      </c>
      <c r="H556" s="5">
        <f>IFERROR(__xludf.DUMMYFUNCTION("""COMPUTED_VALUE"""),0.14027777777664596)</f>
        <v>0.1402777778</v>
      </c>
    </row>
    <row r="557">
      <c r="A557" t="str">
        <f>IFERROR(__xludf.DUMMYFUNCTION("""COMPUTED_VALUE"""),"Costa Rica")</f>
        <v>Costa Rica</v>
      </c>
      <c r="B557" t="str">
        <f>IFERROR(__xludf.DUMMYFUNCTION("""COMPUTED_VALUE"""),"North America")</f>
        <v>North America</v>
      </c>
      <c r="C557">
        <f>IFERROR(__xludf.DUMMYFUNCTION("""COMPUTED_VALUE"""),6.0)</f>
        <v>6</v>
      </c>
      <c r="D557" t="str">
        <f>IFERROR(__xludf.DUMMYFUNCTION("""COMPUTED_VALUE"""),"Rain On Me (with Ariana Grande)")</f>
        <v>Rain On Me (with Ariana Grande)</v>
      </c>
      <c r="E557" t="str">
        <f>IFERROR(__xludf.DUMMYFUNCTION("""COMPUTED_VALUE"""),"Lady Gaga, Ariana Grande")</f>
        <v>Lady Gaga, Ariana Grande</v>
      </c>
      <c r="F557" t="str">
        <f>IFERROR(__xludf.DUMMYFUNCTION("""COMPUTED_VALUE"""),"Rain On Me (with Ariana Grande)")</f>
        <v>Rain On Me (with Ariana Grande)</v>
      </c>
      <c r="G557">
        <f>IFERROR(__xludf.DUMMYFUNCTION("""COMPUTED_VALUE"""),0.0)</f>
        <v>0</v>
      </c>
      <c r="H557" s="5">
        <f>IFERROR(__xludf.DUMMYFUNCTION("""COMPUTED_VALUE"""),0.12638888888977817)</f>
        <v>0.1263888889</v>
      </c>
    </row>
    <row r="558">
      <c r="A558" t="str">
        <f>IFERROR(__xludf.DUMMYFUNCTION("""COMPUTED_VALUE"""),"Costa Rica")</f>
        <v>Costa Rica</v>
      </c>
      <c r="B558" t="str">
        <f>IFERROR(__xludf.DUMMYFUNCTION("""COMPUTED_VALUE"""),"North America")</f>
        <v>North America</v>
      </c>
      <c r="C558">
        <f>IFERROR(__xludf.DUMMYFUNCTION("""COMPUTED_VALUE"""),7.0)</f>
        <v>7</v>
      </c>
      <c r="D558" t="str">
        <f>IFERROR(__xludf.DUMMYFUNCTION("""COMPUTED_VALUE"""),"Djadja")</f>
        <v>Djadja</v>
      </c>
      <c r="E558" t="str">
        <f>IFERROR(__xludf.DUMMYFUNCTION("""COMPUTED_VALUE"""),"Aya Nakamura")</f>
        <v>Aya Nakamura</v>
      </c>
      <c r="F558" t="str">
        <f>IFERROR(__xludf.DUMMYFUNCTION("""COMPUTED_VALUE"""),"NAKAMURA")</f>
        <v>NAKAMURA</v>
      </c>
      <c r="G558">
        <f>IFERROR(__xludf.DUMMYFUNCTION("""COMPUTED_VALUE"""),0.0)</f>
        <v>0</v>
      </c>
      <c r="H558" s="5">
        <f>IFERROR(__xludf.DUMMYFUNCTION("""COMPUTED_VALUE"""),0.11875000000145519)</f>
        <v>0.11875</v>
      </c>
    </row>
    <row r="559">
      <c r="A559" t="str">
        <f>IFERROR(__xludf.DUMMYFUNCTION("""COMPUTED_VALUE"""),"Costa Rica")</f>
        <v>Costa Rica</v>
      </c>
      <c r="B559" t="str">
        <f>IFERROR(__xludf.DUMMYFUNCTION("""COMPUTED_VALUE"""),"North America")</f>
        <v>North America</v>
      </c>
      <c r="C559">
        <f>IFERROR(__xludf.DUMMYFUNCTION("""COMPUTED_VALUE"""),8.0)</f>
        <v>8</v>
      </c>
      <c r="D559" t="str">
        <f>IFERROR(__xludf.DUMMYFUNCTION("""COMPUTED_VALUE"""),"Blinding Lights")</f>
        <v>Blinding Lights</v>
      </c>
      <c r="E559" t="str">
        <f>IFERROR(__xludf.DUMMYFUNCTION("""COMPUTED_VALUE"""),"The Weeknd")</f>
        <v>The Weeknd</v>
      </c>
      <c r="F559" t="str">
        <f>IFERROR(__xludf.DUMMYFUNCTION("""COMPUTED_VALUE"""),"After Hours")</f>
        <v>After Hours</v>
      </c>
      <c r="G559">
        <f>IFERROR(__xludf.DUMMYFUNCTION("""COMPUTED_VALUE"""),0.0)</f>
        <v>0</v>
      </c>
      <c r="H559" s="5">
        <f>IFERROR(__xludf.DUMMYFUNCTION("""COMPUTED_VALUE"""),0.13888888889050577)</f>
        <v>0.1388888889</v>
      </c>
    </row>
    <row r="560">
      <c r="A560" t="str">
        <f>IFERROR(__xludf.DUMMYFUNCTION("""COMPUTED_VALUE"""),"Costa Rica")</f>
        <v>Costa Rica</v>
      </c>
      <c r="B560" t="str">
        <f>IFERROR(__xludf.DUMMYFUNCTION("""COMPUTED_VALUE"""),"North America")</f>
        <v>North America</v>
      </c>
      <c r="C560">
        <f>IFERROR(__xludf.DUMMYFUNCTION("""COMPUTED_VALUE"""),9.0)</f>
        <v>9</v>
      </c>
      <c r="D560" t="str">
        <f>IFERROR(__xludf.DUMMYFUNCTION("""COMPUTED_VALUE"""),"Tusa")</f>
        <v>Tusa</v>
      </c>
      <c r="E560" t="str">
        <f>IFERROR(__xludf.DUMMYFUNCTION("""COMPUTED_VALUE"""),"KAROL G, Nicki Minaj")</f>
        <v>KAROL G, Nicki Minaj</v>
      </c>
      <c r="F560" t="str">
        <f>IFERROR(__xludf.DUMMYFUNCTION("""COMPUTED_VALUE"""),"Tusa")</f>
        <v>Tusa</v>
      </c>
      <c r="G560">
        <f>IFERROR(__xludf.DUMMYFUNCTION("""COMPUTED_VALUE"""),0.0)</f>
        <v>0</v>
      </c>
      <c r="H560" s="5">
        <f>IFERROR(__xludf.DUMMYFUNCTION("""COMPUTED_VALUE"""),0.13888888889050577)</f>
        <v>0.1388888889</v>
      </c>
    </row>
    <row r="561">
      <c r="A561" t="str">
        <f>IFERROR(__xludf.DUMMYFUNCTION("""COMPUTED_VALUE"""),"Costa Rica")</f>
        <v>Costa Rica</v>
      </c>
      <c r="B561" t="str">
        <f>IFERROR(__xludf.DUMMYFUNCTION("""COMPUTED_VALUE"""),"North America")</f>
        <v>North America</v>
      </c>
      <c r="C561">
        <f>IFERROR(__xludf.DUMMYFUNCTION("""COMPUTED_VALUE"""),10.0)</f>
        <v>10</v>
      </c>
      <c r="D561" t="str">
        <f>IFERROR(__xludf.DUMMYFUNCTION("""COMPUTED_VALUE"""),"Amarillo")</f>
        <v>Amarillo</v>
      </c>
      <c r="E561" t="str">
        <f>IFERROR(__xludf.DUMMYFUNCTION("""COMPUTED_VALUE"""),"J Balvin")</f>
        <v>J Balvin</v>
      </c>
      <c r="F561" t="str">
        <f>IFERROR(__xludf.DUMMYFUNCTION("""COMPUTED_VALUE"""),"Colores")</f>
        <v>Colores</v>
      </c>
      <c r="G561">
        <f>IFERROR(__xludf.DUMMYFUNCTION("""COMPUTED_VALUE"""),0.0)</f>
        <v>0</v>
      </c>
      <c r="H561" s="5">
        <f>IFERROR(__xludf.DUMMYFUNCTION("""COMPUTED_VALUE"""),0.10902777777664596)</f>
        <v>0.1090277778</v>
      </c>
    </row>
    <row r="562">
      <c r="A562" t="str">
        <f>IFERROR(__xludf.DUMMYFUNCTION("""COMPUTED_VALUE"""),"Costa Rica")</f>
        <v>Costa Rica</v>
      </c>
      <c r="B562" t="str">
        <f>IFERROR(__xludf.DUMMYFUNCTION("""COMPUTED_VALUE"""),"North America")</f>
        <v>North America</v>
      </c>
      <c r="C562">
        <f>IFERROR(__xludf.DUMMYFUNCTION("""COMPUTED_VALUE"""),11.0)</f>
        <v>11</v>
      </c>
      <c r="D562" t="str">
        <f>IFERROR(__xludf.DUMMYFUNCTION("""COMPUTED_VALUE"""),"Fantasias")</f>
        <v>Fantasias</v>
      </c>
      <c r="E562" t="str">
        <f>IFERROR(__xludf.DUMMYFUNCTION("""COMPUTED_VALUE"""),"Rauw Alejandro, Farruko")</f>
        <v>Rauw Alejandro, Farruko</v>
      </c>
      <c r="F562" t="str">
        <f>IFERROR(__xludf.DUMMYFUNCTION("""COMPUTED_VALUE"""),"Fantasias")</f>
        <v>Fantasias</v>
      </c>
      <c r="G562">
        <f>IFERROR(__xludf.DUMMYFUNCTION("""COMPUTED_VALUE"""),0.0)</f>
        <v>0</v>
      </c>
      <c r="H562" s="5">
        <f>IFERROR(__xludf.DUMMYFUNCTION("""COMPUTED_VALUE"""),0.1381944444437977)</f>
        <v>0.1381944444</v>
      </c>
    </row>
    <row r="563">
      <c r="A563" t="str">
        <f>IFERROR(__xludf.DUMMYFUNCTION("""COMPUTED_VALUE"""),"Costa Rica")</f>
        <v>Costa Rica</v>
      </c>
      <c r="B563" t="str">
        <f>IFERROR(__xludf.DUMMYFUNCTION("""COMPUTED_VALUE"""),"North America")</f>
        <v>North America</v>
      </c>
      <c r="C563">
        <f>IFERROR(__xludf.DUMMYFUNCTION("""COMPUTED_VALUE"""),12.0)</f>
        <v>12</v>
      </c>
      <c r="D563" t="str">
        <f>IFERROR(__xludf.DUMMYFUNCTION("""COMPUTED_VALUE"""),"Hola - Remix")</f>
        <v>Hola - Remix</v>
      </c>
      <c r="E563" t="str">
        <f>IFERROR(__xludf.DUMMYFUNCTION("""COMPUTED_VALUE"""),"Dalex, Lenny Tavárez, Chencho Corleone, Juhn, Dímelo Flow")</f>
        <v>Dalex, Lenny Tavárez, Chencho Corleone, Juhn, Dímelo Flow</v>
      </c>
      <c r="F563" t="str">
        <f>IFERROR(__xludf.DUMMYFUNCTION("""COMPUTED_VALUE"""),"Hola (Remix)")</f>
        <v>Hola (Remix)</v>
      </c>
      <c r="G563">
        <f>IFERROR(__xludf.DUMMYFUNCTION("""COMPUTED_VALUE"""),0.0)</f>
        <v>0</v>
      </c>
      <c r="H563" s="5">
        <f>IFERROR(__xludf.DUMMYFUNCTION("""COMPUTED_VALUE"""),0.17291666666642413)</f>
        <v>0.1729166667</v>
      </c>
    </row>
    <row r="564">
      <c r="A564" t="str">
        <f>IFERROR(__xludf.DUMMYFUNCTION("""COMPUTED_VALUE"""),"Costa Rica")</f>
        <v>Costa Rica</v>
      </c>
      <c r="B564" t="str">
        <f>IFERROR(__xludf.DUMMYFUNCTION("""COMPUTED_VALUE"""),"North America")</f>
        <v>North America</v>
      </c>
      <c r="C564">
        <f>IFERROR(__xludf.DUMMYFUNCTION("""COMPUTED_VALUE"""),13.0)</f>
        <v>13</v>
      </c>
      <c r="D564" t="str">
        <f>IFERROR(__xludf.DUMMYFUNCTION("""COMPUTED_VALUE"""),"Diosa")</f>
        <v>Diosa</v>
      </c>
      <c r="E564" t="str">
        <f>IFERROR(__xludf.DUMMYFUNCTION("""COMPUTED_VALUE"""),"Myke Towers")</f>
        <v>Myke Towers</v>
      </c>
      <c r="F564" t="str">
        <f>IFERROR(__xludf.DUMMYFUNCTION("""COMPUTED_VALUE"""),"Easy Money Baby")</f>
        <v>Easy Money Baby</v>
      </c>
      <c r="G564">
        <f>IFERROR(__xludf.DUMMYFUNCTION("""COMPUTED_VALUE"""),1.0)</f>
        <v>1</v>
      </c>
      <c r="H564" s="5">
        <f>IFERROR(__xludf.DUMMYFUNCTION("""COMPUTED_VALUE"""),0.14861111111167702)</f>
        <v>0.1486111111</v>
      </c>
    </row>
    <row r="565">
      <c r="A565" t="str">
        <f>IFERROR(__xludf.DUMMYFUNCTION("""COMPUTED_VALUE"""),"Costa Rica")</f>
        <v>Costa Rica</v>
      </c>
      <c r="B565" t="str">
        <f>IFERROR(__xludf.DUMMYFUNCTION("""COMPUTED_VALUE"""),"North America")</f>
        <v>North America</v>
      </c>
      <c r="C565">
        <f>IFERROR(__xludf.DUMMYFUNCTION("""COMPUTED_VALUE"""),14.0)</f>
        <v>14</v>
      </c>
      <c r="D565" t="str">
        <f>IFERROR(__xludf.DUMMYFUNCTION("""COMPUTED_VALUE"""),"Sigues Con El")</f>
        <v>Sigues Con El</v>
      </c>
      <c r="E565" t="str">
        <f>IFERROR(__xludf.DUMMYFUNCTION("""COMPUTED_VALUE"""),"Dímelo Flow, Arcangel, Sech")</f>
        <v>Dímelo Flow, Arcangel, Sech</v>
      </c>
      <c r="F565" t="str">
        <f>IFERROR(__xludf.DUMMYFUNCTION("""COMPUTED_VALUE"""),"Sigues Con El")</f>
        <v>Sigues Con El</v>
      </c>
      <c r="G565">
        <f>IFERROR(__xludf.DUMMYFUNCTION("""COMPUTED_VALUE"""),0.0)</f>
        <v>0</v>
      </c>
      <c r="H565" s="5">
        <f>IFERROR(__xludf.DUMMYFUNCTION("""COMPUTED_VALUE"""),0.1569444444430701)</f>
        <v>0.1569444444</v>
      </c>
    </row>
    <row r="566">
      <c r="A566" t="str">
        <f>IFERROR(__xludf.DUMMYFUNCTION("""COMPUTED_VALUE"""),"Costa Rica")</f>
        <v>Costa Rica</v>
      </c>
      <c r="B566" t="str">
        <f>IFERROR(__xludf.DUMMYFUNCTION("""COMPUTED_VALUE"""),"North America")</f>
        <v>North America</v>
      </c>
      <c r="C566">
        <f>IFERROR(__xludf.DUMMYFUNCTION("""COMPUTED_VALUE"""),15.0)</f>
        <v>15</v>
      </c>
      <c r="D566" t="str">
        <f>IFERROR(__xludf.DUMMYFUNCTION("""COMPUTED_VALUE"""),"Elegí (feat. Dímelo Flow)")</f>
        <v>Elegí (feat. Dímelo Flow)</v>
      </c>
      <c r="E566" t="str">
        <f>IFERROR(__xludf.DUMMYFUNCTION("""COMPUTED_VALUE"""),"Rauw Alejandro, Dalex, Lenny Tavárez, Dímelo Flow")</f>
        <v>Rauw Alejandro, Dalex, Lenny Tavárez, Dímelo Flow</v>
      </c>
      <c r="F566" t="str">
        <f>IFERROR(__xludf.DUMMYFUNCTION("""COMPUTED_VALUE"""),"Elegí (feat. Dímelo Flow)")</f>
        <v>Elegí (feat. Dímelo Flow)</v>
      </c>
      <c r="G566">
        <f>IFERROR(__xludf.DUMMYFUNCTION("""COMPUTED_VALUE"""),0.0)</f>
        <v>0</v>
      </c>
      <c r="H566" s="5">
        <f>IFERROR(__xludf.DUMMYFUNCTION("""COMPUTED_VALUE"""),0.13680555555401952)</f>
        <v>0.1368055556</v>
      </c>
    </row>
    <row r="567">
      <c r="A567" t="str">
        <f>IFERROR(__xludf.DUMMYFUNCTION("""COMPUTED_VALUE"""),"Costa Rica")</f>
        <v>Costa Rica</v>
      </c>
      <c r="B567" t="str">
        <f>IFERROR(__xludf.DUMMYFUNCTION("""COMPUTED_VALUE"""),"North America")</f>
        <v>North America</v>
      </c>
      <c r="C567">
        <f>IFERROR(__xludf.DUMMYFUNCTION("""COMPUTED_VALUE"""),16.0)</f>
        <v>16</v>
      </c>
      <c r="D567" t="str">
        <f>IFERROR(__xludf.DUMMYFUNCTION("""COMPUTED_VALUE"""),"Ignorantes")</f>
        <v>Ignorantes</v>
      </c>
      <c r="E567" t="str">
        <f>IFERROR(__xludf.DUMMYFUNCTION("""COMPUTED_VALUE"""),"Bad Bunny, Sech")</f>
        <v>Bad Bunny, Sech</v>
      </c>
      <c r="F567" t="str">
        <f>IFERROR(__xludf.DUMMYFUNCTION("""COMPUTED_VALUE"""),"YHLQMDLG")</f>
        <v>YHLQMDLG</v>
      </c>
      <c r="G567">
        <f>IFERROR(__xludf.DUMMYFUNCTION("""COMPUTED_VALUE"""),1.0)</f>
        <v>1</v>
      </c>
      <c r="H567" s="5">
        <f>IFERROR(__xludf.DUMMYFUNCTION("""COMPUTED_VALUE"""),0.14583333333212067)</f>
        <v>0.1458333333</v>
      </c>
    </row>
    <row r="568">
      <c r="A568" t="str">
        <f>IFERROR(__xludf.DUMMYFUNCTION("""COMPUTED_VALUE"""),"Costa Rica")</f>
        <v>Costa Rica</v>
      </c>
      <c r="B568" t="str">
        <f>IFERROR(__xludf.DUMMYFUNCTION("""COMPUTED_VALUE"""),"North America")</f>
        <v>North America</v>
      </c>
      <c r="C568">
        <f>IFERROR(__xludf.DUMMYFUNCTION("""COMPUTED_VALUE"""),17.0)</f>
        <v>17</v>
      </c>
      <c r="D568" t="str">
        <f>IFERROR(__xludf.DUMMYFUNCTION("""COMPUTED_VALUE"""),"Morado")</f>
        <v>Morado</v>
      </c>
      <c r="E568" t="str">
        <f>IFERROR(__xludf.DUMMYFUNCTION("""COMPUTED_VALUE"""),"J Balvin")</f>
        <v>J Balvin</v>
      </c>
      <c r="F568" t="str">
        <f>IFERROR(__xludf.DUMMYFUNCTION("""COMPUTED_VALUE"""),"Colores")</f>
        <v>Colores</v>
      </c>
      <c r="G568">
        <f>IFERROR(__xludf.DUMMYFUNCTION("""COMPUTED_VALUE"""),0.0)</f>
        <v>0</v>
      </c>
      <c r="H568" s="5">
        <f>IFERROR(__xludf.DUMMYFUNCTION("""COMPUTED_VALUE"""),0.13888888889050577)</f>
        <v>0.1388888889</v>
      </c>
    </row>
    <row r="569">
      <c r="A569" t="str">
        <f>IFERROR(__xludf.DUMMYFUNCTION("""COMPUTED_VALUE"""),"Costa Rica")</f>
        <v>Costa Rica</v>
      </c>
      <c r="B569" t="str">
        <f>IFERROR(__xludf.DUMMYFUNCTION("""COMPUTED_VALUE"""),"North America")</f>
        <v>North America</v>
      </c>
      <c r="C569">
        <f>IFERROR(__xludf.DUMMYFUNCTION("""COMPUTED_VALUE"""),18.0)</f>
        <v>18</v>
      </c>
      <c r="D569" t="str">
        <f>IFERROR(__xludf.DUMMYFUNCTION("""COMPUTED_VALUE"""),"PORFA")</f>
        <v>PORFA</v>
      </c>
      <c r="E569" t="str">
        <f>IFERROR(__xludf.DUMMYFUNCTION("""COMPUTED_VALUE"""),"Feid, Justin Quiles")</f>
        <v>Feid, Justin Quiles</v>
      </c>
      <c r="F569" t="str">
        <f>IFERROR(__xludf.DUMMYFUNCTION("""COMPUTED_VALUE"""),"FERXXO (VOL 1: M.O.R)")</f>
        <v>FERXXO (VOL 1: M.O.R)</v>
      </c>
      <c r="G569">
        <f>IFERROR(__xludf.DUMMYFUNCTION("""COMPUTED_VALUE"""),0.0)</f>
        <v>0</v>
      </c>
      <c r="H569" s="5">
        <f>IFERROR(__xludf.DUMMYFUNCTION("""COMPUTED_VALUE"""),0.16111111111240461)</f>
        <v>0.1611111111</v>
      </c>
    </row>
    <row r="570">
      <c r="A570" t="str">
        <f>IFERROR(__xludf.DUMMYFUNCTION("""COMPUTED_VALUE"""),"Costa Rica")</f>
        <v>Costa Rica</v>
      </c>
      <c r="B570" t="str">
        <f>IFERROR(__xludf.DUMMYFUNCTION("""COMPUTED_VALUE"""),"North America")</f>
        <v>North America</v>
      </c>
      <c r="C570">
        <f>IFERROR(__xludf.DUMMYFUNCTION("""COMPUTED_VALUE"""),19.0)</f>
        <v>19</v>
      </c>
      <c r="D570" t="str">
        <f>IFERROR(__xludf.DUMMYFUNCTION("""COMPUTED_VALUE"""),"Relación")</f>
        <v>Relación</v>
      </c>
      <c r="E570" t="str">
        <f>IFERROR(__xludf.DUMMYFUNCTION("""COMPUTED_VALUE"""),"Sech")</f>
        <v>Sech</v>
      </c>
      <c r="F570" t="str">
        <f>IFERROR(__xludf.DUMMYFUNCTION("""COMPUTED_VALUE"""),"1 of 1")</f>
        <v>1 of 1</v>
      </c>
      <c r="G570">
        <f>IFERROR(__xludf.DUMMYFUNCTION("""COMPUTED_VALUE"""),0.0)</f>
        <v>0</v>
      </c>
      <c r="H570" s="5">
        <f>IFERROR(__xludf.DUMMYFUNCTION("""COMPUTED_VALUE"""),0.12777777777955635)</f>
        <v>0.1277777778</v>
      </c>
    </row>
    <row r="571">
      <c r="A571" t="str">
        <f>IFERROR(__xludf.DUMMYFUNCTION("""COMPUTED_VALUE"""),"Costa Rica")</f>
        <v>Costa Rica</v>
      </c>
      <c r="B571" t="str">
        <f>IFERROR(__xludf.DUMMYFUNCTION("""COMPUTED_VALUE"""),"North America")</f>
        <v>North America</v>
      </c>
      <c r="C571">
        <f>IFERROR(__xludf.DUMMYFUNCTION("""COMPUTED_VALUE"""),20.0)</f>
        <v>20</v>
      </c>
      <c r="D571" t="str">
        <f>IFERROR(__xludf.DUMMYFUNCTION("""COMPUTED_VALUE"""),"Dance Monkey")</f>
        <v>Dance Monkey</v>
      </c>
      <c r="E571" t="str">
        <f>IFERROR(__xludf.DUMMYFUNCTION("""COMPUTED_VALUE"""),"Tones And I")</f>
        <v>Tones And I</v>
      </c>
      <c r="F571" t="str">
        <f>IFERROR(__xludf.DUMMYFUNCTION("""COMPUTED_VALUE"""),"Dance Monkey (Stripped Back) / Dance Monkey")</f>
        <v>Dance Monkey (Stripped Back) / Dance Monkey</v>
      </c>
      <c r="G571">
        <f>IFERROR(__xludf.DUMMYFUNCTION("""COMPUTED_VALUE"""),0.0)</f>
        <v>0</v>
      </c>
      <c r="H571" s="5">
        <f>IFERROR(__xludf.DUMMYFUNCTION("""COMPUTED_VALUE"""),0.14513888888905058)</f>
        <v>0.1451388889</v>
      </c>
    </row>
    <row r="572">
      <c r="A572" t="str">
        <f>IFERROR(__xludf.DUMMYFUNCTION("""COMPUTED_VALUE"""),"Costa Rica")</f>
        <v>Costa Rica</v>
      </c>
      <c r="B572" t="str">
        <f>IFERROR(__xludf.DUMMYFUNCTION("""COMPUTED_VALUE"""),"North America")</f>
        <v>North America</v>
      </c>
      <c r="C572">
        <f>IFERROR(__xludf.DUMMYFUNCTION("""COMPUTED_VALUE"""),21.0)</f>
        <v>21</v>
      </c>
      <c r="D572" t="str">
        <f>IFERROR(__xludf.DUMMYFUNCTION("""COMPUTED_VALUE"""),"Pa' Olvidarme De Ella")</f>
        <v>Pa' Olvidarme De Ella</v>
      </c>
      <c r="E572" t="str">
        <f>IFERROR(__xludf.DUMMYFUNCTION("""COMPUTED_VALUE"""),"Piso 21, Christian Nodal")</f>
        <v>Piso 21, Christian Nodal</v>
      </c>
      <c r="F572" t="str">
        <f>IFERROR(__xludf.DUMMYFUNCTION("""COMPUTED_VALUE"""),"Pa' Olvidarme De Ella")</f>
        <v>Pa' Olvidarme De Ella</v>
      </c>
      <c r="G572">
        <f>IFERROR(__xludf.DUMMYFUNCTION("""COMPUTED_VALUE"""),1.0)</f>
        <v>1</v>
      </c>
      <c r="H572" s="5">
        <f>IFERROR(__xludf.DUMMYFUNCTION("""COMPUTED_VALUE"""),0.15763888888977817)</f>
        <v>0.1576388889</v>
      </c>
    </row>
    <row r="573">
      <c r="A573" t="str">
        <f>IFERROR(__xludf.DUMMYFUNCTION("""COMPUTED_VALUE"""),"Costa Rica")</f>
        <v>Costa Rica</v>
      </c>
      <c r="B573" t="str">
        <f>IFERROR(__xludf.DUMMYFUNCTION("""COMPUTED_VALUE"""),"North America")</f>
        <v>North America</v>
      </c>
      <c r="C573">
        <f>IFERROR(__xludf.DUMMYFUNCTION("""COMPUTED_VALUE"""),22.0)</f>
        <v>22</v>
      </c>
      <c r="D573" t="str">
        <f>IFERROR(__xludf.DUMMYFUNCTION("""COMPUTED_VALUE"""),"Si Veo a Tu Mamá")</f>
        <v>Si Veo a Tu Mamá</v>
      </c>
      <c r="E573" t="str">
        <f>IFERROR(__xludf.DUMMYFUNCTION("""COMPUTED_VALUE"""),"Bad Bunny")</f>
        <v>Bad Bunny</v>
      </c>
      <c r="F573" t="str">
        <f>IFERROR(__xludf.DUMMYFUNCTION("""COMPUTED_VALUE"""),"YHLQMDLG")</f>
        <v>YHLQMDLG</v>
      </c>
      <c r="G573">
        <f>IFERROR(__xludf.DUMMYFUNCTION("""COMPUTED_VALUE"""),0.0)</f>
        <v>0</v>
      </c>
      <c r="H573" s="5">
        <f>IFERROR(__xludf.DUMMYFUNCTION("""COMPUTED_VALUE"""),0.11805555555474712)</f>
        <v>0.1180555556</v>
      </c>
    </row>
    <row r="574">
      <c r="A574" t="str">
        <f>IFERROR(__xludf.DUMMYFUNCTION("""COMPUTED_VALUE"""),"Costa Rica")</f>
        <v>Costa Rica</v>
      </c>
      <c r="B574" t="str">
        <f>IFERROR(__xludf.DUMMYFUNCTION("""COMPUTED_VALUE"""),"North America")</f>
        <v>North America</v>
      </c>
      <c r="C574">
        <f>IFERROR(__xludf.DUMMYFUNCTION("""COMPUTED_VALUE"""),23.0)</f>
        <v>23</v>
      </c>
      <c r="D574" t="str">
        <f>IFERROR(__xludf.DUMMYFUNCTION("""COMPUTED_VALUE"""),"Jangueo")</f>
        <v>Jangueo</v>
      </c>
      <c r="E574" t="str">
        <f>IFERROR(__xludf.DUMMYFUNCTION("""COMPUTED_VALUE"""),"Alex Rose, Rafa Pabön")</f>
        <v>Alex Rose, Rafa Pabön</v>
      </c>
      <c r="F574" t="str">
        <f>IFERROR(__xludf.DUMMYFUNCTION("""COMPUTED_VALUE"""),"LOST")</f>
        <v>LOST</v>
      </c>
      <c r="G574">
        <f>IFERROR(__xludf.DUMMYFUNCTION("""COMPUTED_VALUE"""),0.0)</f>
        <v>0</v>
      </c>
      <c r="H574" s="5">
        <f>IFERROR(__xludf.DUMMYFUNCTION("""COMPUTED_VALUE"""),0.17986111111167702)</f>
        <v>0.1798611111</v>
      </c>
    </row>
    <row r="575">
      <c r="A575" t="str">
        <f>IFERROR(__xludf.DUMMYFUNCTION("""COMPUTED_VALUE"""),"Costa Rica")</f>
        <v>Costa Rica</v>
      </c>
      <c r="B575" t="str">
        <f>IFERROR(__xludf.DUMMYFUNCTION("""COMPUTED_VALUE"""),"North America")</f>
        <v>North America</v>
      </c>
      <c r="C575">
        <f>IFERROR(__xludf.DUMMYFUNCTION("""COMPUTED_VALUE"""),24.0)</f>
        <v>24</v>
      </c>
      <c r="D575" t="str">
        <f>IFERROR(__xludf.DUMMYFUNCTION("""COMPUTED_VALUE"""),"La Difícil")</f>
        <v>La Difícil</v>
      </c>
      <c r="E575" t="str">
        <f>IFERROR(__xludf.DUMMYFUNCTION("""COMPUTED_VALUE"""),"Bad Bunny")</f>
        <v>Bad Bunny</v>
      </c>
      <c r="F575" t="str">
        <f>IFERROR(__xludf.DUMMYFUNCTION("""COMPUTED_VALUE"""),"YHLQMDLG")</f>
        <v>YHLQMDLG</v>
      </c>
      <c r="G575">
        <f>IFERROR(__xludf.DUMMYFUNCTION("""COMPUTED_VALUE"""),1.0)</f>
        <v>1</v>
      </c>
      <c r="H575" s="5">
        <f>IFERROR(__xludf.DUMMYFUNCTION("""COMPUTED_VALUE"""),0.11319444444598048)</f>
        <v>0.1131944444</v>
      </c>
    </row>
    <row r="576">
      <c r="A576" t="str">
        <f>IFERROR(__xludf.DUMMYFUNCTION("""COMPUTED_VALUE"""),"Costa Rica")</f>
        <v>Costa Rica</v>
      </c>
      <c r="B576" t="str">
        <f>IFERROR(__xludf.DUMMYFUNCTION("""COMPUTED_VALUE"""),"North America")</f>
        <v>North America</v>
      </c>
      <c r="C576">
        <f>IFERROR(__xludf.DUMMYFUNCTION("""COMPUTED_VALUE"""),25.0)</f>
        <v>25</v>
      </c>
      <c r="D576" t="str">
        <f>IFERROR(__xludf.DUMMYFUNCTION("""COMPUTED_VALUE"""),"Don't Start Now")</f>
        <v>Don't Start Now</v>
      </c>
      <c r="E576" t="str">
        <f>IFERROR(__xludf.DUMMYFUNCTION("""COMPUTED_VALUE"""),"Dua Lipa")</f>
        <v>Dua Lipa</v>
      </c>
      <c r="F576" t="str">
        <f>IFERROR(__xludf.DUMMYFUNCTION("""COMPUTED_VALUE"""),"Future Nostalgia")</f>
        <v>Future Nostalgia</v>
      </c>
      <c r="G576">
        <f>IFERROR(__xludf.DUMMYFUNCTION("""COMPUTED_VALUE"""),0.0)</f>
        <v>0</v>
      </c>
      <c r="H576" s="5">
        <f>IFERROR(__xludf.DUMMYFUNCTION("""COMPUTED_VALUE"""),0.12708333333284827)</f>
        <v>0.1270833333</v>
      </c>
    </row>
    <row r="577">
      <c r="A577" t="str">
        <f>IFERROR(__xludf.DUMMYFUNCTION("""COMPUTED_VALUE"""),"Costa Rica")</f>
        <v>Costa Rica</v>
      </c>
      <c r="B577" t="str">
        <f>IFERROR(__xludf.DUMMYFUNCTION("""COMPUTED_VALUE"""),"North America")</f>
        <v>North America</v>
      </c>
      <c r="C577">
        <f>IFERROR(__xludf.DUMMYFUNCTION("""COMPUTED_VALUE"""),26.0)</f>
        <v>26</v>
      </c>
      <c r="D577" t="str">
        <f>IFERROR(__xludf.DUMMYFUNCTION("""COMPUTED_VALUE"""),"Vete")</f>
        <v>Vete</v>
      </c>
      <c r="E577" t="str">
        <f>IFERROR(__xludf.DUMMYFUNCTION("""COMPUTED_VALUE"""),"Bad Bunny")</f>
        <v>Bad Bunny</v>
      </c>
      <c r="F577" t="str">
        <f>IFERROR(__xludf.DUMMYFUNCTION("""COMPUTED_VALUE"""),"YHLQMDLG")</f>
        <v>YHLQMDLG</v>
      </c>
      <c r="G577">
        <f>IFERROR(__xludf.DUMMYFUNCTION("""COMPUTED_VALUE"""),1.0)</f>
        <v>1</v>
      </c>
      <c r="H577" s="5">
        <f>IFERROR(__xludf.DUMMYFUNCTION("""COMPUTED_VALUE"""),0.13333333333503106)</f>
        <v>0.1333333333</v>
      </c>
    </row>
    <row r="578">
      <c r="A578" t="str">
        <f>IFERROR(__xludf.DUMMYFUNCTION("""COMPUTED_VALUE"""),"Costa Rica")</f>
        <v>Costa Rica</v>
      </c>
      <c r="B578" t="str">
        <f>IFERROR(__xludf.DUMMYFUNCTION("""COMPUTED_VALUE"""),"North America")</f>
        <v>North America</v>
      </c>
      <c r="C578">
        <f>IFERROR(__xludf.DUMMYFUNCTION("""COMPUTED_VALUE"""),27.0)</f>
        <v>27</v>
      </c>
      <c r="D578" t="str">
        <f>IFERROR(__xludf.DUMMYFUNCTION("""COMPUTED_VALUE"""),"Por Primera Vez")</f>
        <v>Por Primera Vez</v>
      </c>
      <c r="E578" t="str">
        <f>IFERROR(__xludf.DUMMYFUNCTION("""COMPUTED_VALUE"""),"Camilo, Evaluna Montaner")</f>
        <v>Camilo, Evaluna Montaner</v>
      </c>
      <c r="F578" t="str">
        <f>IFERROR(__xludf.DUMMYFUNCTION("""COMPUTED_VALUE"""),"Por Primera Vez")</f>
        <v>Por Primera Vez</v>
      </c>
      <c r="G578">
        <f>IFERROR(__xludf.DUMMYFUNCTION("""COMPUTED_VALUE"""),0.0)</f>
        <v>0</v>
      </c>
      <c r="H578" s="5">
        <f>IFERROR(__xludf.DUMMYFUNCTION("""COMPUTED_VALUE"""),0.12638888888977817)</f>
        <v>0.1263888889</v>
      </c>
    </row>
    <row r="579">
      <c r="A579" t="str">
        <f>IFERROR(__xludf.DUMMYFUNCTION("""COMPUTED_VALUE"""),"Costa Rica")</f>
        <v>Costa Rica</v>
      </c>
      <c r="B579" t="str">
        <f>IFERROR(__xludf.DUMMYFUNCTION("""COMPUTED_VALUE"""),"North America")</f>
        <v>North America</v>
      </c>
      <c r="C579">
        <f>IFERROR(__xludf.DUMMYFUNCTION("""COMPUTED_VALUE"""),28.0)</f>
        <v>28</v>
      </c>
      <c r="D579" t="str">
        <f>IFERROR(__xludf.DUMMYFUNCTION("""COMPUTED_VALUE"""),"Toosie Slide")</f>
        <v>Toosie Slide</v>
      </c>
      <c r="E579" t="str">
        <f>IFERROR(__xludf.DUMMYFUNCTION("""COMPUTED_VALUE"""),"Drake")</f>
        <v>Drake</v>
      </c>
      <c r="F579" t="str">
        <f>IFERROR(__xludf.DUMMYFUNCTION("""COMPUTED_VALUE"""),"Dark Lane Demo Tapes")</f>
        <v>Dark Lane Demo Tapes</v>
      </c>
      <c r="G579">
        <f>IFERROR(__xludf.DUMMYFUNCTION("""COMPUTED_VALUE"""),1.0)</f>
        <v>1</v>
      </c>
      <c r="H579" s="5">
        <f>IFERROR(__xludf.DUMMYFUNCTION("""COMPUTED_VALUE"""),0.17152777777664596)</f>
        <v>0.1715277778</v>
      </c>
    </row>
    <row r="580">
      <c r="A580" t="str">
        <f>IFERROR(__xludf.DUMMYFUNCTION("""COMPUTED_VALUE"""),"Costa Rica")</f>
        <v>Costa Rica</v>
      </c>
      <c r="B580" t="str">
        <f>IFERROR(__xludf.DUMMYFUNCTION("""COMPUTED_VALUE"""),"North America")</f>
        <v>North America</v>
      </c>
      <c r="C580">
        <f>IFERROR(__xludf.DUMMYFUNCTION("""COMPUTED_VALUE"""),29.0)</f>
        <v>29</v>
      </c>
      <c r="D580" t="str">
        <f>IFERROR(__xludf.DUMMYFUNCTION("""COMPUTED_VALUE"""),"No Me Conoce - Remix")</f>
        <v>No Me Conoce - Remix</v>
      </c>
      <c r="E580" t="str">
        <f>IFERROR(__xludf.DUMMYFUNCTION("""COMPUTED_VALUE"""),"Jhay Cortez, J Balvin, Bad Bunny")</f>
        <v>Jhay Cortez, J Balvin, Bad Bunny</v>
      </c>
      <c r="F580" t="str">
        <f>IFERROR(__xludf.DUMMYFUNCTION("""COMPUTED_VALUE"""),"Famouz")</f>
        <v>Famouz</v>
      </c>
      <c r="G580">
        <f>IFERROR(__xludf.DUMMYFUNCTION("""COMPUTED_VALUE"""),0.0)</f>
        <v>0</v>
      </c>
      <c r="H580" s="5">
        <f>IFERROR(__xludf.DUMMYFUNCTION("""COMPUTED_VALUE"""),0.21458333333430346)</f>
        <v>0.2145833333</v>
      </c>
    </row>
    <row r="581">
      <c r="A581" t="str">
        <f>IFERROR(__xludf.DUMMYFUNCTION("""COMPUTED_VALUE"""),"Costa Rica")</f>
        <v>Costa Rica</v>
      </c>
      <c r="B581" t="str">
        <f>IFERROR(__xludf.DUMMYFUNCTION("""COMPUTED_VALUE"""),"North America")</f>
        <v>North America</v>
      </c>
      <c r="C581">
        <f>IFERROR(__xludf.DUMMYFUNCTION("""COMPUTED_VALUE"""),30.0)</f>
        <v>30</v>
      </c>
      <c r="D581" t="str">
        <f>IFERROR(__xludf.DUMMYFUNCTION("""COMPUTED_VALUE"""),"Azul")</f>
        <v>Azul</v>
      </c>
      <c r="E581" t="str">
        <f>IFERROR(__xludf.DUMMYFUNCTION("""COMPUTED_VALUE"""),"J Balvin")</f>
        <v>J Balvin</v>
      </c>
      <c r="F581" t="str">
        <f>IFERROR(__xludf.DUMMYFUNCTION("""COMPUTED_VALUE"""),"Colores")</f>
        <v>Colores</v>
      </c>
      <c r="G581">
        <f>IFERROR(__xludf.DUMMYFUNCTION("""COMPUTED_VALUE"""),0.0)</f>
        <v>0</v>
      </c>
      <c r="H581" s="5">
        <f>IFERROR(__xludf.DUMMYFUNCTION("""COMPUTED_VALUE"""),0.14236111110949423)</f>
        <v>0.1423611111</v>
      </c>
    </row>
    <row r="582">
      <c r="A582" t="str">
        <f>IFERROR(__xludf.DUMMYFUNCTION("""COMPUTED_VALUE"""),"Costa Rica")</f>
        <v>Costa Rica</v>
      </c>
      <c r="B582" t="str">
        <f>IFERROR(__xludf.DUMMYFUNCTION("""COMPUTED_VALUE"""),"North America")</f>
        <v>North America</v>
      </c>
      <c r="C582">
        <f>IFERROR(__xludf.DUMMYFUNCTION("""COMPUTED_VALUE"""),31.0)</f>
        <v>31</v>
      </c>
      <c r="D582" t="str">
        <f>IFERROR(__xludf.DUMMYFUNCTION("""COMPUTED_VALUE"""),"BYE ME FUI")</f>
        <v>BYE ME FUI</v>
      </c>
      <c r="E582" t="str">
        <f>IFERROR(__xludf.DUMMYFUNCTION("""COMPUTED_VALUE"""),"Bad Bunny")</f>
        <v>Bad Bunny</v>
      </c>
      <c r="F582" t="str">
        <f>IFERROR(__xludf.DUMMYFUNCTION("""COMPUTED_VALUE"""),"LAS QUE NO IBAN A SALIR")</f>
        <v>LAS QUE NO IBAN A SALIR</v>
      </c>
      <c r="G582">
        <f>IFERROR(__xludf.DUMMYFUNCTION("""COMPUTED_VALUE"""),1.0)</f>
        <v>1</v>
      </c>
      <c r="H582" s="5">
        <f>IFERROR(__xludf.DUMMYFUNCTION("""COMPUTED_VALUE"""),0.12361111111022183)</f>
        <v>0.1236111111</v>
      </c>
    </row>
    <row r="583">
      <c r="A583" t="str">
        <f>IFERROR(__xludf.DUMMYFUNCTION("""COMPUTED_VALUE"""),"Costa Rica")</f>
        <v>Costa Rica</v>
      </c>
      <c r="B583" t="str">
        <f>IFERROR(__xludf.DUMMYFUNCTION("""COMPUTED_VALUE"""),"North America")</f>
        <v>North America</v>
      </c>
      <c r="C583">
        <f>IFERROR(__xludf.DUMMYFUNCTION("""COMPUTED_VALUE"""),32.0)</f>
        <v>32</v>
      </c>
      <c r="D583" t="str">
        <f>IFERROR(__xludf.DUMMYFUNCTION("""COMPUTED_VALUE"""),"El Efecto")</f>
        <v>El Efecto</v>
      </c>
      <c r="E583" t="str">
        <f>IFERROR(__xludf.DUMMYFUNCTION("""COMPUTED_VALUE"""),"Rauw Alejandro, Chencho Corleone")</f>
        <v>Rauw Alejandro, Chencho Corleone</v>
      </c>
      <c r="F583" t="str">
        <f>IFERROR(__xludf.DUMMYFUNCTION("""COMPUTED_VALUE"""),"El Efecto")</f>
        <v>El Efecto</v>
      </c>
      <c r="G583">
        <f>IFERROR(__xludf.DUMMYFUNCTION("""COMPUTED_VALUE"""),0.0)</f>
        <v>0</v>
      </c>
      <c r="H583" s="5">
        <f>IFERROR(__xludf.DUMMYFUNCTION("""COMPUTED_VALUE"""),0.1506944444445253)</f>
        <v>0.1506944444</v>
      </c>
    </row>
    <row r="584">
      <c r="A584" t="str">
        <f>IFERROR(__xludf.DUMMYFUNCTION("""COMPUTED_VALUE"""),"Costa Rica")</f>
        <v>Costa Rica</v>
      </c>
      <c r="B584" t="str">
        <f>IFERROR(__xludf.DUMMYFUNCTION("""COMPUTED_VALUE"""),"North America")</f>
        <v>North America</v>
      </c>
      <c r="C584">
        <f>IFERROR(__xludf.DUMMYFUNCTION("""COMPUTED_VALUE"""),33.0)</f>
        <v>33</v>
      </c>
      <c r="D584" t="str">
        <f>IFERROR(__xludf.DUMMYFUNCTION("""COMPUTED_VALUE"""),"LA CANCIÓN")</f>
        <v>LA CANCIÓN</v>
      </c>
      <c r="E584" t="str">
        <f>IFERROR(__xludf.DUMMYFUNCTION("""COMPUTED_VALUE"""),"J Balvin, Bad Bunny")</f>
        <v>J Balvin, Bad Bunny</v>
      </c>
      <c r="F584" t="str">
        <f>IFERROR(__xludf.DUMMYFUNCTION("""COMPUTED_VALUE"""),"OASIS")</f>
        <v>OASIS</v>
      </c>
      <c r="G584">
        <f>IFERROR(__xludf.DUMMYFUNCTION("""COMPUTED_VALUE"""),0.0)</f>
        <v>0</v>
      </c>
      <c r="H584" s="5">
        <f>IFERROR(__xludf.DUMMYFUNCTION("""COMPUTED_VALUE"""),0.16805555555401952)</f>
        <v>0.1680555556</v>
      </c>
    </row>
    <row r="585">
      <c r="A585" t="str">
        <f>IFERROR(__xludf.DUMMYFUNCTION("""COMPUTED_VALUE"""),"Costa Rica")</f>
        <v>Costa Rica</v>
      </c>
      <c r="B585" t="str">
        <f>IFERROR(__xludf.DUMMYFUNCTION("""COMPUTED_VALUE"""),"North America")</f>
        <v>North America</v>
      </c>
      <c r="C585">
        <f>IFERROR(__xludf.DUMMYFUNCTION("""COMPUTED_VALUE"""),34.0)</f>
        <v>34</v>
      </c>
      <c r="D585" t="str">
        <f>IFERROR(__xludf.DUMMYFUNCTION("""COMPUTED_VALUE"""),"Bajo La Mesa")</f>
        <v>Bajo La Mesa</v>
      </c>
      <c r="E585" t="str">
        <f>IFERROR(__xludf.DUMMYFUNCTION("""COMPUTED_VALUE"""),"Morat, Sebastian Yatra")</f>
        <v>Morat, Sebastian Yatra</v>
      </c>
      <c r="F585" t="str">
        <f>IFERROR(__xludf.DUMMYFUNCTION("""COMPUTED_VALUE"""),"Bajo La Mesa")</f>
        <v>Bajo La Mesa</v>
      </c>
      <c r="G585">
        <f>IFERROR(__xludf.DUMMYFUNCTION("""COMPUTED_VALUE"""),0.0)</f>
        <v>0</v>
      </c>
      <c r="H585" s="5">
        <f>IFERROR(__xludf.DUMMYFUNCTION("""COMPUTED_VALUE"""),0.10902777777664596)</f>
        <v>0.1090277778</v>
      </c>
    </row>
    <row r="586">
      <c r="A586" t="str">
        <f>IFERROR(__xludf.DUMMYFUNCTION("""COMPUTED_VALUE"""),"Costa Rica")</f>
        <v>Costa Rica</v>
      </c>
      <c r="B586" t="str">
        <f>IFERROR(__xludf.DUMMYFUNCTION("""COMPUTED_VALUE"""),"North America")</f>
        <v>North America</v>
      </c>
      <c r="C586">
        <f>IFERROR(__xludf.DUMMYFUNCTION("""COMPUTED_VALUE"""),35.0)</f>
        <v>35</v>
      </c>
      <c r="D586" t="str">
        <f>IFERROR(__xludf.DUMMYFUNCTION("""COMPUTED_VALUE"""),"Negro")</f>
        <v>Negro</v>
      </c>
      <c r="E586" t="str">
        <f>IFERROR(__xludf.DUMMYFUNCTION("""COMPUTED_VALUE"""),"J Balvin")</f>
        <v>J Balvin</v>
      </c>
      <c r="F586" t="str">
        <f>IFERROR(__xludf.DUMMYFUNCTION("""COMPUTED_VALUE"""),"Colores")</f>
        <v>Colores</v>
      </c>
      <c r="G586">
        <f>IFERROR(__xludf.DUMMYFUNCTION("""COMPUTED_VALUE"""),0.0)</f>
        <v>0</v>
      </c>
      <c r="H586" s="5">
        <f>IFERROR(__xludf.DUMMYFUNCTION("""COMPUTED_VALUE"""),0.12638888888977817)</f>
        <v>0.1263888889</v>
      </c>
    </row>
    <row r="587">
      <c r="A587" t="str">
        <f>IFERROR(__xludf.DUMMYFUNCTION("""COMPUTED_VALUE"""),"Costa Rica")</f>
        <v>Costa Rica</v>
      </c>
      <c r="B587" t="str">
        <f>IFERROR(__xludf.DUMMYFUNCTION("""COMPUTED_VALUE"""),"North America")</f>
        <v>North America</v>
      </c>
      <c r="C587">
        <f>IFERROR(__xludf.DUMMYFUNCTION("""COMPUTED_VALUE"""),36.0)</f>
        <v>36</v>
      </c>
      <c r="D587" t="str">
        <f>IFERROR(__xludf.DUMMYFUNCTION("""COMPUTED_VALUE"""),"Blanco")</f>
        <v>Blanco</v>
      </c>
      <c r="E587" t="str">
        <f>IFERROR(__xludf.DUMMYFUNCTION("""COMPUTED_VALUE"""),"J Balvin")</f>
        <v>J Balvin</v>
      </c>
      <c r="F587" t="str">
        <f>IFERROR(__xludf.DUMMYFUNCTION("""COMPUTED_VALUE"""),"Colores")</f>
        <v>Colores</v>
      </c>
      <c r="G587">
        <f>IFERROR(__xludf.DUMMYFUNCTION("""COMPUTED_VALUE"""),0.0)</f>
        <v>0</v>
      </c>
      <c r="H587" s="5">
        <f>IFERROR(__xludf.DUMMYFUNCTION("""COMPUTED_VALUE"""),0.10069444444525288)</f>
        <v>0.1006944444</v>
      </c>
    </row>
    <row r="588">
      <c r="A588" t="str">
        <f>IFERROR(__xludf.DUMMYFUNCTION("""COMPUTED_VALUE"""),"Costa Rica")</f>
        <v>Costa Rica</v>
      </c>
      <c r="B588" t="str">
        <f>IFERROR(__xludf.DUMMYFUNCTION("""COMPUTED_VALUE"""),"North America")</f>
        <v>North America</v>
      </c>
      <c r="C588">
        <f>IFERROR(__xludf.DUMMYFUNCTION("""COMPUTED_VALUE"""),37.0)</f>
        <v>37</v>
      </c>
      <c r="D588" t="str">
        <f>IFERROR(__xludf.DUMMYFUNCTION("""COMPUTED_VALUE"""),"Si Te Vas")</f>
        <v>Si Te Vas</v>
      </c>
      <c r="E588" t="str">
        <f>IFERROR(__xludf.DUMMYFUNCTION("""COMPUTED_VALUE"""),"Sech, Ozuna")</f>
        <v>Sech, Ozuna</v>
      </c>
      <c r="F588" t="str">
        <f>IFERROR(__xludf.DUMMYFUNCTION("""COMPUTED_VALUE"""),"1 of 1")</f>
        <v>1 of 1</v>
      </c>
      <c r="G588">
        <f>IFERROR(__xludf.DUMMYFUNCTION("""COMPUTED_VALUE"""),0.0)</f>
        <v>0</v>
      </c>
      <c r="H588" s="5">
        <f>IFERROR(__xludf.DUMMYFUNCTION("""COMPUTED_VALUE"""),0.14166666666642413)</f>
        <v>0.1416666667</v>
      </c>
    </row>
    <row r="589">
      <c r="A589" t="str">
        <f>IFERROR(__xludf.DUMMYFUNCTION("""COMPUTED_VALUE"""),"Costa Rica")</f>
        <v>Costa Rica</v>
      </c>
      <c r="B589" t="str">
        <f>IFERROR(__xludf.DUMMYFUNCTION("""COMPUTED_VALUE"""),"North America")</f>
        <v>North America</v>
      </c>
      <c r="C589">
        <f>IFERROR(__xludf.DUMMYFUNCTION("""COMPUTED_VALUE"""),38.0)</f>
        <v>38</v>
      </c>
      <c r="D589" t="str">
        <f>IFERROR(__xludf.DUMMYFUNCTION("""COMPUTED_VALUE"""),"death bed (coffee for your head) (feat. beabadoobee)")</f>
        <v>death bed (coffee for your head) (feat. beabadoobee)</v>
      </c>
      <c r="E589" t="str">
        <f>IFERROR(__xludf.DUMMYFUNCTION("""COMPUTED_VALUE"""),"Powfu, beabadoobee")</f>
        <v>Powfu, beabadoobee</v>
      </c>
      <c r="F589" t="str">
        <f>IFERROR(__xludf.DUMMYFUNCTION("""COMPUTED_VALUE"""),"death bed (coffee for your head) (feat. beabadoobee)")</f>
        <v>death bed (coffee for your head) (feat. beabadoobee)</v>
      </c>
      <c r="G589">
        <f>IFERROR(__xludf.DUMMYFUNCTION("""COMPUTED_VALUE"""),0.0)</f>
        <v>0</v>
      </c>
      <c r="H589" s="5">
        <f>IFERROR(__xludf.DUMMYFUNCTION("""COMPUTED_VALUE"""),0.12013888888759539)</f>
        <v>0.1201388889</v>
      </c>
    </row>
    <row r="590">
      <c r="A590" t="str">
        <f>IFERROR(__xludf.DUMMYFUNCTION("""COMPUTED_VALUE"""),"Costa Rica")</f>
        <v>Costa Rica</v>
      </c>
      <c r="B590" t="str">
        <f>IFERROR(__xludf.DUMMYFUNCTION("""COMPUTED_VALUE"""),"North America")</f>
        <v>North America</v>
      </c>
      <c r="C590">
        <f>IFERROR(__xludf.DUMMYFUNCTION("""COMPUTED_VALUE"""),39.0)</f>
        <v>39</v>
      </c>
      <c r="D590" t="str">
        <f>IFERROR(__xludf.DUMMYFUNCTION("""COMPUTED_VALUE"""),"THE SCOTTS")</f>
        <v>THE SCOTTS</v>
      </c>
      <c r="E590" t="str">
        <f>IFERROR(__xludf.DUMMYFUNCTION("""COMPUTED_VALUE"""),"THE SCOTTS, Travis Scott, Kid Cudi")</f>
        <v>THE SCOTTS, Travis Scott, Kid Cudi</v>
      </c>
      <c r="F590" t="str">
        <f>IFERROR(__xludf.DUMMYFUNCTION("""COMPUTED_VALUE"""),"THE SCOTTS")</f>
        <v>THE SCOTTS</v>
      </c>
      <c r="G590">
        <f>IFERROR(__xludf.DUMMYFUNCTION("""COMPUTED_VALUE"""),1.0)</f>
        <v>1</v>
      </c>
      <c r="H590" s="5">
        <f>IFERROR(__xludf.DUMMYFUNCTION("""COMPUTED_VALUE"""),0.11458333333212067)</f>
        <v>0.1145833333</v>
      </c>
    </row>
    <row r="591">
      <c r="A591" t="str">
        <f>IFERROR(__xludf.DUMMYFUNCTION("""COMPUTED_VALUE"""),"Costa Rica")</f>
        <v>Costa Rica</v>
      </c>
      <c r="B591" t="str">
        <f>IFERROR(__xludf.DUMMYFUNCTION("""COMPUTED_VALUE"""),"North America")</f>
        <v>North America</v>
      </c>
      <c r="C591">
        <f>IFERROR(__xludf.DUMMYFUNCTION("""COMPUTED_VALUE"""),40.0)</f>
        <v>40</v>
      </c>
      <c r="D591" t="str">
        <f>IFERROR(__xludf.DUMMYFUNCTION("""COMPUTED_VALUE"""),"La Santa")</f>
        <v>La Santa</v>
      </c>
      <c r="E591" t="str">
        <f>IFERROR(__xludf.DUMMYFUNCTION("""COMPUTED_VALUE"""),"Bad Bunny, Daddy Yankee")</f>
        <v>Bad Bunny, Daddy Yankee</v>
      </c>
      <c r="F591" t="str">
        <f>IFERROR(__xludf.DUMMYFUNCTION("""COMPUTED_VALUE"""),"YHLQMDLG")</f>
        <v>YHLQMDLG</v>
      </c>
      <c r="G591">
        <f>IFERROR(__xludf.DUMMYFUNCTION("""COMPUTED_VALUE"""),1.0)</f>
        <v>1</v>
      </c>
      <c r="H591" s="5">
        <f>IFERROR(__xludf.DUMMYFUNCTION("""COMPUTED_VALUE"""),0.1430555555562023)</f>
        <v>0.1430555556</v>
      </c>
    </row>
    <row r="592">
      <c r="A592" t="str">
        <f>IFERROR(__xludf.DUMMYFUNCTION("""COMPUTED_VALUE"""),"Costa Rica")</f>
        <v>Costa Rica</v>
      </c>
      <c r="B592" t="str">
        <f>IFERROR(__xludf.DUMMYFUNCTION("""COMPUTED_VALUE"""),"North America")</f>
        <v>North America</v>
      </c>
      <c r="C592">
        <f>IFERROR(__xludf.DUMMYFUNCTION("""COMPUTED_VALUE"""),41.0)</f>
        <v>41</v>
      </c>
      <c r="D592" t="str">
        <f>IFERROR(__xludf.DUMMYFUNCTION("""COMPUTED_VALUE"""),"El Efecto - Remix")</f>
        <v>El Efecto - Remix</v>
      </c>
      <c r="E592" t="str">
        <f>IFERROR(__xludf.DUMMYFUNCTION("""COMPUTED_VALUE"""),"Rauw Alejandro, Chencho Corleone, KEVVO, Bryant Myers, Lyanno, Dalex")</f>
        <v>Rauw Alejandro, Chencho Corleone, KEVVO, Bryant Myers, Lyanno, Dalex</v>
      </c>
      <c r="F592" t="str">
        <f>IFERROR(__xludf.DUMMYFUNCTION("""COMPUTED_VALUE"""),"El Efecto (Remix)")</f>
        <v>El Efecto (Remix)</v>
      </c>
      <c r="G592">
        <f>IFERROR(__xludf.DUMMYFUNCTION("""COMPUTED_VALUE"""),1.0)</f>
        <v>1</v>
      </c>
      <c r="H592" s="5">
        <f>IFERROR(__xludf.DUMMYFUNCTION("""COMPUTED_VALUE"""),0.2006944444437977)</f>
        <v>0.2006944444</v>
      </c>
    </row>
    <row r="593">
      <c r="A593" t="str">
        <f>IFERROR(__xludf.DUMMYFUNCTION("""COMPUTED_VALUE"""),"Costa Rica")</f>
        <v>Costa Rica</v>
      </c>
      <c r="B593" t="str">
        <f>IFERROR(__xludf.DUMMYFUNCTION("""COMPUTED_VALUE"""),"North America")</f>
        <v>North America</v>
      </c>
      <c r="C593">
        <f>IFERROR(__xludf.DUMMYFUNCTION("""COMPUTED_VALUE"""),42.0)</f>
        <v>42</v>
      </c>
      <c r="D593" t="str">
        <f>IFERROR(__xludf.DUMMYFUNCTION("""COMPUTED_VALUE"""),"Mejor")</f>
        <v>Mejor</v>
      </c>
      <c r="E593" t="str">
        <f>IFERROR(__xludf.DUMMYFUNCTION("""COMPUTED_VALUE"""),"Dalex, Sech")</f>
        <v>Dalex, Sech</v>
      </c>
      <c r="F593" t="str">
        <f>IFERROR(__xludf.DUMMYFUNCTION("""COMPUTED_VALUE"""),"Modo Avión")</f>
        <v>Modo Avión</v>
      </c>
      <c r="G593">
        <f>IFERROR(__xludf.DUMMYFUNCTION("""COMPUTED_VALUE"""),1.0)</f>
        <v>1</v>
      </c>
      <c r="H593" s="5">
        <f>IFERROR(__xludf.DUMMYFUNCTION("""COMPUTED_VALUE"""),0.13958333333357587)</f>
        <v>0.1395833333</v>
      </c>
    </row>
    <row r="594">
      <c r="A594" t="str">
        <f>IFERROR(__xludf.DUMMYFUNCTION("""COMPUTED_VALUE"""),"Costa Rica")</f>
        <v>Costa Rica</v>
      </c>
      <c r="B594" t="str">
        <f>IFERROR(__xludf.DUMMYFUNCTION("""COMPUTED_VALUE"""),"North America")</f>
        <v>North America</v>
      </c>
      <c r="C594">
        <f>IFERROR(__xludf.DUMMYFUNCTION("""COMPUTED_VALUE"""),43.0)</f>
        <v>43</v>
      </c>
      <c r="D594" t="str">
        <f>IFERROR(__xludf.DUMMYFUNCTION("""COMPUTED_VALUE"""),"SICKO MODE")</f>
        <v>SICKO MODE</v>
      </c>
      <c r="E594" t="str">
        <f>IFERROR(__xludf.DUMMYFUNCTION("""COMPUTED_VALUE"""),"Travis Scott")</f>
        <v>Travis Scott</v>
      </c>
      <c r="F594" t="str">
        <f>IFERROR(__xludf.DUMMYFUNCTION("""COMPUTED_VALUE"""),"ASTROWORLD")</f>
        <v>ASTROWORLD</v>
      </c>
      <c r="G594">
        <f>IFERROR(__xludf.DUMMYFUNCTION("""COMPUTED_VALUE"""),1.0)</f>
        <v>1</v>
      </c>
      <c r="H594" s="5">
        <f>IFERROR(__xludf.DUMMYFUNCTION("""COMPUTED_VALUE"""),0.21666666666715173)</f>
        <v>0.2166666667</v>
      </c>
    </row>
    <row r="595">
      <c r="A595" t="str">
        <f>IFERROR(__xludf.DUMMYFUNCTION("""COMPUTED_VALUE"""),"Costa Rica")</f>
        <v>Costa Rica</v>
      </c>
      <c r="B595" t="str">
        <f>IFERROR(__xludf.DUMMYFUNCTION("""COMPUTED_VALUE"""),"North America")</f>
        <v>North America</v>
      </c>
      <c r="C595">
        <f>IFERROR(__xludf.DUMMYFUNCTION("""COMPUTED_VALUE"""),44.0)</f>
        <v>44</v>
      </c>
      <c r="D595" t="str">
        <f>IFERROR(__xludf.DUMMYFUNCTION("""COMPUTED_VALUE"""),"China")</f>
        <v>China</v>
      </c>
      <c r="E595" t="str">
        <f>IFERROR(__xludf.DUMMYFUNCTION("""COMPUTED_VALUE"""),"Anuel AA, Daddy Yankee, KAROL G, J Balvin, Ozuna")</f>
        <v>Anuel AA, Daddy Yankee, KAROL G, J Balvin, Ozuna</v>
      </c>
      <c r="F595" t="str">
        <f>IFERROR(__xludf.DUMMYFUNCTION("""COMPUTED_VALUE"""),"China")</f>
        <v>China</v>
      </c>
      <c r="G595">
        <f>IFERROR(__xludf.DUMMYFUNCTION("""COMPUTED_VALUE"""),0.0)</f>
        <v>0</v>
      </c>
      <c r="H595" s="5">
        <f>IFERROR(__xludf.DUMMYFUNCTION("""COMPUTED_VALUE"""),0.20902777777882875)</f>
        <v>0.2090277778</v>
      </c>
    </row>
    <row r="596">
      <c r="A596" t="str">
        <f>IFERROR(__xludf.DUMMYFUNCTION("""COMPUTED_VALUE"""),"Costa Rica")</f>
        <v>Costa Rica</v>
      </c>
      <c r="B596" t="str">
        <f>IFERROR(__xludf.DUMMYFUNCTION("""COMPUTED_VALUE"""),"North America")</f>
        <v>North America</v>
      </c>
      <c r="C596">
        <f>IFERROR(__xludf.DUMMYFUNCTION("""COMPUTED_VALUE"""),45.0)</f>
        <v>45</v>
      </c>
      <c r="D596" t="str">
        <f>IFERROR(__xludf.DUMMYFUNCTION("""COMPUTED_VALUE"""),"Tutu")</f>
        <v>Tutu</v>
      </c>
      <c r="E596" t="str">
        <f>IFERROR(__xludf.DUMMYFUNCTION("""COMPUTED_VALUE"""),"Camilo, Pedro Capó")</f>
        <v>Camilo, Pedro Capó</v>
      </c>
      <c r="F596" t="str">
        <f>IFERROR(__xludf.DUMMYFUNCTION("""COMPUTED_VALUE"""),"Por Primera Vez")</f>
        <v>Por Primera Vez</v>
      </c>
      <c r="G596">
        <f>IFERROR(__xludf.DUMMYFUNCTION("""COMPUTED_VALUE"""),0.0)</f>
        <v>0</v>
      </c>
      <c r="H596" s="5">
        <f>IFERROR(__xludf.DUMMYFUNCTION("""COMPUTED_VALUE"""),0.1243055555569299)</f>
        <v>0.1243055556</v>
      </c>
    </row>
    <row r="597">
      <c r="A597" t="str">
        <f>IFERROR(__xludf.DUMMYFUNCTION("""COMPUTED_VALUE"""),"Costa Rica")</f>
        <v>Costa Rica</v>
      </c>
      <c r="B597" t="str">
        <f>IFERROR(__xludf.DUMMYFUNCTION("""COMPUTED_VALUE"""),"North America")</f>
        <v>North America</v>
      </c>
      <c r="C597">
        <f>IFERROR(__xludf.DUMMYFUNCTION("""COMPUTED_VALUE"""),46.0)</f>
        <v>46</v>
      </c>
      <c r="D597" t="str">
        <f>IFERROR(__xludf.DUMMYFUNCTION("""COMPUTED_VALUE"""),"CÓMO SE SIENTE - Remix")</f>
        <v>CÓMO SE SIENTE - Remix</v>
      </c>
      <c r="E597" t="str">
        <f>IFERROR(__xludf.DUMMYFUNCTION("""COMPUTED_VALUE"""),"Jhay Cortez, Bad Bunny")</f>
        <v>Jhay Cortez, Bad Bunny</v>
      </c>
      <c r="F597" t="str">
        <f>IFERROR(__xludf.DUMMYFUNCTION("""COMPUTED_VALUE"""),"CÓMO SE SIENTE (Remix)")</f>
        <v>CÓMO SE SIENTE (Remix)</v>
      </c>
      <c r="G597">
        <f>IFERROR(__xludf.DUMMYFUNCTION("""COMPUTED_VALUE"""),1.0)</f>
        <v>1</v>
      </c>
      <c r="H597" s="5">
        <f>IFERROR(__xludf.DUMMYFUNCTION("""COMPUTED_VALUE"""),0.15763888888977817)</f>
        <v>0.1576388889</v>
      </c>
    </row>
    <row r="598">
      <c r="A598" t="str">
        <f>IFERROR(__xludf.DUMMYFUNCTION("""COMPUTED_VALUE"""),"Costa Rica")</f>
        <v>Costa Rica</v>
      </c>
      <c r="B598" t="str">
        <f>IFERROR(__xludf.DUMMYFUNCTION("""COMPUTED_VALUE"""),"North America")</f>
        <v>North America</v>
      </c>
      <c r="C598">
        <f>IFERROR(__xludf.DUMMYFUNCTION("""COMPUTED_VALUE"""),47.0)</f>
        <v>47</v>
      </c>
      <c r="D598" t="str">
        <f>IFERROR(__xludf.DUMMYFUNCTION("""COMPUTED_VALUE"""),"goosebumps")</f>
        <v>goosebumps</v>
      </c>
      <c r="E598" t="str">
        <f>IFERROR(__xludf.DUMMYFUNCTION("""COMPUTED_VALUE"""),"Travis Scott")</f>
        <v>Travis Scott</v>
      </c>
      <c r="F598" t="str">
        <f>IFERROR(__xludf.DUMMYFUNCTION("""COMPUTED_VALUE"""),"Birds In The Trap Sing McKnight")</f>
        <v>Birds In The Trap Sing McKnight</v>
      </c>
      <c r="G598">
        <f>IFERROR(__xludf.DUMMYFUNCTION("""COMPUTED_VALUE"""),1.0)</f>
        <v>1</v>
      </c>
      <c r="H598" s="5">
        <f>IFERROR(__xludf.DUMMYFUNCTION("""COMPUTED_VALUE"""),0.1687500000007276)</f>
        <v>0.16875</v>
      </c>
    </row>
    <row r="599">
      <c r="A599" t="str">
        <f>IFERROR(__xludf.DUMMYFUNCTION("""COMPUTED_VALUE"""),"Costa Rica")</f>
        <v>Costa Rica</v>
      </c>
      <c r="B599" t="str">
        <f>IFERROR(__xludf.DUMMYFUNCTION("""COMPUTED_VALUE"""),"North America")</f>
        <v>North America</v>
      </c>
      <c r="C599">
        <f>IFERROR(__xludf.DUMMYFUNCTION("""COMPUTED_VALUE"""),48.0)</f>
        <v>48</v>
      </c>
      <c r="D599" t="str">
        <f>IFERROR(__xludf.DUMMYFUNCTION("""COMPUTED_VALUE"""),"A Tu Merced")</f>
        <v>A Tu Merced</v>
      </c>
      <c r="E599" t="str">
        <f>IFERROR(__xludf.DUMMYFUNCTION("""COMPUTED_VALUE"""),"Bad Bunny")</f>
        <v>Bad Bunny</v>
      </c>
      <c r="F599" t="str">
        <f>IFERROR(__xludf.DUMMYFUNCTION("""COMPUTED_VALUE"""),"YHLQMDLG")</f>
        <v>YHLQMDLG</v>
      </c>
      <c r="G599">
        <f>IFERROR(__xludf.DUMMYFUNCTION("""COMPUTED_VALUE"""),0.0)</f>
        <v>0</v>
      </c>
      <c r="H599" s="5">
        <f>IFERROR(__xludf.DUMMYFUNCTION("""COMPUTED_VALUE"""),0.12152777777737356)</f>
        <v>0.1215277778</v>
      </c>
    </row>
    <row r="600">
      <c r="A600" t="str">
        <f>IFERROR(__xludf.DUMMYFUNCTION("""COMPUTED_VALUE"""),"Costa Rica")</f>
        <v>Costa Rica</v>
      </c>
      <c r="B600" t="str">
        <f>IFERROR(__xludf.DUMMYFUNCTION("""COMPUTED_VALUE"""),"North America")</f>
        <v>North America</v>
      </c>
      <c r="C600">
        <f>IFERROR(__xludf.DUMMYFUNCTION("""COMPUTED_VALUE"""),49.0)</f>
        <v>49</v>
      </c>
      <c r="D600" t="str">
        <f>IFERROR(__xludf.DUMMYFUNCTION("""COMPUTED_VALUE"""),"The Box")</f>
        <v>The Box</v>
      </c>
      <c r="E600" t="str">
        <f>IFERROR(__xludf.DUMMYFUNCTION("""COMPUTED_VALUE"""),"Roddy Ricch")</f>
        <v>Roddy Ricch</v>
      </c>
      <c r="F600" t="str">
        <f>IFERROR(__xludf.DUMMYFUNCTION("""COMPUTED_VALUE"""),"Please Excuse Me For Being Antisocial")</f>
        <v>Please Excuse Me For Being Antisocial</v>
      </c>
      <c r="G600">
        <f>IFERROR(__xludf.DUMMYFUNCTION("""COMPUTED_VALUE"""),1.0)</f>
        <v>1</v>
      </c>
      <c r="H600" s="5">
        <f>IFERROR(__xludf.DUMMYFUNCTION("""COMPUTED_VALUE"""),0.13611111111094942)</f>
        <v>0.1361111111</v>
      </c>
    </row>
    <row r="601">
      <c r="A601" t="str">
        <f>IFERROR(__xludf.DUMMYFUNCTION("""COMPUTED_VALUE"""),"Costa Rica")</f>
        <v>Costa Rica</v>
      </c>
      <c r="B601" t="str">
        <f>IFERROR(__xludf.DUMMYFUNCTION("""COMPUTED_VALUE"""),"North America")</f>
        <v>North America</v>
      </c>
      <c r="C601">
        <f>IFERROR(__xludf.DUMMYFUNCTION("""COMPUTED_VALUE"""),50.0)</f>
        <v>50</v>
      </c>
      <c r="D601" t="str">
        <f>IFERROR(__xludf.DUMMYFUNCTION("""COMPUTED_VALUE"""),"CANCIÓN CON YANDEL")</f>
        <v>CANCIÓN CON YANDEL</v>
      </c>
      <c r="E601" t="str">
        <f>IFERROR(__xludf.DUMMYFUNCTION("""COMPUTED_VALUE"""),"Yandel, Bad Bunny")</f>
        <v>Yandel, Bad Bunny</v>
      </c>
      <c r="F601" t="str">
        <f>IFERROR(__xludf.DUMMYFUNCTION("""COMPUTED_VALUE"""),"LAS QUE NO IBAN A SALIR")</f>
        <v>LAS QUE NO IBAN A SALIR</v>
      </c>
      <c r="G601">
        <f>IFERROR(__xludf.DUMMYFUNCTION("""COMPUTED_VALUE"""),1.0)</f>
        <v>1</v>
      </c>
      <c r="H601" s="5">
        <f>IFERROR(__xludf.DUMMYFUNCTION("""COMPUTED_VALUE"""),0.14513888888905058)</f>
        <v>0.1451388889</v>
      </c>
    </row>
    <row r="602">
      <c r="A602" t="str">
        <f>IFERROR(__xludf.DUMMYFUNCTION("""COMPUTED_VALUE"""),"Czech Republic")</f>
        <v>Czech Republic</v>
      </c>
      <c r="B602" t="str">
        <f>IFERROR(__xludf.DUMMYFUNCTION("""COMPUTED_VALUE"""),"Europe")</f>
        <v>Europe</v>
      </c>
      <c r="C602">
        <f>IFERROR(__xludf.DUMMYFUNCTION("""COMPUTED_VALUE"""),1.0)</f>
        <v>1</v>
      </c>
      <c r="D602" t="str">
        <f>IFERROR(__xludf.DUMMYFUNCTION("""COMPUTED_VALUE"""),"Blinding Lights")</f>
        <v>Blinding Lights</v>
      </c>
      <c r="E602" t="str">
        <f>IFERROR(__xludf.DUMMYFUNCTION("""COMPUTED_VALUE"""),"The Weeknd")</f>
        <v>The Weeknd</v>
      </c>
      <c r="F602" t="str">
        <f>IFERROR(__xludf.DUMMYFUNCTION("""COMPUTED_VALUE"""),"After Hours")</f>
        <v>After Hours</v>
      </c>
      <c r="G602">
        <f>IFERROR(__xludf.DUMMYFUNCTION("""COMPUTED_VALUE"""),0.0)</f>
        <v>0</v>
      </c>
      <c r="H602" s="5">
        <f>IFERROR(__xludf.DUMMYFUNCTION("""COMPUTED_VALUE"""),0.13888888889050577)</f>
        <v>0.1388888889</v>
      </c>
    </row>
    <row r="603">
      <c r="A603" t="str">
        <f>IFERROR(__xludf.DUMMYFUNCTION("""COMPUTED_VALUE"""),"Czech Republic")</f>
        <v>Czech Republic</v>
      </c>
      <c r="B603" t="str">
        <f>IFERROR(__xludf.DUMMYFUNCTION("""COMPUTED_VALUE"""),"Europe")</f>
        <v>Europe</v>
      </c>
      <c r="C603">
        <f>IFERROR(__xludf.DUMMYFUNCTION("""COMPUTED_VALUE"""),2.0)</f>
        <v>2</v>
      </c>
      <c r="D603" t="str">
        <f>IFERROR(__xludf.DUMMYFUNCTION("""COMPUTED_VALUE"""),"Roses - Imanbek Remix")</f>
        <v>Roses - Imanbek Remix</v>
      </c>
      <c r="E603" t="str">
        <f>IFERROR(__xludf.DUMMYFUNCTION("""COMPUTED_VALUE"""),"SAINt JHN, Imanbek")</f>
        <v>SAINt JHN, Imanbek</v>
      </c>
      <c r="F603" t="str">
        <f>IFERROR(__xludf.DUMMYFUNCTION("""COMPUTED_VALUE"""),"Roses (Imanbek Remix)")</f>
        <v>Roses (Imanbek Remix)</v>
      </c>
      <c r="G603">
        <f>IFERROR(__xludf.DUMMYFUNCTION("""COMPUTED_VALUE"""),1.0)</f>
        <v>1</v>
      </c>
      <c r="H603" s="5">
        <f>IFERROR(__xludf.DUMMYFUNCTION("""COMPUTED_VALUE"""),0.12222222222044365)</f>
        <v>0.1222222222</v>
      </c>
    </row>
    <row r="604">
      <c r="A604" t="str">
        <f>IFERROR(__xludf.DUMMYFUNCTION("""COMPUTED_VALUE"""),"Czech Republic")</f>
        <v>Czech Republic</v>
      </c>
      <c r="B604" t="str">
        <f>IFERROR(__xludf.DUMMYFUNCTION("""COMPUTED_VALUE"""),"Europe")</f>
        <v>Europe</v>
      </c>
      <c r="C604">
        <f>IFERROR(__xludf.DUMMYFUNCTION("""COMPUTED_VALUE"""),3.0)</f>
        <v>3</v>
      </c>
      <c r="D604" t="str">
        <f>IFERROR(__xludf.DUMMYFUNCTION("""COMPUTED_VALUE"""),"GOOBA")</f>
        <v>GOOBA</v>
      </c>
      <c r="E604" t="str">
        <f>IFERROR(__xludf.DUMMYFUNCTION("""COMPUTED_VALUE"""),"6ix9ine")</f>
        <v>6ix9ine</v>
      </c>
      <c r="F604" t="str">
        <f>IFERROR(__xludf.DUMMYFUNCTION("""COMPUTED_VALUE"""),"GOOBA")</f>
        <v>GOOBA</v>
      </c>
      <c r="G604">
        <f>IFERROR(__xludf.DUMMYFUNCTION("""COMPUTED_VALUE"""),1.0)</f>
        <v>1</v>
      </c>
      <c r="H604" s="5">
        <f>IFERROR(__xludf.DUMMYFUNCTION("""COMPUTED_VALUE"""),0.09166666666715173)</f>
        <v>0.09166666667</v>
      </c>
    </row>
    <row r="605">
      <c r="A605" t="str">
        <f>IFERROR(__xludf.DUMMYFUNCTION("""COMPUTED_VALUE"""),"Czech Republic")</f>
        <v>Czech Republic</v>
      </c>
      <c r="B605" t="str">
        <f>IFERROR(__xludf.DUMMYFUNCTION("""COMPUTED_VALUE"""),"Europe")</f>
        <v>Europe</v>
      </c>
      <c r="C605">
        <f>IFERROR(__xludf.DUMMYFUNCTION("""COMPUTED_VALUE"""),4.0)</f>
        <v>4</v>
      </c>
      <c r="D605" t="str">
        <f>IFERROR(__xludf.DUMMYFUNCTION("""COMPUTED_VALUE"""),"Dance Monkey")</f>
        <v>Dance Monkey</v>
      </c>
      <c r="E605" t="str">
        <f>IFERROR(__xludf.DUMMYFUNCTION("""COMPUTED_VALUE"""),"Tones And I")</f>
        <v>Tones And I</v>
      </c>
      <c r="F605" t="str">
        <f>IFERROR(__xludf.DUMMYFUNCTION("""COMPUTED_VALUE"""),"Dance Monkey (Stripped Back) / Dance Monkey")</f>
        <v>Dance Monkey (Stripped Back) / Dance Monkey</v>
      </c>
      <c r="G605">
        <f>IFERROR(__xludf.DUMMYFUNCTION("""COMPUTED_VALUE"""),0.0)</f>
        <v>0</v>
      </c>
      <c r="H605" s="5">
        <f>IFERROR(__xludf.DUMMYFUNCTION("""COMPUTED_VALUE"""),0.14513888888905058)</f>
        <v>0.1451388889</v>
      </c>
    </row>
    <row r="606">
      <c r="A606" t="str">
        <f>IFERROR(__xludf.DUMMYFUNCTION("""COMPUTED_VALUE"""),"Czech Republic")</f>
        <v>Czech Republic</v>
      </c>
      <c r="B606" t="str">
        <f>IFERROR(__xludf.DUMMYFUNCTION("""COMPUTED_VALUE"""),"Europe")</f>
        <v>Europe</v>
      </c>
      <c r="C606">
        <f>IFERROR(__xludf.DUMMYFUNCTION("""COMPUTED_VALUE"""),5.0)</f>
        <v>5</v>
      </c>
      <c r="D606" t="str">
        <f>IFERROR(__xludf.DUMMYFUNCTION("""COMPUTED_VALUE"""),"Rain On Me (with Ariana Grande)")</f>
        <v>Rain On Me (with Ariana Grande)</v>
      </c>
      <c r="E606" t="str">
        <f>IFERROR(__xludf.DUMMYFUNCTION("""COMPUTED_VALUE"""),"Lady Gaga, Ariana Grande")</f>
        <v>Lady Gaga, Ariana Grande</v>
      </c>
      <c r="F606" t="str">
        <f>IFERROR(__xludf.DUMMYFUNCTION("""COMPUTED_VALUE"""),"Rain On Me (with Ariana Grande)")</f>
        <v>Rain On Me (with Ariana Grande)</v>
      </c>
      <c r="G606">
        <f>IFERROR(__xludf.DUMMYFUNCTION("""COMPUTED_VALUE"""),0.0)</f>
        <v>0</v>
      </c>
      <c r="H606" s="5">
        <f>IFERROR(__xludf.DUMMYFUNCTION("""COMPUTED_VALUE"""),0.12638888888977817)</f>
        <v>0.1263888889</v>
      </c>
    </row>
    <row r="607">
      <c r="A607" t="str">
        <f>IFERROR(__xludf.DUMMYFUNCTION("""COMPUTED_VALUE"""),"Czech Republic")</f>
        <v>Czech Republic</v>
      </c>
      <c r="B607" t="str">
        <f>IFERROR(__xludf.DUMMYFUNCTION("""COMPUTED_VALUE"""),"Europe")</f>
        <v>Europe</v>
      </c>
      <c r="C607">
        <f>IFERROR(__xludf.DUMMYFUNCTION("""COMPUTED_VALUE"""),6.0)</f>
        <v>6</v>
      </c>
      <c r="D607" t="str">
        <f>IFERROR(__xludf.DUMMYFUNCTION("""COMPUTED_VALUE"""),"death bed (coffee for your head) (feat. beabadoobee)")</f>
        <v>death bed (coffee for your head) (feat. beabadoobee)</v>
      </c>
      <c r="E607" t="str">
        <f>IFERROR(__xludf.DUMMYFUNCTION("""COMPUTED_VALUE"""),"Powfu, beabadoobee")</f>
        <v>Powfu, beabadoobee</v>
      </c>
      <c r="F607" t="str">
        <f>IFERROR(__xludf.DUMMYFUNCTION("""COMPUTED_VALUE"""),"death bed (coffee for your head) (feat. beabadoobee)")</f>
        <v>death bed (coffee for your head) (feat. beabadoobee)</v>
      </c>
      <c r="G607">
        <f>IFERROR(__xludf.DUMMYFUNCTION("""COMPUTED_VALUE"""),0.0)</f>
        <v>0</v>
      </c>
      <c r="H607" s="5">
        <f>IFERROR(__xludf.DUMMYFUNCTION("""COMPUTED_VALUE"""),0.12013888888759539)</f>
        <v>0.1201388889</v>
      </c>
    </row>
    <row r="608">
      <c r="A608" t="str">
        <f>IFERROR(__xludf.DUMMYFUNCTION("""COMPUTED_VALUE"""),"Czech Republic")</f>
        <v>Czech Republic</v>
      </c>
      <c r="B608" t="str">
        <f>IFERROR(__xludf.DUMMYFUNCTION("""COMPUTED_VALUE"""),"Europe")</f>
        <v>Europe</v>
      </c>
      <c r="C608">
        <f>IFERROR(__xludf.DUMMYFUNCTION("""COMPUTED_VALUE"""),7.0)</f>
        <v>7</v>
      </c>
      <c r="D608" t="str">
        <f>IFERROR(__xludf.DUMMYFUNCTION("""COMPUTED_VALUE"""),"ROCKSTAR (feat. Roddy Ricch)")</f>
        <v>ROCKSTAR (feat. Roddy Ricch)</v>
      </c>
      <c r="E608" t="str">
        <f>IFERROR(__xludf.DUMMYFUNCTION("""COMPUTED_VALUE"""),"DaBaby, Roddy Ricch")</f>
        <v>DaBaby, Roddy Ricch</v>
      </c>
      <c r="F608" t="str">
        <f>IFERROR(__xludf.DUMMYFUNCTION("""COMPUTED_VALUE"""),"BLAME IT ON BABY")</f>
        <v>BLAME IT ON BABY</v>
      </c>
      <c r="G608">
        <f>IFERROR(__xludf.DUMMYFUNCTION("""COMPUTED_VALUE"""),1.0)</f>
        <v>1</v>
      </c>
      <c r="H608" s="5">
        <f>IFERROR(__xludf.DUMMYFUNCTION("""COMPUTED_VALUE"""),0.1256944444430701)</f>
        <v>0.1256944444</v>
      </c>
    </row>
    <row r="609">
      <c r="A609" t="str">
        <f>IFERROR(__xludf.DUMMYFUNCTION("""COMPUTED_VALUE"""),"Czech Republic")</f>
        <v>Czech Republic</v>
      </c>
      <c r="B609" t="str">
        <f>IFERROR(__xludf.DUMMYFUNCTION("""COMPUTED_VALUE"""),"Europe")</f>
        <v>Europe</v>
      </c>
      <c r="C609">
        <f>IFERROR(__xludf.DUMMYFUNCTION("""COMPUTED_VALUE"""),8.0)</f>
        <v>8</v>
      </c>
      <c r="D609" t="str">
        <f>IFERROR(__xludf.DUMMYFUNCTION("""COMPUTED_VALUE"""),"THE SCOTTS")</f>
        <v>THE SCOTTS</v>
      </c>
      <c r="E609" t="str">
        <f>IFERROR(__xludf.DUMMYFUNCTION("""COMPUTED_VALUE"""),"THE SCOTTS, Travis Scott, Kid Cudi")</f>
        <v>THE SCOTTS, Travis Scott, Kid Cudi</v>
      </c>
      <c r="F609" t="str">
        <f>IFERROR(__xludf.DUMMYFUNCTION("""COMPUTED_VALUE"""),"THE SCOTTS")</f>
        <v>THE SCOTTS</v>
      </c>
      <c r="G609">
        <f>IFERROR(__xludf.DUMMYFUNCTION("""COMPUTED_VALUE"""),1.0)</f>
        <v>1</v>
      </c>
      <c r="H609" s="5">
        <f>IFERROR(__xludf.DUMMYFUNCTION("""COMPUTED_VALUE"""),0.11458333333212067)</f>
        <v>0.1145833333</v>
      </c>
    </row>
    <row r="610">
      <c r="A610" t="str">
        <f>IFERROR(__xludf.DUMMYFUNCTION("""COMPUTED_VALUE"""),"Czech Republic")</f>
        <v>Czech Republic</v>
      </c>
      <c r="B610" t="str">
        <f>IFERROR(__xludf.DUMMYFUNCTION("""COMPUTED_VALUE"""),"Europe")</f>
        <v>Europe</v>
      </c>
      <c r="C610">
        <f>IFERROR(__xludf.DUMMYFUNCTION("""COMPUTED_VALUE"""),9.0)</f>
        <v>9</v>
      </c>
      <c r="D610" t="str">
        <f>IFERROR(__xludf.DUMMYFUNCTION("""COMPUTED_VALUE"""),"Až na měsíc")</f>
        <v>Až na měsíc</v>
      </c>
      <c r="E610" t="str">
        <f>IFERROR(__xludf.DUMMYFUNCTION("""COMPUTED_VALUE"""),"Viktor Sheen, Nik Tendo, Calin, Hasan")</f>
        <v>Viktor Sheen, Nik Tendo, Calin, Hasan</v>
      </c>
      <c r="F610" t="str">
        <f>IFERROR(__xludf.DUMMYFUNCTION("""COMPUTED_VALUE"""),"Černobílej svět")</f>
        <v>Černobílej svět</v>
      </c>
      <c r="G610">
        <f>IFERROR(__xludf.DUMMYFUNCTION("""COMPUTED_VALUE"""),1.0)</f>
        <v>1</v>
      </c>
      <c r="H610" s="5">
        <f>IFERROR(__xludf.DUMMYFUNCTION("""COMPUTED_VALUE"""),0.14444444444598048)</f>
        <v>0.1444444444</v>
      </c>
    </row>
    <row r="611">
      <c r="A611" t="str">
        <f>IFERROR(__xludf.DUMMYFUNCTION("""COMPUTED_VALUE"""),"Czech Republic")</f>
        <v>Czech Republic</v>
      </c>
      <c r="B611" t="str">
        <f>IFERROR(__xludf.DUMMYFUNCTION("""COMPUTED_VALUE"""),"Europe")</f>
        <v>Europe</v>
      </c>
      <c r="C611">
        <f>IFERROR(__xludf.DUMMYFUNCTION("""COMPUTED_VALUE"""),10.0)</f>
        <v>10</v>
      </c>
      <c r="D611" t="str">
        <f>IFERROR(__xludf.DUMMYFUNCTION("""COMPUTED_VALUE"""),"Jsme jenom fakani")</f>
        <v>Jsme jenom fakani</v>
      </c>
      <c r="E611" t="str">
        <f>IFERROR(__xludf.DUMMYFUNCTION("""COMPUTED_VALUE"""),"CA$HANOVA BULHAR")</f>
        <v>CA$HANOVA BULHAR</v>
      </c>
      <c r="F611" t="str">
        <f>IFERROR(__xludf.DUMMYFUNCTION("""COMPUTED_VALUE"""),"rap disco revoluce")</f>
        <v>rap disco revoluce</v>
      </c>
      <c r="G611">
        <f>IFERROR(__xludf.DUMMYFUNCTION("""COMPUTED_VALUE"""),1.0)</f>
        <v>1</v>
      </c>
      <c r="H611" s="5">
        <f>IFERROR(__xludf.DUMMYFUNCTION("""COMPUTED_VALUE"""),0.18611111111022183)</f>
        <v>0.1861111111</v>
      </c>
    </row>
    <row r="612">
      <c r="A612" t="str">
        <f>IFERROR(__xludf.DUMMYFUNCTION("""COMPUTED_VALUE"""),"Czech Republic")</f>
        <v>Czech Republic</v>
      </c>
      <c r="B612" t="str">
        <f>IFERROR(__xludf.DUMMYFUNCTION("""COMPUTED_VALUE"""),"Europe")</f>
        <v>Europe</v>
      </c>
      <c r="C612">
        <f>IFERROR(__xludf.DUMMYFUNCTION("""COMPUTED_VALUE"""),11.0)</f>
        <v>11</v>
      </c>
      <c r="D612" t="str">
        <f>IFERROR(__xludf.DUMMYFUNCTION("""COMPUTED_VALUE"""),"Hadi")</f>
        <v>Hadi</v>
      </c>
      <c r="E612" t="str">
        <f>IFERROR(__xludf.DUMMYFUNCTION("""COMPUTED_VALUE"""),"CA$HANOVA BULHAR")</f>
        <v>CA$HANOVA BULHAR</v>
      </c>
      <c r="F612" t="str">
        <f>IFERROR(__xludf.DUMMYFUNCTION("""COMPUTED_VALUE"""),"rap disco revoluce")</f>
        <v>rap disco revoluce</v>
      </c>
      <c r="G612">
        <f>IFERROR(__xludf.DUMMYFUNCTION("""COMPUTED_VALUE"""),1.0)</f>
        <v>1</v>
      </c>
      <c r="H612" s="5">
        <f>IFERROR(__xludf.DUMMYFUNCTION("""COMPUTED_VALUE"""),0.1618055555554747)</f>
        <v>0.1618055556</v>
      </c>
    </row>
    <row r="613">
      <c r="A613" t="str">
        <f>IFERROR(__xludf.DUMMYFUNCTION("""COMPUTED_VALUE"""),"Czech Republic")</f>
        <v>Czech Republic</v>
      </c>
      <c r="B613" t="str">
        <f>IFERROR(__xludf.DUMMYFUNCTION("""COMPUTED_VALUE"""),"Europe")</f>
        <v>Europe</v>
      </c>
      <c r="C613">
        <f>IFERROR(__xludf.DUMMYFUNCTION("""COMPUTED_VALUE"""),12.0)</f>
        <v>12</v>
      </c>
      <c r="D613" t="str">
        <f>IFERROR(__xludf.DUMMYFUNCTION("""COMPUTED_VALUE"""),"Oblivion")</f>
        <v>Oblivion</v>
      </c>
      <c r="E613" t="str">
        <f>IFERROR(__xludf.DUMMYFUNCTION("""COMPUTED_VALUE"""),"Viktor Sheen, Nik Tendo")</f>
        <v>Viktor Sheen, Nik Tendo</v>
      </c>
      <c r="F613" t="str">
        <f>IFERROR(__xludf.DUMMYFUNCTION("""COMPUTED_VALUE"""),"Oblivion")</f>
        <v>Oblivion</v>
      </c>
      <c r="G613">
        <f>IFERROR(__xludf.DUMMYFUNCTION("""COMPUTED_VALUE"""),1.0)</f>
        <v>1</v>
      </c>
      <c r="H613" s="5">
        <f>IFERROR(__xludf.DUMMYFUNCTION("""COMPUTED_VALUE"""),0.11736111111167702)</f>
        <v>0.1173611111</v>
      </c>
    </row>
    <row r="614">
      <c r="A614" t="str">
        <f>IFERROR(__xludf.DUMMYFUNCTION("""COMPUTED_VALUE"""),"Czech Republic")</f>
        <v>Czech Republic</v>
      </c>
      <c r="B614" t="str">
        <f>IFERROR(__xludf.DUMMYFUNCTION("""COMPUTED_VALUE"""),"Europe")</f>
        <v>Europe</v>
      </c>
      <c r="C614">
        <f>IFERROR(__xludf.DUMMYFUNCTION("""COMPUTED_VALUE"""),13.0)</f>
        <v>13</v>
      </c>
      <c r="D614" t="str">
        <f>IFERROR(__xludf.DUMMYFUNCTION("""COMPUTED_VALUE"""),"Someone You Loved")</f>
        <v>Someone You Loved</v>
      </c>
      <c r="E614" t="str">
        <f>IFERROR(__xludf.DUMMYFUNCTION("""COMPUTED_VALUE"""),"Lewis Capaldi")</f>
        <v>Lewis Capaldi</v>
      </c>
      <c r="F614" t="str">
        <f>IFERROR(__xludf.DUMMYFUNCTION("""COMPUTED_VALUE"""),"Divinely Uninspired To A Hellish Extent")</f>
        <v>Divinely Uninspired To A Hellish Extent</v>
      </c>
      <c r="G614">
        <f>IFERROR(__xludf.DUMMYFUNCTION("""COMPUTED_VALUE"""),0.0)</f>
        <v>0</v>
      </c>
      <c r="H614" s="5">
        <f>IFERROR(__xludf.DUMMYFUNCTION("""COMPUTED_VALUE"""),0.12638888888977817)</f>
        <v>0.1263888889</v>
      </c>
    </row>
    <row r="615">
      <c r="A615" t="str">
        <f>IFERROR(__xludf.DUMMYFUNCTION("""COMPUTED_VALUE"""),"Czech Republic")</f>
        <v>Czech Republic</v>
      </c>
      <c r="B615" t="str">
        <f>IFERROR(__xludf.DUMMYFUNCTION("""COMPUTED_VALUE"""),"Europe")</f>
        <v>Europe</v>
      </c>
      <c r="C615">
        <f>IFERROR(__xludf.DUMMYFUNCTION("""COMPUTED_VALUE"""),14.0)</f>
        <v>14</v>
      </c>
      <c r="D615" t="str">
        <f>IFERROR(__xludf.DUMMYFUNCTION("""COMPUTED_VALUE"""),"Don't Start Now")</f>
        <v>Don't Start Now</v>
      </c>
      <c r="E615" t="str">
        <f>IFERROR(__xludf.DUMMYFUNCTION("""COMPUTED_VALUE"""),"Dua Lipa")</f>
        <v>Dua Lipa</v>
      </c>
      <c r="F615" t="str">
        <f>IFERROR(__xludf.DUMMYFUNCTION("""COMPUTED_VALUE"""),"Future Nostalgia")</f>
        <v>Future Nostalgia</v>
      </c>
      <c r="G615">
        <f>IFERROR(__xludf.DUMMYFUNCTION("""COMPUTED_VALUE"""),0.0)</f>
        <v>0</v>
      </c>
      <c r="H615" s="5">
        <f>IFERROR(__xludf.DUMMYFUNCTION("""COMPUTED_VALUE"""),0.12708333333284827)</f>
        <v>0.1270833333</v>
      </c>
    </row>
    <row r="616">
      <c r="A616" t="str">
        <f>IFERROR(__xludf.DUMMYFUNCTION("""COMPUTED_VALUE"""),"Czech Republic")</f>
        <v>Czech Republic</v>
      </c>
      <c r="B616" t="str">
        <f>IFERROR(__xludf.DUMMYFUNCTION("""COMPUTED_VALUE"""),"Europe")</f>
        <v>Europe</v>
      </c>
      <c r="C616">
        <f>IFERROR(__xludf.DUMMYFUNCTION("""COMPUTED_VALUE"""),15.0)</f>
        <v>15</v>
      </c>
      <c r="D616" t="str">
        <f>IFERROR(__xludf.DUMMYFUNCTION("""COMPUTED_VALUE"""),"Není Limit")</f>
        <v>Není Limit</v>
      </c>
      <c r="E616" t="str">
        <f>IFERROR(__xludf.DUMMYFUNCTION("""COMPUTED_VALUE"""),"Nik Tendo")</f>
        <v>Nik Tendo</v>
      </c>
      <c r="F616" t="str">
        <f>IFERROR(__xludf.DUMMYFUNCTION("""COMPUTED_VALUE"""),"RESTART")</f>
        <v>RESTART</v>
      </c>
      <c r="G616">
        <f>IFERROR(__xludf.DUMMYFUNCTION("""COMPUTED_VALUE"""),0.0)</f>
        <v>0</v>
      </c>
      <c r="H616" s="5">
        <f>IFERROR(__xludf.DUMMYFUNCTION("""COMPUTED_VALUE"""),0.08333333333212067)</f>
        <v>0.08333333333</v>
      </c>
    </row>
    <row r="617">
      <c r="A617" t="str">
        <f>IFERROR(__xludf.DUMMYFUNCTION("""COMPUTED_VALUE"""),"Czech Republic")</f>
        <v>Czech Republic</v>
      </c>
      <c r="B617" t="str">
        <f>IFERROR(__xludf.DUMMYFUNCTION("""COMPUTED_VALUE"""),"Europe")</f>
        <v>Europe</v>
      </c>
      <c r="C617">
        <f>IFERROR(__xludf.DUMMYFUNCTION("""COMPUTED_VALUE"""),16.0)</f>
        <v>16</v>
      </c>
      <c r="D617" t="str">
        <f>IFERROR(__xludf.DUMMYFUNCTION("""COMPUTED_VALUE"""),"Ride It")</f>
        <v>Ride It</v>
      </c>
      <c r="E617" t="str">
        <f>IFERROR(__xludf.DUMMYFUNCTION("""COMPUTED_VALUE"""),"Regard")</f>
        <v>Regard</v>
      </c>
      <c r="F617" t="str">
        <f>IFERROR(__xludf.DUMMYFUNCTION("""COMPUTED_VALUE"""),"Ride It")</f>
        <v>Ride It</v>
      </c>
      <c r="G617">
        <f>IFERROR(__xludf.DUMMYFUNCTION("""COMPUTED_VALUE"""),0.0)</f>
        <v>0</v>
      </c>
      <c r="H617" s="5">
        <f>IFERROR(__xludf.DUMMYFUNCTION("""COMPUTED_VALUE"""),0.10902777777664596)</f>
        <v>0.1090277778</v>
      </c>
    </row>
    <row r="618">
      <c r="A618" t="str">
        <f>IFERROR(__xludf.DUMMYFUNCTION("""COMPUTED_VALUE"""),"Czech Republic")</f>
        <v>Czech Republic</v>
      </c>
      <c r="B618" t="str">
        <f>IFERROR(__xludf.DUMMYFUNCTION("""COMPUTED_VALUE"""),"Europe")</f>
        <v>Europe</v>
      </c>
      <c r="C618">
        <f>IFERROR(__xludf.DUMMYFUNCTION("""COMPUTED_VALUE"""),17.0)</f>
        <v>17</v>
      </c>
      <c r="D618" t="str">
        <f>IFERROR(__xludf.DUMMYFUNCTION("""COMPUTED_VALUE"""),"Toosie Slide")</f>
        <v>Toosie Slide</v>
      </c>
      <c r="E618" t="str">
        <f>IFERROR(__xludf.DUMMYFUNCTION("""COMPUTED_VALUE"""),"Drake")</f>
        <v>Drake</v>
      </c>
      <c r="F618" t="str">
        <f>IFERROR(__xludf.DUMMYFUNCTION("""COMPUTED_VALUE"""),"Dark Lane Demo Tapes")</f>
        <v>Dark Lane Demo Tapes</v>
      </c>
      <c r="G618">
        <f>IFERROR(__xludf.DUMMYFUNCTION("""COMPUTED_VALUE"""),1.0)</f>
        <v>1</v>
      </c>
      <c r="H618" s="5">
        <f>IFERROR(__xludf.DUMMYFUNCTION("""COMPUTED_VALUE"""),0.17152777777664596)</f>
        <v>0.1715277778</v>
      </c>
    </row>
    <row r="619">
      <c r="A619" t="str">
        <f>IFERROR(__xludf.DUMMYFUNCTION("""COMPUTED_VALUE"""),"Czech Republic")</f>
        <v>Czech Republic</v>
      </c>
      <c r="B619" t="str">
        <f>IFERROR(__xludf.DUMMYFUNCTION("""COMPUTED_VALUE"""),"Europe")</f>
        <v>Europe</v>
      </c>
      <c r="C619">
        <f>IFERROR(__xludf.DUMMYFUNCTION("""COMPUTED_VALUE"""),18.0)</f>
        <v>18</v>
      </c>
      <c r="D619" t="str">
        <f>IFERROR(__xludf.DUMMYFUNCTION("""COMPUTED_VALUE"""),"The Box")</f>
        <v>The Box</v>
      </c>
      <c r="E619" t="str">
        <f>IFERROR(__xludf.DUMMYFUNCTION("""COMPUTED_VALUE"""),"Roddy Ricch")</f>
        <v>Roddy Ricch</v>
      </c>
      <c r="F619" t="str">
        <f>IFERROR(__xludf.DUMMYFUNCTION("""COMPUTED_VALUE"""),"Please Excuse Me For Being Antisocial")</f>
        <v>Please Excuse Me For Being Antisocial</v>
      </c>
      <c r="G619">
        <f>IFERROR(__xludf.DUMMYFUNCTION("""COMPUTED_VALUE"""),1.0)</f>
        <v>1</v>
      </c>
      <c r="H619" s="5">
        <f>IFERROR(__xludf.DUMMYFUNCTION("""COMPUTED_VALUE"""),0.13611111111094942)</f>
        <v>0.1361111111</v>
      </c>
    </row>
    <row r="620">
      <c r="A620" t="str">
        <f>IFERROR(__xludf.DUMMYFUNCTION("""COMPUTED_VALUE"""),"Czech Republic")</f>
        <v>Czech Republic</v>
      </c>
      <c r="B620" t="str">
        <f>IFERROR(__xludf.DUMMYFUNCTION("""COMPUTED_VALUE"""),"Europe")</f>
        <v>Europe</v>
      </c>
      <c r="C620">
        <f>IFERROR(__xludf.DUMMYFUNCTION("""COMPUTED_VALUE"""),19.0)</f>
        <v>19</v>
      </c>
      <c r="D620" t="str">
        <f>IFERROR(__xludf.DUMMYFUNCTION("""COMPUTED_VALUE"""),"Do pěti")</f>
        <v>Do pěti</v>
      </c>
      <c r="E620" t="str">
        <f>IFERROR(__xludf.DUMMYFUNCTION("""COMPUTED_VALUE"""),"Ektor")</f>
        <v>Ektor</v>
      </c>
      <c r="F620" t="str">
        <f>IFERROR(__xludf.DUMMYFUNCTION("""COMPUTED_VALUE"""),"Do pěti")</f>
        <v>Do pěti</v>
      </c>
      <c r="G620">
        <f>IFERROR(__xludf.DUMMYFUNCTION("""COMPUTED_VALUE"""),1.0)</f>
        <v>1</v>
      </c>
      <c r="H620" s="5">
        <f>IFERROR(__xludf.DUMMYFUNCTION("""COMPUTED_VALUE"""),0.13888888889050577)</f>
        <v>0.1388888889</v>
      </c>
    </row>
    <row r="621">
      <c r="A621" t="str">
        <f>IFERROR(__xludf.DUMMYFUNCTION("""COMPUTED_VALUE"""),"Czech Republic")</f>
        <v>Czech Republic</v>
      </c>
      <c r="B621" t="str">
        <f>IFERROR(__xludf.DUMMYFUNCTION("""COMPUTED_VALUE"""),"Europe")</f>
        <v>Europe</v>
      </c>
      <c r="C621">
        <f>IFERROR(__xludf.DUMMYFUNCTION("""COMPUTED_VALUE"""),20.0)</f>
        <v>20</v>
      </c>
      <c r="D621" t="str">
        <f>IFERROR(__xludf.DUMMYFUNCTION("""COMPUTED_VALUE"""),"Boss Bitch")</f>
        <v>Boss Bitch</v>
      </c>
      <c r="E621" t="str">
        <f>IFERROR(__xludf.DUMMYFUNCTION("""COMPUTED_VALUE"""),"Doja Cat")</f>
        <v>Doja Cat</v>
      </c>
      <c r="F621" t="str">
        <f>IFERROR(__xludf.DUMMYFUNCTION("""COMPUTED_VALUE"""),"Boss Bitch")</f>
        <v>Boss Bitch</v>
      </c>
      <c r="G621">
        <f>IFERROR(__xludf.DUMMYFUNCTION("""COMPUTED_VALUE"""),0.0)</f>
        <v>0</v>
      </c>
      <c r="H621" s="5">
        <f>IFERROR(__xludf.DUMMYFUNCTION("""COMPUTED_VALUE"""),0.0930555555569299)</f>
        <v>0.09305555556</v>
      </c>
    </row>
    <row r="622">
      <c r="A622" t="str">
        <f>IFERROR(__xludf.DUMMYFUNCTION("""COMPUTED_VALUE"""),"Czech Republic")</f>
        <v>Czech Republic</v>
      </c>
      <c r="B622" t="str">
        <f>IFERROR(__xludf.DUMMYFUNCTION("""COMPUTED_VALUE"""),"Europe")</f>
        <v>Europe</v>
      </c>
      <c r="C622">
        <f>IFERROR(__xludf.DUMMYFUNCTION("""COMPUTED_VALUE"""),21.0)</f>
        <v>21</v>
      </c>
      <c r="D622" t="str">
        <f>IFERROR(__xludf.DUMMYFUNCTION("""COMPUTED_VALUE"""),"Sex Disco Revoluce")</f>
        <v>Sex Disco Revoluce</v>
      </c>
      <c r="E622" t="str">
        <f>IFERROR(__xludf.DUMMYFUNCTION("""COMPUTED_VALUE"""),"CA$HANOVA BULHAR")</f>
        <v>CA$HANOVA BULHAR</v>
      </c>
      <c r="F622" t="str">
        <f>IFERROR(__xludf.DUMMYFUNCTION("""COMPUTED_VALUE"""),"rap disco revoluce")</f>
        <v>rap disco revoluce</v>
      </c>
      <c r="G622">
        <f>IFERROR(__xludf.DUMMYFUNCTION("""COMPUTED_VALUE"""),1.0)</f>
        <v>1</v>
      </c>
      <c r="H622" s="5">
        <f>IFERROR(__xludf.DUMMYFUNCTION("""COMPUTED_VALUE"""),0.1381944444437977)</f>
        <v>0.1381944444</v>
      </c>
    </row>
    <row r="623">
      <c r="A623" t="str">
        <f>IFERROR(__xludf.DUMMYFUNCTION("""COMPUTED_VALUE"""),"Czech Republic")</f>
        <v>Czech Republic</v>
      </c>
      <c r="B623" t="str">
        <f>IFERROR(__xludf.DUMMYFUNCTION("""COMPUTED_VALUE"""),"Europe")</f>
        <v>Europe</v>
      </c>
      <c r="C623">
        <f>IFERROR(__xludf.DUMMYFUNCTION("""COMPUTED_VALUE"""),22.0)</f>
        <v>22</v>
      </c>
      <c r="D623" t="str">
        <f>IFERROR(__xludf.DUMMYFUNCTION("""COMPUTED_VALUE"""),"Breaking Me")</f>
        <v>Breaking Me</v>
      </c>
      <c r="E623" t="str">
        <f>IFERROR(__xludf.DUMMYFUNCTION("""COMPUTED_VALUE"""),"Topic, A7S")</f>
        <v>Topic, A7S</v>
      </c>
      <c r="F623" t="str">
        <f>IFERROR(__xludf.DUMMYFUNCTION("""COMPUTED_VALUE"""),"Breaking Me")</f>
        <v>Breaking Me</v>
      </c>
      <c r="G623">
        <f>IFERROR(__xludf.DUMMYFUNCTION("""COMPUTED_VALUE"""),0.0)</f>
        <v>0</v>
      </c>
      <c r="H623" s="5">
        <f>IFERROR(__xludf.DUMMYFUNCTION("""COMPUTED_VALUE"""),0.11527777777882875)</f>
        <v>0.1152777778</v>
      </c>
    </row>
    <row r="624">
      <c r="A624" t="str">
        <f>IFERROR(__xludf.DUMMYFUNCTION("""COMPUTED_VALUE"""),"Czech Republic")</f>
        <v>Czech Republic</v>
      </c>
      <c r="B624" t="str">
        <f>IFERROR(__xludf.DUMMYFUNCTION("""COMPUTED_VALUE"""),"Europe")</f>
        <v>Europe</v>
      </c>
      <c r="C624">
        <f>IFERROR(__xludf.DUMMYFUNCTION("""COMPUTED_VALUE"""),23.0)</f>
        <v>23</v>
      </c>
      <c r="D624" t="str">
        <f>IFERROR(__xludf.DUMMYFUNCTION("""COMPUTED_VALUE"""),"Blueberry Faygo")</f>
        <v>Blueberry Faygo</v>
      </c>
      <c r="E624" t="str">
        <f>IFERROR(__xludf.DUMMYFUNCTION("""COMPUTED_VALUE"""),"Lil Mosey")</f>
        <v>Lil Mosey</v>
      </c>
      <c r="F624" t="str">
        <f>IFERROR(__xludf.DUMMYFUNCTION("""COMPUTED_VALUE"""),"Certified Hitmaker")</f>
        <v>Certified Hitmaker</v>
      </c>
      <c r="G624">
        <f>IFERROR(__xludf.DUMMYFUNCTION("""COMPUTED_VALUE"""),1.0)</f>
        <v>1</v>
      </c>
      <c r="H624" s="5">
        <f>IFERROR(__xludf.DUMMYFUNCTION("""COMPUTED_VALUE"""),0.1124999999992724)</f>
        <v>0.1125</v>
      </c>
    </row>
    <row r="625">
      <c r="A625" t="str">
        <f>IFERROR(__xludf.DUMMYFUNCTION("""COMPUTED_VALUE"""),"Czech Republic")</f>
        <v>Czech Republic</v>
      </c>
      <c r="B625" t="str">
        <f>IFERROR(__xludf.DUMMYFUNCTION("""COMPUTED_VALUE"""),"Europe")</f>
        <v>Europe</v>
      </c>
      <c r="C625">
        <f>IFERROR(__xludf.DUMMYFUNCTION("""COMPUTED_VALUE"""),24.0)</f>
        <v>24</v>
      </c>
      <c r="D625" t="str">
        <f>IFERROR(__xludf.DUMMYFUNCTION("""COMPUTED_VALUE"""),"Hraješ Si Na Co")</f>
        <v>Hraješ Si Na Co</v>
      </c>
      <c r="E625" t="str">
        <f>IFERROR(__xludf.DUMMYFUNCTION("""COMPUTED_VALUE"""),"Nik Tendo, Viktor Sheen")</f>
        <v>Nik Tendo, Viktor Sheen</v>
      </c>
      <c r="F625" t="str">
        <f>IFERROR(__xludf.DUMMYFUNCTION("""COMPUTED_VALUE"""),"RESTART")</f>
        <v>RESTART</v>
      </c>
      <c r="G625">
        <f>IFERROR(__xludf.DUMMYFUNCTION("""COMPUTED_VALUE"""),1.0)</f>
        <v>1</v>
      </c>
      <c r="H625" s="5">
        <f>IFERROR(__xludf.DUMMYFUNCTION("""COMPUTED_VALUE"""),0.09999999999854481)</f>
        <v>0.1</v>
      </c>
    </row>
    <row r="626">
      <c r="A626" t="str">
        <f>IFERROR(__xludf.DUMMYFUNCTION("""COMPUTED_VALUE"""),"Czech Republic")</f>
        <v>Czech Republic</v>
      </c>
      <c r="B626" t="str">
        <f>IFERROR(__xludf.DUMMYFUNCTION("""COMPUTED_VALUE"""),"Europe")</f>
        <v>Europe</v>
      </c>
      <c r="C626">
        <f>IFERROR(__xludf.DUMMYFUNCTION("""COMPUTED_VALUE"""),25.0)</f>
        <v>25</v>
      </c>
      <c r="D626" t="str">
        <f>IFERROR(__xludf.DUMMYFUNCTION("""COMPUTED_VALUE"""),"Falling")</f>
        <v>Falling</v>
      </c>
      <c r="E626" t="str">
        <f>IFERROR(__xludf.DUMMYFUNCTION("""COMPUTED_VALUE"""),"Trevor Daniel")</f>
        <v>Trevor Daniel</v>
      </c>
      <c r="F626" t="str">
        <f>IFERROR(__xludf.DUMMYFUNCTION("""COMPUTED_VALUE"""),"Nicotine")</f>
        <v>Nicotine</v>
      </c>
      <c r="G626">
        <f>IFERROR(__xludf.DUMMYFUNCTION("""COMPUTED_VALUE"""),0.0)</f>
        <v>0</v>
      </c>
      <c r="H626" s="5">
        <f>IFERROR(__xludf.DUMMYFUNCTION("""COMPUTED_VALUE"""),0.11041666666642413)</f>
        <v>0.1104166667</v>
      </c>
    </row>
    <row r="627">
      <c r="A627" t="str">
        <f>IFERROR(__xludf.DUMMYFUNCTION("""COMPUTED_VALUE"""),"Czech Republic")</f>
        <v>Czech Republic</v>
      </c>
      <c r="B627" t="str">
        <f>IFERROR(__xludf.DUMMYFUNCTION("""COMPUTED_VALUE"""),"Europe")</f>
        <v>Europe</v>
      </c>
      <c r="C627">
        <f>IFERROR(__xludf.DUMMYFUNCTION("""COMPUTED_VALUE"""),26.0)</f>
        <v>26</v>
      </c>
      <c r="D627" t="str">
        <f>IFERROR(__xludf.DUMMYFUNCTION("""COMPUTED_VALUE"""),"Supalonely")</f>
        <v>Supalonely</v>
      </c>
      <c r="E627" t="str">
        <f>IFERROR(__xludf.DUMMYFUNCTION("""COMPUTED_VALUE"""),"BENEE, Gus Dapperton")</f>
        <v>BENEE, Gus Dapperton</v>
      </c>
      <c r="F627" t="str">
        <f>IFERROR(__xludf.DUMMYFUNCTION("""COMPUTED_VALUE"""),"STELLA &amp; STEVE")</f>
        <v>STELLA &amp; STEVE</v>
      </c>
      <c r="G627">
        <f>IFERROR(__xludf.DUMMYFUNCTION("""COMPUTED_VALUE"""),1.0)</f>
        <v>1</v>
      </c>
      <c r="H627" s="5">
        <f>IFERROR(__xludf.DUMMYFUNCTION("""COMPUTED_VALUE"""),0.15486111111022183)</f>
        <v>0.1548611111</v>
      </c>
    </row>
    <row r="628">
      <c r="A628" t="str">
        <f>IFERROR(__xludf.DUMMYFUNCTION("""COMPUTED_VALUE"""),"Czech Republic")</f>
        <v>Czech Republic</v>
      </c>
      <c r="B628" t="str">
        <f>IFERROR(__xludf.DUMMYFUNCTION("""COMPUTED_VALUE"""),"Europe")</f>
        <v>Europe</v>
      </c>
      <c r="C628">
        <f>IFERROR(__xludf.DUMMYFUNCTION("""COMPUTED_VALUE"""),27.0)</f>
        <v>27</v>
      </c>
      <c r="D628" t="str">
        <f>IFERROR(__xludf.DUMMYFUNCTION("""COMPUTED_VALUE"""),"Señorita")</f>
        <v>Señorita</v>
      </c>
      <c r="E628" t="str">
        <f>IFERROR(__xludf.DUMMYFUNCTION("""COMPUTED_VALUE"""),"Shawn Mendes, Camila Cabello")</f>
        <v>Shawn Mendes, Camila Cabello</v>
      </c>
      <c r="F628" t="str">
        <f>IFERROR(__xludf.DUMMYFUNCTION("""COMPUTED_VALUE"""),"Shawn Mendes (Deluxe)")</f>
        <v>Shawn Mendes (Deluxe)</v>
      </c>
      <c r="G628">
        <f>IFERROR(__xludf.DUMMYFUNCTION("""COMPUTED_VALUE"""),0.0)</f>
        <v>0</v>
      </c>
      <c r="H628" s="5">
        <f>IFERROR(__xludf.DUMMYFUNCTION("""COMPUTED_VALUE"""),0.13194444444525288)</f>
        <v>0.1319444444</v>
      </c>
    </row>
    <row r="629">
      <c r="A629" t="str">
        <f>IFERROR(__xludf.DUMMYFUNCTION("""COMPUTED_VALUE"""),"Czech Republic")</f>
        <v>Czech Republic</v>
      </c>
      <c r="B629" t="str">
        <f>IFERROR(__xludf.DUMMYFUNCTION("""COMPUTED_VALUE"""),"Europe")</f>
        <v>Europe</v>
      </c>
      <c r="C629">
        <f>IFERROR(__xludf.DUMMYFUNCTION("""COMPUTED_VALUE"""),28.0)</f>
        <v>28</v>
      </c>
      <c r="D629" t="str">
        <f>IFERROR(__xludf.DUMMYFUNCTION("""COMPUTED_VALUE"""),"LALALA")</f>
        <v>LALALA</v>
      </c>
      <c r="E629" t="str">
        <f>IFERROR(__xludf.DUMMYFUNCTION("""COMPUTED_VALUE"""),"Grey, Psycho Rhyme")</f>
        <v>Grey, Psycho Rhyme</v>
      </c>
      <c r="F629" t="str">
        <f>IFERROR(__xludf.DUMMYFUNCTION("""COMPUTED_VALUE"""),"LALALA")</f>
        <v>LALALA</v>
      </c>
      <c r="G629">
        <f>IFERROR(__xludf.DUMMYFUNCTION("""COMPUTED_VALUE"""),1.0)</f>
        <v>1</v>
      </c>
      <c r="H629" s="5">
        <f>IFERROR(__xludf.DUMMYFUNCTION("""COMPUTED_VALUE"""),0.10138888888832298)</f>
        <v>0.1013888889</v>
      </c>
    </row>
    <row r="630">
      <c r="A630" t="str">
        <f>IFERROR(__xludf.DUMMYFUNCTION("""COMPUTED_VALUE"""),"Czech Republic")</f>
        <v>Czech Republic</v>
      </c>
      <c r="B630" t="str">
        <f>IFERROR(__xludf.DUMMYFUNCTION("""COMPUTED_VALUE"""),"Europe")</f>
        <v>Europe</v>
      </c>
      <c r="C630">
        <f>IFERROR(__xludf.DUMMYFUNCTION("""COMPUTED_VALUE"""),29.0)</f>
        <v>29</v>
      </c>
      <c r="D630" t="str">
        <f>IFERROR(__xludf.DUMMYFUNCTION("""COMPUTED_VALUE"""),"Svaz ceskych bohemu")</f>
        <v>Svaz ceskych bohemu</v>
      </c>
      <c r="E630" t="str">
        <f>IFERROR(__xludf.DUMMYFUNCTION("""COMPUTED_VALUE"""),"Wohnout")</f>
        <v>Wohnout</v>
      </c>
      <c r="F630" t="str">
        <f>IFERROR(__xludf.DUMMYFUNCTION("""COMPUTED_VALUE"""),"Nasim klientum")</f>
        <v>Nasim klientum</v>
      </c>
      <c r="G630">
        <f>IFERROR(__xludf.DUMMYFUNCTION("""COMPUTED_VALUE"""),0.0)</f>
        <v>0</v>
      </c>
      <c r="H630" s="5">
        <f>IFERROR(__xludf.DUMMYFUNCTION("""COMPUTED_VALUE"""),0.17777777777882875)</f>
        <v>0.1777777778</v>
      </c>
    </row>
    <row r="631">
      <c r="A631" t="str">
        <f>IFERROR(__xludf.DUMMYFUNCTION("""COMPUTED_VALUE"""),"Czech Republic")</f>
        <v>Czech Republic</v>
      </c>
      <c r="B631" t="str">
        <f>IFERROR(__xludf.DUMMYFUNCTION("""COMPUTED_VALUE"""),"Europe")</f>
        <v>Europe</v>
      </c>
      <c r="C631">
        <f>IFERROR(__xludf.DUMMYFUNCTION("""COMPUTED_VALUE"""),30.0)</f>
        <v>30</v>
      </c>
      <c r="D631" t="str">
        <f>IFERROR(__xludf.DUMMYFUNCTION("""COMPUTED_VALUE"""),"ily (i love you baby) (feat. Emilee)")</f>
        <v>ily (i love you baby) (feat. Emilee)</v>
      </c>
      <c r="E631" t="str">
        <f>IFERROR(__xludf.DUMMYFUNCTION("""COMPUTED_VALUE"""),"Surf Mesa, Emilee")</f>
        <v>Surf Mesa, Emilee</v>
      </c>
      <c r="F631" t="str">
        <f>IFERROR(__xludf.DUMMYFUNCTION("""COMPUTED_VALUE"""),"ily (i love you baby) (feat. Emilee)")</f>
        <v>ily (i love you baby) (feat. Emilee)</v>
      </c>
      <c r="G631">
        <f>IFERROR(__xludf.DUMMYFUNCTION("""COMPUTED_VALUE"""),0.0)</f>
        <v>0</v>
      </c>
      <c r="H631" s="5">
        <f>IFERROR(__xludf.DUMMYFUNCTION("""COMPUTED_VALUE"""),0.12222222222044365)</f>
        <v>0.1222222222</v>
      </c>
    </row>
    <row r="632">
      <c r="A632" t="str">
        <f>IFERROR(__xludf.DUMMYFUNCTION("""COMPUTED_VALUE"""),"Czech Republic")</f>
        <v>Czech Republic</v>
      </c>
      <c r="B632" t="str">
        <f>IFERROR(__xludf.DUMMYFUNCTION("""COMPUTED_VALUE"""),"Europe")</f>
        <v>Europe</v>
      </c>
      <c r="C632">
        <f>IFERROR(__xludf.DUMMYFUNCTION("""COMPUTED_VALUE"""),31.0)</f>
        <v>31</v>
      </c>
      <c r="D632" t="str">
        <f>IFERROR(__xludf.DUMMYFUNCTION("""COMPUTED_VALUE"""),"Stuck with U (with Justin Bieber)")</f>
        <v>Stuck with U (with Justin Bieber)</v>
      </c>
      <c r="E632" t="str">
        <f>IFERROR(__xludf.DUMMYFUNCTION("""COMPUTED_VALUE"""),"Ariana Grande, Justin Bieber")</f>
        <v>Ariana Grande, Justin Bieber</v>
      </c>
      <c r="F632" t="str">
        <f>IFERROR(__xludf.DUMMYFUNCTION("""COMPUTED_VALUE"""),"Stuck with U")</f>
        <v>Stuck with U</v>
      </c>
      <c r="G632">
        <f>IFERROR(__xludf.DUMMYFUNCTION("""COMPUTED_VALUE"""),0.0)</f>
        <v>0</v>
      </c>
      <c r="H632" s="5">
        <f>IFERROR(__xludf.DUMMYFUNCTION("""COMPUTED_VALUE"""),0.15833333333284827)</f>
        <v>0.1583333333</v>
      </c>
    </row>
    <row r="633">
      <c r="A633" t="str">
        <f>IFERROR(__xludf.DUMMYFUNCTION("""COMPUTED_VALUE"""),"Czech Republic")</f>
        <v>Czech Republic</v>
      </c>
      <c r="B633" t="str">
        <f>IFERROR(__xludf.DUMMYFUNCTION("""COMPUTED_VALUE"""),"Europe")</f>
        <v>Europe</v>
      </c>
      <c r="C633">
        <f>IFERROR(__xludf.DUMMYFUNCTION("""COMPUTED_VALUE"""),32.0)</f>
        <v>32</v>
      </c>
      <c r="D633" t="str">
        <f>IFERROR(__xludf.DUMMYFUNCTION("""COMPUTED_VALUE"""),"Godzilla (feat. Juice WRLD)")</f>
        <v>Godzilla (feat. Juice WRLD)</v>
      </c>
      <c r="E633" t="str">
        <f>IFERROR(__xludf.DUMMYFUNCTION("""COMPUTED_VALUE"""),"Eminem, Juice WRLD")</f>
        <v>Eminem, Juice WRLD</v>
      </c>
      <c r="F633" t="str">
        <f>IFERROR(__xludf.DUMMYFUNCTION("""COMPUTED_VALUE"""),"Music To Be Murdered By")</f>
        <v>Music To Be Murdered By</v>
      </c>
      <c r="G633">
        <f>IFERROR(__xludf.DUMMYFUNCTION("""COMPUTED_VALUE"""),1.0)</f>
        <v>1</v>
      </c>
      <c r="H633" s="5">
        <f>IFERROR(__xludf.DUMMYFUNCTION("""COMPUTED_VALUE"""),0.14583333333212067)</f>
        <v>0.1458333333</v>
      </c>
    </row>
    <row r="634">
      <c r="A634" t="str">
        <f>IFERROR(__xludf.DUMMYFUNCTION("""COMPUTED_VALUE"""),"Czech Republic")</f>
        <v>Czech Republic</v>
      </c>
      <c r="B634" t="str">
        <f>IFERROR(__xludf.DUMMYFUNCTION("""COMPUTED_VALUE"""),"Europe")</f>
        <v>Europe</v>
      </c>
      <c r="C634">
        <f>IFERROR(__xludf.DUMMYFUNCTION("""COMPUTED_VALUE"""),33.0)</f>
        <v>33</v>
      </c>
      <c r="D634" t="str">
        <f>IFERROR(__xludf.DUMMYFUNCTION("""COMPUTED_VALUE"""),"Sbohem")</f>
        <v>Sbohem</v>
      </c>
      <c r="E634" t="str">
        <f>IFERROR(__xludf.DUMMYFUNCTION("""COMPUTED_VALUE"""),"Nik Tendo")</f>
        <v>Nik Tendo</v>
      </c>
      <c r="F634" t="str">
        <f>IFERROR(__xludf.DUMMYFUNCTION("""COMPUTED_VALUE"""),"RESTART")</f>
        <v>RESTART</v>
      </c>
      <c r="G634">
        <f>IFERROR(__xludf.DUMMYFUNCTION("""COMPUTED_VALUE"""),0.0)</f>
        <v>0</v>
      </c>
      <c r="H634" s="5">
        <f>IFERROR(__xludf.DUMMYFUNCTION("""COMPUTED_VALUE"""),0.08750000000145519)</f>
        <v>0.0875</v>
      </c>
    </row>
    <row r="635">
      <c r="A635" t="str">
        <f>IFERROR(__xludf.DUMMYFUNCTION("""COMPUTED_VALUE"""),"Czech Republic")</f>
        <v>Czech Republic</v>
      </c>
      <c r="B635" t="str">
        <f>IFERROR(__xludf.DUMMYFUNCTION("""COMPUTED_VALUE"""),"Europe")</f>
        <v>Europe</v>
      </c>
      <c r="C635">
        <f>IFERROR(__xludf.DUMMYFUNCTION("""COMPUTED_VALUE"""),34.0)</f>
        <v>34</v>
      </c>
      <c r="D635" t="str">
        <f>IFERROR(__xludf.DUMMYFUNCTION("""COMPUTED_VALUE"""),"Before You Go")</f>
        <v>Before You Go</v>
      </c>
      <c r="E635" t="str">
        <f>IFERROR(__xludf.DUMMYFUNCTION("""COMPUTED_VALUE"""),"Lewis Capaldi")</f>
        <v>Lewis Capaldi</v>
      </c>
      <c r="F635" t="str">
        <f>IFERROR(__xludf.DUMMYFUNCTION("""COMPUTED_VALUE"""),"Divinely Uninspired To A Hellish Extent (Extended Edition)")</f>
        <v>Divinely Uninspired To A Hellish Extent (Extended Edition)</v>
      </c>
      <c r="G635">
        <f>IFERROR(__xludf.DUMMYFUNCTION("""COMPUTED_VALUE"""),0.0)</f>
        <v>0</v>
      </c>
      <c r="H635" s="5">
        <f>IFERROR(__xludf.DUMMYFUNCTION("""COMPUTED_VALUE"""),0.14930555555474712)</f>
        <v>0.1493055556</v>
      </c>
    </row>
    <row r="636">
      <c r="A636" t="str">
        <f>IFERROR(__xludf.DUMMYFUNCTION("""COMPUTED_VALUE"""),"Czech Republic")</f>
        <v>Czech Republic</v>
      </c>
      <c r="B636" t="str">
        <f>IFERROR(__xludf.DUMMYFUNCTION("""COMPUTED_VALUE"""),"Europe")</f>
        <v>Europe</v>
      </c>
      <c r="C636">
        <f>IFERROR(__xludf.DUMMYFUNCTION("""COMPUTED_VALUE"""),35.0)</f>
        <v>35</v>
      </c>
      <c r="D636" t="str">
        <f>IFERROR(__xludf.DUMMYFUNCTION("""COMPUTED_VALUE"""),"Sunday Best")</f>
        <v>Sunday Best</v>
      </c>
      <c r="E636" t="str">
        <f>IFERROR(__xludf.DUMMYFUNCTION("""COMPUTED_VALUE"""),"Surfaces")</f>
        <v>Surfaces</v>
      </c>
      <c r="F636" t="str">
        <f>IFERROR(__xludf.DUMMYFUNCTION("""COMPUTED_VALUE"""),"Where the Light Is")</f>
        <v>Where the Light Is</v>
      </c>
      <c r="G636">
        <f>IFERROR(__xludf.DUMMYFUNCTION("""COMPUTED_VALUE"""),0.0)</f>
        <v>0</v>
      </c>
      <c r="H636" s="5">
        <f>IFERROR(__xludf.DUMMYFUNCTION("""COMPUTED_VALUE"""),0.10972222222335404)</f>
        <v>0.1097222222</v>
      </c>
    </row>
    <row r="637">
      <c r="A637" t="str">
        <f>IFERROR(__xludf.DUMMYFUNCTION("""COMPUTED_VALUE"""),"Czech Republic")</f>
        <v>Czech Republic</v>
      </c>
      <c r="B637" t="str">
        <f>IFERROR(__xludf.DUMMYFUNCTION("""COMPUTED_VALUE"""),"Europe")</f>
        <v>Europe</v>
      </c>
      <c r="C637">
        <f>IFERROR(__xludf.DUMMYFUNCTION("""COMPUTED_VALUE"""),36.0)</f>
        <v>36</v>
      </c>
      <c r="D637" t="str">
        <f>IFERROR(__xludf.DUMMYFUNCTION("""COMPUTED_VALUE"""),"Kings &amp; Queens")</f>
        <v>Kings &amp; Queens</v>
      </c>
      <c r="E637" t="str">
        <f>IFERROR(__xludf.DUMMYFUNCTION("""COMPUTED_VALUE"""),"Ava Max")</f>
        <v>Ava Max</v>
      </c>
      <c r="F637" t="str">
        <f>IFERROR(__xludf.DUMMYFUNCTION("""COMPUTED_VALUE"""),"Kings &amp; Queens")</f>
        <v>Kings &amp; Queens</v>
      </c>
      <c r="G637">
        <f>IFERROR(__xludf.DUMMYFUNCTION("""COMPUTED_VALUE"""),0.0)</f>
        <v>0</v>
      </c>
      <c r="H637" s="5">
        <f>IFERROR(__xludf.DUMMYFUNCTION("""COMPUTED_VALUE"""),0.1124999999992724)</f>
        <v>0.1125</v>
      </c>
    </row>
    <row r="638">
      <c r="A638" t="str">
        <f>IFERROR(__xludf.DUMMYFUNCTION("""COMPUTED_VALUE"""),"Czech Republic")</f>
        <v>Czech Republic</v>
      </c>
      <c r="B638" t="str">
        <f>IFERROR(__xludf.DUMMYFUNCTION("""COMPUTED_VALUE"""),"Europe")</f>
        <v>Europe</v>
      </c>
      <c r="C638">
        <f>IFERROR(__xludf.DUMMYFUNCTION("""COMPUTED_VALUE"""),37.0)</f>
        <v>37</v>
      </c>
      <c r="D638" t="str">
        <f>IFERROR(__xludf.DUMMYFUNCTION("""COMPUTED_VALUE"""),"Totti")</f>
        <v>Totti</v>
      </c>
      <c r="E638" t="str">
        <f>IFERROR(__xludf.DUMMYFUNCTION("""COMPUTED_VALUE"""),"CA$HANOVA BULHAR")</f>
        <v>CA$HANOVA BULHAR</v>
      </c>
      <c r="F638" t="str">
        <f>IFERROR(__xludf.DUMMYFUNCTION("""COMPUTED_VALUE"""),"rap disco revoluce")</f>
        <v>rap disco revoluce</v>
      </c>
      <c r="G638">
        <f>IFERROR(__xludf.DUMMYFUNCTION("""COMPUTED_VALUE"""),1.0)</f>
        <v>1</v>
      </c>
      <c r="H638" s="5">
        <f>IFERROR(__xludf.DUMMYFUNCTION("""COMPUTED_VALUE"""),0.12708333333284827)</f>
        <v>0.1270833333</v>
      </c>
    </row>
    <row r="639">
      <c r="A639" t="str">
        <f>IFERROR(__xludf.DUMMYFUNCTION("""COMPUTED_VALUE"""),"Czech Republic")</f>
        <v>Czech Republic</v>
      </c>
      <c r="B639" t="str">
        <f>IFERROR(__xludf.DUMMYFUNCTION("""COMPUTED_VALUE"""),"Europe")</f>
        <v>Europe</v>
      </c>
      <c r="C639">
        <f>IFERROR(__xludf.DUMMYFUNCTION("""COMPUTED_VALUE"""),38.0)</f>
        <v>38</v>
      </c>
      <c r="D639" t="str">
        <f>IFERROR(__xludf.DUMMYFUNCTION("""COMPUTED_VALUE"""),"Circles")</f>
        <v>Circles</v>
      </c>
      <c r="E639" t="str">
        <f>IFERROR(__xludf.DUMMYFUNCTION("""COMPUTED_VALUE"""),"Post Malone")</f>
        <v>Post Malone</v>
      </c>
      <c r="F639" t="str">
        <f>IFERROR(__xludf.DUMMYFUNCTION("""COMPUTED_VALUE"""),"Hollywood's Bleeding")</f>
        <v>Hollywood's Bleeding</v>
      </c>
      <c r="G639">
        <f>IFERROR(__xludf.DUMMYFUNCTION("""COMPUTED_VALUE"""),0.0)</f>
        <v>0</v>
      </c>
      <c r="H639" s="5">
        <f>IFERROR(__xludf.DUMMYFUNCTION("""COMPUTED_VALUE"""),0.14930555555474712)</f>
        <v>0.1493055556</v>
      </c>
    </row>
    <row r="640">
      <c r="A640" t="str">
        <f>IFERROR(__xludf.DUMMYFUNCTION("""COMPUTED_VALUE"""),"Czech Republic")</f>
        <v>Czech Republic</v>
      </c>
      <c r="B640" t="str">
        <f>IFERROR(__xludf.DUMMYFUNCTION("""COMPUTED_VALUE"""),"Europe")</f>
        <v>Europe</v>
      </c>
      <c r="C640">
        <f>IFERROR(__xludf.DUMMYFUNCTION("""COMPUTED_VALUE"""),39.0)</f>
        <v>39</v>
      </c>
      <c r="D640" t="str">
        <f>IFERROR(__xludf.DUMMYFUNCTION("""COMPUTED_VALUE"""),"goosebumps")</f>
        <v>goosebumps</v>
      </c>
      <c r="E640" t="str">
        <f>IFERROR(__xludf.DUMMYFUNCTION("""COMPUTED_VALUE"""),"Travis Scott")</f>
        <v>Travis Scott</v>
      </c>
      <c r="F640" t="str">
        <f>IFERROR(__xludf.DUMMYFUNCTION("""COMPUTED_VALUE"""),"Birds In The Trap Sing McKnight")</f>
        <v>Birds In The Trap Sing McKnight</v>
      </c>
      <c r="G640">
        <f>IFERROR(__xludf.DUMMYFUNCTION("""COMPUTED_VALUE"""),1.0)</f>
        <v>1</v>
      </c>
      <c r="H640" s="5">
        <f>IFERROR(__xludf.DUMMYFUNCTION("""COMPUTED_VALUE"""),0.1687500000007276)</f>
        <v>0.16875</v>
      </c>
    </row>
    <row r="641">
      <c r="A641" t="str">
        <f>IFERROR(__xludf.DUMMYFUNCTION("""COMPUTED_VALUE"""),"Czech Republic")</f>
        <v>Czech Republic</v>
      </c>
      <c r="B641" t="str">
        <f>IFERROR(__xludf.DUMMYFUNCTION("""COMPUTED_VALUE"""),"Europe")</f>
        <v>Europe</v>
      </c>
      <c r="C641">
        <f>IFERROR(__xludf.DUMMYFUNCTION("""COMPUTED_VALUE"""),40.0)</f>
        <v>40</v>
      </c>
      <c r="D641" t="str">
        <f>IFERROR(__xludf.DUMMYFUNCTION("""COMPUTED_VALUE"""),"ROXANNE")</f>
        <v>ROXANNE</v>
      </c>
      <c r="E641" t="str">
        <f>IFERROR(__xludf.DUMMYFUNCTION("""COMPUTED_VALUE"""),"Arizona Zervas")</f>
        <v>Arizona Zervas</v>
      </c>
      <c r="F641" t="str">
        <f>IFERROR(__xludf.DUMMYFUNCTION("""COMPUTED_VALUE"""),"ROXANNE")</f>
        <v>ROXANNE</v>
      </c>
      <c r="G641">
        <f>IFERROR(__xludf.DUMMYFUNCTION("""COMPUTED_VALUE"""),1.0)</f>
        <v>1</v>
      </c>
      <c r="H641" s="5">
        <f>IFERROR(__xludf.DUMMYFUNCTION("""COMPUTED_VALUE"""),0.11319444444598048)</f>
        <v>0.1131944444</v>
      </c>
    </row>
    <row r="642">
      <c r="A642" t="str">
        <f>IFERROR(__xludf.DUMMYFUNCTION("""COMPUTED_VALUE"""),"Czech Republic")</f>
        <v>Czech Republic</v>
      </c>
      <c r="B642" t="str">
        <f>IFERROR(__xludf.DUMMYFUNCTION("""COMPUTED_VALUE"""),"Europe")</f>
        <v>Europe</v>
      </c>
      <c r="C642">
        <f>IFERROR(__xludf.DUMMYFUNCTION("""COMPUTED_VALUE"""),41.0)</f>
        <v>41</v>
      </c>
      <c r="D642" t="str">
        <f>IFERROR(__xludf.DUMMYFUNCTION("""COMPUTED_VALUE"""),"Zrovna jí to najelo")</f>
        <v>Zrovna jí to najelo</v>
      </c>
      <c r="E642" t="str">
        <f>IFERROR(__xludf.DUMMYFUNCTION("""COMPUTED_VALUE"""),"CA$HANOVA BULHAR, Labello")</f>
        <v>CA$HANOVA BULHAR, Labello</v>
      </c>
      <c r="F642" t="str">
        <f>IFERROR(__xludf.DUMMYFUNCTION("""COMPUTED_VALUE"""),"TIMBERLAKETRAPPED")</f>
        <v>TIMBERLAKETRAPPED</v>
      </c>
      <c r="G642">
        <f>IFERROR(__xludf.DUMMYFUNCTION("""COMPUTED_VALUE"""),1.0)</f>
        <v>1</v>
      </c>
      <c r="H642" s="5">
        <f>IFERROR(__xludf.DUMMYFUNCTION("""COMPUTED_VALUE"""),0.11180555555620231)</f>
        <v>0.1118055556</v>
      </c>
    </row>
    <row r="643">
      <c r="A643" t="str">
        <f>IFERROR(__xludf.DUMMYFUNCTION("""COMPUTED_VALUE"""),"Czech Republic")</f>
        <v>Czech Republic</v>
      </c>
      <c r="B643" t="str">
        <f>IFERROR(__xludf.DUMMYFUNCTION("""COMPUTED_VALUE"""),"Europe")</f>
        <v>Europe</v>
      </c>
      <c r="C643">
        <f>IFERROR(__xludf.DUMMYFUNCTION("""COMPUTED_VALUE"""),42.0)</f>
        <v>42</v>
      </c>
      <c r="D643" t="str">
        <f>IFERROR(__xludf.DUMMYFUNCTION("""COMPUTED_VALUE"""),"Break My Heart")</f>
        <v>Break My Heart</v>
      </c>
      <c r="E643" t="str">
        <f>IFERROR(__xludf.DUMMYFUNCTION("""COMPUTED_VALUE"""),"Dua Lipa")</f>
        <v>Dua Lipa</v>
      </c>
      <c r="F643" t="str">
        <f>IFERROR(__xludf.DUMMYFUNCTION("""COMPUTED_VALUE"""),"Future Nostalgia")</f>
        <v>Future Nostalgia</v>
      </c>
      <c r="G643">
        <f>IFERROR(__xludf.DUMMYFUNCTION("""COMPUTED_VALUE"""),0.0)</f>
        <v>0</v>
      </c>
      <c r="H643" s="5">
        <f>IFERROR(__xludf.DUMMYFUNCTION("""COMPUTED_VALUE"""),0.15347222222044365)</f>
        <v>0.1534722222</v>
      </c>
    </row>
    <row r="644">
      <c r="A644" t="str">
        <f>IFERROR(__xludf.DUMMYFUNCTION("""COMPUTED_VALUE"""),"Czech Republic")</f>
        <v>Czech Republic</v>
      </c>
      <c r="B644" t="str">
        <f>IFERROR(__xludf.DUMMYFUNCTION("""COMPUTED_VALUE"""),"Europe")</f>
        <v>Europe</v>
      </c>
      <c r="C644">
        <f>IFERROR(__xludf.DUMMYFUNCTION("""COMPUTED_VALUE"""),43.0)</f>
        <v>43</v>
      </c>
      <c r="D644" t="str">
        <f>IFERROR(__xludf.DUMMYFUNCTION("""COMPUTED_VALUE"""),"HIGHEST IN THE ROOM")</f>
        <v>HIGHEST IN THE ROOM</v>
      </c>
      <c r="E644" t="str">
        <f>IFERROR(__xludf.DUMMYFUNCTION("""COMPUTED_VALUE"""),"Travis Scott")</f>
        <v>Travis Scott</v>
      </c>
      <c r="F644" t="str">
        <f>IFERROR(__xludf.DUMMYFUNCTION("""COMPUTED_VALUE"""),"HIGHEST IN THE ROOM")</f>
        <v>HIGHEST IN THE ROOM</v>
      </c>
      <c r="G644">
        <f>IFERROR(__xludf.DUMMYFUNCTION("""COMPUTED_VALUE"""),1.0)</f>
        <v>1</v>
      </c>
      <c r="H644" s="5">
        <f>IFERROR(__xludf.DUMMYFUNCTION("""COMPUTED_VALUE"""),0.12152777777737356)</f>
        <v>0.1215277778</v>
      </c>
    </row>
    <row r="645">
      <c r="A645" t="str">
        <f>IFERROR(__xludf.DUMMYFUNCTION("""COMPUTED_VALUE"""),"Czech Republic")</f>
        <v>Czech Republic</v>
      </c>
      <c r="B645" t="str">
        <f>IFERROR(__xludf.DUMMYFUNCTION("""COMPUTED_VALUE"""),"Europe")</f>
        <v>Europe</v>
      </c>
      <c r="C645">
        <f>IFERROR(__xludf.DUMMYFUNCTION("""COMPUTED_VALUE"""),44.0)</f>
        <v>44</v>
      </c>
      <c r="D645" t="str">
        <f>IFERROR(__xludf.DUMMYFUNCTION("""COMPUTED_VALUE"""),"Hranice")</f>
        <v>Hranice</v>
      </c>
      <c r="E645" t="str">
        <f>IFERROR(__xludf.DUMMYFUNCTION("""COMPUTED_VALUE"""),"Ektor")</f>
        <v>Ektor</v>
      </c>
      <c r="F645" t="str">
        <f>IFERROR(__xludf.DUMMYFUNCTION("""COMPUTED_VALUE"""),"Hranice")</f>
        <v>Hranice</v>
      </c>
      <c r="G645">
        <f>IFERROR(__xludf.DUMMYFUNCTION("""COMPUTED_VALUE"""),1.0)</f>
        <v>1</v>
      </c>
      <c r="H645" s="5">
        <f>IFERROR(__xludf.DUMMYFUNCTION("""COMPUTED_VALUE"""),0.08958333333430346)</f>
        <v>0.08958333333</v>
      </c>
    </row>
    <row r="646">
      <c r="A646" t="str">
        <f>IFERROR(__xludf.DUMMYFUNCTION("""COMPUTED_VALUE"""),"Czech Republic")</f>
        <v>Czech Republic</v>
      </c>
      <c r="B646" t="str">
        <f>IFERROR(__xludf.DUMMYFUNCTION("""COMPUTED_VALUE"""),"Europe")</f>
        <v>Europe</v>
      </c>
      <c r="C646">
        <f>IFERROR(__xludf.DUMMYFUNCTION("""COMPUTED_VALUE"""),45.0)</f>
        <v>45</v>
      </c>
      <c r="D646" t="str">
        <f>IFERROR(__xludf.DUMMYFUNCTION("""COMPUTED_VALUE"""),"bad guy")</f>
        <v>bad guy</v>
      </c>
      <c r="E646" t="str">
        <f>IFERROR(__xludf.DUMMYFUNCTION("""COMPUTED_VALUE"""),"Billie Eilish")</f>
        <v>Billie Eilish</v>
      </c>
      <c r="F646" t="str">
        <f>IFERROR(__xludf.DUMMYFUNCTION("""COMPUTED_VALUE"""),"WHEN WE ALL FALL ASLEEP, WHERE DO WE GO?")</f>
        <v>WHEN WE ALL FALL ASLEEP, WHERE DO WE GO?</v>
      </c>
      <c r="G646">
        <f>IFERROR(__xludf.DUMMYFUNCTION("""COMPUTED_VALUE"""),0.0)</f>
        <v>0</v>
      </c>
      <c r="H646" s="5">
        <f>IFERROR(__xludf.DUMMYFUNCTION("""COMPUTED_VALUE"""),0.13472222222117125)</f>
        <v>0.1347222222</v>
      </c>
    </row>
    <row r="647">
      <c r="A647" t="str">
        <f>IFERROR(__xludf.DUMMYFUNCTION("""COMPUTED_VALUE"""),"Czech Republic")</f>
        <v>Czech Republic</v>
      </c>
      <c r="B647" t="str">
        <f>IFERROR(__xludf.DUMMYFUNCTION("""COMPUTED_VALUE"""),"Europe")</f>
        <v>Europe</v>
      </c>
      <c r="C647">
        <f>IFERROR(__xludf.DUMMYFUNCTION("""COMPUTED_VALUE"""),46.0)</f>
        <v>46</v>
      </c>
      <c r="D647" t="str">
        <f>IFERROR(__xludf.DUMMYFUNCTION("""COMPUTED_VALUE"""),"RnB King")</f>
        <v>RnB King</v>
      </c>
      <c r="E647" t="str">
        <f>IFERROR(__xludf.DUMMYFUNCTION("""COMPUTED_VALUE"""),"CA$HANOVA BULHAR")</f>
        <v>CA$HANOVA BULHAR</v>
      </c>
      <c r="F647" t="str">
        <f>IFERROR(__xludf.DUMMYFUNCTION("""COMPUTED_VALUE"""),"rap disco revoluce")</f>
        <v>rap disco revoluce</v>
      </c>
      <c r="G647">
        <f>IFERROR(__xludf.DUMMYFUNCTION("""COMPUTED_VALUE"""),1.0)</f>
        <v>1</v>
      </c>
      <c r="H647" s="5">
        <f>IFERROR(__xludf.DUMMYFUNCTION("""COMPUTED_VALUE"""),0.20208333333357587)</f>
        <v>0.2020833333</v>
      </c>
    </row>
    <row r="648">
      <c r="A648" t="str">
        <f>IFERROR(__xludf.DUMMYFUNCTION("""COMPUTED_VALUE"""),"Czech Republic")</f>
        <v>Czech Republic</v>
      </c>
      <c r="B648" t="str">
        <f>IFERROR(__xludf.DUMMYFUNCTION("""COMPUTED_VALUE"""),"Europe")</f>
        <v>Europe</v>
      </c>
      <c r="C648">
        <f>IFERROR(__xludf.DUMMYFUNCTION("""COMPUTED_VALUE"""),47.0)</f>
        <v>47</v>
      </c>
      <c r="D648" t="str">
        <f>IFERROR(__xludf.DUMMYFUNCTION("""COMPUTED_VALUE"""),"SICKO MODE")</f>
        <v>SICKO MODE</v>
      </c>
      <c r="E648" t="str">
        <f>IFERROR(__xludf.DUMMYFUNCTION("""COMPUTED_VALUE"""),"Travis Scott")</f>
        <v>Travis Scott</v>
      </c>
      <c r="F648" t="str">
        <f>IFERROR(__xludf.DUMMYFUNCTION("""COMPUTED_VALUE"""),"ASTROWORLD")</f>
        <v>ASTROWORLD</v>
      </c>
      <c r="G648">
        <f>IFERROR(__xludf.DUMMYFUNCTION("""COMPUTED_VALUE"""),1.0)</f>
        <v>1</v>
      </c>
      <c r="H648" s="5">
        <f>IFERROR(__xludf.DUMMYFUNCTION("""COMPUTED_VALUE"""),0.21666666666715173)</f>
        <v>0.2166666667</v>
      </c>
    </row>
    <row r="649">
      <c r="A649" t="str">
        <f>IFERROR(__xludf.DUMMYFUNCTION("""COMPUTED_VALUE"""),"Czech Republic")</f>
        <v>Czech Republic</v>
      </c>
      <c r="B649" t="str">
        <f>IFERROR(__xludf.DUMMYFUNCTION("""COMPUTED_VALUE"""),"Europe")</f>
        <v>Europe</v>
      </c>
      <c r="C649">
        <f>IFERROR(__xludf.DUMMYFUNCTION("""COMPUTED_VALUE"""),48.0)</f>
        <v>48</v>
      </c>
      <c r="D649" t="str">
        <f>IFERROR(__xludf.DUMMYFUNCTION("""COMPUTED_VALUE"""),"Be Kind (with Halsey)")</f>
        <v>Be Kind (with Halsey)</v>
      </c>
      <c r="E649" t="str">
        <f>IFERROR(__xludf.DUMMYFUNCTION("""COMPUTED_VALUE"""),"Marshmello, Halsey")</f>
        <v>Marshmello, Halsey</v>
      </c>
      <c r="F649" t="str">
        <f>IFERROR(__xludf.DUMMYFUNCTION("""COMPUTED_VALUE"""),"Be Kind (with Halsey)")</f>
        <v>Be Kind (with Halsey)</v>
      </c>
      <c r="G649">
        <f>IFERROR(__xludf.DUMMYFUNCTION("""COMPUTED_VALUE"""),0.0)</f>
        <v>0</v>
      </c>
      <c r="H649" s="5">
        <f>IFERROR(__xludf.DUMMYFUNCTION("""COMPUTED_VALUE"""),0.11944444444452529)</f>
        <v>0.1194444444</v>
      </c>
    </row>
    <row r="650">
      <c r="A650" t="str">
        <f>IFERROR(__xludf.DUMMYFUNCTION("""COMPUTED_VALUE"""),"Czech Republic")</f>
        <v>Czech Republic</v>
      </c>
      <c r="B650" t="str">
        <f>IFERROR(__xludf.DUMMYFUNCTION("""COMPUTED_VALUE"""),"Europe")</f>
        <v>Europe</v>
      </c>
      <c r="C650">
        <f>IFERROR(__xludf.DUMMYFUNCTION("""COMPUTED_VALUE"""),49.0)</f>
        <v>49</v>
      </c>
      <c r="D650" t="str">
        <f>IFERROR(__xludf.DUMMYFUNCTION("""COMPUTED_VALUE"""),"Kytky z pumpy")</f>
        <v>Kytky z pumpy</v>
      </c>
      <c r="E650" t="str">
        <f>IFERROR(__xludf.DUMMYFUNCTION("""COMPUTED_VALUE"""),"Renne Dang")</f>
        <v>Renne Dang</v>
      </c>
      <c r="F650" t="str">
        <f>IFERROR(__xludf.DUMMYFUNCTION("""COMPUTED_VALUE"""),"Kytky z pumpy")</f>
        <v>Kytky z pumpy</v>
      </c>
      <c r="G650">
        <f>IFERROR(__xludf.DUMMYFUNCTION("""COMPUTED_VALUE"""),0.0)</f>
        <v>0</v>
      </c>
      <c r="H650" s="5">
        <f>IFERROR(__xludf.DUMMYFUNCTION("""COMPUTED_VALUE"""),0.12986111111240461)</f>
        <v>0.1298611111</v>
      </c>
    </row>
    <row r="651">
      <c r="A651" t="str">
        <f>IFERROR(__xludf.DUMMYFUNCTION("""COMPUTED_VALUE"""),"Czech Republic")</f>
        <v>Czech Republic</v>
      </c>
      <c r="B651" t="str">
        <f>IFERROR(__xludf.DUMMYFUNCTION("""COMPUTED_VALUE"""),"Europe")</f>
        <v>Europe</v>
      </c>
      <c r="C651">
        <f>IFERROR(__xludf.DUMMYFUNCTION("""COMPUTED_VALUE"""),50.0)</f>
        <v>50</v>
      </c>
      <c r="D651" t="str">
        <f>IFERROR(__xludf.DUMMYFUNCTION("""COMPUTED_VALUE"""),"Watermelon Sugar")</f>
        <v>Watermelon Sugar</v>
      </c>
      <c r="E651" t="str">
        <f>IFERROR(__xludf.DUMMYFUNCTION("""COMPUTED_VALUE"""),"Harry Styles")</f>
        <v>Harry Styles</v>
      </c>
      <c r="F651" t="str">
        <f>IFERROR(__xludf.DUMMYFUNCTION("""COMPUTED_VALUE"""),"Fine Line")</f>
        <v>Fine Line</v>
      </c>
      <c r="G651">
        <f>IFERROR(__xludf.DUMMYFUNCTION("""COMPUTED_VALUE"""),0.0)</f>
        <v>0</v>
      </c>
      <c r="H651" s="5">
        <f>IFERROR(__xludf.DUMMYFUNCTION("""COMPUTED_VALUE"""),0.12083333333430346)</f>
        <v>0.1208333333</v>
      </c>
    </row>
    <row r="652">
      <c r="A652" t="str">
        <f>IFERROR(__xludf.DUMMYFUNCTION("""COMPUTED_VALUE"""),"Denmark")</f>
        <v>Denmark</v>
      </c>
      <c r="B652" t="str">
        <f>IFERROR(__xludf.DUMMYFUNCTION("""COMPUTED_VALUE"""),"Europe")</f>
        <v>Europe</v>
      </c>
      <c r="C652">
        <f>IFERROR(__xludf.DUMMYFUNCTION("""COMPUTED_VALUE"""),1.0)</f>
        <v>1</v>
      </c>
      <c r="D652" t="str">
        <f>IFERROR(__xludf.DUMMYFUNCTION("""COMPUTED_VALUE"""),"ROCKSTAR (feat. Roddy Ricch)")</f>
        <v>ROCKSTAR (feat. Roddy Ricch)</v>
      </c>
      <c r="E652" t="str">
        <f>IFERROR(__xludf.DUMMYFUNCTION("""COMPUTED_VALUE"""),"DaBaby, Roddy Ricch")</f>
        <v>DaBaby, Roddy Ricch</v>
      </c>
      <c r="F652" t="str">
        <f>IFERROR(__xludf.DUMMYFUNCTION("""COMPUTED_VALUE"""),"BLAME IT ON BABY")</f>
        <v>BLAME IT ON BABY</v>
      </c>
      <c r="G652">
        <f>IFERROR(__xludf.DUMMYFUNCTION("""COMPUTED_VALUE"""),1.0)</f>
        <v>1</v>
      </c>
      <c r="H652" s="5">
        <f>IFERROR(__xludf.DUMMYFUNCTION("""COMPUTED_VALUE"""),0.1256944444430701)</f>
        <v>0.1256944444</v>
      </c>
    </row>
    <row r="653">
      <c r="A653" t="str">
        <f>IFERROR(__xludf.DUMMYFUNCTION("""COMPUTED_VALUE"""),"Denmark")</f>
        <v>Denmark</v>
      </c>
      <c r="B653" t="str">
        <f>IFERROR(__xludf.DUMMYFUNCTION("""COMPUTED_VALUE"""),"Europe")</f>
        <v>Europe</v>
      </c>
      <c r="C653">
        <f>IFERROR(__xludf.DUMMYFUNCTION("""COMPUTED_VALUE"""),2.0)</f>
        <v>2</v>
      </c>
      <c r="D653" t="str">
        <f>IFERROR(__xludf.DUMMYFUNCTION("""COMPUTED_VALUE"""),"Tilbage (feat. Hennedub)")</f>
        <v>Tilbage (feat. Hennedub)</v>
      </c>
      <c r="E653" t="str">
        <f>IFERROR(__xludf.DUMMYFUNCTION("""COMPUTED_VALUE"""),"KESI, Hennedub")</f>
        <v>KESI, Hennedub</v>
      </c>
      <c r="F653" t="str">
        <f>IFERROR(__xludf.DUMMYFUNCTION("""COMPUTED_VALUE"""),"Tilbage (feat. Hennedub)")</f>
        <v>Tilbage (feat. Hennedub)</v>
      </c>
      <c r="G653">
        <f>IFERROR(__xludf.DUMMYFUNCTION("""COMPUTED_VALUE"""),0.0)</f>
        <v>0</v>
      </c>
      <c r="H653" s="5">
        <f>IFERROR(__xludf.DUMMYFUNCTION("""COMPUTED_VALUE"""),0.12708333333284827)</f>
        <v>0.1270833333</v>
      </c>
    </row>
    <row r="654">
      <c r="A654" t="str">
        <f>IFERROR(__xludf.DUMMYFUNCTION("""COMPUTED_VALUE"""),"Denmark")</f>
        <v>Denmark</v>
      </c>
      <c r="B654" t="str">
        <f>IFERROR(__xludf.DUMMYFUNCTION("""COMPUTED_VALUE"""),"Europe")</f>
        <v>Europe</v>
      </c>
      <c r="C654">
        <f>IFERROR(__xludf.DUMMYFUNCTION("""COMPUTED_VALUE"""),3.0)</f>
        <v>3</v>
      </c>
      <c r="D654" t="str">
        <f>IFERROR(__xludf.DUMMYFUNCTION("""COMPUTED_VALUE"""),"KIKI (feat. Gilli)")</f>
        <v>KIKI (feat. Gilli)</v>
      </c>
      <c r="E654" t="str">
        <f>IFERROR(__xludf.DUMMYFUNCTION("""COMPUTED_VALUE"""),"LOLO, Gilli")</f>
        <v>LOLO, Gilli</v>
      </c>
      <c r="F654" t="str">
        <f>IFERROR(__xludf.DUMMYFUNCTION("""COMPUTED_VALUE"""),"KIKI (feat. Gilli)")</f>
        <v>KIKI (feat. Gilli)</v>
      </c>
      <c r="G654">
        <f>IFERROR(__xludf.DUMMYFUNCTION("""COMPUTED_VALUE"""),1.0)</f>
        <v>1</v>
      </c>
      <c r="H654" s="5">
        <f>IFERROR(__xludf.DUMMYFUNCTION("""COMPUTED_VALUE"""),0.11944444444452529)</f>
        <v>0.1194444444</v>
      </c>
    </row>
    <row r="655">
      <c r="A655" t="str">
        <f>IFERROR(__xludf.DUMMYFUNCTION("""COMPUTED_VALUE"""),"Denmark")</f>
        <v>Denmark</v>
      </c>
      <c r="B655" t="str">
        <f>IFERROR(__xludf.DUMMYFUNCTION("""COMPUTED_VALUE"""),"Europe")</f>
        <v>Europe</v>
      </c>
      <c r="C655">
        <f>IFERROR(__xludf.DUMMYFUNCTION("""COMPUTED_VALUE"""),4.0)</f>
        <v>4</v>
      </c>
      <c r="D655" t="str">
        <f>IFERROR(__xludf.DUMMYFUNCTION("""COMPUTED_VALUE"""),"Blinding Lights")</f>
        <v>Blinding Lights</v>
      </c>
      <c r="E655" t="str">
        <f>IFERROR(__xludf.DUMMYFUNCTION("""COMPUTED_VALUE"""),"The Weeknd")</f>
        <v>The Weeknd</v>
      </c>
      <c r="F655" t="str">
        <f>IFERROR(__xludf.DUMMYFUNCTION("""COMPUTED_VALUE"""),"After Hours")</f>
        <v>After Hours</v>
      </c>
      <c r="G655">
        <f>IFERROR(__xludf.DUMMYFUNCTION("""COMPUTED_VALUE"""),0.0)</f>
        <v>0</v>
      </c>
      <c r="H655" s="5">
        <f>IFERROR(__xludf.DUMMYFUNCTION("""COMPUTED_VALUE"""),0.13888888889050577)</f>
        <v>0.1388888889</v>
      </c>
    </row>
    <row r="656">
      <c r="A656" t="str">
        <f>IFERROR(__xludf.DUMMYFUNCTION("""COMPUTED_VALUE"""),"Denmark")</f>
        <v>Denmark</v>
      </c>
      <c r="B656" t="str">
        <f>IFERROR(__xludf.DUMMYFUNCTION("""COMPUTED_VALUE"""),"Europe")</f>
        <v>Europe</v>
      </c>
      <c r="C656">
        <f>IFERROR(__xludf.DUMMYFUNCTION("""COMPUTED_VALUE"""),5.0)</f>
        <v>5</v>
      </c>
      <c r="D656" t="str">
        <f>IFERROR(__xludf.DUMMYFUNCTION("""COMPUTED_VALUE"""),"Avatar")</f>
        <v>Avatar</v>
      </c>
      <c r="E656" t="str">
        <f>IFERROR(__xludf.DUMMYFUNCTION("""COMPUTED_VALUE"""),"NODE, Larry 44")</f>
        <v>NODE, Larry 44</v>
      </c>
      <c r="F656" t="str">
        <f>IFERROR(__xludf.DUMMYFUNCTION("""COMPUTED_VALUE"""),"Avatar")</f>
        <v>Avatar</v>
      </c>
      <c r="G656">
        <f>IFERROR(__xludf.DUMMYFUNCTION("""COMPUTED_VALUE"""),1.0)</f>
        <v>1</v>
      </c>
      <c r="H656" s="5">
        <f>IFERROR(__xludf.DUMMYFUNCTION("""COMPUTED_VALUE"""),0.10833333333357587)</f>
        <v>0.1083333333</v>
      </c>
    </row>
    <row r="657">
      <c r="A657" t="str">
        <f>IFERROR(__xludf.DUMMYFUNCTION("""COMPUTED_VALUE"""),"Denmark")</f>
        <v>Denmark</v>
      </c>
      <c r="B657" t="str">
        <f>IFERROR(__xludf.DUMMYFUNCTION("""COMPUTED_VALUE"""),"Europe")</f>
        <v>Europe</v>
      </c>
      <c r="C657">
        <f>IFERROR(__xludf.DUMMYFUNCTION("""COMPUTED_VALUE"""),6.0)</f>
        <v>6</v>
      </c>
      <c r="D657" t="str">
        <f>IFERROR(__xludf.DUMMYFUNCTION("""COMPUTED_VALUE"""),"SPORT")</f>
        <v>SPORT</v>
      </c>
      <c r="E657" t="str">
        <f>IFERROR(__xludf.DUMMYFUNCTION("""COMPUTED_VALUE"""),"TopGunn, Branco")</f>
        <v>TopGunn, Branco</v>
      </c>
      <c r="F657" t="str">
        <f>IFERROR(__xludf.DUMMYFUNCTION("""COMPUTED_VALUE"""),"SAS")</f>
        <v>SAS</v>
      </c>
      <c r="G657">
        <f>IFERROR(__xludf.DUMMYFUNCTION("""COMPUTED_VALUE"""),0.0)</f>
        <v>0</v>
      </c>
      <c r="H657" s="5">
        <f>IFERROR(__xludf.DUMMYFUNCTION("""COMPUTED_VALUE"""),0.1124999999992724)</f>
        <v>0.1125</v>
      </c>
    </row>
    <row r="658">
      <c r="A658" t="str">
        <f>IFERROR(__xludf.DUMMYFUNCTION("""COMPUTED_VALUE"""),"Denmark")</f>
        <v>Denmark</v>
      </c>
      <c r="B658" t="str">
        <f>IFERROR(__xludf.DUMMYFUNCTION("""COMPUTED_VALUE"""),"Europe")</f>
        <v>Europe</v>
      </c>
      <c r="C658">
        <f>IFERROR(__xludf.DUMMYFUNCTION("""COMPUTED_VALUE"""),7.0)</f>
        <v>7</v>
      </c>
      <c r="D658" t="str">
        <f>IFERROR(__xludf.DUMMYFUNCTION("""COMPUTED_VALUE"""),"GOOBA")</f>
        <v>GOOBA</v>
      </c>
      <c r="E658" t="str">
        <f>IFERROR(__xludf.DUMMYFUNCTION("""COMPUTED_VALUE"""),"6ix9ine")</f>
        <v>6ix9ine</v>
      </c>
      <c r="F658" t="str">
        <f>IFERROR(__xludf.DUMMYFUNCTION("""COMPUTED_VALUE"""),"GOOBA")</f>
        <v>GOOBA</v>
      </c>
      <c r="G658">
        <f>IFERROR(__xludf.DUMMYFUNCTION("""COMPUTED_VALUE"""),1.0)</f>
        <v>1</v>
      </c>
      <c r="H658" s="5">
        <f>IFERROR(__xludf.DUMMYFUNCTION("""COMPUTED_VALUE"""),0.09166666666715173)</f>
        <v>0.09166666667</v>
      </c>
    </row>
    <row r="659">
      <c r="A659" t="str">
        <f>IFERROR(__xludf.DUMMYFUNCTION("""COMPUTED_VALUE"""),"Denmark")</f>
        <v>Denmark</v>
      </c>
      <c r="B659" t="str">
        <f>IFERROR(__xludf.DUMMYFUNCTION("""COMPUTED_VALUE"""),"Europe")</f>
        <v>Europe</v>
      </c>
      <c r="C659">
        <f>IFERROR(__xludf.DUMMYFUNCTION("""COMPUTED_VALUE"""),8.0)</f>
        <v>8</v>
      </c>
      <c r="D659" t="str">
        <f>IFERROR(__xludf.DUMMYFUNCTION("""COMPUTED_VALUE"""),"Sol Over København (feat. KESI)")</f>
        <v>Sol Over København (feat. KESI)</v>
      </c>
      <c r="E659" t="str">
        <f>IFERROR(__xludf.DUMMYFUNCTION("""COMPUTED_VALUE"""),"Citybois, KESI")</f>
        <v>Citybois, KESI</v>
      </c>
      <c r="F659" t="str">
        <f>IFERROR(__xludf.DUMMYFUNCTION("""COMPUTED_VALUE"""),"BOIS FOREVER")</f>
        <v>BOIS FOREVER</v>
      </c>
      <c r="G659">
        <f>IFERROR(__xludf.DUMMYFUNCTION("""COMPUTED_VALUE"""),0.0)</f>
        <v>0</v>
      </c>
      <c r="H659" s="5">
        <f>IFERROR(__xludf.DUMMYFUNCTION("""COMPUTED_VALUE"""),0.12847222222262644)</f>
        <v>0.1284722222</v>
      </c>
    </row>
    <row r="660">
      <c r="A660" t="str">
        <f>IFERROR(__xludf.DUMMYFUNCTION("""COMPUTED_VALUE"""),"Denmark")</f>
        <v>Denmark</v>
      </c>
      <c r="B660" t="str">
        <f>IFERROR(__xludf.DUMMYFUNCTION("""COMPUTED_VALUE"""),"Europe")</f>
        <v>Europe</v>
      </c>
      <c r="C660">
        <f>IFERROR(__xludf.DUMMYFUNCTION("""COMPUTED_VALUE"""),9.0)</f>
        <v>9</v>
      </c>
      <c r="D660" t="str">
        <f>IFERROR(__xludf.DUMMYFUNCTION("""COMPUTED_VALUE"""),"Roses - Imanbek Remix")</f>
        <v>Roses - Imanbek Remix</v>
      </c>
      <c r="E660" t="str">
        <f>IFERROR(__xludf.DUMMYFUNCTION("""COMPUTED_VALUE"""),"SAINt JHN, Imanbek")</f>
        <v>SAINt JHN, Imanbek</v>
      </c>
      <c r="F660" t="str">
        <f>IFERROR(__xludf.DUMMYFUNCTION("""COMPUTED_VALUE"""),"Roses (Imanbek Remix)")</f>
        <v>Roses (Imanbek Remix)</v>
      </c>
      <c r="G660">
        <f>IFERROR(__xludf.DUMMYFUNCTION("""COMPUTED_VALUE"""),1.0)</f>
        <v>1</v>
      </c>
      <c r="H660" s="5">
        <f>IFERROR(__xludf.DUMMYFUNCTION("""COMPUTED_VALUE"""),0.12222222222044365)</f>
        <v>0.1222222222</v>
      </c>
    </row>
    <row r="661">
      <c r="A661" t="str">
        <f>IFERROR(__xludf.DUMMYFUNCTION("""COMPUTED_VALUE"""),"Denmark")</f>
        <v>Denmark</v>
      </c>
      <c r="B661" t="str">
        <f>IFERROR(__xludf.DUMMYFUNCTION("""COMPUTED_VALUE"""),"Europe")</f>
        <v>Europe</v>
      </c>
      <c r="C661">
        <f>IFERROR(__xludf.DUMMYFUNCTION("""COMPUTED_VALUE"""),10.0)</f>
        <v>10</v>
      </c>
      <c r="D661" t="str">
        <f>IFERROR(__xludf.DUMMYFUNCTION("""COMPUTED_VALUE"""),"Tættere End Vi Tror")</f>
        <v>Tættere End Vi Tror</v>
      </c>
      <c r="E661" t="str">
        <f>IFERROR(__xludf.DUMMYFUNCTION("""COMPUTED_VALUE"""),"P3, Tessa, Christopher, Lukas Graham, Jada, Benjamin Hav, Clara, Don Stefano, Mads Langer")</f>
        <v>P3, Tessa, Christopher, Lukas Graham, Jada, Benjamin Hav, Clara, Don Stefano, Mads Langer</v>
      </c>
      <c r="F661" t="str">
        <f>IFERROR(__xludf.DUMMYFUNCTION("""COMPUTED_VALUE"""),"Tættere End Vi Tror")</f>
        <v>Tættere End Vi Tror</v>
      </c>
      <c r="G661">
        <f>IFERROR(__xludf.DUMMYFUNCTION("""COMPUTED_VALUE"""),0.0)</f>
        <v>0</v>
      </c>
      <c r="H661" s="5">
        <f>IFERROR(__xludf.DUMMYFUNCTION("""COMPUTED_VALUE"""),0.1881944444430701)</f>
        <v>0.1881944444</v>
      </c>
    </row>
    <row r="662">
      <c r="A662" t="str">
        <f>IFERROR(__xludf.DUMMYFUNCTION("""COMPUTED_VALUE"""),"Denmark")</f>
        <v>Denmark</v>
      </c>
      <c r="B662" t="str">
        <f>IFERROR(__xludf.DUMMYFUNCTION("""COMPUTED_VALUE"""),"Europe")</f>
        <v>Europe</v>
      </c>
      <c r="C662">
        <f>IFERROR(__xludf.DUMMYFUNCTION("""COMPUTED_VALUE"""),11.0)</f>
        <v>11</v>
      </c>
      <c r="D662" t="str">
        <f>IFERROR(__xludf.DUMMYFUNCTION("""COMPUTED_VALUE"""),"Glo På Mig")</f>
        <v>Glo På Mig</v>
      </c>
      <c r="E662" t="str">
        <f>IFERROR(__xludf.DUMMYFUNCTION("""COMPUTED_VALUE"""),"Tessa")</f>
        <v>Tessa</v>
      </c>
      <c r="F662" t="str">
        <f>IFERROR(__xludf.DUMMYFUNCTION("""COMPUTED_VALUE"""),"Glo På Mig")</f>
        <v>Glo På Mig</v>
      </c>
      <c r="G662">
        <f>IFERROR(__xludf.DUMMYFUNCTION("""COMPUTED_VALUE"""),1.0)</f>
        <v>1</v>
      </c>
      <c r="H662" s="5">
        <f>IFERROR(__xludf.DUMMYFUNCTION("""COMPUTED_VALUE"""),0.11180555555620231)</f>
        <v>0.1118055556</v>
      </c>
    </row>
    <row r="663">
      <c r="A663" t="str">
        <f>IFERROR(__xludf.DUMMYFUNCTION("""COMPUTED_VALUE"""),"Denmark")</f>
        <v>Denmark</v>
      </c>
      <c r="B663" t="str">
        <f>IFERROR(__xludf.DUMMYFUNCTION("""COMPUTED_VALUE"""),"Europe")</f>
        <v>Europe</v>
      </c>
      <c r="C663">
        <f>IFERROR(__xludf.DUMMYFUNCTION("""COMPUTED_VALUE"""),12.0)</f>
        <v>12</v>
      </c>
      <c r="D663" t="str">
        <f>IFERROR(__xludf.DUMMYFUNCTION("""COMPUTED_VALUE"""),"Toosie Slide")</f>
        <v>Toosie Slide</v>
      </c>
      <c r="E663" t="str">
        <f>IFERROR(__xludf.DUMMYFUNCTION("""COMPUTED_VALUE"""),"Drake")</f>
        <v>Drake</v>
      </c>
      <c r="F663" t="str">
        <f>IFERROR(__xludf.DUMMYFUNCTION("""COMPUTED_VALUE"""),"Dark Lane Demo Tapes")</f>
        <v>Dark Lane Demo Tapes</v>
      </c>
      <c r="G663">
        <f>IFERROR(__xludf.DUMMYFUNCTION("""COMPUTED_VALUE"""),1.0)</f>
        <v>1</v>
      </c>
      <c r="H663" s="5">
        <f>IFERROR(__xludf.DUMMYFUNCTION("""COMPUTED_VALUE"""),0.17152777777664596)</f>
        <v>0.1715277778</v>
      </c>
    </row>
    <row r="664">
      <c r="A664" t="str">
        <f>IFERROR(__xludf.DUMMYFUNCTION("""COMPUTED_VALUE"""),"Denmark")</f>
        <v>Denmark</v>
      </c>
      <c r="B664" t="str">
        <f>IFERROR(__xludf.DUMMYFUNCTION("""COMPUTED_VALUE"""),"Europe")</f>
        <v>Europe</v>
      </c>
      <c r="C664">
        <f>IFERROR(__xludf.DUMMYFUNCTION("""COMPUTED_VALUE"""),13.0)</f>
        <v>13</v>
      </c>
      <c r="D664" t="str">
        <f>IFERROR(__xludf.DUMMYFUNCTION("""COMPUTED_VALUE"""),"Klovne")</f>
        <v>Klovne</v>
      </c>
      <c r="E664" t="str">
        <f>IFERROR(__xludf.DUMMYFUNCTION("""COMPUTED_VALUE"""),"RH")</f>
        <v>RH</v>
      </c>
      <c r="F664" t="str">
        <f>IFERROR(__xludf.DUMMYFUNCTION("""COMPUTED_VALUE"""),"Klovne")</f>
        <v>Klovne</v>
      </c>
      <c r="G664">
        <f>IFERROR(__xludf.DUMMYFUNCTION("""COMPUTED_VALUE"""),0.0)</f>
        <v>0</v>
      </c>
      <c r="H664" s="5">
        <f>IFERROR(__xludf.DUMMYFUNCTION("""COMPUTED_VALUE"""),0.09236111111022183)</f>
        <v>0.09236111111</v>
      </c>
    </row>
    <row r="665">
      <c r="A665" t="str">
        <f>IFERROR(__xludf.DUMMYFUNCTION("""COMPUTED_VALUE"""),"Denmark")</f>
        <v>Denmark</v>
      </c>
      <c r="B665" t="str">
        <f>IFERROR(__xludf.DUMMYFUNCTION("""COMPUTED_VALUE"""),"Europe")</f>
        <v>Europe</v>
      </c>
      <c r="C665">
        <f>IFERROR(__xludf.DUMMYFUNCTION("""COMPUTED_VALUE"""),14.0)</f>
        <v>14</v>
      </c>
      <c r="D665" t="str">
        <f>IFERROR(__xludf.DUMMYFUNCTION("""COMPUTED_VALUE"""),"Rover (feat. DTG)")</f>
        <v>Rover (feat. DTG)</v>
      </c>
      <c r="E665" t="str">
        <f>IFERROR(__xludf.DUMMYFUNCTION("""COMPUTED_VALUE"""),"S1mba, DTG")</f>
        <v>S1mba, DTG</v>
      </c>
      <c r="F665" t="str">
        <f>IFERROR(__xludf.DUMMYFUNCTION("""COMPUTED_VALUE"""),"Rover (feat. DTG)")</f>
        <v>Rover (feat. DTG)</v>
      </c>
      <c r="G665">
        <f>IFERROR(__xludf.DUMMYFUNCTION("""COMPUTED_VALUE"""),1.0)</f>
        <v>1</v>
      </c>
      <c r="H665" s="5">
        <f>IFERROR(__xludf.DUMMYFUNCTION("""COMPUTED_VALUE"""),0.11597222222189885)</f>
        <v>0.1159722222</v>
      </c>
    </row>
    <row r="666">
      <c r="A666" t="str">
        <f>IFERROR(__xludf.DUMMYFUNCTION("""COMPUTED_VALUE"""),"Denmark")</f>
        <v>Denmark</v>
      </c>
      <c r="B666" t="str">
        <f>IFERROR(__xludf.DUMMYFUNCTION("""COMPUTED_VALUE"""),"Europe")</f>
        <v>Europe</v>
      </c>
      <c r="C666">
        <f>IFERROR(__xludf.DUMMYFUNCTION("""COMPUTED_VALUE"""),15.0)</f>
        <v>15</v>
      </c>
      <c r="D666" t="str">
        <f>IFERROR(__xludf.DUMMYFUNCTION("""COMPUTED_VALUE"""),"LA DANZA")</f>
        <v>LA DANZA</v>
      </c>
      <c r="E666" t="str">
        <f>IFERROR(__xludf.DUMMYFUNCTION("""COMPUTED_VALUE"""),"Branco, Gilli")</f>
        <v>Branco, Gilli</v>
      </c>
      <c r="F666" t="str">
        <f>IFERROR(__xludf.DUMMYFUNCTION("""COMPUTED_VALUE"""),"EURO CONNECTION")</f>
        <v>EURO CONNECTION</v>
      </c>
      <c r="G666">
        <f>IFERROR(__xludf.DUMMYFUNCTION("""COMPUTED_VALUE"""),1.0)</f>
        <v>1</v>
      </c>
      <c r="H666" s="5">
        <f>IFERROR(__xludf.DUMMYFUNCTION("""COMPUTED_VALUE"""),0.12847222222262644)</f>
        <v>0.1284722222</v>
      </c>
    </row>
    <row r="667">
      <c r="A667" t="str">
        <f>IFERROR(__xludf.DUMMYFUNCTION("""COMPUTED_VALUE"""),"Denmark")</f>
        <v>Denmark</v>
      </c>
      <c r="B667" t="str">
        <f>IFERROR(__xludf.DUMMYFUNCTION("""COMPUTED_VALUE"""),"Europe")</f>
        <v>Europe</v>
      </c>
      <c r="C667">
        <f>IFERROR(__xludf.DUMMYFUNCTION("""COMPUTED_VALUE"""),16.0)</f>
        <v>16</v>
      </c>
      <c r="D667" t="str">
        <f>IFERROR(__xludf.DUMMYFUNCTION("""COMPUTED_VALUE"""),"In Your Eyes")</f>
        <v>In Your Eyes</v>
      </c>
      <c r="E667" t="str">
        <f>IFERROR(__xludf.DUMMYFUNCTION("""COMPUTED_VALUE"""),"The Weeknd")</f>
        <v>The Weeknd</v>
      </c>
      <c r="F667" t="str">
        <f>IFERROR(__xludf.DUMMYFUNCTION("""COMPUTED_VALUE"""),"After Hours")</f>
        <v>After Hours</v>
      </c>
      <c r="G667">
        <f>IFERROR(__xludf.DUMMYFUNCTION("""COMPUTED_VALUE"""),1.0)</f>
        <v>1</v>
      </c>
      <c r="H667" s="5">
        <f>IFERROR(__xludf.DUMMYFUNCTION("""COMPUTED_VALUE"""),0.16458333333503106)</f>
        <v>0.1645833333</v>
      </c>
    </row>
    <row r="668">
      <c r="A668" t="str">
        <f>IFERROR(__xludf.DUMMYFUNCTION("""COMPUTED_VALUE"""),"Denmark")</f>
        <v>Denmark</v>
      </c>
      <c r="B668" t="str">
        <f>IFERROR(__xludf.DUMMYFUNCTION("""COMPUTED_VALUE"""),"Europe")</f>
        <v>Europe</v>
      </c>
      <c r="C668">
        <f>IFERROR(__xludf.DUMMYFUNCTION("""COMPUTED_VALUE"""),17.0)</f>
        <v>17</v>
      </c>
      <c r="D668" t="str">
        <f>IFERROR(__xludf.DUMMYFUNCTION("""COMPUTED_VALUE"""),"Nudes")</f>
        <v>Nudes</v>
      </c>
      <c r="E668" t="str">
        <f>IFERROR(__xludf.DUMMYFUNCTION("""COMPUTED_VALUE"""),"Jada")</f>
        <v>Jada</v>
      </c>
      <c r="F668" t="str">
        <f>IFERROR(__xludf.DUMMYFUNCTION("""COMPUTED_VALUE"""),"Nudes")</f>
        <v>Nudes</v>
      </c>
      <c r="G668">
        <f>IFERROR(__xludf.DUMMYFUNCTION("""COMPUTED_VALUE"""),1.0)</f>
        <v>1</v>
      </c>
      <c r="H668" s="5">
        <f>IFERROR(__xludf.DUMMYFUNCTION("""COMPUTED_VALUE"""),0.1375000000007276)</f>
        <v>0.1375</v>
      </c>
    </row>
    <row r="669">
      <c r="A669" t="str">
        <f>IFERROR(__xludf.DUMMYFUNCTION("""COMPUTED_VALUE"""),"Denmark")</f>
        <v>Denmark</v>
      </c>
      <c r="B669" t="str">
        <f>IFERROR(__xludf.DUMMYFUNCTION("""COMPUTED_VALUE"""),"Europe")</f>
        <v>Europe</v>
      </c>
      <c r="C669">
        <f>IFERROR(__xludf.DUMMYFUNCTION("""COMPUTED_VALUE"""),18.0)</f>
        <v>18</v>
      </c>
      <c r="D669" t="str">
        <f>IFERROR(__xludf.DUMMYFUNCTION("""COMPUTED_VALUE"""),"THE SCOTTS")</f>
        <v>THE SCOTTS</v>
      </c>
      <c r="E669" t="str">
        <f>IFERROR(__xludf.DUMMYFUNCTION("""COMPUTED_VALUE"""),"THE SCOTTS, Travis Scott, Kid Cudi")</f>
        <v>THE SCOTTS, Travis Scott, Kid Cudi</v>
      </c>
      <c r="F669" t="str">
        <f>IFERROR(__xludf.DUMMYFUNCTION("""COMPUTED_VALUE"""),"THE SCOTTS")</f>
        <v>THE SCOTTS</v>
      </c>
      <c r="G669">
        <f>IFERROR(__xludf.DUMMYFUNCTION("""COMPUTED_VALUE"""),1.0)</f>
        <v>1</v>
      </c>
      <c r="H669" s="5">
        <f>IFERROR(__xludf.DUMMYFUNCTION("""COMPUTED_VALUE"""),0.11458333333212067)</f>
        <v>0.1145833333</v>
      </c>
    </row>
    <row r="670">
      <c r="A670" t="str">
        <f>IFERROR(__xludf.DUMMYFUNCTION("""COMPUTED_VALUE"""),"Denmark")</f>
        <v>Denmark</v>
      </c>
      <c r="B670" t="str">
        <f>IFERROR(__xludf.DUMMYFUNCTION("""COMPUTED_VALUE"""),"Europe")</f>
        <v>Europe</v>
      </c>
      <c r="C670">
        <f>IFERROR(__xludf.DUMMYFUNCTION("""COMPUTED_VALUE"""),19.0)</f>
        <v>19</v>
      </c>
      <c r="D670" t="str">
        <f>IFERROR(__xludf.DUMMYFUNCTION("""COMPUTED_VALUE"""),"Rain On Me (with Ariana Grande)")</f>
        <v>Rain On Me (with Ariana Grande)</v>
      </c>
      <c r="E670" t="str">
        <f>IFERROR(__xludf.DUMMYFUNCTION("""COMPUTED_VALUE"""),"Lady Gaga, Ariana Grande")</f>
        <v>Lady Gaga, Ariana Grande</v>
      </c>
      <c r="F670" t="str">
        <f>IFERROR(__xludf.DUMMYFUNCTION("""COMPUTED_VALUE"""),"Rain On Me (with Ariana Grande)")</f>
        <v>Rain On Me (with Ariana Grande)</v>
      </c>
      <c r="G670">
        <f>IFERROR(__xludf.DUMMYFUNCTION("""COMPUTED_VALUE"""),0.0)</f>
        <v>0</v>
      </c>
      <c r="H670" s="5">
        <f>IFERROR(__xludf.DUMMYFUNCTION("""COMPUTED_VALUE"""),0.12638888888977817)</f>
        <v>0.1263888889</v>
      </c>
    </row>
    <row r="671">
      <c r="A671" t="str">
        <f>IFERROR(__xludf.DUMMYFUNCTION("""COMPUTED_VALUE"""),"Denmark")</f>
        <v>Denmark</v>
      </c>
      <c r="B671" t="str">
        <f>IFERROR(__xludf.DUMMYFUNCTION("""COMPUTED_VALUE"""),"Europe")</f>
        <v>Europe</v>
      </c>
      <c r="C671">
        <f>IFERROR(__xludf.DUMMYFUNCTION("""COMPUTED_VALUE"""),20.0)</f>
        <v>20</v>
      </c>
      <c r="D671" t="str">
        <f>IFERROR(__xludf.DUMMYFUNCTION("""COMPUTED_VALUE"""),"WHIP WHOP")</f>
        <v>WHIP WHOP</v>
      </c>
      <c r="E671" t="str">
        <f>IFERROR(__xludf.DUMMYFUNCTION("""COMPUTED_VALUE"""),"I$WAAL")</f>
        <v>I$WAAL</v>
      </c>
      <c r="F671" t="str">
        <f>IFERROR(__xludf.DUMMYFUNCTION("""COMPUTED_VALUE"""),"WHIP WHOP")</f>
        <v>WHIP WHOP</v>
      </c>
      <c r="G671">
        <f>IFERROR(__xludf.DUMMYFUNCTION("""COMPUTED_VALUE"""),1.0)</f>
        <v>1</v>
      </c>
      <c r="H671" s="5">
        <f>IFERROR(__xludf.DUMMYFUNCTION("""COMPUTED_VALUE"""),0.14652777777882875)</f>
        <v>0.1465277778</v>
      </c>
    </row>
    <row r="672">
      <c r="A672" t="str">
        <f>IFERROR(__xludf.DUMMYFUNCTION("""COMPUTED_VALUE"""),"Denmark")</f>
        <v>Denmark</v>
      </c>
      <c r="B672" t="str">
        <f>IFERROR(__xludf.DUMMYFUNCTION("""COMPUTED_VALUE"""),"Europe")</f>
        <v>Europe</v>
      </c>
      <c r="C672">
        <f>IFERROR(__xludf.DUMMYFUNCTION("""COMPUTED_VALUE"""),21.0)</f>
        <v>21</v>
      </c>
      <c r="D672" t="str">
        <f>IFERROR(__xludf.DUMMYFUNCTION("""COMPUTED_VALUE"""),"Min Bror (Josef Og Elias X ICEKIID)")</f>
        <v>Min Bror (Josef Og Elias X ICEKIID)</v>
      </c>
      <c r="E672" t="str">
        <f>IFERROR(__xludf.DUMMYFUNCTION("""COMPUTED_VALUE"""),"Josef Og Elias, ICEKIID")</f>
        <v>Josef Og Elias, ICEKIID</v>
      </c>
      <c r="F672" t="str">
        <f>IFERROR(__xludf.DUMMYFUNCTION("""COMPUTED_VALUE"""),"Min Bror (Josef Og Elias X ICEKIID)")</f>
        <v>Min Bror (Josef Og Elias X ICEKIID)</v>
      </c>
      <c r="G672">
        <f>IFERROR(__xludf.DUMMYFUNCTION("""COMPUTED_VALUE"""),1.0)</f>
        <v>1</v>
      </c>
      <c r="H672" s="5">
        <f>IFERROR(__xludf.DUMMYFUNCTION("""COMPUTED_VALUE"""),0.11527777777882875)</f>
        <v>0.1152777778</v>
      </c>
    </row>
    <row r="673">
      <c r="A673" t="str">
        <f>IFERROR(__xludf.DUMMYFUNCTION("""COMPUTED_VALUE"""),"Denmark")</f>
        <v>Denmark</v>
      </c>
      <c r="B673" t="str">
        <f>IFERROR(__xludf.DUMMYFUNCTION("""COMPUTED_VALUE"""),"Europe")</f>
        <v>Europe</v>
      </c>
      <c r="C673">
        <f>IFERROR(__xludf.DUMMYFUNCTION("""COMPUTED_VALUE"""),22.0)</f>
        <v>22</v>
      </c>
      <c r="D673" t="str">
        <f>IFERROR(__xludf.DUMMYFUNCTION("""COMPUTED_VALUE"""),"Stuck with U (with Justin Bieber)")</f>
        <v>Stuck with U (with Justin Bieber)</v>
      </c>
      <c r="E673" t="str">
        <f>IFERROR(__xludf.DUMMYFUNCTION("""COMPUTED_VALUE"""),"Ariana Grande, Justin Bieber")</f>
        <v>Ariana Grande, Justin Bieber</v>
      </c>
      <c r="F673" t="str">
        <f>IFERROR(__xludf.DUMMYFUNCTION("""COMPUTED_VALUE"""),"Stuck with U")</f>
        <v>Stuck with U</v>
      </c>
      <c r="G673">
        <f>IFERROR(__xludf.DUMMYFUNCTION("""COMPUTED_VALUE"""),0.0)</f>
        <v>0</v>
      </c>
      <c r="H673" s="5">
        <f>IFERROR(__xludf.DUMMYFUNCTION("""COMPUTED_VALUE"""),0.15833333333284827)</f>
        <v>0.1583333333</v>
      </c>
    </row>
    <row r="674">
      <c r="A674" t="str">
        <f>IFERROR(__xludf.DUMMYFUNCTION("""COMPUTED_VALUE"""),"Denmark")</f>
        <v>Denmark</v>
      </c>
      <c r="B674" t="str">
        <f>IFERROR(__xludf.DUMMYFUNCTION("""COMPUTED_VALUE"""),"Europe")</f>
        <v>Europe</v>
      </c>
      <c r="C674">
        <f>IFERROR(__xludf.DUMMYFUNCTION("""COMPUTED_VALUE"""),23.0)</f>
        <v>23</v>
      </c>
      <c r="D674" t="str">
        <f>IFERROR(__xludf.DUMMYFUNCTION("""COMPUTED_VALUE"""),"Gonzo")</f>
        <v>Gonzo</v>
      </c>
      <c r="E674" t="str">
        <f>IFERROR(__xludf.DUMMYFUNCTION("""COMPUTED_VALUE"""),"Suspekt")</f>
        <v>Suspekt</v>
      </c>
      <c r="F674" t="str">
        <f>IFERROR(__xludf.DUMMYFUNCTION("""COMPUTED_VALUE"""),"Sindssyge Ting")</f>
        <v>Sindssyge Ting</v>
      </c>
      <c r="G674">
        <f>IFERROR(__xludf.DUMMYFUNCTION("""COMPUTED_VALUE"""),1.0)</f>
        <v>1</v>
      </c>
      <c r="H674" s="5">
        <f>IFERROR(__xludf.DUMMYFUNCTION("""COMPUTED_VALUE"""),0.11944444444452529)</f>
        <v>0.1194444444</v>
      </c>
    </row>
    <row r="675">
      <c r="A675" t="str">
        <f>IFERROR(__xludf.DUMMYFUNCTION("""COMPUTED_VALUE"""),"Denmark")</f>
        <v>Denmark</v>
      </c>
      <c r="B675" t="str">
        <f>IFERROR(__xludf.DUMMYFUNCTION("""COMPUTED_VALUE"""),"Europe")</f>
        <v>Europe</v>
      </c>
      <c r="C675">
        <f>IFERROR(__xludf.DUMMYFUNCTION("""COMPUTED_VALUE"""),24.0)</f>
        <v>24</v>
      </c>
      <c r="D675" t="str">
        <f>IFERROR(__xludf.DUMMYFUNCTION("""COMPUTED_VALUE"""),"NO SKRUB$")</f>
        <v>NO SKRUB$</v>
      </c>
      <c r="E675" t="str">
        <f>IFERROR(__xludf.DUMMYFUNCTION("""COMPUTED_VALUE"""),"TopGunn, Medina")</f>
        <v>TopGunn, Medina</v>
      </c>
      <c r="F675" t="str">
        <f>IFERROR(__xludf.DUMMYFUNCTION("""COMPUTED_VALUE"""),"SAS")</f>
        <v>SAS</v>
      </c>
      <c r="G675">
        <f>IFERROR(__xludf.DUMMYFUNCTION("""COMPUTED_VALUE"""),0.0)</f>
        <v>0</v>
      </c>
      <c r="H675" s="5">
        <f>IFERROR(__xludf.DUMMYFUNCTION("""COMPUTED_VALUE"""),0.1124999999992724)</f>
        <v>0.1125</v>
      </c>
    </row>
    <row r="676">
      <c r="A676" t="str">
        <f>IFERROR(__xludf.DUMMYFUNCTION("""COMPUTED_VALUE"""),"Denmark")</f>
        <v>Denmark</v>
      </c>
      <c r="B676" t="str">
        <f>IFERROR(__xludf.DUMMYFUNCTION("""COMPUTED_VALUE"""),"Europe")</f>
        <v>Europe</v>
      </c>
      <c r="C676">
        <f>IFERROR(__xludf.DUMMYFUNCTION("""COMPUTED_VALUE"""),25.0)</f>
        <v>25</v>
      </c>
      <c r="D676" t="str">
        <f>IFERROR(__xludf.DUMMYFUNCTION("""COMPUTED_VALUE"""),"Blitz, Baby")</f>
        <v>Blitz, Baby</v>
      </c>
      <c r="E676" t="str">
        <f>IFERROR(__xludf.DUMMYFUNCTION("""COMPUTED_VALUE"""),"Jung")</f>
        <v>Jung</v>
      </c>
      <c r="F676" t="str">
        <f>IFERROR(__xludf.DUMMYFUNCTION("""COMPUTED_VALUE"""),"Blitz")</f>
        <v>Blitz</v>
      </c>
      <c r="G676">
        <f>IFERROR(__xludf.DUMMYFUNCTION("""COMPUTED_VALUE"""),0.0)</f>
        <v>0</v>
      </c>
      <c r="H676" s="5">
        <f>IFERROR(__xludf.DUMMYFUNCTION("""COMPUTED_VALUE"""),0.13680555555401952)</f>
        <v>0.1368055556</v>
      </c>
    </row>
    <row r="677">
      <c r="A677" t="str">
        <f>IFERROR(__xludf.DUMMYFUNCTION("""COMPUTED_VALUE"""),"Denmark")</f>
        <v>Denmark</v>
      </c>
      <c r="B677" t="str">
        <f>IFERROR(__xludf.DUMMYFUNCTION("""COMPUTED_VALUE"""),"Europe")</f>
        <v>Europe</v>
      </c>
      <c r="C677">
        <f>IFERROR(__xludf.DUMMYFUNCTION("""COMPUTED_VALUE"""),26.0)</f>
        <v>26</v>
      </c>
      <c r="D677" t="str">
        <f>IFERROR(__xludf.DUMMYFUNCTION("""COMPUTED_VALUE"""),"Blueberry Faygo")</f>
        <v>Blueberry Faygo</v>
      </c>
      <c r="E677" t="str">
        <f>IFERROR(__xludf.DUMMYFUNCTION("""COMPUTED_VALUE"""),"Lil Mosey")</f>
        <v>Lil Mosey</v>
      </c>
      <c r="F677" t="str">
        <f>IFERROR(__xludf.DUMMYFUNCTION("""COMPUTED_VALUE"""),"Certified Hitmaker")</f>
        <v>Certified Hitmaker</v>
      </c>
      <c r="G677">
        <f>IFERROR(__xludf.DUMMYFUNCTION("""COMPUTED_VALUE"""),1.0)</f>
        <v>1</v>
      </c>
      <c r="H677" s="5">
        <f>IFERROR(__xludf.DUMMYFUNCTION("""COMPUTED_VALUE"""),0.1124999999992724)</f>
        <v>0.1125</v>
      </c>
    </row>
    <row r="678">
      <c r="A678" t="str">
        <f>IFERROR(__xludf.DUMMYFUNCTION("""COMPUTED_VALUE"""),"Denmark")</f>
        <v>Denmark</v>
      </c>
      <c r="B678" t="str">
        <f>IFERROR(__xludf.DUMMYFUNCTION("""COMPUTED_VALUE"""),"Europe")</f>
        <v>Europe</v>
      </c>
      <c r="C678">
        <f>IFERROR(__xludf.DUMMYFUNCTION("""COMPUTED_VALUE"""),27.0)</f>
        <v>27</v>
      </c>
      <c r="D678" t="str">
        <f>IFERROR(__xludf.DUMMYFUNCTION("""COMPUTED_VALUE"""),"Så'n der")</f>
        <v>Så'n der</v>
      </c>
      <c r="E678" t="str">
        <f>IFERROR(__xludf.DUMMYFUNCTION("""COMPUTED_VALUE"""),"Tessa")</f>
        <v>Tessa</v>
      </c>
      <c r="F678" t="str">
        <f>IFERROR(__xludf.DUMMYFUNCTION("""COMPUTED_VALUE"""),"Så'n der")</f>
        <v>Så'n der</v>
      </c>
      <c r="G678">
        <f>IFERROR(__xludf.DUMMYFUNCTION("""COMPUTED_VALUE"""),1.0)</f>
        <v>1</v>
      </c>
      <c r="H678" s="5">
        <f>IFERROR(__xludf.DUMMYFUNCTION("""COMPUTED_VALUE"""),0.10763888889050577)</f>
        <v>0.1076388889</v>
      </c>
    </row>
    <row r="679">
      <c r="A679" t="str">
        <f>IFERROR(__xludf.DUMMYFUNCTION("""COMPUTED_VALUE"""),"Denmark")</f>
        <v>Denmark</v>
      </c>
      <c r="B679" t="str">
        <f>IFERROR(__xludf.DUMMYFUNCTION("""COMPUTED_VALUE"""),"Europe")</f>
        <v>Europe</v>
      </c>
      <c r="C679">
        <f>IFERROR(__xludf.DUMMYFUNCTION("""COMPUTED_VALUE"""),28.0)</f>
        <v>28</v>
      </c>
      <c r="D679" t="str">
        <f>IFERROR(__xludf.DUMMYFUNCTION("""COMPUTED_VALUE"""),"Ben")</f>
        <v>Ben</v>
      </c>
      <c r="E679" t="str">
        <f>IFERROR(__xludf.DUMMYFUNCTION("""COMPUTED_VALUE"""),"Tessa")</f>
        <v>Tessa</v>
      </c>
      <c r="F679" t="str">
        <f>IFERROR(__xludf.DUMMYFUNCTION("""COMPUTED_VALUE"""),"Ben")</f>
        <v>Ben</v>
      </c>
      <c r="G679">
        <f>IFERROR(__xludf.DUMMYFUNCTION("""COMPUTED_VALUE"""),1.0)</f>
        <v>1</v>
      </c>
      <c r="H679" s="5">
        <f>IFERROR(__xludf.DUMMYFUNCTION("""COMPUTED_VALUE"""),0.12222222222044365)</f>
        <v>0.1222222222</v>
      </c>
    </row>
    <row r="680">
      <c r="A680" t="str">
        <f>IFERROR(__xludf.DUMMYFUNCTION("""COMPUTED_VALUE"""),"Denmark")</f>
        <v>Denmark</v>
      </c>
      <c r="B680" t="str">
        <f>IFERROR(__xludf.DUMMYFUNCTION("""COMPUTED_VALUE"""),"Europe")</f>
        <v>Europe</v>
      </c>
      <c r="C680">
        <f>IFERROR(__xludf.DUMMYFUNCTION("""COMPUTED_VALUE"""),29.0)</f>
        <v>29</v>
      </c>
      <c r="D680" t="str">
        <f>IFERROR(__xludf.DUMMYFUNCTION("""COMPUTED_VALUE"""),"Gelato")</f>
        <v>Gelato</v>
      </c>
      <c r="E680" t="str">
        <f>IFERROR(__xludf.DUMMYFUNCTION("""COMPUTED_VALUE"""),"Benny Jamz")</f>
        <v>Benny Jamz</v>
      </c>
      <c r="F680" t="str">
        <f>IFERROR(__xludf.DUMMYFUNCTION("""COMPUTED_VALUE"""),"Gelato")</f>
        <v>Gelato</v>
      </c>
      <c r="G680">
        <f>IFERROR(__xludf.DUMMYFUNCTION("""COMPUTED_VALUE"""),0.0)</f>
        <v>0</v>
      </c>
      <c r="H680" s="5">
        <f>IFERROR(__xludf.DUMMYFUNCTION("""COMPUTED_VALUE"""),0.1243055555569299)</f>
        <v>0.1243055556</v>
      </c>
    </row>
    <row r="681">
      <c r="A681" t="str">
        <f>IFERROR(__xludf.DUMMYFUNCTION("""COMPUTED_VALUE"""),"Denmark")</f>
        <v>Denmark</v>
      </c>
      <c r="B681" t="str">
        <f>IFERROR(__xludf.DUMMYFUNCTION("""COMPUTED_VALUE"""),"Europe")</f>
        <v>Europe</v>
      </c>
      <c r="C681">
        <f>IFERROR(__xludf.DUMMYFUNCTION("""COMPUTED_VALUE"""),30.0)</f>
        <v>30</v>
      </c>
      <c r="D681" t="str">
        <f>IFERROR(__xludf.DUMMYFUNCTION("""COMPUTED_VALUE"""),"Intentions (feat. Quavo)")</f>
        <v>Intentions (feat. Quavo)</v>
      </c>
      <c r="E681" t="str">
        <f>IFERROR(__xludf.DUMMYFUNCTION("""COMPUTED_VALUE"""),"Justin Bieber, Quavo")</f>
        <v>Justin Bieber, Quavo</v>
      </c>
      <c r="F681" t="str">
        <f>IFERROR(__xludf.DUMMYFUNCTION("""COMPUTED_VALUE"""),"Changes")</f>
        <v>Changes</v>
      </c>
      <c r="G681">
        <f>IFERROR(__xludf.DUMMYFUNCTION("""COMPUTED_VALUE"""),0.0)</f>
        <v>0</v>
      </c>
      <c r="H681" s="5">
        <f>IFERROR(__xludf.DUMMYFUNCTION("""COMPUTED_VALUE"""),0.14722222222189885)</f>
        <v>0.1472222222</v>
      </c>
    </row>
    <row r="682">
      <c r="A682" t="str">
        <f>IFERROR(__xludf.DUMMYFUNCTION("""COMPUTED_VALUE"""),"Denmark")</f>
        <v>Denmark</v>
      </c>
      <c r="B682" t="str">
        <f>IFERROR(__xludf.DUMMYFUNCTION("""COMPUTED_VALUE"""),"Europe")</f>
        <v>Europe</v>
      </c>
      <c r="C682">
        <f>IFERROR(__xludf.DUMMYFUNCTION("""COMPUTED_VALUE"""),31.0)</f>
        <v>31</v>
      </c>
      <c r="D682" t="str">
        <f>IFERROR(__xludf.DUMMYFUNCTION("""COMPUTED_VALUE"""),"Smid Tøjet")</f>
        <v>Smid Tøjet</v>
      </c>
      <c r="E682" t="str">
        <f>IFERROR(__xludf.DUMMYFUNCTION("""COMPUTED_VALUE"""),"Jimilian")</f>
        <v>Jimilian</v>
      </c>
      <c r="F682" t="str">
        <f>IFERROR(__xludf.DUMMYFUNCTION("""COMPUTED_VALUE"""),"Smid Tøjet")</f>
        <v>Smid Tøjet</v>
      </c>
      <c r="G682">
        <f>IFERROR(__xludf.DUMMYFUNCTION("""COMPUTED_VALUE"""),1.0)</f>
        <v>1</v>
      </c>
      <c r="H682" s="5">
        <f>IFERROR(__xludf.DUMMYFUNCTION("""COMPUTED_VALUE"""),0.11597222222189885)</f>
        <v>0.1159722222</v>
      </c>
    </row>
    <row r="683">
      <c r="A683" t="str">
        <f>IFERROR(__xludf.DUMMYFUNCTION("""COMPUTED_VALUE"""),"Denmark")</f>
        <v>Denmark</v>
      </c>
      <c r="B683" t="str">
        <f>IFERROR(__xludf.DUMMYFUNCTION("""COMPUTED_VALUE"""),"Europe")</f>
        <v>Europe</v>
      </c>
      <c r="C683">
        <f>IFERROR(__xludf.DUMMYFUNCTION("""COMPUTED_VALUE"""),32.0)</f>
        <v>32</v>
      </c>
      <c r="D683" t="str">
        <f>IFERROR(__xludf.DUMMYFUNCTION("""COMPUTED_VALUE"""),"death bed (coffee for your head) (feat. beabadoobee)")</f>
        <v>death bed (coffee for your head) (feat. beabadoobee)</v>
      </c>
      <c r="E683" t="str">
        <f>IFERROR(__xludf.DUMMYFUNCTION("""COMPUTED_VALUE"""),"Powfu, beabadoobee")</f>
        <v>Powfu, beabadoobee</v>
      </c>
      <c r="F683" t="str">
        <f>IFERROR(__xludf.DUMMYFUNCTION("""COMPUTED_VALUE"""),"death bed (coffee for your head) (feat. beabadoobee)")</f>
        <v>death bed (coffee for your head) (feat. beabadoobee)</v>
      </c>
      <c r="G683">
        <f>IFERROR(__xludf.DUMMYFUNCTION("""COMPUTED_VALUE"""),0.0)</f>
        <v>0</v>
      </c>
      <c r="H683" s="5">
        <f>IFERROR(__xludf.DUMMYFUNCTION("""COMPUTED_VALUE"""),0.12013888888759539)</f>
        <v>0.1201388889</v>
      </c>
    </row>
    <row r="684">
      <c r="A684" t="str">
        <f>IFERROR(__xludf.DUMMYFUNCTION("""COMPUTED_VALUE"""),"Denmark")</f>
        <v>Denmark</v>
      </c>
      <c r="B684" t="str">
        <f>IFERROR(__xludf.DUMMYFUNCTION("""COMPUTED_VALUE"""),"Europe")</f>
        <v>Europe</v>
      </c>
      <c r="C684">
        <f>IFERROR(__xludf.DUMMYFUNCTION("""COMPUTED_VALUE"""),33.0)</f>
        <v>33</v>
      </c>
      <c r="D684" t="str">
        <f>IFERROR(__xludf.DUMMYFUNCTION("""COMPUTED_VALUE"""),"ily (i love you baby) (feat. Emilee)")</f>
        <v>ily (i love you baby) (feat. Emilee)</v>
      </c>
      <c r="E684" t="str">
        <f>IFERROR(__xludf.DUMMYFUNCTION("""COMPUTED_VALUE"""),"Surf Mesa, Emilee")</f>
        <v>Surf Mesa, Emilee</v>
      </c>
      <c r="F684" t="str">
        <f>IFERROR(__xludf.DUMMYFUNCTION("""COMPUTED_VALUE"""),"ily (i love you baby) (feat. Emilee)")</f>
        <v>ily (i love you baby) (feat. Emilee)</v>
      </c>
      <c r="G684">
        <f>IFERROR(__xludf.DUMMYFUNCTION("""COMPUTED_VALUE"""),0.0)</f>
        <v>0</v>
      </c>
      <c r="H684" s="5">
        <f>IFERROR(__xludf.DUMMYFUNCTION("""COMPUTED_VALUE"""),0.12222222222044365)</f>
        <v>0.1222222222</v>
      </c>
    </row>
    <row r="685">
      <c r="A685" t="str">
        <f>IFERROR(__xludf.DUMMYFUNCTION("""COMPUTED_VALUE"""),"Denmark")</f>
        <v>Denmark</v>
      </c>
      <c r="B685" t="str">
        <f>IFERROR(__xludf.DUMMYFUNCTION("""COMPUTED_VALUE"""),"Europe")</f>
        <v>Europe</v>
      </c>
      <c r="C685">
        <f>IFERROR(__xludf.DUMMYFUNCTION("""COMPUTED_VALUE"""),34.0)</f>
        <v>34</v>
      </c>
      <c r="D685" t="str">
        <f>IFERROR(__xludf.DUMMYFUNCTION("""COMPUTED_VALUE"""),"Burnout")</f>
        <v>Burnout</v>
      </c>
      <c r="E685" t="str">
        <f>IFERROR(__xludf.DUMMYFUNCTION("""COMPUTED_VALUE"""),"Calby")</f>
        <v>Calby</v>
      </c>
      <c r="F685" t="str">
        <f>IFERROR(__xludf.DUMMYFUNCTION("""COMPUTED_VALUE"""),"Burnout")</f>
        <v>Burnout</v>
      </c>
      <c r="G685">
        <f>IFERROR(__xludf.DUMMYFUNCTION("""COMPUTED_VALUE"""),0.0)</f>
        <v>0</v>
      </c>
      <c r="H685" s="5">
        <f>IFERROR(__xludf.DUMMYFUNCTION("""COMPUTED_VALUE"""),0.13680555555401952)</f>
        <v>0.1368055556</v>
      </c>
    </row>
    <row r="686">
      <c r="A686" t="str">
        <f>IFERROR(__xludf.DUMMYFUNCTION("""COMPUTED_VALUE"""),"Denmark")</f>
        <v>Denmark</v>
      </c>
      <c r="B686" t="str">
        <f>IFERROR(__xludf.DUMMYFUNCTION("""COMPUTED_VALUE"""),"Europe")</f>
        <v>Europe</v>
      </c>
      <c r="C686">
        <f>IFERROR(__xludf.DUMMYFUNCTION("""COMPUTED_VALUE"""),35.0)</f>
        <v>35</v>
      </c>
      <c r="D686" t="str">
        <f>IFERROR(__xludf.DUMMYFUNCTION("""COMPUTED_VALUE"""),"Dance Monkey")</f>
        <v>Dance Monkey</v>
      </c>
      <c r="E686" t="str">
        <f>IFERROR(__xludf.DUMMYFUNCTION("""COMPUTED_VALUE"""),"Tones And I")</f>
        <v>Tones And I</v>
      </c>
      <c r="F686" t="str">
        <f>IFERROR(__xludf.DUMMYFUNCTION("""COMPUTED_VALUE"""),"Dance Monkey (Stripped Back) / Dance Monkey")</f>
        <v>Dance Monkey (Stripped Back) / Dance Monkey</v>
      </c>
      <c r="G686">
        <f>IFERROR(__xludf.DUMMYFUNCTION("""COMPUTED_VALUE"""),0.0)</f>
        <v>0</v>
      </c>
      <c r="H686" s="5">
        <f>IFERROR(__xludf.DUMMYFUNCTION("""COMPUTED_VALUE"""),0.14513888888905058)</f>
        <v>0.1451388889</v>
      </c>
    </row>
    <row r="687">
      <c r="A687" t="str">
        <f>IFERROR(__xludf.DUMMYFUNCTION("""COMPUTED_VALUE"""),"Denmark")</f>
        <v>Denmark</v>
      </c>
      <c r="B687" t="str">
        <f>IFERROR(__xludf.DUMMYFUNCTION("""COMPUTED_VALUE"""),"Europe")</f>
        <v>Europe</v>
      </c>
      <c r="C687">
        <f>IFERROR(__xludf.DUMMYFUNCTION("""COMPUTED_VALUE"""),36.0)</f>
        <v>36</v>
      </c>
      <c r="D687" t="str">
        <f>IFERROR(__xludf.DUMMYFUNCTION("""COMPUTED_VALUE"""),"Don't Start Now")</f>
        <v>Don't Start Now</v>
      </c>
      <c r="E687" t="str">
        <f>IFERROR(__xludf.DUMMYFUNCTION("""COMPUTED_VALUE"""),"Dua Lipa")</f>
        <v>Dua Lipa</v>
      </c>
      <c r="F687" t="str">
        <f>IFERROR(__xludf.DUMMYFUNCTION("""COMPUTED_VALUE"""),"Future Nostalgia")</f>
        <v>Future Nostalgia</v>
      </c>
      <c r="G687">
        <f>IFERROR(__xludf.DUMMYFUNCTION("""COMPUTED_VALUE"""),0.0)</f>
        <v>0</v>
      </c>
      <c r="H687" s="5">
        <f>IFERROR(__xludf.DUMMYFUNCTION("""COMPUTED_VALUE"""),0.12708333333284827)</f>
        <v>0.1270833333</v>
      </c>
    </row>
    <row r="688">
      <c r="A688" t="str">
        <f>IFERROR(__xludf.DUMMYFUNCTION("""COMPUTED_VALUE"""),"Denmark")</f>
        <v>Denmark</v>
      </c>
      <c r="B688" t="str">
        <f>IFERROR(__xludf.DUMMYFUNCTION("""COMPUTED_VALUE"""),"Europe")</f>
        <v>Europe</v>
      </c>
      <c r="C688">
        <f>IFERROR(__xludf.DUMMYFUNCTION("""COMPUTED_VALUE"""),37.0)</f>
        <v>37</v>
      </c>
      <c r="D688" t="str">
        <f>IFERROR(__xludf.DUMMYFUNCTION("""COMPUTED_VALUE"""),"Hangover")</f>
        <v>Hangover</v>
      </c>
      <c r="E688" t="str">
        <f>IFERROR(__xludf.DUMMYFUNCTION("""COMPUTED_VALUE"""),"Ude Af Kontrol")</f>
        <v>Ude Af Kontrol</v>
      </c>
      <c r="F688" t="str">
        <f>IFERROR(__xludf.DUMMYFUNCTION("""COMPUTED_VALUE"""),"Hangover")</f>
        <v>Hangover</v>
      </c>
      <c r="G688">
        <f>IFERROR(__xludf.DUMMYFUNCTION("""COMPUTED_VALUE"""),1.0)</f>
        <v>1</v>
      </c>
      <c r="H688" s="5">
        <f>IFERROR(__xludf.DUMMYFUNCTION("""COMPUTED_VALUE"""),0.09652777777955635)</f>
        <v>0.09652777778</v>
      </c>
    </row>
    <row r="689">
      <c r="A689" t="str">
        <f>IFERROR(__xludf.DUMMYFUNCTION("""COMPUTED_VALUE"""),"Denmark")</f>
        <v>Denmark</v>
      </c>
      <c r="B689" t="str">
        <f>IFERROR(__xludf.DUMMYFUNCTION("""COMPUTED_VALUE"""),"Europe")</f>
        <v>Europe</v>
      </c>
      <c r="C689">
        <f>IFERROR(__xludf.DUMMYFUNCTION("""COMPUTED_VALUE"""),38.0)</f>
        <v>38</v>
      </c>
      <c r="D689" t="str">
        <f>IFERROR(__xludf.DUMMYFUNCTION("""COMPUTED_VALUE"""),"Supalonely")</f>
        <v>Supalonely</v>
      </c>
      <c r="E689" t="str">
        <f>IFERROR(__xludf.DUMMYFUNCTION("""COMPUTED_VALUE"""),"BENEE, Gus Dapperton")</f>
        <v>BENEE, Gus Dapperton</v>
      </c>
      <c r="F689" t="str">
        <f>IFERROR(__xludf.DUMMYFUNCTION("""COMPUTED_VALUE"""),"STELLA &amp; STEVE")</f>
        <v>STELLA &amp; STEVE</v>
      </c>
      <c r="G689">
        <f>IFERROR(__xludf.DUMMYFUNCTION("""COMPUTED_VALUE"""),1.0)</f>
        <v>1</v>
      </c>
      <c r="H689" s="5">
        <f>IFERROR(__xludf.DUMMYFUNCTION("""COMPUTED_VALUE"""),0.15486111111022183)</f>
        <v>0.1548611111</v>
      </c>
    </row>
    <row r="690">
      <c r="A690" t="str">
        <f>IFERROR(__xludf.DUMMYFUNCTION("""COMPUTED_VALUE"""),"Denmark")</f>
        <v>Denmark</v>
      </c>
      <c r="B690" t="str">
        <f>IFERROR(__xludf.DUMMYFUNCTION("""COMPUTED_VALUE"""),"Europe")</f>
        <v>Europe</v>
      </c>
      <c r="C690">
        <f>IFERROR(__xludf.DUMMYFUNCTION("""COMPUTED_VALUE"""),39.0)</f>
        <v>39</v>
      </c>
      <c r="D690" t="str">
        <f>IFERROR(__xludf.DUMMYFUNCTION("""COMPUTED_VALUE"""),"PUB G (feat. Branco &amp; Larry 44)")</f>
        <v>PUB G (feat. Branco &amp; Larry 44)</v>
      </c>
      <c r="E690" t="str">
        <f>IFERROR(__xludf.DUMMYFUNCTION("""COMPUTED_VALUE"""),"LOLO, Branco, Larry 44")</f>
        <v>LOLO, Branco, Larry 44</v>
      </c>
      <c r="F690" t="str">
        <f>IFERROR(__xludf.DUMMYFUNCTION("""COMPUTED_VALUE"""),"PUB G (feat. Branco &amp; Larry 44)")</f>
        <v>PUB G (feat. Branco &amp; Larry 44)</v>
      </c>
      <c r="G690">
        <f>IFERROR(__xludf.DUMMYFUNCTION("""COMPUTED_VALUE"""),1.0)</f>
        <v>1</v>
      </c>
      <c r="H690" s="5">
        <f>IFERROR(__xludf.DUMMYFUNCTION("""COMPUTED_VALUE"""),0.11041666666642413)</f>
        <v>0.1104166667</v>
      </c>
    </row>
    <row r="691">
      <c r="A691" t="str">
        <f>IFERROR(__xludf.DUMMYFUNCTION("""COMPUTED_VALUE"""),"Denmark")</f>
        <v>Denmark</v>
      </c>
      <c r="B691" t="str">
        <f>IFERROR(__xludf.DUMMYFUNCTION("""COMPUTED_VALUE"""),"Europe")</f>
        <v>Europe</v>
      </c>
      <c r="C691">
        <f>IFERROR(__xludf.DUMMYFUNCTION("""COMPUTED_VALUE"""),40.0)</f>
        <v>40</v>
      </c>
      <c r="D691" t="str">
        <f>IFERROR(__xludf.DUMMYFUNCTION("""COMPUTED_VALUE"""),"Someone You Loved")</f>
        <v>Someone You Loved</v>
      </c>
      <c r="E691" t="str">
        <f>IFERROR(__xludf.DUMMYFUNCTION("""COMPUTED_VALUE"""),"Lewis Capaldi")</f>
        <v>Lewis Capaldi</v>
      </c>
      <c r="F691" t="str">
        <f>IFERROR(__xludf.DUMMYFUNCTION("""COMPUTED_VALUE"""),"Divinely Uninspired To A Hellish Extent")</f>
        <v>Divinely Uninspired To A Hellish Extent</v>
      </c>
      <c r="G691">
        <f>IFERROR(__xludf.DUMMYFUNCTION("""COMPUTED_VALUE"""),0.0)</f>
        <v>0</v>
      </c>
      <c r="H691" s="5">
        <f>IFERROR(__xludf.DUMMYFUNCTION("""COMPUTED_VALUE"""),0.12638888888977817)</f>
        <v>0.1263888889</v>
      </c>
    </row>
    <row r="692">
      <c r="A692" t="str">
        <f>IFERROR(__xludf.DUMMYFUNCTION("""COMPUTED_VALUE"""),"Denmark")</f>
        <v>Denmark</v>
      </c>
      <c r="B692" t="str">
        <f>IFERROR(__xludf.DUMMYFUNCTION("""COMPUTED_VALUE"""),"Europe")</f>
        <v>Europe</v>
      </c>
      <c r="C692">
        <f>IFERROR(__xludf.DUMMYFUNCTION("""COMPUTED_VALUE"""),41.0)</f>
        <v>41</v>
      </c>
      <c r="D692" t="str">
        <f>IFERROR(__xludf.DUMMYFUNCTION("""COMPUTED_VALUE"""),"Before You Go")</f>
        <v>Before You Go</v>
      </c>
      <c r="E692" t="str">
        <f>IFERROR(__xludf.DUMMYFUNCTION("""COMPUTED_VALUE"""),"Lewis Capaldi")</f>
        <v>Lewis Capaldi</v>
      </c>
      <c r="F692" t="str">
        <f>IFERROR(__xludf.DUMMYFUNCTION("""COMPUTED_VALUE"""),"Divinely Uninspired To A Hellish Extent (Extended Edition)")</f>
        <v>Divinely Uninspired To A Hellish Extent (Extended Edition)</v>
      </c>
      <c r="G692">
        <f>IFERROR(__xludf.DUMMYFUNCTION("""COMPUTED_VALUE"""),0.0)</f>
        <v>0</v>
      </c>
      <c r="H692" s="5">
        <f>IFERROR(__xludf.DUMMYFUNCTION("""COMPUTED_VALUE"""),0.14930555555474712)</f>
        <v>0.1493055556</v>
      </c>
    </row>
    <row r="693">
      <c r="A693" t="str">
        <f>IFERROR(__xludf.DUMMYFUNCTION("""COMPUTED_VALUE"""),"Denmark")</f>
        <v>Denmark</v>
      </c>
      <c r="B693" t="str">
        <f>IFERROR(__xludf.DUMMYFUNCTION("""COMPUTED_VALUE"""),"Europe")</f>
        <v>Europe</v>
      </c>
      <c r="C693">
        <f>IFERROR(__xludf.DUMMYFUNCTION("""COMPUTED_VALUE"""),42.0)</f>
        <v>42</v>
      </c>
      <c r="D693" t="str">
        <f>IFERROR(__xludf.DUMMYFUNCTION("""COMPUTED_VALUE"""),"Party Girl")</f>
        <v>Party Girl</v>
      </c>
      <c r="E693" t="str">
        <f>IFERROR(__xludf.DUMMYFUNCTION("""COMPUTED_VALUE"""),"StaySolidRocky")</f>
        <v>StaySolidRocky</v>
      </c>
      <c r="F693" t="str">
        <f>IFERROR(__xludf.DUMMYFUNCTION("""COMPUTED_VALUE"""),"Party Girl")</f>
        <v>Party Girl</v>
      </c>
      <c r="G693">
        <f>IFERROR(__xludf.DUMMYFUNCTION("""COMPUTED_VALUE"""),0.0)</f>
        <v>0</v>
      </c>
      <c r="H693" s="5">
        <f>IFERROR(__xludf.DUMMYFUNCTION("""COMPUTED_VALUE"""),0.10208333333503106)</f>
        <v>0.1020833333</v>
      </c>
    </row>
    <row r="694">
      <c r="A694" t="str">
        <f>IFERROR(__xludf.DUMMYFUNCTION("""COMPUTED_VALUE"""),"Denmark")</f>
        <v>Denmark</v>
      </c>
      <c r="B694" t="str">
        <f>IFERROR(__xludf.DUMMYFUNCTION("""COMPUTED_VALUE"""),"Europe")</f>
        <v>Europe</v>
      </c>
      <c r="C694">
        <f>IFERROR(__xludf.DUMMYFUNCTION("""COMPUTED_VALUE"""),43.0)</f>
        <v>43</v>
      </c>
      <c r="D694" t="str">
        <f>IFERROR(__xludf.DUMMYFUNCTION("""COMPUTED_VALUE"""),"Breaking Me")</f>
        <v>Breaking Me</v>
      </c>
      <c r="E694" t="str">
        <f>IFERROR(__xludf.DUMMYFUNCTION("""COMPUTED_VALUE"""),"Topic, A7S")</f>
        <v>Topic, A7S</v>
      </c>
      <c r="F694" t="str">
        <f>IFERROR(__xludf.DUMMYFUNCTION("""COMPUTED_VALUE"""),"Breaking Me")</f>
        <v>Breaking Me</v>
      </c>
      <c r="G694">
        <f>IFERROR(__xludf.DUMMYFUNCTION("""COMPUTED_VALUE"""),0.0)</f>
        <v>0</v>
      </c>
      <c r="H694" s="5">
        <f>IFERROR(__xludf.DUMMYFUNCTION("""COMPUTED_VALUE"""),0.11527777777882875)</f>
        <v>0.1152777778</v>
      </c>
    </row>
    <row r="695">
      <c r="A695" t="str">
        <f>IFERROR(__xludf.DUMMYFUNCTION("""COMPUTED_VALUE"""),"Denmark")</f>
        <v>Denmark</v>
      </c>
      <c r="B695" t="str">
        <f>IFERROR(__xludf.DUMMYFUNCTION("""COMPUTED_VALUE"""),"Europe")</f>
        <v>Europe</v>
      </c>
      <c r="C695">
        <f>IFERROR(__xludf.DUMMYFUNCTION("""COMPUTED_VALUE"""),44.0)</f>
        <v>44</v>
      </c>
      <c r="D695" t="str">
        <f>IFERROR(__xludf.DUMMYFUNCTION("""COMPUTED_VALUE"""),"Salt")</f>
        <v>Salt</v>
      </c>
      <c r="E695" t="str">
        <f>IFERROR(__xludf.DUMMYFUNCTION("""COMPUTED_VALUE"""),"Ava Max")</f>
        <v>Ava Max</v>
      </c>
      <c r="F695" t="str">
        <f>IFERROR(__xludf.DUMMYFUNCTION("""COMPUTED_VALUE"""),"Salt")</f>
        <v>Salt</v>
      </c>
      <c r="G695">
        <f>IFERROR(__xludf.DUMMYFUNCTION("""COMPUTED_VALUE"""),0.0)</f>
        <v>0</v>
      </c>
      <c r="H695" s="5">
        <f>IFERROR(__xludf.DUMMYFUNCTION("""COMPUTED_VALUE"""),0.125)</f>
        <v>0.125</v>
      </c>
    </row>
    <row r="696">
      <c r="A696" t="str">
        <f>IFERROR(__xludf.DUMMYFUNCTION("""COMPUTED_VALUE"""),"Denmark")</f>
        <v>Denmark</v>
      </c>
      <c r="B696" t="str">
        <f>IFERROR(__xludf.DUMMYFUNCTION("""COMPUTED_VALUE"""),"Europe")</f>
        <v>Europe</v>
      </c>
      <c r="C696">
        <f>IFERROR(__xludf.DUMMYFUNCTION("""COMPUTED_VALUE"""),45.0)</f>
        <v>45</v>
      </c>
      <c r="D696" t="str">
        <f>IFERROR(__xludf.DUMMYFUNCTION("""COMPUTED_VALUE"""),"Ghost")</f>
        <v>Ghost</v>
      </c>
      <c r="E696" t="str">
        <f>IFERROR(__xludf.DUMMYFUNCTION("""COMPUTED_VALUE"""),"Christopher")</f>
        <v>Christopher</v>
      </c>
      <c r="F696" t="str">
        <f>IFERROR(__xludf.DUMMYFUNCTION("""COMPUTED_VALUE"""),"Ghost")</f>
        <v>Ghost</v>
      </c>
      <c r="G696">
        <f>IFERROR(__xludf.DUMMYFUNCTION("""COMPUTED_VALUE"""),0.0)</f>
        <v>0</v>
      </c>
      <c r="H696" s="5">
        <f>IFERROR(__xludf.DUMMYFUNCTION("""COMPUTED_VALUE"""),0.13402777777810115)</f>
        <v>0.1340277778</v>
      </c>
    </row>
    <row r="697">
      <c r="A697" t="str">
        <f>IFERROR(__xludf.DUMMYFUNCTION("""COMPUTED_VALUE"""),"Denmark")</f>
        <v>Denmark</v>
      </c>
      <c r="B697" t="str">
        <f>IFERROR(__xludf.DUMMYFUNCTION("""COMPUTED_VALUE"""),"Europe")</f>
        <v>Europe</v>
      </c>
      <c r="C697">
        <f>IFERROR(__xludf.DUMMYFUNCTION("""COMPUTED_VALUE"""),46.0)</f>
        <v>46</v>
      </c>
      <c r="D697" t="str">
        <f>IFERROR(__xludf.DUMMYFUNCTION("""COMPUTED_VALUE"""),"Say So")</f>
        <v>Say So</v>
      </c>
      <c r="E697" t="str">
        <f>IFERROR(__xludf.DUMMYFUNCTION("""COMPUTED_VALUE"""),"Doja Cat")</f>
        <v>Doja Cat</v>
      </c>
      <c r="F697" t="str">
        <f>IFERROR(__xludf.DUMMYFUNCTION("""COMPUTED_VALUE"""),"Hot Pink")</f>
        <v>Hot Pink</v>
      </c>
      <c r="G697">
        <f>IFERROR(__xludf.DUMMYFUNCTION("""COMPUTED_VALUE"""),1.0)</f>
        <v>1</v>
      </c>
      <c r="H697" s="5">
        <f>IFERROR(__xludf.DUMMYFUNCTION("""COMPUTED_VALUE"""),0.16458333333503106)</f>
        <v>0.1645833333</v>
      </c>
    </row>
    <row r="698">
      <c r="A698" t="str">
        <f>IFERROR(__xludf.DUMMYFUNCTION("""COMPUTED_VALUE"""),"Denmark")</f>
        <v>Denmark</v>
      </c>
      <c r="B698" t="str">
        <f>IFERROR(__xludf.DUMMYFUNCTION("""COMPUTED_VALUE"""),"Europe")</f>
        <v>Europe</v>
      </c>
      <c r="C698">
        <f>IFERROR(__xludf.DUMMYFUNCTION("""COMPUTED_VALUE"""),47.0)</f>
        <v>47</v>
      </c>
      <c r="D698" t="str">
        <f>IFERROR(__xludf.DUMMYFUNCTION("""COMPUTED_VALUE"""),"Gutterne")</f>
        <v>Gutterne</v>
      </c>
      <c r="E698" t="str">
        <f>IFERROR(__xludf.DUMMYFUNCTION("""COMPUTED_VALUE"""),"Specktors, Nonsens")</f>
        <v>Specktors, Nonsens</v>
      </c>
      <c r="F698" t="str">
        <f>IFERROR(__xludf.DUMMYFUNCTION("""COMPUTED_VALUE"""),"4 LIFE")</f>
        <v>4 LIFE</v>
      </c>
      <c r="G698">
        <f>IFERROR(__xludf.DUMMYFUNCTION("""COMPUTED_VALUE"""),0.0)</f>
        <v>0</v>
      </c>
      <c r="H698" s="5">
        <f>IFERROR(__xludf.DUMMYFUNCTION("""COMPUTED_VALUE"""),0.10277777777810115)</f>
        <v>0.1027777778</v>
      </c>
    </row>
    <row r="699">
      <c r="A699" t="str">
        <f>IFERROR(__xludf.DUMMYFUNCTION("""COMPUTED_VALUE"""),"Denmark")</f>
        <v>Denmark</v>
      </c>
      <c r="B699" t="str">
        <f>IFERROR(__xludf.DUMMYFUNCTION("""COMPUTED_VALUE"""),"Europe")</f>
        <v>Europe</v>
      </c>
      <c r="C699">
        <f>IFERROR(__xludf.DUMMYFUNCTION("""COMPUTED_VALUE"""),48.0)</f>
        <v>48</v>
      </c>
      <c r="D699" t="str">
        <f>IFERROR(__xludf.DUMMYFUNCTION("""COMPUTED_VALUE"""),"Break My Heart")</f>
        <v>Break My Heart</v>
      </c>
      <c r="E699" t="str">
        <f>IFERROR(__xludf.DUMMYFUNCTION("""COMPUTED_VALUE"""),"Dua Lipa")</f>
        <v>Dua Lipa</v>
      </c>
      <c r="F699" t="str">
        <f>IFERROR(__xludf.DUMMYFUNCTION("""COMPUTED_VALUE"""),"Future Nostalgia")</f>
        <v>Future Nostalgia</v>
      </c>
      <c r="G699">
        <f>IFERROR(__xludf.DUMMYFUNCTION("""COMPUTED_VALUE"""),0.0)</f>
        <v>0</v>
      </c>
      <c r="H699" s="5">
        <f>IFERROR(__xludf.DUMMYFUNCTION("""COMPUTED_VALUE"""),0.15347222222044365)</f>
        <v>0.1534722222</v>
      </c>
    </row>
    <row r="700">
      <c r="A700" t="str">
        <f>IFERROR(__xludf.DUMMYFUNCTION("""COMPUTED_VALUE"""),"Denmark")</f>
        <v>Denmark</v>
      </c>
      <c r="B700" t="str">
        <f>IFERROR(__xludf.DUMMYFUNCTION("""COMPUTED_VALUE"""),"Europe")</f>
        <v>Europe</v>
      </c>
      <c r="C700">
        <f>IFERROR(__xludf.DUMMYFUNCTION("""COMPUTED_VALUE"""),49.0)</f>
        <v>49</v>
      </c>
      <c r="D700" t="str">
        <f>IFERROR(__xludf.DUMMYFUNCTION("""COMPUTED_VALUE"""),"Slip Away")</f>
        <v>Slip Away</v>
      </c>
      <c r="E700" t="str">
        <f>IFERROR(__xludf.DUMMYFUNCTION("""COMPUTED_VALUE"""),"Phlake, Mercedes the Virus")</f>
        <v>Phlake, Mercedes the Virus</v>
      </c>
      <c r="F700" t="str">
        <f>IFERROR(__xludf.DUMMYFUNCTION("""COMPUTED_VALUE"""),"The Illegal Download Of Your Soul")</f>
        <v>The Illegal Download Of Your Soul</v>
      </c>
      <c r="G700">
        <f>IFERROR(__xludf.DUMMYFUNCTION("""COMPUTED_VALUE"""),0.0)</f>
        <v>0</v>
      </c>
      <c r="H700" s="5">
        <f>IFERROR(__xludf.DUMMYFUNCTION("""COMPUTED_VALUE"""),0.13541666666787933)</f>
        <v>0.1354166667</v>
      </c>
    </row>
    <row r="701">
      <c r="A701" t="str">
        <f>IFERROR(__xludf.DUMMYFUNCTION("""COMPUTED_VALUE"""),"Denmark")</f>
        <v>Denmark</v>
      </c>
      <c r="B701" t="str">
        <f>IFERROR(__xludf.DUMMYFUNCTION("""COMPUTED_VALUE"""),"Europe")</f>
        <v>Europe</v>
      </c>
      <c r="C701">
        <f>IFERROR(__xludf.DUMMYFUNCTION("""COMPUTED_VALUE"""),50.0)</f>
        <v>50</v>
      </c>
      <c r="D701" t="str">
        <f>IFERROR(__xludf.DUMMYFUNCTION("""COMPUTED_VALUE"""),"Kærlighed Gør Blind")</f>
        <v>Kærlighed Gør Blind</v>
      </c>
      <c r="E701" t="str">
        <f>IFERROR(__xludf.DUMMYFUNCTION("""COMPUTED_VALUE"""),"Citybois")</f>
        <v>Citybois</v>
      </c>
      <c r="F701" t="str">
        <f>IFERROR(__xludf.DUMMYFUNCTION("""COMPUTED_VALUE"""),"BOIS FOREVER")</f>
        <v>BOIS FOREVER</v>
      </c>
      <c r="G701">
        <f>IFERROR(__xludf.DUMMYFUNCTION("""COMPUTED_VALUE"""),0.0)</f>
        <v>0</v>
      </c>
      <c r="H701" s="5">
        <f>IFERROR(__xludf.DUMMYFUNCTION("""COMPUTED_VALUE"""),0.1305555555554747)</f>
        <v>0.1305555556</v>
      </c>
    </row>
    <row r="702">
      <c r="A702" t="str">
        <f>IFERROR(__xludf.DUMMYFUNCTION("""COMPUTED_VALUE"""),"Dominican Republic")</f>
        <v>Dominican Republic</v>
      </c>
      <c r="B702" t="str">
        <f>IFERROR(__xludf.DUMMYFUNCTION("""COMPUTED_VALUE"""),"North America")</f>
        <v>North America</v>
      </c>
      <c r="C702">
        <f>IFERROR(__xludf.DUMMYFUNCTION("""COMPUTED_VALUE"""),1.0)</f>
        <v>1</v>
      </c>
      <c r="D702" t="str">
        <f>IFERROR(__xludf.DUMMYFUNCTION("""COMPUTED_VALUE"""),"Safaera")</f>
        <v>Safaera</v>
      </c>
      <c r="E702" t="str">
        <f>IFERROR(__xludf.DUMMYFUNCTION("""COMPUTED_VALUE"""),"Bad Bunny, Jowell &amp; Randy, Nengo Flow")</f>
        <v>Bad Bunny, Jowell &amp; Randy, Nengo Flow</v>
      </c>
      <c r="F702" t="str">
        <f>IFERROR(__xludf.DUMMYFUNCTION("""COMPUTED_VALUE"""),"YHLQMDLG")</f>
        <v>YHLQMDLG</v>
      </c>
      <c r="G702">
        <f>IFERROR(__xludf.DUMMYFUNCTION("""COMPUTED_VALUE"""),1.0)</f>
        <v>1</v>
      </c>
      <c r="H702" s="5">
        <f>IFERROR(__xludf.DUMMYFUNCTION("""COMPUTED_VALUE"""),0.20486111110949423)</f>
        <v>0.2048611111</v>
      </c>
    </row>
    <row r="703">
      <c r="A703" t="str">
        <f>IFERROR(__xludf.DUMMYFUNCTION("""COMPUTED_VALUE"""),"Dominican Republic")</f>
        <v>Dominican Republic</v>
      </c>
      <c r="B703" t="str">
        <f>IFERROR(__xludf.DUMMYFUNCTION("""COMPUTED_VALUE"""),"North America")</f>
        <v>North America</v>
      </c>
      <c r="C703">
        <f>IFERROR(__xludf.DUMMYFUNCTION("""COMPUTED_VALUE"""),2.0)</f>
        <v>2</v>
      </c>
      <c r="D703" t="str">
        <f>IFERROR(__xludf.DUMMYFUNCTION("""COMPUTED_VALUE"""),"Yo Perreo Sola")</f>
        <v>Yo Perreo Sola</v>
      </c>
      <c r="E703" t="str">
        <f>IFERROR(__xludf.DUMMYFUNCTION("""COMPUTED_VALUE"""),"Bad Bunny")</f>
        <v>Bad Bunny</v>
      </c>
      <c r="F703" t="str">
        <f>IFERROR(__xludf.DUMMYFUNCTION("""COMPUTED_VALUE"""),"YHLQMDLG")</f>
        <v>YHLQMDLG</v>
      </c>
      <c r="G703">
        <f>IFERROR(__xludf.DUMMYFUNCTION("""COMPUTED_VALUE"""),0.0)</f>
        <v>0</v>
      </c>
      <c r="H703" s="5">
        <f>IFERROR(__xludf.DUMMYFUNCTION("""COMPUTED_VALUE"""),0.11944444444452529)</f>
        <v>0.1194444444</v>
      </c>
    </row>
    <row r="704">
      <c r="A704" t="str">
        <f>IFERROR(__xludf.DUMMYFUNCTION("""COMPUTED_VALUE"""),"Dominican Republic")</f>
        <v>Dominican Republic</v>
      </c>
      <c r="B704" t="str">
        <f>IFERROR(__xludf.DUMMYFUNCTION("""COMPUTED_VALUE"""),"North America")</f>
        <v>North America</v>
      </c>
      <c r="C704">
        <f>IFERROR(__xludf.DUMMYFUNCTION("""COMPUTED_VALUE"""),3.0)</f>
        <v>3</v>
      </c>
      <c r="D704" t="str">
        <f>IFERROR(__xludf.DUMMYFUNCTION("""COMPUTED_VALUE"""),"CÓMO SE SIENTE - Remix")</f>
        <v>CÓMO SE SIENTE - Remix</v>
      </c>
      <c r="E704" t="str">
        <f>IFERROR(__xludf.DUMMYFUNCTION("""COMPUTED_VALUE"""),"Jhay Cortez, Bad Bunny")</f>
        <v>Jhay Cortez, Bad Bunny</v>
      </c>
      <c r="F704" t="str">
        <f>IFERROR(__xludf.DUMMYFUNCTION("""COMPUTED_VALUE"""),"CÓMO SE SIENTE (Remix)")</f>
        <v>CÓMO SE SIENTE (Remix)</v>
      </c>
      <c r="G704">
        <f>IFERROR(__xludf.DUMMYFUNCTION("""COMPUTED_VALUE"""),1.0)</f>
        <v>1</v>
      </c>
      <c r="H704" s="5">
        <f>IFERROR(__xludf.DUMMYFUNCTION("""COMPUTED_VALUE"""),0.15763888888977817)</f>
        <v>0.1576388889</v>
      </c>
    </row>
    <row r="705">
      <c r="A705" t="str">
        <f>IFERROR(__xludf.DUMMYFUNCTION("""COMPUTED_VALUE"""),"Dominican Republic")</f>
        <v>Dominican Republic</v>
      </c>
      <c r="B705" t="str">
        <f>IFERROR(__xludf.DUMMYFUNCTION("""COMPUTED_VALUE"""),"North America")</f>
        <v>North America</v>
      </c>
      <c r="C705">
        <f>IFERROR(__xludf.DUMMYFUNCTION("""COMPUTED_VALUE"""),4.0)</f>
        <v>4</v>
      </c>
      <c r="D705" t="str">
        <f>IFERROR(__xludf.DUMMYFUNCTION("""COMPUTED_VALUE"""),"BYE ME FUI")</f>
        <v>BYE ME FUI</v>
      </c>
      <c r="E705" t="str">
        <f>IFERROR(__xludf.DUMMYFUNCTION("""COMPUTED_VALUE"""),"Bad Bunny")</f>
        <v>Bad Bunny</v>
      </c>
      <c r="F705" t="str">
        <f>IFERROR(__xludf.DUMMYFUNCTION("""COMPUTED_VALUE"""),"LAS QUE NO IBAN A SALIR")</f>
        <v>LAS QUE NO IBAN A SALIR</v>
      </c>
      <c r="G705">
        <f>IFERROR(__xludf.DUMMYFUNCTION("""COMPUTED_VALUE"""),1.0)</f>
        <v>1</v>
      </c>
      <c r="H705" s="5">
        <f>IFERROR(__xludf.DUMMYFUNCTION("""COMPUTED_VALUE"""),0.12361111111022183)</f>
        <v>0.1236111111</v>
      </c>
    </row>
    <row r="706">
      <c r="A706" t="str">
        <f>IFERROR(__xludf.DUMMYFUNCTION("""COMPUTED_VALUE"""),"Dominican Republic")</f>
        <v>Dominican Republic</v>
      </c>
      <c r="B706" t="str">
        <f>IFERROR(__xludf.DUMMYFUNCTION("""COMPUTED_VALUE"""),"North America")</f>
        <v>North America</v>
      </c>
      <c r="C706">
        <f>IFERROR(__xludf.DUMMYFUNCTION("""COMPUTED_VALUE"""),5.0)</f>
        <v>5</v>
      </c>
      <c r="D706" t="str">
        <f>IFERROR(__xludf.DUMMYFUNCTION("""COMPUTED_VALUE"""),"Tattoo")</f>
        <v>Tattoo</v>
      </c>
      <c r="E706" t="str">
        <f>IFERROR(__xludf.DUMMYFUNCTION("""COMPUTED_VALUE"""),"Rauw Alejandro")</f>
        <v>Rauw Alejandro</v>
      </c>
      <c r="F706" t="str">
        <f>IFERROR(__xludf.DUMMYFUNCTION("""COMPUTED_VALUE"""),"Tattoo")</f>
        <v>Tattoo</v>
      </c>
      <c r="G706">
        <f>IFERROR(__xludf.DUMMYFUNCTION("""COMPUTED_VALUE"""),0.0)</f>
        <v>0</v>
      </c>
      <c r="H706" s="5">
        <f>IFERROR(__xludf.DUMMYFUNCTION("""COMPUTED_VALUE"""),0.14027777777664596)</f>
        <v>0.1402777778</v>
      </c>
    </row>
    <row r="707">
      <c r="A707" t="str">
        <f>IFERROR(__xludf.DUMMYFUNCTION("""COMPUTED_VALUE"""),"Dominican Republic")</f>
        <v>Dominican Republic</v>
      </c>
      <c r="B707" t="str">
        <f>IFERROR(__xludf.DUMMYFUNCTION("""COMPUTED_VALUE"""),"North America")</f>
        <v>North America</v>
      </c>
      <c r="C707">
        <f>IFERROR(__xludf.DUMMYFUNCTION("""COMPUTED_VALUE"""),6.0)</f>
        <v>6</v>
      </c>
      <c r="D707" t="str">
        <f>IFERROR(__xludf.DUMMYFUNCTION("""COMPUTED_VALUE"""),"Ignorantes")</f>
        <v>Ignorantes</v>
      </c>
      <c r="E707" t="str">
        <f>IFERROR(__xludf.DUMMYFUNCTION("""COMPUTED_VALUE"""),"Bad Bunny, Sech")</f>
        <v>Bad Bunny, Sech</v>
      </c>
      <c r="F707" t="str">
        <f>IFERROR(__xludf.DUMMYFUNCTION("""COMPUTED_VALUE"""),"YHLQMDLG")</f>
        <v>YHLQMDLG</v>
      </c>
      <c r="G707">
        <f>IFERROR(__xludf.DUMMYFUNCTION("""COMPUTED_VALUE"""),1.0)</f>
        <v>1</v>
      </c>
      <c r="H707" s="5">
        <f>IFERROR(__xludf.DUMMYFUNCTION("""COMPUTED_VALUE"""),0.14583333333212067)</f>
        <v>0.1458333333</v>
      </c>
    </row>
    <row r="708">
      <c r="A708" t="str">
        <f>IFERROR(__xludf.DUMMYFUNCTION("""COMPUTED_VALUE"""),"Dominican Republic")</f>
        <v>Dominican Republic</v>
      </c>
      <c r="B708" t="str">
        <f>IFERROR(__xludf.DUMMYFUNCTION("""COMPUTED_VALUE"""),"North America")</f>
        <v>North America</v>
      </c>
      <c r="C708">
        <f>IFERROR(__xludf.DUMMYFUNCTION("""COMPUTED_VALUE"""),7.0)</f>
        <v>7</v>
      </c>
      <c r="D708" t="str">
        <f>IFERROR(__xludf.DUMMYFUNCTION("""COMPUTED_VALUE"""),"Elegí (feat. Dímelo Flow)")</f>
        <v>Elegí (feat. Dímelo Flow)</v>
      </c>
      <c r="E708" t="str">
        <f>IFERROR(__xludf.DUMMYFUNCTION("""COMPUTED_VALUE"""),"Rauw Alejandro, Dalex, Lenny Tavárez, Dímelo Flow")</f>
        <v>Rauw Alejandro, Dalex, Lenny Tavárez, Dímelo Flow</v>
      </c>
      <c r="F708" t="str">
        <f>IFERROR(__xludf.DUMMYFUNCTION("""COMPUTED_VALUE"""),"Elegí (feat. Dímelo Flow)")</f>
        <v>Elegí (feat. Dímelo Flow)</v>
      </c>
      <c r="G708">
        <f>IFERROR(__xludf.DUMMYFUNCTION("""COMPUTED_VALUE"""),0.0)</f>
        <v>0</v>
      </c>
      <c r="H708" s="5">
        <f>IFERROR(__xludf.DUMMYFUNCTION("""COMPUTED_VALUE"""),0.13680555555401952)</f>
        <v>0.1368055556</v>
      </c>
    </row>
    <row r="709">
      <c r="A709" t="str">
        <f>IFERROR(__xludf.DUMMYFUNCTION("""COMPUTED_VALUE"""),"Dominican Republic")</f>
        <v>Dominican Republic</v>
      </c>
      <c r="B709" t="str">
        <f>IFERROR(__xludf.DUMMYFUNCTION("""COMPUTED_VALUE"""),"North America")</f>
        <v>North America</v>
      </c>
      <c r="C709">
        <f>IFERROR(__xludf.DUMMYFUNCTION("""COMPUTED_VALUE"""),8.0)</f>
        <v>8</v>
      </c>
      <c r="D709" t="str">
        <f>IFERROR(__xludf.DUMMYFUNCTION("""COMPUTED_VALUE"""),"Relación")</f>
        <v>Relación</v>
      </c>
      <c r="E709" t="str">
        <f>IFERROR(__xludf.DUMMYFUNCTION("""COMPUTED_VALUE"""),"Sech")</f>
        <v>Sech</v>
      </c>
      <c r="F709" t="str">
        <f>IFERROR(__xludf.DUMMYFUNCTION("""COMPUTED_VALUE"""),"1 of 1")</f>
        <v>1 of 1</v>
      </c>
      <c r="G709">
        <f>IFERROR(__xludf.DUMMYFUNCTION("""COMPUTED_VALUE"""),0.0)</f>
        <v>0</v>
      </c>
      <c r="H709" s="5">
        <f>IFERROR(__xludf.DUMMYFUNCTION("""COMPUTED_VALUE"""),0.12777777777955635)</f>
        <v>0.1277777778</v>
      </c>
    </row>
    <row r="710">
      <c r="A710" t="str">
        <f>IFERROR(__xludf.DUMMYFUNCTION("""COMPUTED_VALUE"""),"Dominican Republic")</f>
        <v>Dominican Republic</v>
      </c>
      <c r="B710" t="str">
        <f>IFERROR(__xludf.DUMMYFUNCTION("""COMPUTED_VALUE"""),"North America")</f>
        <v>North America</v>
      </c>
      <c r="C710">
        <f>IFERROR(__xludf.DUMMYFUNCTION("""COMPUTED_VALUE"""),9.0)</f>
        <v>9</v>
      </c>
      <c r="D710" t="str">
        <f>IFERROR(__xludf.DUMMYFUNCTION("""COMPUTED_VALUE"""),"La Difícil")</f>
        <v>La Difícil</v>
      </c>
      <c r="E710" t="str">
        <f>IFERROR(__xludf.DUMMYFUNCTION("""COMPUTED_VALUE"""),"Bad Bunny")</f>
        <v>Bad Bunny</v>
      </c>
      <c r="F710" t="str">
        <f>IFERROR(__xludf.DUMMYFUNCTION("""COMPUTED_VALUE"""),"YHLQMDLG")</f>
        <v>YHLQMDLG</v>
      </c>
      <c r="G710">
        <f>IFERROR(__xludf.DUMMYFUNCTION("""COMPUTED_VALUE"""),1.0)</f>
        <v>1</v>
      </c>
      <c r="H710" s="5">
        <f>IFERROR(__xludf.DUMMYFUNCTION("""COMPUTED_VALUE"""),0.11319444444598048)</f>
        <v>0.1131944444</v>
      </c>
    </row>
    <row r="711">
      <c r="A711" t="str">
        <f>IFERROR(__xludf.DUMMYFUNCTION("""COMPUTED_VALUE"""),"Dominican Republic")</f>
        <v>Dominican Republic</v>
      </c>
      <c r="B711" t="str">
        <f>IFERROR(__xludf.DUMMYFUNCTION("""COMPUTED_VALUE"""),"North America")</f>
        <v>North America</v>
      </c>
      <c r="C711">
        <f>IFERROR(__xludf.DUMMYFUNCTION("""COMPUTED_VALUE"""),10.0)</f>
        <v>10</v>
      </c>
      <c r="D711" t="str">
        <f>IFERROR(__xludf.DUMMYFUNCTION("""COMPUTED_VALUE"""),"Diosa")</f>
        <v>Diosa</v>
      </c>
      <c r="E711" t="str">
        <f>IFERROR(__xludf.DUMMYFUNCTION("""COMPUTED_VALUE"""),"Myke Towers")</f>
        <v>Myke Towers</v>
      </c>
      <c r="F711" t="str">
        <f>IFERROR(__xludf.DUMMYFUNCTION("""COMPUTED_VALUE"""),"Easy Money Baby")</f>
        <v>Easy Money Baby</v>
      </c>
      <c r="G711">
        <f>IFERROR(__xludf.DUMMYFUNCTION("""COMPUTED_VALUE"""),1.0)</f>
        <v>1</v>
      </c>
      <c r="H711" s="5">
        <f>IFERROR(__xludf.DUMMYFUNCTION("""COMPUTED_VALUE"""),0.14861111111167702)</f>
        <v>0.1486111111</v>
      </c>
    </row>
    <row r="712">
      <c r="A712" t="str">
        <f>IFERROR(__xludf.DUMMYFUNCTION("""COMPUTED_VALUE"""),"Dominican Republic")</f>
        <v>Dominican Republic</v>
      </c>
      <c r="B712" t="str">
        <f>IFERROR(__xludf.DUMMYFUNCTION("""COMPUTED_VALUE"""),"North America")</f>
        <v>North America</v>
      </c>
      <c r="C712">
        <f>IFERROR(__xludf.DUMMYFUNCTION("""COMPUTED_VALUE"""),11.0)</f>
        <v>11</v>
      </c>
      <c r="D712" t="str">
        <f>IFERROR(__xludf.DUMMYFUNCTION("""COMPUTED_VALUE"""),"Hola - Remix")</f>
        <v>Hola - Remix</v>
      </c>
      <c r="E712" t="str">
        <f>IFERROR(__xludf.DUMMYFUNCTION("""COMPUTED_VALUE"""),"Dalex, Lenny Tavárez, Chencho Corleone, Juhn, Dímelo Flow")</f>
        <v>Dalex, Lenny Tavárez, Chencho Corleone, Juhn, Dímelo Flow</v>
      </c>
      <c r="F712" t="str">
        <f>IFERROR(__xludf.DUMMYFUNCTION("""COMPUTED_VALUE"""),"Hola (Remix)")</f>
        <v>Hola (Remix)</v>
      </c>
      <c r="G712">
        <f>IFERROR(__xludf.DUMMYFUNCTION("""COMPUTED_VALUE"""),0.0)</f>
        <v>0</v>
      </c>
      <c r="H712" s="5">
        <f>IFERROR(__xludf.DUMMYFUNCTION("""COMPUTED_VALUE"""),0.17291666666642413)</f>
        <v>0.1729166667</v>
      </c>
    </row>
    <row r="713">
      <c r="A713" t="str">
        <f>IFERROR(__xludf.DUMMYFUNCTION("""COMPUTED_VALUE"""),"Dominican Republic")</f>
        <v>Dominican Republic</v>
      </c>
      <c r="B713" t="str">
        <f>IFERROR(__xludf.DUMMYFUNCTION("""COMPUTED_VALUE"""),"North America")</f>
        <v>North America</v>
      </c>
      <c r="C713">
        <f>IFERROR(__xludf.DUMMYFUNCTION("""COMPUTED_VALUE"""),12.0)</f>
        <v>12</v>
      </c>
      <c r="D713" t="str">
        <f>IFERROR(__xludf.DUMMYFUNCTION("""COMPUTED_VALUE"""),"Rojo")</f>
        <v>Rojo</v>
      </c>
      <c r="E713" t="str">
        <f>IFERROR(__xludf.DUMMYFUNCTION("""COMPUTED_VALUE"""),"J Balvin")</f>
        <v>J Balvin</v>
      </c>
      <c r="F713" t="str">
        <f>IFERROR(__xludf.DUMMYFUNCTION("""COMPUTED_VALUE"""),"Colores")</f>
        <v>Colores</v>
      </c>
      <c r="G713">
        <f>IFERROR(__xludf.DUMMYFUNCTION("""COMPUTED_VALUE"""),0.0)</f>
        <v>0</v>
      </c>
      <c r="H713" s="5">
        <f>IFERROR(__xludf.DUMMYFUNCTION("""COMPUTED_VALUE"""),0.10416666666787933)</f>
        <v>0.1041666667</v>
      </c>
    </row>
    <row r="714">
      <c r="A714" t="str">
        <f>IFERROR(__xludf.DUMMYFUNCTION("""COMPUTED_VALUE"""),"Dominican Republic")</f>
        <v>Dominican Republic</v>
      </c>
      <c r="B714" t="str">
        <f>IFERROR(__xludf.DUMMYFUNCTION("""COMPUTED_VALUE"""),"North America")</f>
        <v>North America</v>
      </c>
      <c r="C714">
        <f>IFERROR(__xludf.DUMMYFUNCTION("""COMPUTED_VALUE"""),13.0)</f>
        <v>13</v>
      </c>
      <c r="D714" t="str">
        <f>IFERROR(__xludf.DUMMYFUNCTION("""COMPUTED_VALUE"""),"La Santa")</f>
        <v>La Santa</v>
      </c>
      <c r="E714" t="str">
        <f>IFERROR(__xludf.DUMMYFUNCTION("""COMPUTED_VALUE"""),"Bad Bunny, Daddy Yankee")</f>
        <v>Bad Bunny, Daddy Yankee</v>
      </c>
      <c r="F714" t="str">
        <f>IFERROR(__xludf.DUMMYFUNCTION("""COMPUTED_VALUE"""),"YHLQMDLG")</f>
        <v>YHLQMDLG</v>
      </c>
      <c r="G714">
        <f>IFERROR(__xludf.DUMMYFUNCTION("""COMPUTED_VALUE"""),1.0)</f>
        <v>1</v>
      </c>
      <c r="H714" s="5">
        <f>IFERROR(__xludf.DUMMYFUNCTION("""COMPUTED_VALUE"""),0.1430555555562023)</f>
        <v>0.1430555556</v>
      </c>
    </row>
    <row r="715">
      <c r="A715" t="str">
        <f>IFERROR(__xludf.DUMMYFUNCTION("""COMPUTED_VALUE"""),"Dominican Republic")</f>
        <v>Dominican Republic</v>
      </c>
      <c r="B715" t="str">
        <f>IFERROR(__xludf.DUMMYFUNCTION("""COMPUTED_VALUE"""),"North America")</f>
        <v>North America</v>
      </c>
      <c r="C715">
        <f>IFERROR(__xludf.DUMMYFUNCTION("""COMPUTED_VALUE"""),14.0)</f>
        <v>14</v>
      </c>
      <c r="D715" t="str">
        <f>IFERROR(__xludf.DUMMYFUNCTION("""COMPUTED_VALUE"""),"Favorito")</f>
        <v>Favorito</v>
      </c>
      <c r="E715" t="str">
        <f>IFERROR(__xludf.DUMMYFUNCTION("""COMPUTED_VALUE"""),"Camilo")</f>
        <v>Camilo</v>
      </c>
      <c r="F715" t="str">
        <f>IFERROR(__xludf.DUMMYFUNCTION("""COMPUTED_VALUE"""),"Por Primera Vez")</f>
        <v>Por Primera Vez</v>
      </c>
      <c r="G715">
        <f>IFERROR(__xludf.DUMMYFUNCTION("""COMPUTED_VALUE"""),0.0)</f>
        <v>0</v>
      </c>
      <c r="H715" s="5">
        <f>IFERROR(__xludf.DUMMYFUNCTION("""COMPUTED_VALUE"""),0.14513888888905058)</f>
        <v>0.1451388889</v>
      </c>
    </row>
    <row r="716">
      <c r="A716" t="str">
        <f>IFERROR(__xludf.DUMMYFUNCTION("""COMPUTED_VALUE"""),"Dominican Republic")</f>
        <v>Dominican Republic</v>
      </c>
      <c r="B716" t="str">
        <f>IFERROR(__xludf.DUMMYFUNCTION("""COMPUTED_VALUE"""),"North America")</f>
        <v>North America</v>
      </c>
      <c r="C716">
        <f>IFERROR(__xludf.DUMMYFUNCTION("""COMPUTED_VALUE"""),15.0)</f>
        <v>15</v>
      </c>
      <c r="D716" t="str">
        <f>IFERROR(__xludf.DUMMYFUNCTION("""COMPUTED_VALUE"""),"CANCIÓN CON YANDEL")</f>
        <v>CANCIÓN CON YANDEL</v>
      </c>
      <c r="E716" t="str">
        <f>IFERROR(__xludf.DUMMYFUNCTION("""COMPUTED_VALUE"""),"Yandel, Bad Bunny")</f>
        <v>Yandel, Bad Bunny</v>
      </c>
      <c r="F716" t="str">
        <f>IFERROR(__xludf.DUMMYFUNCTION("""COMPUTED_VALUE"""),"LAS QUE NO IBAN A SALIR")</f>
        <v>LAS QUE NO IBAN A SALIR</v>
      </c>
      <c r="G716">
        <f>IFERROR(__xludf.DUMMYFUNCTION("""COMPUTED_VALUE"""),1.0)</f>
        <v>1</v>
      </c>
      <c r="H716" s="5">
        <f>IFERROR(__xludf.DUMMYFUNCTION("""COMPUTED_VALUE"""),0.14513888888905058)</f>
        <v>0.1451388889</v>
      </c>
    </row>
    <row r="717">
      <c r="A717" t="str">
        <f>IFERROR(__xludf.DUMMYFUNCTION("""COMPUTED_VALUE"""),"Dominican Republic")</f>
        <v>Dominican Republic</v>
      </c>
      <c r="B717" t="str">
        <f>IFERROR(__xludf.DUMMYFUNCTION("""COMPUTED_VALUE"""),"North America")</f>
        <v>North America</v>
      </c>
      <c r="C717">
        <f>IFERROR(__xludf.DUMMYFUNCTION("""COMPUTED_VALUE"""),16.0)</f>
        <v>16</v>
      </c>
      <c r="D717" t="str">
        <f>IFERROR(__xludf.DUMMYFUNCTION("""COMPUTED_VALUE"""),"PAM")</f>
        <v>PAM</v>
      </c>
      <c r="E717" t="str">
        <f>IFERROR(__xludf.DUMMYFUNCTION("""COMPUTED_VALUE"""),"Justin Quiles, Daddy Yankee, El Alfa")</f>
        <v>Justin Quiles, Daddy Yankee, El Alfa</v>
      </c>
      <c r="F717" t="str">
        <f>IFERROR(__xludf.DUMMYFUNCTION("""COMPUTED_VALUE"""),"PAM")</f>
        <v>PAM</v>
      </c>
      <c r="G717">
        <f>IFERROR(__xludf.DUMMYFUNCTION("""COMPUTED_VALUE"""),1.0)</f>
        <v>1</v>
      </c>
      <c r="H717" s="5">
        <f>IFERROR(__xludf.DUMMYFUNCTION("""COMPUTED_VALUE"""),0.13958333333357587)</f>
        <v>0.1395833333</v>
      </c>
    </row>
    <row r="718">
      <c r="A718" t="str">
        <f>IFERROR(__xludf.DUMMYFUNCTION("""COMPUTED_VALUE"""),"Dominican Republic")</f>
        <v>Dominican Republic</v>
      </c>
      <c r="B718" t="str">
        <f>IFERROR(__xludf.DUMMYFUNCTION("""COMPUTED_VALUE"""),"North America")</f>
        <v>North America</v>
      </c>
      <c r="C718">
        <f>IFERROR(__xludf.DUMMYFUNCTION("""COMPUTED_VALUE"""),17.0)</f>
        <v>17</v>
      </c>
      <c r="D718" t="str">
        <f>IFERROR(__xludf.DUMMYFUNCTION("""COMPUTED_VALUE"""),"Vete")</f>
        <v>Vete</v>
      </c>
      <c r="E718" t="str">
        <f>IFERROR(__xludf.DUMMYFUNCTION("""COMPUTED_VALUE"""),"Bad Bunny")</f>
        <v>Bad Bunny</v>
      </c>
      <c r="F718" t="str">
        <f>IFERROR(__xludf.DUMMYFUNCTION("""COMPUTED_VALUE"""),"YHLQMDLG")</f>
        <v>YHLQMDLG</v>
      </c>
      <c r="G718">
        <f>IFERROR(__xludf.DUMMYFUNCTION("""COMPUTED_VALUE"""),1.0)</f>
        <v>1</v>
      </c>
      <c r="H718" s="5">
        <f>IFERROR(__xludf.DUMMYFUNCTION("""COMPUTED_VALUE"""),0.13333333333503106)</f>
        <v>0.1333333333</v>
      </c>
    </row>
    <row r="719">
      <c r="A719" t="str">
        <f>IFERROR(__xludf.DUMMYFUNCTION("""COMPUTED_VALUE"""),"Dominican Republic")</f>
        <v>Dominican Republic</v>
      </c>
      <c r="B719" t="str">
        <f>IFERROR(__xludf.DUMMYFUNCTION("""COMPUTED_VALUE"""),"North America")</f>
        <v>North America</v>
      </c>
      <c r="C719">
        <f>IFERROR(__xludf.DUMMYFUNCTION("""COMPUTED_VALUE"""),18.0)</f>
        <v>18</v>
      </c>
      <c r="D719" t="str">
        <f>IFERROR(__xludf.DUMMYFUNCTION("""COMPUTED_VALUE"""),"Si Veo a Tu Mamá")</f>
        <v>Si Veo a Tu Mamá</v>
      </c>
      <c r="E719" t="str">
        <f>IFERROR(__xludf.DUMMYFUNCTION("""COMPUTED_VALUE"""),"Bad Bunny")</f>
        <v>Bad Bunny</v>
      </c>
      <c r="F719" t="str">
        <f>IFERROR(__xludf.DUMMYFUNCTION("""COMPUTED_VALUE"""),"YHLQMDLG")</f>
        <v>YHLQMDLG</v>
      </c>
      <c r="G719">
        <f>IFERROR(__xludf.DUMMYFUNCTION("""COMPUTED_VALUE"""),0.0)</f>
        <v>0</v>
      </c>
      <c r="H719" s="5">
        <f>IFERROR(__xludf.DUMMYFUNCTION("""COMPUTED_VALUE"""),0.11805555555474712)</f>
        <v>0.1180555556</v>
      </c>
    </row>
    <row r="720">
      <c r="A720" t="str">
        <f>IFERROR(__xludf.DUMMYFUNCTION("""COMPUTED_VALUE"""),"Dominican Republic")</f>
        <v>Dominican Republic</v>
      </c>
      <c r="B720" t="str">
        <f>IFERROR(__xludf.DUMMYFUNCTION("""COMPUTED_VALUE"""),"North America")</f>
        <v>North America</v>
      </c>
      <c r="C720">
        <f>IFERROR(__xludf.DUMMYFUNCTION("""COMPUTED_VALUE"""),19.0)</f>
        <v>19</v>
      </c>
      <c r="D720" t="str">
        <f>IFERROR(__xludf.DUMMYFUNCTION("""COMPUTED_VALUE"""),"MÁS DE UNA CITA")</f>
        <v>MÁS DE UNA CITA</v>
      </c>
      <c r="E720" t="str">
        <f>IFERROR(__xludf.DUMMYFUNCTION("""COMPUTED_VALUE"""),"Bad Bunny, Zion &amp; Lennox")</f>
        <v>Bad Bunny, Zion &amp; Lennox</v>
      </c>
      <c r="F720" t="str">
        <f>IFERROR(__xludf.DUMMYFUNCTION("""COMPUTED_VALUE"""),"LAS QUE NO IBAN A SALIR")</f>
        <v>LAS QUE NO IBAN A SALIR</v>
      </c>
      <c r="G720">
        <f>IFERROR(__xludf.DUMMYFUNCTION("""COMPUTED_VALUE"""),1.0)</f>
        <v>1</v>
      </c>
      <c r="H720" s="5">
        <f>IFERROR(__xludf.DUMMYFUNCTION("""COMPUTED_VALUE"""),0.12708333333284827)</f>
        <v>0.1270833333</v>
      </c>
    </row>
    <row r="721">
      <c r="A721" t="str">
        <f>IFERROR(__xludf.DUMMYFUNCTION("""COMPUTED_VALUE"""),"Dominican Republic")</f>
        <v>Dominican Republic</v>
      </c>
      <c r="B721" t="str">
        <f>IFERROR(__xludf.DUMMYFUNCTION("""COMPUTED_VALUE"""),"North America")</f>
        <v>North America</v>
      </c>
      <c r="C721">
        <f>IFERROR(__xludf.DUMMYFUNCTION("""COMPUTED_VALUE"""),20.0)</f>
        <v>20</v>
      </c>
      <c r="D721" t="str">
        <f>IFERROR(__xludf.DUMMYFUNCTION("""COMPUTED_VALUE"""),"BENDICIONES")</f>
        <v>BENDICIONES</v>
      </c>
      <c r="E721" t="str">
        <f>IFERROR(__xludf.DUMMYFUNCTION("""COMPUTED_VALUE"""),"Bad Bunny")</f>
        <v>Bad Bunny</v>
      </c>
      <c r="F721" t="str">
        <f>IFERROR(__xludf.DUMMYFUNCTION("""COMPUTED_VALUE"""),"LAS QUE NO IBAN A SALIR")</f>
        <v>LAS QUE NO IBAN A SALIR</v>
      </c>
      <c r="G721">
        <f>IFERROR(__xludf.DUMMYFUNCTION("""COMPUTED_VALUE"""),0.0)</f>
        <v>0</v>
      </c>
      <c r="H721" s="5">
        <f>IFERROR(__xludf.DUMMYFUNCTION("""COMPUTED_VALUE"""),0.10763888889050577)</f>
        <v>0.1076388889</v>
      </c>
    </row>
    <row r="722">
      <c r="A722" t="str">
        <f>IFERROR(__xludf.DUMMYFUNCTION("""COMPUTED_VALUE"""),"Dominican Republic")</f>
        <v>Dominican Republic</v>
      </c>
      <c r="B722" t="str">
        <f>IFERROR(__xludf.DUMMYFUNCTION("""COMPUTED_VALUE"""),"North America")</f>
        <v>North America</v>
      </c>
      <c r="C722">
        <f>IFERROR(__xludf.DUMMYFUNCTION("""COMPUTED_VALUE"""),21.0)</f>
        <v>21</v>
      </c>
      <c r="D722" t="str">
        <f>IFERROR(__xludf.DUMMYFUNCTION("""COMPUTED_VALUE"""),"A Correr los Lakers")</f>
        <v>A Correr los Lakers</v>
      </c>
      <c r="E722" t="str">
        <f>IFERROR(__xludf.DUMMYFUNCTION("""COMPUTED_VALUE"""),"El Alfa")</f>
        <v>El Alfa</v>
      </c>
      <c r="F722" t="str">
        <f>IFERROR(__xludf.DUMMYFUNCTION("""COMPUTED_VALUE"""),"El Androide")</f>
        <v>El Androide</v>
      </c>
      <c r="G722">
        <f>IFERROR(__xludf.DUMMYFUNCTION("""COMPUTED_VALUE"""),0.0)</f>
        <v>0</v>
      </c>
      <c r="H722" s="5">
        <f>IFERROR(__xludf.DUMMYFUNCTION("""COMPUTED_VALUE"""),0.12222222222044365)</f>
        <v>0.1222222222</v>
      </c>
    </row>
    <row r="723">
      <c r="A723" t="str">
        <f>IFERROR(__xludf.DUMMYFUNCTION("""COMPUTED_VALUE"""),"Dominican Republic")</f>
        <v>Dominican Republic</v>
      </c>
      <c r="B723" t="str">
        <f>IFERROR(__xludf.DUMMYFUNCTION("""COMPUTED_VALUE"""),"North America")</f>
        <v>North America</v>
      </c>
      <c r="C723">
        <f>IFERROR(__xludf.DUMMYFUNCTION("""COMPUTED_VALUE"""),22.0)</f>
        <v>22</v>
      </c>
      <c r="D723" t="str">
        <f>IFERROR(__xludf.DUMMYFUNCTION("""COMPUTED_VALUE"""),"PA' ROMPERLA")</f>
        <v>PA' ROMPERLA</v>
      </c>
      <c r="E723" t="str">
        <f>IFERROR(__xludf.DUMMYFUNCTION("""COMPUTED_VALUE"""),"Bad Bunny, Don Omar")</f>
        <v>Bad Bunny, Don Omar</v>
      </c>
      <c r="F723" t="str">
        <f>IFERROR(__xludf.DUMMYFUNCTION("""COMPUTED_VALUE"""),"LAS QUE NO IBAN A SALIR")</f>
        <v>LAS QUE NO IBAN A SALIR</v>
      </c>
      <c r="G723">
        <f>IFERROR(__xludf.DUMMYFUNCTION("""COMPUTED_VALUE"""),1.0)</f>
        <v>1</v>
      </c>
      <c r="H723" s="5">
        <f>IFERROR(__xludf.DUMMYFUNCTION("""COMPUTED_VALUE"""),0.13472222222117125)</f>
        <v>0.1347222222</v>
      </c>
    </row>
    <row r="724">
      <c r="A724" t="str">
        <f>IFERROR(__xludf.DUMMYFUNCTION("""COMPUTED_VALUE"""),"Dominican Republic")</f>
        <v>Dominican Republic</v>
      </c>
      <c r="B724" t="str">
        <f>IFERROR(__xludf.DUMMYFUNCTION("""COMPUTED_VALUE"""),"North America")</f>
        <v>North America</v>
      </c>
      <c r="C724">
        <f>IFERROR(__xludf.DUMMYFUNCTION("""COMPUTED_VALUE"""),23.0)</f>
        <v>23</v>
      </c>
      <c r="D724" t="str">
        <f>IFERROR(__xludf.DUMMYFUNCTION("""COMPUTED_VALUE"""),"Fantasias")</f>
        <v>Fantasias</v>
      </c>
      <c r="E724" t="str">
        <f>IFERROR(__xludf.DUMMYFUNCTION("""COMPUTED_VALUE"""),"Rauw Alejandro, Farruko")</f>
        <v>Rauw Alejandro, Farruko</v>
      </c>
      <c r="F724" t="str">
        <f>IFERROR(__xludf.DUMMYFUNCTION("""COMPUTED_VALUE"""),"Fantasias")</f>
        <v>Fantasias</v>
      </c>
      <c r="G724">
        <f>IFERROR(__xludf.DUMMYFUNCTION("""COMPUTED_VALUE"""),0.0)</f>
        <v>0</v>
      </c>
      <c r="H724" s="5">
        <f>IFERROR(__xludf.DUMMYFUNCTION("""COMPUTED_VALUE"""),0.1381944444437977)</f>
        <v>0.1381944444</v>
      </c>
    </row>
    <row r="725">
      <c r="A725" t="str">
        <f>IFERROR(__xludf.DUMMYFUNCTION("""COMPUTED_VALUE"""),"Dominican Republic")</f>
        <v>Dominican Republic</v>
      </c>
      <c r="B725" t="str">
        <f>IFERROR(__xludf.DUMMYFUNCTION("""COMPUTED_VALUE"""),"North America")</f>
        <v>North America</v>
      </c>
      <c r="C725">
        <f>IFERROR(__xludf.DUMMYFUNCTION("""COMPUTED_VALUE"""),24.0)</f>
        <v>24</v>
      </c>
      <c r="D725" t="str">
        <f>IFERROR(__xludf.DUMMYFUNCTION("""COMPUTED_VALUE"""),"Un Dia Si")</f>
        <v>Un Dia Si</v>
      </c>
      <c r="E725" t="str">
        <f>IFERROR(__xludf.DUMMYFUNCTION("""COMPUTED_VALUE"""),"El Alfa, Farruko, Myke Towers")</f>
        <v>El Alfa, Farruko, Myke Towers</v>
      </c>
      <c r="F725" t="str">
        <f>IFERROR(__xludf.DUMMYFUNCTION("""COMPUTED_VALUE"""),"El Androide")</f>
        <v>El Androide</v>
      </c>
      <c r="G725">
        <f>IFERROR(__xludf.DUMMYFUNCTION("""COMPUTED_VALUE"""),0.0)</f>
        <v>0</v>
      </c>
      <c r="H725" s="5">
        <f>IFERROR(__xludf.DUMMYFUNCTION("""COMPUTED_VALUE"""),0.11388888888905058)</f>
        <v>0.1138888889</v>
      </c>
    </row>
    <row r="726">
      <c r="A726" t="str">
        <f>IFERROR(__xludf.DUMMYFUNCTION("""COMPUTED_VALUE"""),"Dominican Republic")</f>
        <v>Dominican Republic</v>
      </c>
      <c r="B726" t="str">
        <f>IFERROR(__xludf.DUMMYFUNCTION("""COMPUTED_VALUE"""),"North America")</f>
        <v>North America</v>
      </c>
      <c r="C726">
        <f>IFERROR(__xludf.DUMMYFUNCTION("""COMPUTED_VALUE"""),25.0)</f>
        <v>25</v>
      </c>
      <c r="D726" t="str">
        <f>IFERROR(__xludf.DUMMYFUNCTION("""COMPUTED_VALUE"""),"Sigues Con El")</f>
        <v>Sigues Con El</v>
      </c>
      <c r="E726" t="str">
        <f>IFERROR(__xludf.DUMMYFUNCTION("""COMPUTED_VALUE"""),"Dímelo Flow, Arcangel, Sech")</f>
        <v>Dímelo Flow, Arcangel, Sech</v>
      </c>
      <c r="F726" t="str">
        <f>IFERROR(__xludf.DUMMYFUNCTION("""COMPUTED_VALUE"""),"Sigues Con El")</f>
        <v>Sigues Con El</v>
      </c>
      <c r="G726">
        <f>IFERROR(__xludf.DUMMYFUNCTION("""COMPUTED_VALUE"""),0.0)</f>
        <v>0</v>
      </c>
      <c r="H726" s="5">
        <f>IFERROR(__xludf.DUMMYFUNCTION("""COMPUTED_VALUE"""),0.1569444444430701)</f>
        <v>0.1569444444</v>
      </c>
    </row>
    <row r="727">
      <c r="A727" t="str">
        <f>IFERROR(__xludf.DUMMYFUNCTION("""COMPUTED_VALUE"""),"Dominican Republic")</f>
        <v>Dominican Republic</v>
      </c>
      <c r="B727" t="str">
        <f>IFERROR(__xludf.DUMMYFUNCTION("""COMPUTED_VALUE"""),"North America")</f>
        <v>North America</v>
      </c>
      <c r="C727">
        <f>IFERROR(__xludf.DUMMYFUNCTION("""COMPUTED_VALUE"""),26.0)</f>
        <v>26</v>
      </c>
      <c r="D727" t="str">
        <f>IFERROR(__xludf.DUMMYFUNCTION("""COMPUTED_VALUE"""),"BAD CON NICKY")</f>
        <v>BAD CON NICKY</v>
      </c>
      <c r="E727" t="str">
        <f>IFERROR(__xludf.DUMMYFUNCTION("""COMPUTED_VALUE"""),"Bad Bunny, Nicky Jam")</f>
        <v>Bad Bunny, Nicky Jam</v>
      </c>
      <c r="F727" t="str">
        <f>IFERROR(__xludf.DUMMYFUNCTION("""COMPUTED_VALUE"""),"LAS QUE NO IBAN A SALIR")</f>
        <v>LAS QUE NO IBAN A SALIR</v>
      </c>
      <c r="G727">
        <f>IFERROR(__xludf.DUMMYFUNCTION("""COMPUTED_VALUE"""),1.0)</f>
        <v>1</v>
      </c>
      <c r="H727" s="5">
        <f>IFERROR(__xludf.DUMMYFUNCTION("""COMPUTED_VALUE"""),0.14027777777664596)</f>
        <v>0.1402777778</v>
      </c>
    </row>
    <row r="728">
      <c r="A728" t="str">
        <f>IFERROR(__xludf.DUMMYFUNCTION("""COMPUTED_VALUE"""),"Dominican Republic")</f>
        <v>Dominican Republic</v>
      </c>
      <c r="B728" t="str">
        <f>IFERROR(__xludf.DUMMYFUNCTION("""COMPUTED_VALUE"""),"North America")</f>
        <v>North America</v>
      </c>
      <c r="C728">
        <f>IFERROR(__xludf.DUMMYFUNCTION("""COMPUTED_VALUE"""),27.0)</f>
        <v>27</v>
      </c>
      <c r="D728" t="str">
        <f>IFERROR(__xludf.DUMMYFUNCTION("""COMPUTED_VALUE"""),"Sigues Con El - Remix")</f>
        <v>Sigues Con El - Remix</v>
      </c>
      <c r="E728" t="str">
        <f>IFERROR(__xludf.DUMMYFUNCTION("""COMPUTED_VALUE"""),"Arcangel, Sech, Romeo Santos")</f>
        <v>Arcangel, Sech, Romeo Santos</v>
      </c>
      <c r="F728" t="str">
        <f>IFERROR(__xludf.DUMMYFUNCTION("""COMPUTED_VALUE"""),"Sigues Con El (Remix)")</f>
        <v>Sigues Con El (Remix)</v>
      </c>
      <c r="G728">
        <f>IFERROR(__xludf.DUMMYFUNCTION("""COMPUTED_VALUE"""),0.0)</f>
        <v>0</v>
      </c>
      <c r="H728" s="5">
        <f>IFERROR(__xludf.DUMMYFUNCTION("""COMPUTED_VALUE"""),0.1312499999985448)</f>
        <v>0.13125</v>
      </c>
    </row>
    <row r="729">
      <c r="A729" t="str">
        <f>IFERROR(__xludf.DUMMYFUNCTION("""COMPUTED_VALUE"""),"Dominican Republic")</f>
        <v>Dominican Republic</v>
      </c>
      <c r="B729" t="str">
        <f>IFERROR(__xludf.DUMMYFUNCTION("""COMPUTED_VALUE"""),"North America")</f>
        <v>North America</v>
      </c>
      <c r="C729">
        <f>IFERROR(__xludf.DUMMYFUNCTION("""COMPUTED_VALUE"""),28.0)</f>
        <v>28</v>
      </c>
      <c r="D729" t="str">
        <f>IFERROR(__xludf.DUMMYFUNCTION("""COMPUTED_VALUE"""),"Tusa")</f>
        <v>Tusa</v>
      </c>
      <c r="E729" t="str">
        <f>IFERROR(__xludf.DUMMYFUNCTION("""COMPUTED_VALUE"""),"KAROL G, Nicki Minaj")</f>
        <v>KAROL G, Nicki Minaj</v>
      </c>
      <c r="F729" t="str">
        <f>IFERROR(__xludf.DUMMYFUNCTION("""COMPUTED_VALUE"""),"Tusa")</f>
        <v>Tusa</v>
      </c>
      <c r="G729">
        <f>IFERROR(__xludf.DUMMYFUNCTION("""COMPUTED_VALUE"""),0.0)</f>
        <v>0</v>
      </c>
      <c r="H729" s="5">
        <f>IFERROR(__xludf.DUMMYFUNCTION("""COMPUTED_VALUE"""),0.13888888889050577)</f>
        <v>0.1388888889</v>
      </c>
    </row>
    <row r="730">
      <c r="A730" t="str">
        <f>IFERROR(__xludf.DUMMYFUNCTION("""COMPUTED_VALUE"""),"Dominican Republic")</f>
        <v>Dominican Republic</v>
      </c>
      <c r="B730" t="str">
        <f>IFERROR(__xludf.DUMMYFUNCTION("""COMPUTED_VALUE"""),"North America")</f>
        <v>North America</v>
      </c>
      <c r="C730">
        <f>IFERROR(__xludf.DUMMYFUNCTION("""COMPUTED_VALUE"""),29.0)</f>
        <v>29</v>
      </c>
      <c r="D730" t="str">
        <f>IFERROR(__xludf.DUMMYFUNCTION("""COMPUTED_VALUE"""),"RONCA FREESTYLE")</f>
        <v>RONCA FREESTYLE</v>
      </c>
      <c r="E730" t="str">
        <f>IFERROR(__xludf.DUMMYFUNCTION("""COMPUTED_VALUE"""),"Bad Bunny")</f>
        <v>Bad Bunny</v>
      </c>
      <c r="F730" t="str">
        <f>IFERROR(__xludf.DUMMYFUNCTION("""COMPUTED_VALUE"""),"LAS QUE NO IBAN A SALIR")</f>
        <v>LAS QUE NO IBAN A SALIR</v>
      </c>
      <c r="G730">
        <f>IFERROR(__xludf.DUMMYFUNCTION("""COMPUTED_VALUE"""),1.0)</f>
        <v>1</v>
      </c>
      <c r="H730" s="5">
        <f>IFERROR(__xludf.DUMMYFUNCTION("""COMPUTED_VALUE"""),0.10416666666787933)</f>
        <v>0.1041666667</v>
      </c>
    </row>
    <row r="731">
      <c r="A731" t="str">
        <f>IFERROR(__xludf.DUMMYFUNCTION("""COMPUTED_VALUE"""),"Dominican Republic")</f>
        <v>Dominican Republic</v>
      </c>
      <c r="B731" t="str">
        <f>IFERROR(__xludf.DUMMYFUNCTION("""COMPUTED_VALUE"""),"North America")</f>
        <v>North America</v>
      </c>
      <c r="C731">
        <f>IFERROR(__xludf.DUMMYFUNCTION("""COMPUTED_VALUE"""),30.0)</f>
        <v>30</v>
      </c>
      <c r="D731" t="str">
        <f>IFERROR(__xludf.DUMMYFUNCTION("""COMPUTED_VALUE"""),"Besalo")</f>
        <v>Besalo</v>
      </c>
      <c r="E731" t="str">
        <f>IFERROR(__xludf.DUMMYFUNCTION("""COMPUTED_VALUE"""),"El Alfa, Rauw Alejandro")</f>
        <v>El Alfa, Rauw Alejandro</v>
      </c>
      <c r="F731" t="str">
        <f>IFERROR(__xludf.DUMMYFUNCTION("""COMPUTED_VALUE"""),"El Androide")</f>
        <v>El Androide</v>
      </c>
      <c r="G731">
        <f>IFERROR(__xludf.DUMMYFUNCTION("""COMPUTED_VALUE"""),0.0)</f>
        <v>0</v>
      </c>
      <c r="H731" s="5">
        <f>IFERROR(__xludf.DUMMYFUNCTION("""COMPUTED_VALUE"""),0.11319444444598048)</f>
        <v>0.1131944444</v>
      </c>
    </row>
    <row r="732">
      <c r="A732" t="str">
        <f>IFERROR(__xludf.DUMMYFUNCTION("""COMPUTED_VALUE"""),"Dominican Republic")</f>
        <v>Dominican Republic</v>
      </c>
      <c r="B732" t="str">
        <f>IFERROR(__xludf.DUMMYFUNCTION("""COMPUTED_VALUE"""),"North America")</f>
        <v>North America</v>
      </c>
      <c r="C732">
        <f>IFERROR(__xludf.DUMMYFUNCTION("""COMPUTED_VALUE"""),31.0)</f>
        <v>31</v>
      </c>
      <c r="D732" t="str">
        <f>IFERROR(__xludf.DUMMYFUNCTION("""COMPUTED_VALUE"""),"Loco - Remix")</f>
        <v>Loco - Remix</v>
      </c>
      <c r="E732" t="str">
        <f>IFERROR(__xludf.DUMMYFUNCTION("""COMPUTED_VALUE"""),"Farruko, Beéle, Natti Natasha, Manuel Turizo")</f>
        <v>Farruko, Beéle, Natti Natasha, Manuel Turizo</v>
      </c>
      <c r="F732" t="str">
        <f>IFERROR(__xludf.DUMMYFUNCTION("""COMPUTED_VALUE"""),"Loco (Remix)")</f>
        <v>Loco (Remix)</v>
      </c>
      <c r="G732">
        <f>IFERROR(__xludf.DUMMYFUNCTION("""COMPUTED_VALUE"""),0.0)</f>
        <v>0</v>
      </c>
      <c r="H732" s="5">
        <f>IFERROR(__xludf.DUMMYFUNCTION("""COMPUTED_VALUE"""),0.17222222222335404)</f>
        <v>0.1722222222</v>
      </c>
    </row>
    <row r="733">
      <c r="A733" t="str">
        <f>IFERROR(__xludf.DUMMYFUNCTION("""COMPUTED_VALUE"""),"Dominican Republic")</f>
        <v>Dominican Republic</v>
      </c>
      <c r="B733" t="str">
        <f>IFERROR(__xludf.DUMMYFUNCTION("""COMPUTED_VALUE"""),"North America")</f>
        <v>North America</v>
      </c>
      <c r="C733">
        <f>IFERROR(__xludf.DUMMYFUNCTION("""COMPUTED_VALUE"""),32.0)</f>
        <v>32</v>
      </c>
      <c r="D733" t="str">
        <f>IFERROR(__xludf.DUMMYFUNCTION("""COMPUTED_VALUE"""),"Medusa")</f>
        <v>Medusa</v>
      </c>
      <c r="E733" t="str">
        <f>IFERROR(__xludf.DUMMYFUNCTION("""COMPUTED_VALUE"""),"Jhay Cortez, Anuel AA, J Balvin")</f>
        <v>Jhay Cortez, Anuel AA, J Balvin</v>
      </c>
      <c r="F733" t="str">
        <f>IFERROR(__xludf.DUMMYFUNCTION("""COMPUTED_VALUE"""),"Medusa")</f>
        <v>Medusa</v>
      </c>
      <c r="G733">
        <f>IFERROR(__xludf.DUMMYFUNCTION("""COMPUTED_VALUE"""),1.0)</f>
        <v>1</v>
      </c>
      <c r="H733" s="5">
        <f>IFERROR(__xludf.DUMMYFUNCTION("""COMPUTED_VALUE"""),0.21180555555474712)</f>
        <v>0.2118055556</v>
      </c>
    </row>
    <row r="734">
      <c r="A734" t="str">
        <f>IFERROR(__xludf.DUMMYFUNCTION("""COMPUTED_VALUE"""),"Dominican Republic")</f>
        <v>Dominican Republic</v>
      </c>
      <c r="B734" t="str">
        <f>IFERROR(__xludf.DUMMYFUNCTION("""COMPUTED_VALUE"""),"North America")</f>
        <v>North America</v>
      </c>
      <c r="C734">
        <f>IFERROR(__xludf.DUMMYFUNCTION("""COMPUTED_VALUE"""),33.0)</f>
        <v>33</v>
      </c>
      <c r="D734" t="str">
        <f>IFERROR(__xludf.DUMMYFUNCTION("""COMPUTED_VALUE"""),"No Me Conoce - Remix")</f>
        <v>No Me Conoce - Remix</v>
      </c>
      <c r="E734" t="str">
        <f>IFERROR(__xludf.DUMMYFUNCTION("""COMPUTED_VALUE"""),"Jhay Cortez, J Balvin, Bad Bunny")</f>
        <v>Jhay Cortez, J Balvin, Bad Bunny</v>
      </c>
      <c r="F734" t="str">
        <f>IFERROR(__xludf.DUMMYFUNCTION("""COMPUTED_VALUE"""),"Famouz")</f>
        <v>Famouz</v>
      </c>
      <c r="G734">
        <f>IFERROR(__xludf.DUMMYFUNCTION("""COMPUTED_VALUE"""),0.0)</f>
        <v>0</v>
      </c>
      <c r="H734" s="5">
        <f>IFERROR(__xludf.DUMMYFUNCTION("""COMPUTED_VALUE"""),0.21458333333430346)</f>
        <v>0.2145833333</v>
      </c>
    </row>
    <row r="735">
      <c r="A735" t="str">
        <f>IFERROR(__xludf.DUMMYFUNCTION("""COMPUTED_VALUE"""),"Dominican Republic")</f>
        <v>Dominican Republic</v>
      </c>
      <c r="B735" t="str">
        <f>IFERROR(__xludf.DUMMYFUNCTION("""COMPUTED_VALUE"""),"North America")</f>
        <v>North America</v>
      </c>
      <c r="C735">
        <f>IFERROR(__xludf.DUMMYFUNCTION("""COMPUTED_VALUE"""),34.0)</f>
        <v>34</v>
      </c>
      <c r="D735" t="str">
        <f>IFERROR(__xludf.DUMMYFUNCTION("""COMPUTED_VALUE"""),"PORFA")</f>
        <v>PORFA</v>
      </c>
      <c r="E735" t="str">
        <f>IFERROR(__xludf.DUMMYFUNCTION("""COMPUTED_VALUE"""),"Feid, Justin Quiles")</f>
        <v>Feid, Justin Quiles</v>
      </c>
      <c r="F735" t="str">
        <f>IFERROR(__xludf.DUMMYFUNCTION("""COMPUTED_VALUE"""),"FERXXO (VOL 1: M.O.R)")</f>
        <v>FERXXO (VOL 1: M.O.R)</v>
      </c>
      <c r="G735">
        <f>IFERROR(__xludf.DUMMYFUNCTION("""COMPUTED_VALUE"""),0.0)</f>
        <v>0</v>
      </c>
      <c r="H735" s="5">
        <f>IFERROR(__xludf.DUMMYFUNCTION("""COMPUTED_VALUE"""),0.16111111111240461)</f>
        <v>0.1611111111</v>
      </c>
    </row>
    <row r="736">
      <c r="A736" t="str">
        <f>IFERROR(__xludf.DUMMYFUNCTION("""COMPUTED_VALUE"""),"Dominican Republic")</f>
        <v>Dominican Republic</v>
      </c>
      <c r="B736" t="str">
        <f>IFERROR(__xludf.DUMMYFUNCTION("""COMPUTED_VALUE"""),"North America")</f>
        <v>North America</v>
      </c>
      <c r="C736">
        <f>IFERROR(__xludf.DUMMYFUNCTION("""COMPUTED_VALUE"""),35.0)</f>
        <v>35</v>
      </c>
      <c r="D736" t="str">
        <f>IFERROR(__xludf.DUMMYFUNCTION("""COMPUTED_VALUE"""),"LA CANCIÓN")</f>
        <v>LA CANCIÓN</v>
      </c>
      <c r="E736" t="str">
        <f>IFERROR(__xludf.DUMMYFUNCTION("""COMPUTED_VALUE"""),"J Balvin, Bad Bunny")</f>
        <v>J Balvin, Bad Bunny</v>
      </c>
      <c r="F736" t="str">
        <f>IFERROR(__xludf.DUMMYFUNCTION("""COMPUTED_VALUE"""),"OASIS")</f>
        <v>OASIS</v>
      </c>
      <c r="G736">
        <f>IFERROR(__xludf.DUMMYFUNCTION("""COMPUTED_VALUE"""),0.0)</f>
        <v>0</v>
      </c>
      <c r="H736" s="5">
        <f>IFERROR(__xludf.DUMMYFUNCTION("""COMPUTED_VALUE"""),0.16805555555401952)</f>
        <v>0.1680555556</v>
      </c>
    </row>
    <row r="737">
      <c r="A737" t="str">
        <f>IFERROR(__xludf.DUMMYFUNCTION("""COMPUTED_VALUE"""),"Dominican Republic")</f>
        <v>Dominican Republic</v>
      </c>
      <c r="B737" t="str">
        <f>IFERROR(__xludf.DUMMYFUNCTION("""COMPUTED_VALUE"""),"North America")</f>
        <v>North America</v>
      </c>
      <c r="C737">
        <f>IFERROR(__xludf.DUMMYFUNCTION("""COMPUTED_VALUE"""),36.0)</f>
        <v>36</v>
      </c>
      <c r="D737" t="str">
        <f>IFERROR(__xludf.DUMMYFUNCTION("""COMPUTED_VALUE"""),"Adicto (with Anuel AA &amp; Ozuna)")</f>
        <v>Adicto (with Anuel AA &amp; Ozuna)</v>
      </c>
      <c r="E737" t="str">
        <f>IFERROR(__xludf.DUMMYFUNCTION("""COMPUTED_VALUE"""),"Tainy, Anuel AA, Ozuna")</f>
        <v>Tainy, Anuel AA, Ozuna</v>
      </c>
      <c r="F737" t="str">
        <f>IFERROR(__xludf.DUMMYFUNCTION("""COMPUTED_VALUE"""),"Adicto (with Anuel AA &amp; Ozuna)")</f>
        <v>Adicto (with Anuel AA &amp; Ozuna)</v>
      </c>
      <c r="G737">
        <f>IFERROR(__xludf.DUMMYFUNCTION("""COMPUTED_VALUE"""),0.0)</f>
        <v>0</v>
      </c>
      <c r="H737" s="5">
        <f>IFERROR(__xludf.DUMMYFUNCTION("""COMPUTED_VALUE"""),0.1875)</f>
        <v>0.1875</v>
      </c>
    </row>
    <row r="738">
      <c r="A738" t="str">
        <f>IFERROR(__xludf.DUMMYFUNCTION("""COMPUTED_VALUE"""),"Dominican Republic")</f>
        <v>Dominican Republic</v>
      </c>
      <c r="B738" t="str">
        <f>IFERROR(__xludf.DUMMYFUNCTION("""COMPUTED_VALUE"""),"North America")</f>
        <v>North America</v>
      </c>
      <c r="C738">
        <f>IFERROR(__xludf.DUMMYFUNCTION("""COMPUTED_VALUE"""),37.0)</f>
        <v>37</v>
      </c>
      <c r="D738" t="str">
        <f>IFERROR(__xludf.DUMMYFUNCTION("""COMPUTED_VALUE"""),"Bellaquita - Remix")</f>
        <v>Bellaquita - Remix</v>
      </c>
      <c r="E738" t="str">
        <f>IFERROR(__xludf.DUMMYFUNCTION("""COMPUTED_VALUE"""),"Dalex, Lenny Tavárez, Anitta, Natti Natasha, Farruko, Justin Quiles")</f>
        <v>Dalex, Lenny Tavárez, Anitta, Natti Natasha, Farruko, Justin Quiles</v>
      </c>
      <c r="F738" t="str">
        <f>IFERROR(__xludf.DUMMYFUNCTION("""COMPUTED_VALUE"""),"Modo Avión")</f>
        <v>Modo Avión</v>
      </c>
      <c r="G738">
        <f>IFERROR(__xludf.DUMMYFUNCTION("""COMPUTED_VALUE"""),1.0)</f>
        <v>1</v>
      </c>
      <c r="H738" s="5">
        <f>IFERROR(__xludf.DUMMYFUNCTION("""COMPUTED_VALUE"""),0.21111111111167702)</f>
        <v>0.2111111111</v>
      </c>
    </row>
    <row r="739">
      <c r="A739" t="str">
        <f>IFERROR(__xludf.DUMMYFUNCTION("""COMPUTED_VALUE"""),"Dominican Republic")</f>
        <v>Dominican Republic</v>
      </c>
      <c r="B739" t="str">
        <f>IFERROR(__xludf.DUMMYFUNCTION("""COMPUTED_VALUE"""),"North America")</f>
        <v>North America</v>
      </c>
      <c r="C739">
        <f>IFERROR(__xludf.DUMMYFUNCTION("""COMPUTED_VALUE"""),38.0)</f>
        <v>38</v>
      </c>
      <c r="D739" t="str">
        <f>IFERROR(__xludf.DUMMYFUNCTION("""COMPUTED_VALUE"""),"Confía")</f>
        <v>Confía</v>
      </c>
      <c r="E739" t="str">
        <f>IFERROR(__xludf.DUMMYFUNCTION("""COMPUTED_VALUE"""),"Sech, Daddy Yankee")</f>
        <v>Sech, Daddy Yankee</v>
      </c>
      <c r="F739" t="str">
        <f>IFERROR(__xludf.DUMMYFUNCTION("""COMPUTED_VALUE"""),"1 of 1")</f>
        <v>1 of 1</v>
      </c>
      <c r="G739">
        <f>IFERROR(__xludf.DUMMYFUNCTION("""COMPUTED_VALUE"""),0.0)</f>
        <v>0</v>
      </c>
      <c r="H739" s="5">
        <f>IFERROR(__xludf.DUMMYFUNCTION("""COMPUTED_VALUE"""),0.14027777777664596)</f>
        <v>0.1402777778</v>
      </c>
    </row>
    <row r="740">
      <c r="A740" t="str">
        <f>IFERROR(__xludf.DUMMYFUNCTION("""COMPUTED_VALUE"""),"Dominican Republic")</f>
        <v>Dominican Republic</v>
      </c>
      <c r="B740" t="str">
        <f>IFERROR(__xludf.DUMMYFUNCTION("""COMPUTED_VALUE"""),"North America")</f>
        <v>North America</v>
      </c>
      <c r="C740">
        <f>IFERROR(__xludf.DUMMYFUNCTION("""COMPUTED_VALUE"""),39.0)</f>
        <v>39</v>
      </c>
      <c r="D740" t="str">
        <f>IFERROR(__xludf.DUMMYFUNCTION("""COMPUTED_VALUE"""),"A Tu Merced")</f>
        <v>A Tu Merced</v>
      </c>
      <c r="E740" t="str">
        <f>IFERROR(__xludf.DUMMYFUNCTION("""COMPUTED_VALUE"""),"Bad Bunny")</f>
        <v>Bad Bunny</v>
      </c>
      <c r="F740" t="str">
        <f>IFERROR(__xludf.DUMMYFUNCTION("""COMPUTED_VALUE"""),"YHLQMDLG")</f>
        <v>YHLQMDLG</v>
      </c>
      <c r="G740">
        <f>IFERROR(__xludf.DUMMYFUNCTION("""COMPUTED_VALUE"""),0.0)</f>
        <v>0</v>
      </c>
      <c r="H740" s="5">
        <f>IFERROR(__xludf.DUMMYFUNCTION("""COMPUTED_VALUE"""),0.12152777777737356)</f>
        <v>0.1215277778</v>
      </c>
    </row>
    <row r="741">
      <c r="A741" t="str">
        <f>IFERROR(__xludf.DUMMYFUNCTION("""COMPUTED_VALUE"""),"Dominican Republic")</f>
        <v>Dominican Republic</v>
      </c>
      <c r="B741" t="str">
        <f>IFERROR(__xludf.DUMMYFUNCTION("""COMPUTED_VALUE"""),"North America")</f>
        <v>North America</v>
      </c>
      <c r="C741">
        <f>IFERROR(__xludf.DUMMYFUNCTION("""COMPUTED_VALUE"""),40.0)</f>
        <v>40</v>
      </c>
      <c r="D741" t="str">
        <f>IFERROR(__xludf.DUMMYFUNCTION("""COMPUTED_VALUE"""),"Girl")</f>
        <v>Girl</v>
      </c>
      <c r="E741" t="str">
        <f>IFERROR(__xludf.DUMMYFUNCTION("""COMPUTED_VALUE"""),"Myke Towers")</f>
        <v>Myke Towers</v>
      </c>
      <c r="F741" t="str">
        <f>IFERROR(__xludf.DUMMYFUNCTION("""COMPUTED_VALUE"""),"Easy Money Baby")</f>
        <v>Easy Money Baby</v>
      </c>
      <c r="G741">
        <f>IFERROR(__xludf.DUMMYFUNCTION("""COMPUTED_VALUE"""),1.0)</f>
        <v>1</v>
      </c>
      <c r="H741" s="5">
        <f>IFERROR(__xludf.DUMMYFUNCTION("""COMPUTED_VALUE"""),0.12916666666569654)</f>
        <v>0.1291666667</v>
      </c>
    </row>
    <row r="742">
      <c r="A742" t="str">
        <f>IFERROR(__xludf.DUMMYFUNCTION("""COMPUTED_VALUE"""),"Dominican Republic")</f>
        <v>Dominican Republic</v>
      </c>
      <c r="B742" t="str">
        <f>IFERROR(__xludf.DUMMYFUNCTION("""COMPUTED_VALUE"""),"North America")</f>
        <v>North America</v>
      </c>
      <c r="C742">
        <f>IFERROR(__xludf.DUMMYFUNCTION("""COMPUTED_VALUE"""),41.0)</f>
        <v>41</v>
      </c>
      <c r="D742" t="str">
        <f>IFERROR(__xludf.DUMMYFUNCTION("""COMPUTED_VALUE"""),"25/8")</f>
        <v>25/8</v>
      </c>
      <c r="E742" t="str">
        <f>IFERROR(__xludf.DUMMYFUNCTION("""COMPUTED_VALUE"""),"Bad Bunny")</f>
        <v>Bad Bunny</v>
      </c>
      <c r="F742" t="str">
        <f>IFERROR(__xludf.DUMMYFUNCTION("""COMPUTED_VALUE"""),"YHLQMDLG")</f>
        <v>YHLQMDLG</v>
      </c>
      <c r="G742">
        <f>IFERROR(__xludf.DUMMYFUNCTION("""COMPUTED_VALUE"""),0.0)</f>
        <v>0</v>
      </c>
      <c r="H742" s="5">
        <f>IFERROR(__xludf.DUMMYFUNCTION("""COMPUTED_VALUE"""),0.1687500000007276)</f>
        <v>0.16875</v>
      </c>
    </row>
    <row r="743">
      <c r="A743" t="str">
        <f>IFERROR(__xludf.DUMMYFUNCTION("""COMPUTED_VALUE"""),"Dominican Republic")</f>
        <v>Dominican Republic</v>
      </c>
      <c r="B743" t="str">
        <f>IFERROR(__xludf.DUMMYFUNCTION("""COMPUTED_VALUE"""),"North America")</f>
        <v>North America</v>
      </c>
      <c r="C743">
        <f>IFERROR(__xludf.DUMMYFUNCTION("""COMPUTED_VALUE"""),42.0)</f>
        <v>42</v>
      </c>
      <c r="D743" t="str">
        <f>IFERROR(__xludf.DUMMYFUNCTION("""COMPUTED_VALUE"""),"Singapur")</f>
        <v>Singapur</v>
      </c>
      <c r="E743" t="str">
        <f>IFERROR(__xludf.DUMMYFUNCTION("""COMPUTED_VALUE"""),"El Alfa, Chael Produciendo")</f>
        <v>El Alfa, Chael Produciendo</v>
      </c>
      <c r="F743" t="str">
        <f>IFERROR(__xludf.DUMMYFUNCTION("""COMPUTED_VALUE"""),"El Androide")</f>
        <v>El Androide</v>
      </c>
      <c r="G743">
        <f>IFERROR(__xludf.DUMMYFUNCTION("""COMPUTED_VALUE"""),0.0)</f>
        <v>0</v>
      </c>
      <c r="H743" s="5">
        <f>IFERROR(__xludf.DUMMYFUNCTION("""COMPUTED_VALUE"""),0.12361111111022183)</f>
        <v>0.1236111111</v>
      </c>
    </row>
    <row r="744">
      <c r="A744" t="str">
        <f>IFERROR(__xludf.DUMMYFUNCTION("""COMPUTED_VALUE"""),"Dominican Republic")</f>
        <v>Dominican Republic</v>
      </c>
      <c r="B744" t="str">
        <f>IFERROR(__xludf.DUMMYFUNCTION("""COMPUTED_VALUE"""),"North America")</f>
        <v>North America</v>
      </c>
      <c r="C744">
        <f>IFERROR(__xludf.DUMMYFUNCTION("""COMPUTED_VALUE"""),43.0)</f>
        <v>43</v>
      </c>
      <c r="D744" t="str">
        <f>IFERROR(__xludf.DUMMYFUNCTION("""COMPUTED_VALUE"""),"Si Te Vas")</f>
        <v>Si Te Vas</v>
      </c>
      <c r="E744" t="str">
        <f>IFERROR(__xludf.DUMMYFUNCTION("""COMPUTED_VALUE"""),"Sech, Ozuna")</f>
        <v>Sech, Ozuna</v>
      </c>
      <c r="F744" t="str">
        <f>IFERROR(__xludf.DUMMYFUNCTION("""COMPUTED_VALUE"""),"1 of 1")</f>
        <v>1 of 1</v>
      </c>
      <c r="G744">
        <f>IFERROR(__xludf.DUMMYFUNCTION("""COMPUTED_VALUE"""),0.0)</f>
        <v>0</v>
      </c>
      <c r="H744" s="5">
        <f>IFERROR(__xludf.DUMMYFUNCTION("""COMPUTED_VALUE"""),0.14166666666642413)</f>
        <v>0.1416666667</v>
      </c>
    </row>
    <row r="745">
      <c r="A745" t="str">
        <f>IFERROR(__xludf.DUMMYFUNCTION("""COMPUTED_VALUE"""),"Dominican Republic")</f>
        <v>Dominican Republic</v>
      </c>
      <c r="B745" t="str">
        <f>IFERROR(__xludf.DUMMYFUNCTION("""COMPUTED_VALUE"""),"North America")</f>
        <v>North America</v>
      </c>
      <c r="C745">
        <f>IFERROR(__xludf.DUMMYFUNCTION("""COMPUTED_VALUE"""),44.0)</f>
        <v>44</v>
      </c>
      <c r="D745" t="str">
        <f>IFERROR(__xludf.DUMMYFUNCTION("""COMPUTED_VALUE"""),"Follow")</f>
        <v>Follow</v>
      </c>
      <c r="E745" t="str">
        <f>IFERROR(__xludf.DUMMYFUNCTION("""COMPUTED_VALUE"""),"KAROL G, Anuel AA")</f>
        <v>KAROL G, Anuel AA</v>
      </c>
      <c r="F745" t="str">
        <f>IFERROR(__xludf.DUMMYFUNCTION("""COMPUTED_VALUE"""),"Follow")</f>
        <v>Follow</v>
      </c>
      <c r="G745">
        <f>IFERROR(__xludf.DUMMYFUNCTION("""COMPUTED_VALUE"""),0.0)</f>
        <v>0</v>
      </c>
      <c r="H745" s="5">
        <f>IFERROR(__xludf.DUMMYFUNCTION("""COMPUTED_VALUE"""),0.14097222222335404)</f>
        <v>0.1409722222</v>
      </c>
    </row>
    <row r="746">
      <c r="A746" t="str">
        <f>IFERROR(__xludf.DUMMYFUNCTION("""COMPUTED_VALUE"""),"Dominican Republic")</f>
        <v>Dominican Republic</v>
      </c>
      <c r="B746" t="str">
        <f>IFERROR(__xludf.DUMMYFUNCTION("""COMPUTED_VALUE"""),"North America")</f>
        <v>North America</v>
      </c>
      <c r="C746">
        <f>IFERROR(__xludf.DUMMYFUNCTION("""COMPUTED_VALUE"""),45.0)</f>
        <v>45</v>
      </c>
      <c r="D746" t="str">
        <f>IFERROR(__xludf.DUMMYFUNCTION("""COMPUTED_VALUE"""),"Rain On Me (with Ariana Grande)")</f>
        <v>Rain On Me (with Ariana Grande)</v>
      </c>
      <c r="E746" t="str">
        <f>IFERROR(__xludf.DUMMYFUNCTION("""COMPUTED_VALUE"""),"Lady Gaga, Ariana Grande")</f>
        <v>Lady Gaga, Ariana Grande</v>
      </c>
      <c r="F746" t="str">
        <f>IFERROR(__xludf.DUMMYFUNCTION("""COMPUTED_VALUE"""),"Rain On Me (with Ariana Grande)")</f>
        <v>Rain On Me (with Ariana Grande)</v>
      </c>
      <c r="G746">
        <f>IFERROR(__xludf.DUMMYFUNCTION("""COMPUTED_VALUE"""),0.0)</f>
        <v>0</v>
      </c>
      <c r="H746" s="5">
        <f>IFERROR(__xludf.DUMMYFUNCTION("""COMPUTED_VALUE"""),0.12638888888977817)</f>
        <v>0.1263888889</v>
      </c>
    </row>
    <row r="747">
      <c r="A747" t="str">
        <f>IFERROR(__xludf.DUMMYFUNCTION("""COMPUTED_VALUE"""),"Dominican Republic")</f>
        <v>Dominican Republic</v>
      </c>
      <c r="B747" t="str">
        <f>IFERROR(__xludf.DUMMYFUNCTION("""COMPUTED_VALUE"""),"North America")</f>
        <v>North America</v>
      </c>
      <c r="C747">
        <f>IFERROR(__xludf.DUMMYFUNCTION("""COMPUTED_VALUE"""),46.0)</f>
        <v>46</v>
      </c>
      <c r="D747" t="str">
        <f>IFERROR(__xludf.DUMMYFUNCTION("""COMPUTED_VALUE"""),"Keii")</f>
        <v>Keii</v>
      </c>
      <c r="E747" t="str">
        <f>IFERROR(__xludf.DUMMYFUNCTION("""COMPUTED_VALUE"""),"Anuel AA")</f>
        <v>Anuel AA</v>
      </c>
      <c r="F747" t="str">
        <f>IFERROR(__xludf.DUMMYFUNCTION("""COMPUTED_VALUE"""),"Keii")</f>
        <v>Keii</v>
      </c>
      <c r="G747">
        <f>IFERROR(__xludf.DUMMYFUNCTION("""COMPUTED_VALUE"""),0.0)</f>
        <v>0</v>
      </c>
      <c r="H747" s="5">
        <f>IFERROR(__xludf.DUMMYFUNCTION("""COMPUTED_VALUE"""),0.14583333333212067)</f>
        <v>0.1458333333</v>
      </c>
    </row>
    <row r="748">
      <c r="A748" t="str">
        <f>IFERROR(__xludf.DUMMYFUNCTION("""COMPUTED_VALUE"""),"Dominican Republic")</f>
        <v>Dominican Republic</v>
      </c>
      <c r="B748" t="str">
        <f>IFERROR(__xludf.DUMMYFUNCTION("""COMPUTED_VALUE"""),"North America")</f>
        <v>North America</v>
      </c>
      <c r="C748">
        <f>IFERROR(__xludf.DUMMYFUNCTION("""COMPUTED_VALUE"""),47.0)</f>
        <v>47</v>
      </c>
      <c r="D748" t="str">
        <f>IFERROR(__xludf.DUMMYFUNCTION("""COMPUTED_VALUE"""),"Blinding Lights")</f>
        <v>Blinding Lights</v>
      </c>
      <c r="E748" t="str">
        <f>IFERROR(__xludf.DUMMYFUNCTION("""COMPUTED_VALUE"""),"The Weeknd")</f>
        <v>The Weeknd</v>
      </c>
      <c r="F748" t="str">
        <f>IFERROR(__xludf.DUMMYFUNCTION("""COMPUTED_VALUE"""),"After Hours")</f>
        <v>After Hours</v>
      </c>
      <c r="G748">
        <f>IFERROR(__xludf.DUMMYFUNCTION("""COMPUTED_VALUE"""),0.0)</f>
        <v>0</v>
      </c>
      <c r="H748" s="5">
        <f>IFERROR(__xludf.DUMMYFUNCTION("""COMPUTED_VALUE"""),0.13888888889050577)</f>
        <v>0.1388888889</v>
      </c>
    </row>
    <row r="749">
      <c r="A749" t="str">
        <f>IFERROR(__xludf.DUMMYFUNCTION("""COMPUTED_VALUE"""),"Dominican Republic")</f>
        <v>Dominican Republic</v>
      </c>
      <c r="B749" t="str">
        <f>IFERROR(__xludf.DUMMYFUNCTION("""COMPUTED_VALUE"""),"North America")</f>
        <v>North America</v>
      </c>
      <c r="C749">
        <f>IFERROR(__xludf.DUMMYFUNCTION("""COMPUTED_VALUE"""),48.0)</f>
        <v>48</v>
      </c>
      <c r="D749" t="str">
        <f>IFERROR(__xludf.DUMMYFUNCTION("""COMPUTED_VALUE"""),"Toosie Slide")</f>
        <v>Toosie Slide</v>
      </c>
      <c r="E749" t="str">
        <f>IFERROR(__xludf.DUMMYFUNCTION("""COMPUTED_VALUE"""),"Drake")</f>
        <v>Drake</v>
      </c>
      <c r="F749" t="str">
        <f>IFERROR(__xludf.DUMMYFUNCTION("""COMPUTED_VALUE"""),"Dark Lane Demo Tapes")</f>
        <v>Dark Lane Demo Tapes</v>
      </c>
      <c r="G749">
        <f>IFERROR(__xludf.DUMMYFUNCTION("""COMPUTED_VALUE"""),1.0)</f>
        <v>1</v>
      </c>
      <c r="H749" s="5">
        <f>IFERROR(__xludf.DUMMYFUNCTION("""COMPUTED_VALUE"""),0.17152777777664596)</f>
        <v>0.1715277778</v>
      </c>
    </row>
    <row r="750">
      <c r="A750" t="str">
        <f>IFERROR(__xludf.DUMMYFUNCTION("""COMPUTED_VALUE"""),"Dominican Republic")</f>
        <v>Dominican Republic</v>
      </c>
      <c r="B750" t="str">
        <f>IFERROR(__xludf.DUMMYFUNCTION("""COMPUTED_VALUE"""),"North America")</f>
        <v>North America</v>
      </c>
      <c r="C750">
        <f>IFERROR(__xludf.DUMMYFUNCTION("""COMPUTED_VALUE"""),49.0)</f>
        <v>49</v>
      </c>
      <c r="D750" t="str">
        <f>IFERROR(__xludf.DUMMYFUNCTION("""COMPUTED_VALUE"""),"SI ELLA SALE")</f>
        <v>SI ELLA SALE</v>
      </c>
      <c r="E750" t="str">
        <f>IFERROR(__xludf.DUMMYFUNCTION("""COMPUTED_VALUE"""),"Bad Bunny")</f>
        <v>Bad Bunny</v>
      </c>
      <c r="F750" t="str">
        <f>IFERROR(__xludf.DUMMYFUNCTION("""COMPUTED_VALUE"""),"LAS QUE NO IBAN A SALIR")</f>
        <v>LAS QUE NO IBAN A SALIR</v>
      </c>
      <c r="G750">
        <f>IFERROR(__xludf.DUMMYFUNCTION("""COMPUTED_VALUE"""),0.0)</f>
        <v>0</v>
      </c>
      <c r="H750" s="5">
        <f>IFERROR(__xludf.DUMMYFUNCTION("""COMPUTED_VALUE"""),0.09930555555547471)</f>
        <v>0.09930555556</v>
      </c>
    </row>
    <row r="751">
      <c r="A751" t="str">
        <f>IFERROR(__xludf.DUMMYFUNCTION("""COMPUTED_VALUE"""),"Dominican Republic")</f>
        <v>Dominican Republic</v>
      </c>
      <c r="B751" t="str">
        <f>IFERROR(__xludf.DUMMYFUNCTION("""COMPUTED_VALUE"""),"North America")</f>
        <v>North America</v>
      </c>
      <c r="C751">
        <f>IFERROR(__xludf.DUMMYFUNCTION("""COMPUTED_VALUE"""),50.0)</f>
        <v>50</v>
      </c>
      <c r="D751" t="str">
        <f>IFERROR(__xludf.DUMMYFUNCTION("""COMPUTED_VALUE"""),"Hablamos Nunca")</f>
        <v>Hablamos Nunca</v>
      </c>
      <c r="E751" t="str">
        <f>IFERROR(__xludf.DUMMYFUNCTION("""COMPUTED_VALUE"""),"El Alfa, Bethoven Villaman, El Fother, Kiko el Crazy")</f>
        <v>El Alfa, Bethoven Villaman, El Fother, Kiko el Crazy</v>
      </c>
      <c r="F751" t="str">
        <f>IFERROR(__xludf.DUMMYFUNCTION("""COMPUTED_VALUE"""),"El Androide")</f>
        <v>El Androide</v>
      </c>
      <c r="G751">
        <f>IFERROR(__xludf.DUMMYFUNCTION("""COMPUTED_VALUE"""),0.0)</f>
        <v>0</v>
      </c>
      <c r="H751" s="5">
        <f>IFERROR(__xludf.DUMMYFUNCTION("""COMPUTED_VALUE"""),0.13888888889050577)</f>
        <v>0.1388888889</v>
      </c>
    </row>
    <row r="752">
      <c r="A752" t="str">
        <f>IFERROR(__xludf.DUMMYFUNCTION("""COMPUTED_VALUE"""),"Ecuador")</f>
        <v>Ecuador</v>
      </c>
      <c r="B752" t="str">
        <f>IFERROR(__xludf.DUMMYFUNCTION("""COMPUTED_VALUE"""),"South America")</f>
        <v>South America</v>
      </c>
      <c r="C752">
        <f>IFERROR(__xludf.DUMMYFUNCTION("""COMPUTED_VALUE"""),1.0)</f>
        <v>1</v>
      </c>
      <c r="D752" t="str">
        <f>IFERROR(__xludf.DUMMYFUNCTION("""COMPUTED_VALUE"""),"Yo Perreo Sola")</f>
        <v>Yo Perreo Sola</v>
      </c>
      <c r="E752" t="str">
        <f>IFERROR(__xludf.DUMMYFUNCTION("""COMPUTED_VALUE"""),"Bad Bunny")</f>
        <v>Bad Bunny</v>
      </c>
      <c r="F752" t="str">
        <f>IFERROR(__xludf.DUMMYFUNCTION("""COMPUTED_VALUE"""),"YHLQMDLG")</f>
        <v>YHLQMDLG</v>
      </c>
      <c r="G752">
        <f>IFERROR(__xludf.DUMMYFUNCTION("""COMPUTED_VALUE"""),0.0)</f>
        <v>0</v>
      </c>
      <c r="H752" s="5">
        <f>IFERROR(__xludf.DUMMYFUNCTION("""COMPUTED_VALUE"""),0.11944444444452529)</f>
        <v>0.1194444444</v>
      </c>
    </row>
    <row r="753">
      <c r="A753" t="str">
        <f>IFERROR(__xludf.DUMMYFUNCTION("""COMPUTED_VALUE"""),"Ecuador")</f>
        <v>Ecuador</v>
      </c>
      <c r="B753" t="str">
        <f>IFERROR(__xludf.DUMMYFUNCTION("""COMPUTED_VALUE"""),"South America")</f>
        <v>South America</v>
      </c>
      <c r="C753">
        <f>IFERROR(__xludf.DUMMYFUNCTION("""COMPUTED_VALUE"""),2.0)</f>
        <v>2</v>
      </c>
      <c r="D753" t="str">
        <f>IFERROR(__xludf.DUMMYFUNCTION("""COMPUTED_VALUE"""),"Safaera")</f>
        <v>Safaera</v>
      </c>
      <c r="E753" t="str">
        <f>IFERROR(__xludf.DUMMYFUNCTION("""COMPUTED_VALUE"""),"Bad Bunny, Jowell &amp; Randy, Nengo Flow")</f>
        <v>Bad Bunny, Jowell &amp; Randy, Nengo Flow</v>
      </c>
      <c r="F753" t="str">
        <f>IFERROR(__xludf.DUMMYFUNCTION("""COMPUTED_VALUE"""),"YHLQMDLG")</f>
        <v>YHLQMDLG</v>
      </c>
      <c r="G753">
        <f>IFERROR(__xludf.DUMMYFUNCTION("""COMPUTED_VALUE"""),1.0)</f>
        <v>1</v>
      </c>
      <c r="H753" s="5">
        <f>IFERROR(__xludf.DUMMYFUNCTION("""COMPUTED_VALUE"""),0.20486111110949423)</f>
        <v>0.2048611111</v>
      </c>
    </row>
    <row r="754">
      <c r="A754" t="str">
        <f>IFERROR(__xludf.DUMMYFUNCTION("""COMPUTED_VALUE"""),"Ecuador")</f>
        <v>Ecuador</v>
      </c>
      <c r="B754" t="str">
        <f>IFERROR(__xludf.DUMMYFUNCTION("""COMPUTED_VALUE"""),"South America")</f>
        <v>South America</v>
      </c>
      <c r="C754">
        <f>IFERROR(__xludf.DUMMYFUNCTION("""COMPUTED_VALUE"""),3.0)</f>
        <v>3</v>
      </c>
      <c r="D754" t="str">
        <f>IFERROR(__xludf.DUMMYFUNCTION("""COMPUTED_VALUE"""),"Rojo")</f>
        <v>Rojo</v>
      </c>
      <c r="E754" t="str">
        <f>IFERROR(__xludf.DUMMYFUNCTION("""COMPUTED_VALUE"""),"J Balvin")</f>
        <v>J Balvin</v>
      </c>
      <c r="F754" t="str">
        <f>IFERROR(__xludf.DUMMYFUNCTION("""COMPUTED_VALUE"""),"Colores")</f>
        <v>Colores</v>
      </c>
      <c r="G754">
        <f>IFERROR(__xludf.DUMMYFUNCTION("""COMPUTED_VALUE"""),0.0)</f>
        <v>0</v>
      </c>
      <c r="H754" s="5">
        <f>IFERROR(__xludf.DUMMYFUNCTION("""COMPUTED_VALUE"""),0.10416666666787933)</f>
        <v>0.1041666667</v>
      </c>
    </row>
    <row r="755">
      <c r="A755" t="str">
        <f>IFERROR(__xludf.DUMMYFUNCTION("""COMPUTED_VALUE"""),"Ecuador")</f>
        <v>Ecuador</v>
      </c>
      <c r="B755" t="str">
        <f>IFERROR(__xludf.DUMMYFUNCTION("""COMPUTED_VALUE"""),"South America")</f>
        <v>South America</v>
      </c>
      <c r="C755">
        <f>IFERROR(__xludf.DUMMYFUNCTION("""COMPUTED_VALUE"""),4.0)</f>
        <v>4</v>
      </c>
      <c r="D755" t="str">
        <f>IFERROR(__xludf.DUMMYFUNCTION("""COMPUTED_VALUE"""),"Favorito")</f>
        <v>Favorito</v>
      </c>
      <c r="E755" t="str">
        <f>IFERROR(__xludf.DUMMYFUNCTION("""COMPUTED_VALUE"""),"Camilo")</f>
        <v>Camilo</v>
      </c>
      <c r="F755" t="str">
        <f>IFERROR(__xludf.DUMMYFUNCTION("""COMPUTED_VALUE"""),"Por Primera Vez")</f>
        <v>Por Primera Vez</v>
      </c>
      <c r="G755">
        <f>IFERROR(__xludf.DUMMYFUNCTION("""COMPUTED_VALUE"""),0.0)</f>
        <v>0</v>
      </c>
      <c r="H755" s="5">
        <f>IFERROR(__xludf.DUMMYFUNCTION("""COMPUTED_VALUE"""),0.14513888888905058)</f>
        <v>0.1451388889</v>
      </c>
    </row>
    <row r="756">
      <c r="A756" t="str">
        <f>IFERROR(__xludf.DUMMYFUNCTION("""COMPUTED_VALUE"""),"Ecuador")</f>
        <v>Ecuador</v>
      </c>
      <c r="B756" t="str">
        <f>IFERROR(__xludf.DUMMYFUNCTION("""COMPUTED_VALUE"""),"South America")</f>
        <v>South America</v>
      </c>
      <c r="C756">
        <f>IFERROR(__xludf.DUMMYFUNCTION("""COMPUTED_VALUE"""),5.0)</f>
        <v>5</v>
      </c>
      <c r="D756" t="str">
        <f>IFERROR(__xludf.DUMMYFUNCTION("""COMPUTED_VALUE"""),"PORFA")</f>
        <v>PORFA</v>
      </c>
      <c r="E756" t="str">
        <f>IFERROR(__xludf.DUMMYFUNCTION("""COMPUTED_VALUE"""),"Feid, Justin Quiles")</f>
        <v>Feid, Justin Quiles</v>
      </c>
      <c r="F756" t="str">
        <f>IFERROR(__xludf.DUMMYFUNCTION("""COMPUTED_VALUE"""),"FERXXO (VOL 1: M.O.R)")</f>
        <v>FERXXO (VOL 1: M.O.R)</v>
      </c>
      <c r="G756">
        <f>IFERROR(__xludf.DUMMYFUNCTION("""COMPUTED_VALUE"""),0.0)</f>
        <v>0</v>
      </c>
      <c r="H756" s="5">
        <f>IFERROR(__xludf.DUMMYFUNCTION("""COMPUTED_VALUE"""),0.16111111111240461)</f>
        <v>0.1611111111</v>
      </c>
    </row>
    <row r="757">
      <c r="A757" t="str">
        <f>IFERROR(__xludf.DUMMYFUNCTION("""COMPUTED_VALUE"""),"Ecuador")</f>
        <v>Ecuador</v>
      </c>
      <c r="B757" t="str">
        <f>IFERROR(__xludf.DUMMYFUNCTION("""COMPUTED_VALUE"""),"South America")</f>
        <v>South America</v>
      </c>
      <c r="C757">
        <f>IFERROR(__xludf.DUMMYFUNCTION("""COMPUTED_VALUE"""),6.0)</f>
        <v>6</v>
      </c>
      <c r="D757" t="str">
        <f>IFERROR(__xludf.DUMMYFUNCTION("""COMPUTED_VALUE"""),"Blinding Lights")</f>
        <v>Blinding Lights</v>
      </c>
      <c r="E757" t="str">
        <f>IFERROR(__xludf.DUMMYFUNCTION("""COMPUTED_VALUE"""),"The Weeknd")</f>
        <v>The Weeknd</v>
      </c>
      <c r="F757" t="str">
        <f>IFERROR(__xludf.DUMMYFUNCTION("""COMPUTED_VALUE"""),"After Hours")</f>
        <v>After Hours</v>
      </c>
      <c r="G757">
        <f>IFERROR(__xludf.DUMMYFUNCTION("""COMPUTED_VALUE"""),0.0)</f>
        <v>0</v>
      </c>
      <c r="H757" s="5">
        <f>IFERROR(__xludf.DUMMYFUNCTION("""COMPUTED_VALUE"""),0.13888888889050577)</f>
        <v>0.1388888889</v>
      </c>
    </row>
    <row r="758">
      <c r="A758" t="str">
        <f>IFERROR(__xludf.DUMMYFUNCTION("""COMPUTED_VALUE"""),"Ecuador")</f>
        <v>Ecuador</v>
      </c>
      <c r="B758" t="str">
        <f>IFERROR(__xludf.DUMMYFUNCTION("""COMPUTED_VALUE"""),"South America")</f>
        <v>South America</v>
      </c>
      <c r="C758">
        <f>IFERROR(__xludf.DUMMYFUNCTION("""COMPUTED_VALUE"""),7.0)</f>
        <v>7</v>
      </c>
      <c r="D758" t="str">
        <f>IFERROR(__xludf.DUMMYFUNCTION("""COMPUTED_VALUE"""),"Elegí (feat. Dímelo Flow)")</f>
        <v>Elegí (feat. Dímelo Flow)</v>
      </c>
      <c r="E758" t="str">
        <f>IFERROR(__xludf.DUMMYFUNCTION("""COMPUTED_VALUE"""),"Rauw Alejandro, Dalex, Lenny Tavárez, Dímelo Flow")</f>
        <v>Rauw Alejandro, Dalex, Lenny Tavárez, Dímelo Flow</v>
      </c>
      <c r="F758" t="str">
        <f>IFERROR(__xludf.DUMMYFUNCTION("""COMPUTED_VALUE"""),"Elegí (feat. Dímelo Flow)")</f>
        <v>Elegí (feat. Dímelo Flow)</v>
      </c>
      <c r="G758">
        <f>IFERROR(__xludf.DUMMYFUNCTION("""COMPUTED_VALUE"""),0.0)</f>
        <v>0</v>
      </c>
      <c r="H758" s="5">
        <f>IFERROR(__xludf.DUMMYFUNCTION("""COMPUTED_VALUE"""),0.13680555555401952)</f>
        <v>0.1368055556</v>
      </c>
    </row>
    <row r="759">
      <c r="A759" t="str">
        <f>IFERROR(__xludf.DUMMYFUNCTION("""COMPUTED_VALUE"""),"Ecuador")</f>
        <v>Ecuador</v>
      </c>
      <c r="B759" t="str">
        <f>IFERROR(__xludf.DUMMYFUNCTION("""COMPUTED_VALUE"""),"South America")</f>
        <v>South America</v>
      </c>
      <c r="C759">
        <f>IFERROR(__xludf.DUMMYFUNCTION("""COMPUTED_VALUE"""),8.0)</f>
        <v>8</v>
      </c>
      <c r="D759" t="str">
        <f>IFERROR(__xludf.DUMMYFUNCTION("""COMPUTED_VALUE"""),"Relación")</f>
        <v>Relación</v>
      </c>
      <c r="E759" t="str">
        <f>IFERROR(__xludf.DUMMYFUNCTION("""COMPUTED_VALUE"""),"Sech")</f>
        <v>Sech</v>
      </c>
      <c r="F759" t="str">
        <f>IFERROR(__xludf.DUMMYFUNCTION("""COMPUTED_VALUE"""),"1 of 1")</f>
        <v>1 of 1</v>
      </c>
      <c r="G759">
        <f>IFERROR(__xludf.DUMMYFUNCTION("""COMPUTED_VALUE"""),0.0)</f>
        <v>0</v>
      </c>
      <c r="H759" s="5">
        <f>IFERROR(__xludf.DUMMYFUNCTION("""COMPUTED_VALUE"""),0.12777777777955635)</f>
        <v>0.1277777778</v>
      </c>
    </row>
    <row r="760">
      <c r="A760" t="str">
        <f>IFERROR(__xludf.DUMMYFUNCTION("""COMPUTED_VALUE"""),"Ecuador")</f>
        <v>Ecuador</v>
      </c>
      <c r="B760" t="str">
        <f>IFERROR(__xludf.DUMMYFUNCTION("""COMPUTED_VALUE"""),"South America")</f>
        <v>South America</v>
      </c>
      <c r="C760">
        <f>IFERROR(__xludf.DUMMYFUNCTION("""COMPUTED_VALUE"""),9.0)</f>
        <v>9</v>
      </c>
      <c r="D760" t="str">
        <f>IFERROR(__xludf.DUMMYFUNCTION("""COMPUTED_VALUE"""),"Tattoo")</f>
        <v>Tattoo</v>
      </c>
      <c r="E760" t="str">
        <f>IFERROR(__xludf.DUMMYFUNCTION("""COMPUTED_VALUE"""),"Rauw Alejandro")</f>
        <v>Rauw Alejandro</v>
      </c>
      <c r="F760" t="str">
        <f>IFERROR(__xludf.DUMMYFUNCTION("""COMPUTED_VALUE"""),"Tattoo")</f>
        <v>Tattoo</v>
      </c>
      <c r="G760">
        <f>IFERROR(__xludf.DUMMYFUNCTION("""COMPUTED_VALUE"""),0.0)</f>
        <v>0</v>
      </c>
      <c r="H760" s="5">
        <f>IFERROR(__xludf.DUMMYFUNCTION("""COMPUTED_VALUE"""),0.14027777777664596)</f>
        <v>0.1402777778</v>
      </c>
    </row>
    <row r="761">
      <c r="A761" t="str">
        <f>IFERROR(__xludf.DUMMYFUNCTION("""COMPUTED_VALUE"""),"Ecuador")</f>
        <v>Ecuador</v>
      </c>
      <c r="B761" t="str">
        <f>IFERROR(__xludf.DUMMYFUNCTION("""COMPUTED_VALUE"""),"South America")</f>
        <v>South America</v>
      </c>
      <c r="C761">
        <f>IFERROR(__xludf.DUMMYFUNCTION("""COMPUTED_VALUE"""),10.0)</f>
        <v>10</v>
      </c>
      <c r="D761" t="str">
        <f>IFERROR(__xludf.DUMMYFUNCTION("""COMPUTED_VALUE"""),"Morado")</f>
        <v>Morado</v>
      </c>
      <c r="E761" t="str">
        <f>IFERROR(__xludf.DUMMYFUNCTION("""COMPUTED_VALUE"""),"J Balvin")</f>
        <v>J Balvin</v>
      </c>
      <c r="F761" t="str">
        <f>IFERROR(__xludf.DUMMYFUNCTION("""COMPUTED_VALUE"""),"Colores")</f>
        <v>Colores</v>
      </c>
      <c r="G761">
        <f>IFERROR(__xludf.DUMMYFUNCTION("""COMPUTED_VALUE"""),0.0)</f>
        <v>0</v>
      </c>
      <c r="H761" s="5">
        <f>IFERROR(__xludf.DUMMYFUNCTION("""COMPUTED_VALUE"""),0.13888888889050577)</f>
        <v>0.1388888889</v>
      </c>
    </row>
    <row r="762">
      <c r="A762" t="str">
        <f>IFERROR(__xludf.DUMMYFUNCTION("""COMPUTED_VALUE"""),"Ecuador")</f>
        <v>Ecuador</v>
      </c>
      <c r="B762" t="str">
        <f>IFERROR(__xludf.DUMMYFUNCTION("""COMPUTED_VALUE"""),"South America")</f>
        <v>South America</v>
      </c>
      <c r="C762">
        <f>IFERROR(__xludf.DUMMYFUNCTION("""COMPUTED_VALUE"""),11.0)</f>
        <v>11</v>
      </c>
      <c r="D762" t="str">
        <f>IFERROR(__xludf.DUMMYFUNCTION("""COMPUTED_VALUE"""),"Amarillo")</f>
        <v>Amarillo</v>
      </c>
      <c r="E762" t="str">
        <f>IFERROR(__xludf.DUMMYFUNCTION("""COMPUTED_VALUE"""),"J Balvin")</f>
        <v>J Balvin</v>
      </c>
      <c r="F762" t="str">
        <f>IFERROR(__xludf.DUMMYFUNCTION("""COMPUTED_VALUE"""),"Colores")</f>
        <v>Colores</v>
      </c>
      <c r="G762">
        <f>IFERROR(__xludf.DUMMYFUNCTION("""COMPUTED_VALUE"""),0.0)</f>
        <v>0</v>
      </c>
      <c r="H762" s="5">
        <f>IFERROR(__xludf.DUMMYFUNCTION("""COMPUTED_VALUE"""),0.10902777777664596)</f>
        <v>0.1090277778</v>
      </c>
    </row>
    <row r="763">
      <c r="A763" t="str">
        <f>IFERROR(__xludf.DUMMYFUNCTION("""COMPUTED_VALUE"""),"Ecuador")</f>
        <v>Ecuador</v>
      </c>
      <c r="B763" t="str">
        <f>IFERROR(__xludf.DUMMYFUNCTION("""COMPUTED_VALUE"""),"South America")</f>
        <v>South America</v>
      </c>
      <c r="C763">
        <f>IFERROR(__xludf.DUMMYFUNCTION("""COMPUTED_VALUE"""),12.0)</f>
        <v>12</v>
      </c>
      <c r="D763" t="str">
        <f>IFERROR(__xludf.DUMMYFUNCTION("""COMPUTED_VALUE"""),"Bajo La Mesa")</f>
        <v>Bajo La Mesa</v>
      </c>
      <c r="E763" t="str">
        <f>IFERROR(__xludf.DUMMYFUNCTION("""COMPUTED_VALUE"""),"Morat, Sebastian Yatra")</f>
        <v>Morat, Sebastian Yatra</v>
      </c>
      <c r="F763" t="str">
        <f>IFERROR(__xludf.DUMMYFUNCTION("""COMPUTED_VALUE"""),"Bajo La Mesa")</f>
        <v>Bajo La Mesa</v>
      </c>
      <c r="G763">
        <f>IFERROR(__xludf.DUMMYFUNCTION("""COMPUTED_VALUE"""),0.0)</f>
        <v>0</v>
      </c>
      <c r="H763" s="5">
        <f>IFERROR(__xludf.DUMMYFUNCTION("""COMPUTED_VALUE"""),0.10902777777664596)</f>
        <v>0.1090277778</v>
      </c>
    </row>
    <row r="764">
      <c r="A764" t="str">
        <f>IFERROR(__xludf.DUMMYFUNCTION("""COMPUTED_VALUE"""),"Ecuador")</f>
        <v>Ecuador</v>
      </c>
      <c r="B764" t="str">
        <f>IFERROR(__xludf.DUMMYFUNCTION("""COMPUTED_VALUE"""),"South America")</f>
        <v>South America</v>
      </c>
      <c r="C764">
        <f>IFERROR(__xludf.DUMMYFUNCTION("""COMPUTED_VALUE"""),13.0)</f>
        <v>13</v>
      </c>
      <c r="D764" t="str">
        <f>IFERROR(__xludf.DUMMYFUNCTION("""COMPUTED_VALUE"""),"Tusa")</f>
        <v>Tusa</v>
      </c>
      <c r="E764" t="str">
        <f>IFERROR(__xludf.DUMMYFUNCTION("""COMPUTED_VALUE"""),"KAROL G, Nicki Minaj")</f>
        <v>KAROL G, Nicki Minaj</v>
      </c>
      <c r="F764" t="str">
        <f>IFERROR(__xludf.DUMMYFUNCTION("""COMPUTED_VALUE"""),"Tusa")</f>
        <v>Tusa</v>
      </c>
      <c r="G764">
        <f>IFERROR(__xludf.DUMMYFUNCTION("""COMPUTED_VALUE"""),0.0)</f>
        <v>0</v>
      </c>
      <c r="H764" s="5">
        <f>IFERROR(__xludf.DUMMYFUNCTION("""COMPUTED_VALUE"""),0.13888888889050577)</f>
        <v>0.1388888889</v>
      </c>
    </row>
    <row r="765">
      <c r="A765" t="str">
        <f>IFERROR(__xludf.DUMMYFUNCTION("""COMPUTED_VALUE"""),"Ecuador")</f>
        <v>Ecuador</v>
      </c>
      <c r="B765" t="str">
        <f>IFERROR(__xludf.DUMMYFUNCTION("""COMPUTED_VALUE"""),"South America")</f>
        <v>South America</v>
      </c>
      <c r="C765">
        <f>IFERROR(__xludf.DUMMYFUNCTION("""COMPUTED_VALUE"""),14.0)</f>
        <v>14</v>
      </c>
      <c r="D765" t="str">
        <f>IFERROR(__xludf.DUMMYFUNCTION("""COMPUTED_VALUE"""),"Hola - Remix")</f>
        <v>Hola - Remix</v>
      </c>
      <c r="E765" t="str">
        <f>IFERROR(__xludf.DUMMYFUNCTION("""COMPUTED_VALUE"""),"Dalex, Lenny Tavárez, Chencho Corleone, Juhn, Dímelo Flow")</f>
        <v>Dalex, Lenny Tavárez, Chencho Corleone, Juhn, Dímelo Flow</v>
      </c>
      <c r="F765" t="str">
        <f>IFERROR(__xludf.DUMMYFUNCTION("""COMPUTED_VALUE"""),"Hola (Remix)")</f>
        <v>Hola (Remix)</v>
      </c>
      <c r="G765">
        <f>IFERROR(__xludf.DUMMYFUNCTION("""COMPUTED_VALUE"""),0.0)</f>
        <v>0</v>
      </c>
      <c r="H765" s="5">
        <f>IFERROR(__xludf.DUMMYFUNCTION("""COMPUTED_VALUE"""),0.17291666666642413)</f>
        <v>0.1729166667</v>
      </c>
    </row>
    <row r="766">
      <c r="A766" t="str">
        <f>IFERROR(__xludf.DUMMYFUNCTION("""COMPUTED_VALUE"""),"Ecuador")</f>
        <v>Ecuador</v>
      </c>
      <c r="B766" t="str">
        <f>IFERROR(__xludf.DUMMYFUNCTION("""COMPUTED_VALUE"""),"South America")</f>
        <v>South America</v>
      </c>
      <c r="C766">
        <f>IFERROR(__xludf.DUMMYFUNCTION("""COMPUTED_VALUE"""),15.0)</f>
        <v>15</v>
      </c>
      <c r="D766" t="str">
        <f>IFERROR(__xludf.DUMMYFUNCTION("""COMPUTED_VALUE"""),"Ignorantes")</f>
        <v>Ignorantes</v>
      </c>
      <c r="E766" t="str">
        <f>IFERROR(__xludf.DUMMYFUNCTION("""COMPUTED_VALUE"""),"Bad Bunny, Sech")</f>
        <v>Bad Bunny, Sech</v>
      </c>
      <c r="F766" t="str">
        <f>IFERROR(__xludf.DUMMYFUNCTION("""COMPUTED_VALUE"""),"YHLQMDLG")</f>
        <v>YHLQMDLG</v>
      </c>
      <c r="G766">
        <f>IFERROR(__xludf.DUMMYFUNCTION("""COMPUTED_VALUE"""),1.0)</f>
        <v>1</v>
      </c>
      <c r="H766" s="5">
        <f>IFERROR(__xludf.DUMMYFUNCTION("""COMPUTED_VALUE"""),0.14583333333212067)</f>
        <v>0.1458333333</v>
      </c>
    </row>
    <row r="767">
      <c r="A767" t="str">
        <f>IFERROR(__xludf.DUMMYFUNCTION("""COMPUTED_VALUE"""),"Ecuador")</f>
        <v>Ecuador</v>
      </c>
      <c r="B767" t="str">
        <f>IFERROR(__xludf.DUMMYFUNCTION("""COMPUTED_VALUE"""),"South America")</f>
        <v>South America</v>
      </c>
      <c r="C767">
        <f>IFERROR(__xludf.DUMMYFUNCTION("""COMPUTED_VALUE"""),16.0)</f>
        <v>16</v>
      </c>
      <c r="D767" t="str">
        <f>IFERROR(__xludf.DUMMYFUNCTION("""COMPUTED_VALUE"""),"Jangueo")</f>
        <v>Jangueo</v>
      </c>
      <c r="E767" t="str">
        <f>IFERROR(__xludf.DUMMYFUNCTION("""COMPUTED_VALUE"""),"Alex Rose, Rafa Pabön")</f>
        <v>Alex Rose, Rafa Pabön</v>
      </c>
      <c r="F767" t="str">
        <f>IFERROR(__xludf.DUMMYFUNCTION("""COMPUTED_VALUE"""),"LOST")</f>
        <v>LOST</v>
      </c>
      <c r="G767">
        <f>IFERROR(__xludf.DUMMYFUNCTION("""COMPUTED_VALUE"""),0.0)</f>
        <v>0</v>
      </c>
      <c r="H767" s="5">
        <f>IFERROR(__xludf.DUMMYFUNCTION("""COMPUTED_VALUE"""),0.17986111111167702)</f>
        <v>0.1798611111</v>
      </c>
    </row>
    <row r="768">
      <c r="A768" t="str">
        <f>IFERROR(__xludf.DUMMYFUNCTION("""COMPUTED_VALUE"""),"Ecuador")</f>
        <v>Ecuador</v>
      </c>
      <c r="B768" t="str">
        <f>IFERROR(__xludf.DUMMYFUNCTION("""COMPUTED_VALUE"""),"South America")</f>
        <v>South America</v>
      </c>
      <c r="C768">
        <f>IFERROR(__xludf.DUMMYFUNCTION("""COMPUTED_VALUE"""),17.0)</f>
        <v>17</v>
      </c>
      <c r="D768" t="str">
        <f>IFERROR(__xludf.DUMMYFUNCTION("""COMPUTED_VALUE"""),"La Difícil")</f>
        <v>La Difícil</v>
      </c>
      <c r="E768" t="str">
        <f>IFERROR(__xludf.DUMMYFUNCTION("""COMPUTED_VALUE"""),"Bad Bunny")</f>
        <v>Bad Bunny</v>
      </c>
      <c r="F768" t="str">
        <f>IFERROR(__xludf.DUMMYFUNCTION("""COMPUTED_VALUE"""),"YHLQMDLG")</f>
        <v>YHLQMDLG</v>
      </c>
      <c r="G768">
        <f>IFERROR(__xludf.DUMMYFUNCTION("""COMPUTED_VALUE"""),1.0)</f>
        <v>1</v>
      </c>
      <c r="H768" s="5">
        <f>IFERROR(__xludf.DUMMYFUNCTION("""COMPUTED_VALUE"""),0.11319444444598048)</f>
        <v>0.1131944444</v>
      </c>
    </row>
    <row r="769">
      <c r="A769" t="str">
        <f>IFERROR(__xludf.DUMMYFUNCTION("""COMPUTED_VALUE"""),"Ecuador")</f>
        <v>Ecuador</v>
      </c>
      <c r="B769" t="str">
        <f>IFERROR(__xludf.DUMMYFUNCTION("""COMPUTED_VALUE"""),"South America")</f>
        <v>South America</v>
      </c>
      <c r="C769">
        <f>IFERROR(__xludf.DUMMYFUNCTION("""COMPUTED_VALUE"""),18.0)</f>
        <v>18</v>
      </c>
      <c r="D769" t="str">
        <f>IFERROR(__xludf.DUMMYFUNCTION("""COMPUTED_VALUE"""),"Si Veo a Tu Mamá")</f>
        <v>Si Veo a Tu Mamá</v>
      </c>
      <c r="E769" t="str">
        <f>IFERROR(__xludf.DUMMYFUNCTION("""COMPUTED_VALUE"""),"Bad Bunny")</f>
        <v>Bad Bunny</v>
      </c>
      <c r="F769" t="str">
        <f>IFERROR(__xludf.DUMMYFUNCTION("""COMPUTED_VALUE"""),"YHLQMDLG")</f>
        <v>YHLQMDLG</v>
      </c>
      <c r="G769">
        <f>IFERROR(__xludf.DUMMYFUNCTION("""COMPUTED_VALUE"""),0.0)</f>
        <v>0</v>
      </c>
      <c r="H769" s="5">
        <f>IFERROR(__xludf.DUMMYFUNCTION("""COMPUTED_VALUE"""),0.11805555555474712)</f>
        <v>0.1180555556</v>
      </c>
    </row>
    <row r="770">
      <c r="A770" t="str">
        <f>IFERROR(__xludf.DUMMYFUNCTION("""COMPUTED_VALUE"""),"Ecuador")</f>
        <v>Ecuador</v>
      </c>
      <c r="B770" t="str">
        <f>IFERROR(__xludf.DUMMYFUNCTION("""COMPUTED_VALUE"""),"South America")</f>
        <v>South America</v>
      </c>
      <c r="C770">
        <f>IFERROR(__xludf.DUMMYFUNCTION("""COMPUTED_VALUE"""),19.0)</f>
        <v>19</v>
      </c>
      <c r="D770" t="str">
        <f>IFERROR(__xludf.DUMMYFUNCTION("""COMPUTED_VALUE"""),"Diosa")</f>
        <v>Diosa</v>
      </c>
      <c r="E770" t="str">
        <f>IFERROR(__xludf.DUMMYFUNCTION("""COMPUTED_VALUE"""),"Myke Towers")</f>
        <v>Myke Towers</v>
      </c>
      <c r="F770" t="str">
        <f>IFERROR(__xludf.DUMMYFUNCTION("""COMPUTED_VALUE"""),"Easy Money Baby")</f>
        <v>Easy Money Baby</v>
      </c>
      <c r="G770">
        <f>IFERROR(__xludf.DUMMYFUNCTION("""COMPUTED_VALUE"""),1.0)</f>
        <v>1</v>
      </c>
      <c r="H770" s="5">
        <f>IFERROR(__xludf.DUMMYFUNCTION("""COMPUTED_VALUE"""),0.14861111111167702)</f>
        <v>0.1486111111</v>
      </c>
    </row>
    <row r="771">
      <c r="A771" t="str">
        <f>IFERROR(__xludf.DUMMYFUNCTION("""COMPUTED_VALUE"""),"Ecuador")</f>
        <v>Ecuador</v>
      </c>
      <c r="B771" t="str">
        <f>IFERROR(__xludf.DUMMYFUNCTION("""COMPUTED_VALUE"""),"South America")</f>
        <v>South America</v>
      </c>
      <c r="C771">
        <f>IFERROR(__xludf.DUMMYFUNCTION("""COMPUTED_VALUE"""),20.0)</f>
        <v>20</v>
      </c>
      <c r="D771" t="str">
        <f>IFERROR(__xludf.DUMMYFUNCTION("""COMPUTED_VALUE"""),"BYE ME FUI")</f>
        <v>BYE ME FUI</v>
      </c>
      <c r="E771" t="str">
        <f>IFERROR(__xludf.DUMMYFUNCTION("""COMPUTED_VALUE"""),"Bad Bunny")</f>
        <v>Bad Bunny</v>
      </c>
      <c r="F771" t="str">
        <f>IFERROR(__xludf.DUMMYFUNCTION("""COMPUTED_VALUE"""),"LAS QUE NO IBAN A SALIR")</f>
        <v>LAS QUE NO IBAN A SALIR</v>
      </c>
      <c r="G771">
        <f>IFERROR(__xludf.DUMMYFUNCTION("""COMPUTED_VALUE"""),1.0)</f>
        <v>1</v>
      </c>
      <c r="H771" s="5">
        <f>IFERROR(__xludf.DUMMYFUNCTION("""COMPUTED_VALUE"""),0.12361111111022183)</f>
        <v>0.1236111111</v>
      </c>
    </row>
    <row r="772">
      <c r="A772" t="str">
        <f>IFERROR(__xludf.DUMMYFUNCTION("""COMPUTED_VALUE"""),"Ecuador")</f>
        <v>Ecuador</v>
      </c>
      <c r="B772" t="str">
        <f>IFERROR(__xludf.DUMMYFUNCTION("""COMPUTED_VALUE"""),"South America")</f>
        <v>South America</v>
      </c>
      <c r="C772">
        <f>IFERROR(__xludf.DUMMYFUNCTION("""COMPUTED_VALUE"""),21.0)</f>
        <v>21</v>
      </c>
      <c r="D772" t="str">
        <f>IFERROR(__xludf.DUMMYFUNCTION("""COMPUTED_VALUE"""),"Sigues Con El")</f>
        <v>Sigues Con El</v>
      </c>
      <c r="E772" t="str">
        <f>IFERROR(__xludf.DUMMYFUNCTION("""COMPUTED_VALUE"""),"Dímelo Flow, Arcangel, Sech")</f>
        <v>Dímelo Flow, Arcangel, Sech</v>
      </c>
      <c r="F772" t="str">
        <f>IFERROR(__xludf.DUMMYFUNCTION("""COMPUTED_VALUE"""),"Sigues Con El")</f>
        <v>Sigues Con El</v>
      </c>
      <c r="G772">
        <f>IFERROR(__xludf.DUMMYFUNCTION("""COMPUTED_VALUE"""),0.0)</f>
        <v>0</v>
      </c>
      <c r="H772" s="5">
        <f>IFERROR(__xludf.DUMMYFUNCTION("""COMPUTED_VALUE"""),0.1569444444430701)</f>
        <v>0.1569444444</v>
      </c>
    </row>
    <row r="773">
      <c r="A773" t="str">
        <f>IFERROR(__xludf.DUMMYFUNCTION("""COMPUTED_VALUE"""),"Ecuador")</f>
        <v>Ecuador</v>
      </c>
      <c r="B773" t="str">
        <f>IFERROR(__xludf.DUMMYFUNCTION("""COMPUTED_VALUE"""),"South America")</f>
        <v>South America</v>
      </c>
      <c r="C773">
        <f>IFERROR(__xludf.DUMMYFUNCTION("""COMPUTED_VALUE"""),22.0)</f>
        <v>22</v>
      </c>
      <c r="D773" t="str">
        <f>IFERROR(__xludf.DUMMYFUNCTION("""COMPUTED_VALUE"""),"Azul")</f>
        <v>Azul</v>
      </c>
      <c r="E773" t="str">
        <f>IFERROR(__xludf.DUMMYFUNCTION("""COMPUTED_VALUE"""),"J Balvin")</f>
        <v>J Balvin</v>
      </c>
      <c r="F773" t="str">
        <f>IFERROR(__xludf.DUMMYFUNCTION("""COMPUTED_VALUE"""),"Colores")</f>
        <v>Colores</v>
      </c>
      <c r="G773">
        <f>IFERROR(__xludf.DUMMYFUNCTION("""COMPUTED_VALUE"""),0.0)</f>
        <v>0</v>
      </c>
      <c r="H773" s="5">
        <f>IFERROR(__xludf.DUMMYFUNCTION("""COMPUTED_VALUE"""),0.14236111110949423)</f>
        <v>0.1423611111</v>
      </c>
    </row>
    <row r="774">
      <c r="A774" t="str">
        <f>IFERROR(__xludf.DUMMYFUNCTION("""COMPUTED_VALUE"""),"Ecuador")</f>
        <v>Ecuador</v>
      </c>
      <c r="B774" t="str">
        <f>IFERROR(__xludf.DUMMYFUNCTION("""COMPUTED_VALUE"""),"South America")</f>
        <v>South America</v>
      </c>
      <c r="C774">
        <f>IFERROR(__xludf.DUMMYFUNCTION("""COMPUTED_VALUE"""),23.0)</f>
        <v>23</v>
      </c>
      <c r="D774" t="str">
        <f>IFERROR(__xludf.DUMMYFUNCTION("""COMPUTED_VALUE"""),"Dance Monkey")</f>
        <v>Dance Monkey</v>
      </c>
      <c r="E774" t="str">
        <f>IFERROR(__xludf.DUMMYFUNCTION("""COMPUTED_VALUE"""),"Tones And I")</f>
        <v>Tones And I</v>
      </c>
      <c r="F774" t="str">
        <f>IFERROR(__xludf.DUMMYFUNCTION("""COMPUTED_VALUE"""),"Dance Monkey (Stripped Back) / Dance Monkey")</f>
        <v>Dance Monkey (Stripped Back) / Dance Monkey</v>
      </c>
      <c r="G774">
        <f>IFERROR(__xludf.DUMMYFUNCTION("""COMPUTED_VALUE"""),0.0)</f>
        <v>0</v>
      </c>
      <c r="H774" s="5">
        <f>IFERROR(__xludf.DUMMYFUNCTION("""COMPUTED_VALUE"""),0.14513888888905058)</f>
        <v>0.1451388889</v>
      </c>
    </row>
    <row r="775">
      <c r="A775" t="str">
        <f>IFERROR(__xludf.DUMMYFUNCTION("""COMPUTED_VALUE"""),"Ecuador")</f>
        <v>Ecuador</v>
      </c>
      <c r="B775" t="str">
        <f>IFERROR(__xludf.DUMMYFUNCTION("""COMPUTED_VALUE"""),"South America")</f>
        <v>South America</v>
      </c>
      <c r="C775">
        <f>IFERROR(__xludf.DUMMYFUNCTION("""COMPUTED_VALUE"""),24.0)</f>
        <v>24</v>
      </c>
      <c r="D775" t="str">
        <f>IFERROR(__xludf.DUMMYFUNCTION("""COMPUTED_VALUE"""),"Don't Start Now")</f>
        <v>Don't Start Now</v>
      </c>
      <c r="E775" t="str">
        <f>IFERROR(__xludf.DUMMYFUNCTION("""COMPUTED_VALUE"""),"Dua Lipa")</f>
        <v>Dua Lipa</v>
      </c>
      <c r="F775" t="str">
        <f>IFERROR(__xludf.DUMMYFUNCTION("""COMPUTED_VALUE"""),"Future Nostalgia")</f>
        <v>Future Nostalgia</v>
      </c>
      <c r="G775">
        <f>IFERROR(__xludf.DUMMYFUNCTION("""COMPUTED_VALUE"""),0.0)</f>
        <v>0</v>
      </c>
      <c r="H775" s="5">
        <f>IFERROR(__xludf.DUMMYFUNCTION("""COMPUTED_VALUE"""),0.12708333333284827)</f>
        <v>0.1270833333</v>
      </c>
    </row>
    <row r="776">
      <c r="A776" t="str">
        <f>IFERROR(__xludf.DUMMYFUNCTION("""COMPUTED_VALUE"""),"Ecuador")</f>
        <v>Ecuador</v>
      </c>
      <c r="B776" t="str">
        <f>IFERROR(__xludf.DUMMYFUNCTION("""COMPUTED_VALUE"""),"South America")</f>
        <v>South America</v>
      </c>
      <c r="C776">
        <f>IFERROR(__xludf.DUMMYFUNCTION("""COMPUTED_VALUE"""),25.0)</f>
        <v>25</v>
      </c>
      <c r="D776" t="str">
        <f>IFERROR(__xludf.DUMMYFUNCTION("""COMPUTED_VALUE"""),"Fantasias")</f>
        <v>Fantasias</v>
      </c>
      <c r="E776" t="str">
        <f>IFERROR(__xludf.DUMMYFUNCTION("""COMPUTED_VALUE"""),"Rauw Alejandro, Farruko")</f>
        <v>Rauw Alejandro, Farruko</v>
      </c>
      <c r="F776" t="str">
        <f>IFERROR(__xludf.DUMMYFUNCTION("""COMPUTED_VALUE"""),"Fantasias")</f>
        <v>Fantasias</v>
      </c>
      <c r="G776">
        <f>IFERROR(__xludf.DUMMYFUNCTION("""COMPUTED_VALUE"""),0.0)</f>
        <v>0</v>
      </c>
      <c r="H776" s="5">
        <f>IFERROR(__xludf.DUMMYFUNCTION("""COMPUTED_VALUE"""),0.1381944444437977)</f>
        <v>0.1381944444</v>
      </c>
    </row>
    <row r="777">
      <c r="A777" t="str">
        <f>IFERROR(__xludf.DUMMYFUNCTION("""COMPUTED_VALUE"""),"Ecuador")</f>
        <v>Ecuador</v>
      </c>
      <c r="B777" t="str">
        <f>IFERROR(__xludf.DUMMYFUNCTION("""COMPUTED_VALUE"""),"South America")</f>
        <v>South America</v>
      </c>
      <c r="C777">
        <f>IFERROR(__xludf.DUMMYFUNCTION("""COMPUTED_VALUE"""),26.0)</f>
        <v>26</v>
      </c>
      <c r="D777" t="str">
        <f>IFERROR(__xludf.DUMMYFUNCTION("""COMPUTED_VALUE"""),"No Me Conoce - Remix")</f>
        <v>No Me Conoce - Remix</v>
      </c>
      <c r="E777" t="str">
        <f>IFERROR(__xludf.DUMMYFUNCTION("""COMPUTED_VALUE"""),"Jhay Cortez, J Balvin, Bad Bunny")</f>
        <v>Jhay Cortez, J Balvin, Bad Bunny</v>
      </c>
      <c r="F777" t="str">
        <f>IFERROR(__xludf.DUMMYFUNCTION("""COMPUTED_VALUE"""),"Famouz")</f>
        <v>Famouz</v>
      </c>
      <c r="G777">
        <f>IFERROR(__xludf.DUMMYFUNCTION("""COMPUTED_VALUE"""),0.0)</f>
        <v>0</v>
      </c>
      <c r="H777" s="5">
        <f>IFERROR(__xludf.DUMMYFUNCTION("""COMPUTED_VALUE"""),0.21458333333430346)</f>
        <v>0.2145833333</v>
      </c>
    </row>
    <row r="778">
      <c r="A778" t="str">
        <f>IFERROR(__xludf.DUMMYFUNCTION("""COMPUTED_VALUE"""),"Ecuador")</f>
        <v>Ecuador</v>
      </c>
      <c r="B778" t="str">
        <f>IFERROR(__xludf.DUMMYFUNCTION("""COMPUTED_VALUE"""),"South America")</f>
        <v>South America</v>
      </c>
      <c r="C778">
        <f>IFERROR(__xludf.DUMMYFUNCTION("""COMPUTED_VALUE"""),27.0)</f>
        <v>27</v>
      </c>
      <c r="D778" t="str">
        <f>IFERROR(__xludf.DUMMYFUNCTION("""COMPUTED_VALUE"""),"PA' ROMPERLA")</f>
        <v>PA' ROMPERLA</v>
      </c>
      <c r="E778" t="str">
        <f>IFERROR(__xludf.DUMMYFUNCTION("""COMPUTED_VALUE"""),"Bad Bunny, Don Omar")</f>
        <v>Bad Bunny, Don Omar</v>
      </c>
      <c r="F778" t="str">
        <f>IFERROR(__xludf.DUMMYFUNCTION("""COMPUTED_VALUE"""),"LAS QUE NO IBAN A SALIR")</f>
        <v>LAS QUE NO IBAN A SALIR</v>
      </c>
      <c r="G778">
        <f>IFERROR(__xludf.DUMMYFUNCTION("""COMPUTED_VALUE"""),1.0)</f>
        <v>1</v>
      </c>
      <c r="H778" s="5">
        <f>IFERROR(__xludf.DUMMYFUNCTION("""COMPUTED_VALUE"""),0.13472222222117125)</f>
        <v>0.1347222222</v>
      </c>
    </row>
    <row r="779">
      <c r="A779" t="str">
        <f>IFERROR(__xludf.DUMMYFUNCTION("""COMPUTED_VALUE"""),"Ecuador")</f>
        <v>Ecuador</v>
      </c>
      <c r="B779" t="str">
        <f>IFERROR(__xludf.DUMMYFUNCTION("""COMPUTED_VALUE"""),"South America")</f>
        <v>South America</v>
      </c>
      <c r="C779">
        <f>IFERROR(__xludf.DUMMYFUNCTION("""COMPUTED_VALUE"""),28.0)</f>
        <v>28</v>
      </c>
      <c r="D779" t="str">
        <f>IFERROR(__xludf.DUMMYFUNCTION("""COMPUTED_VALUE"""),"Sigues Con El - Remix")</f>
        <v>Sigues Con El - Remix</v>
      </c>
      <c r="E779" t="str">
        <f>IFERROR(__xludf.DUMMYFUNCTION("""COMPUTED_VALUE"""),"Arcangel, Sech, Romeo Santos")</f>
        <v>Arcangel, Sech, Romeo Santos</v>
      </c>
      <c r="F779" t="str">
        <f>IFERROR(__xludf.DUMMYFUNCTION("""COMPUTED_VALUE"""),"Sigues Con El (Remix)")</f>
        <v>Sigues Con El (Remix)</v>
      </c>
      <c r="G779">
        <f>IFERROR(__xludf.DUMMYFUNCTION("""COMPUTED_VALUE"""),0.0)</f>
        <v>0</v>
      </c>
      <c r="H779" s="5">
        <f>IFERROR(__xludf.DUMMYFUNCTION("""COMPUTED_VALUE"""),0.1312499999985448)</f>
        <v>0.13125</v>
      </c>
    </row>
    <row r="780">
      <c r="A780" t="str">
        <f>IFERROR(__xludf.DUMMYFUNCTION("""COMPUTED_VALUE"""),"Ecuador")</f>
        <v>Ecuador</v>
      </c>
      <c r="B780" t="str">
        <f>IFERROR(__xludf.DUMMYFUNCTION("""COMPUTED_VALUE"""),"South America")</f>
        <v>South America</v>
      </c>
      <c r="C780">
        <f>IFERROR(__xludf.DUMMYFUNCTION("""COMPUTED_VALUE"""),29.0)</f>
        <v>29</v>
      </c>
      <c r="D780" t="str">
        <f>IFERROR(__xludf.DUMMYFUNCTION("""COMPUTED_VALUE"""),"Locura")</f>
        <v>Locura</v>
      </c>
      <c r="E780" t="str">
        <f>IFERROR(__xludf.DUMMYFUNCTION("""COMPUTED_VALUE"""),"Cali Y El Dandee, Sebastian Yatra")</f>
        <v>Cali Y El Dandee, Sebastian Yatra</v>
      </c>
      <c r="F780" t="str">
        <f>IFERROR(__xludf.DUMMYFUNCTION("""COMPUTED_VALUE"""),"Colegio")</f>
        <v>Colegio</v>
      </c>
      <c r="G780">
        <f>IFERROR(__xludf.DUMMYFUNCTION("""COMPUTED_VALUE"""),0.0)</f>
        <v>0</v>
      </c>
      <c r="H780" s="5">
        <f>IFERROR(__xludf.DUMMYFUNCTION("""COMPUTED_VALUE"""),0.14513888888905058)</f>
        <v>0.1451388889</v>
      </c>
    </row>
    <row r="781">
      <c r="A781" t="str">
        <f>IFERROR(__xludf.DUMMYFUNCTION("""COMPUTED_VALUE"""),"Ecuador")</f>
        <v>Ecuador</v>
      </c>
      <c r="B781" t="str">
        <f>IFERROR(__xludf.DUMMYFUNCTION("""COMPUTED_VALUE"""),"South America")</f>
        <v>South America</v>
      </c>
      <c r="C781">
        <f>IFERROR(__xludf.DUMMYFUNCTION("""COMPUTED_VALUE"""),30.0)</f>
        <v>30</v>
      </c>
      <c r="D781" t="str">
        <f>IFERROR(__xludf.DUMMYFUNCTION("""COMPUTED_VALUE"""),"El Efecto")</f>
        <v>El Efecto</v>
      </c>
      <c r="E781" t="str">
        <f>IFERROR(__xludf.DUMMYFUNCTION("""COMPUTED_VALUE"""),"Rauw Alejandro, Chencho Corleone")</f>
        <v>Rauw Alejandro, Chencho Corleone</v>
      </c>
      <c r="F781" t="str">
        <f>IFERROR(__xludf.DUMMYFUNCTION("""COMPUTED_VALUE"""),"El Efecto")</f>
        <v>El Efecto</v>
      </c>
      <c r="G781">
        <f>IFERROR(__xludf.DUMMYFUNCTION("""COMPUTED_VALUE"""),0.0)</f>
        <v>0</v>
      </c>
      <c r="H781" s="5">
        <f>IFERROR(__xludf.DUMMYFUNCTION("""COMPUTED_VALUE"""),0.1506944444445253)</f>
        <v>0.1506944444</v>
      </c>
    </row>
    <row r="782">
      <c r="A782" t="str">
        <f>IFERROR(__xludf.DUMMYFUNCTION("""COMPUTED_VALUE"""),"Ecuador")</f>
        <v>Ecuador</v>
      </c>
      <c r="B782" t="str">
        <f>IFERROR(__xludf.DUMMYFUNCTION("""COMPUTED_VALUE"""),"South America")</f>
        <v>South America</v>
      </c>
      <c r="C782">
        <f>IFERROR(__xludf.DUMMYFUNCTION("""COMPUTED_VALUE"""),31.0)</f>
        <v>31</v>
      </c>
      <c r="D782" t="str">
        <f>IFERROR(__xludf.DUMMYFUNCTION("""COMPUTED_VALUE"""),"Por Primera Vez")</f>
        <v>Por Primera Vez</v>
      </c>
      <c r="E782" t="str">
        <f>IFERROR(__xludf.DUMMYFUNCTION("""COMPUTED_VALUE"""),"Camilo, Evaluna Montaner")</f>
        <v>Camilo, Evaluna Montaner</v>
      </c>
      <c r="F782" t="str">
        <f>IFERROR(__xludf.DUMMYFUNCTION("""COMPUTED_VALUE"""),"Por Primera Vez")</f>
        <v>Por Primera Vez</v>
      </c>
      <c r="G782">
        <f>IFERROR(__xludf.DUMMYFUNCTION("""COMPUTED_VALUE"""),0.0)</f>
        <v>0</v>
      </c>
      <c r="H782" s="5">
        <f>IFERROR(__xludf.DUMMYFUNCTION("""COMPUTED_VALUE"""),0.12638888888977817)</f>
        <v>0.1263888889</v>
      </c>
    </row>
    <row r="783">
      <c r="A783" t="str">
        <f>IFERROR(__xludf.DUMMYFUNCTION("""COMPUTED_VALUE"""),"Ecuador")</f>
        <v>Ecuador</v>
      </c>
      <c r="B783" t="str">
        <f>IFERROR(__xludf.DUMMYFUNCTION("""COMPUTED_VALUE"""),"South America")</f>
        <v>South America</v>
      </c>
      <c r="C783">
        <f>IFERROR(__xludf.DUMMYFUNCTION("""COMPUTED_VALUE"""),32.0)</f>
        <v>32</v>
      </c>
      <c r="D783" t="str">
        <f>IFERROR(__xludf.DUMMYFUNCTION("""COMPUTED_VALUE"""),"CÓMO SE SIENTE - Remix")</f>
        <v>CÓMO SE SIENTE - Remix</v>
      </c>
      <c r="E783" t="str">
        <f>IFERROR(__xludf.DUMMYFUNCTION("""COMPUTED_VALUE"""),"Jhay Cortez, Bad Bunny")</f>
        <v>Jhay Cortez, Bad Bunny</v>
      </c>
      <c r="F783" t="str">
        <f>IFERROR(__xludf.DUMMYFUNCTION("""COMPUTED_VALUE"""),"CÓMO SE SIENTE (Remix)")</f>
        <v>CÓMO SE SIENTE (Remix)</v>
      </c>
      <c r="G783">
        <f>IFERROR(__xludf.DUMMYFUNCTION("""COMPUTED_VALUE"""),1.0)</f>
        <v>1</v>
      </c>
      <c r="H783" s="5">
        <f>IFERROR(__xludf.DUMMYFUNCTION("""COMPUTED_VALUE"""),0.15763888888977817)</f>
        <v>0.1576388889</v>
      </c>
    </row>
    <row r="784">
      <c r="A784" t="str">
        <f>IFERROR(__xludf.DUMMYFUNCTION("""COMPUTED_VALUE"""),"Ecuador")</f>
        <v>Ecuador</v>
      </c>
      <c r="B784" t="str">
        <f>IFERROR(__xludf.DUMMYFUNCTION("""COMPUTED_VALUE"""),"South America")</f>
        <v>South America</v>
      </c>
      <c r="C784">
        <f>IFERROR(__xludf.DUMMYFUNCTION("""COMPUTED_VALUE"""),33.0)</f>
        <v>33</v>
      </c>
      <c r="D784" t="str">
        <f>IFERROR(__xludf.DUMMYFUNCTION("""COMPUTED_VALUE"""),"LA CANCIÓN")</f>
        <v>LA CANCIÓN</v>
      </c>
      <c r="E784" t="str">
        <f>IFERROR(__xludf.DUMMYFUNCTION("""COMPUTED_VALUE"""),"J Balvin, Bad Bunny")</f>
        <v>J Balvin, Bad Bunny</v>
      </c>
      <c r="F784" t="str">
        <f>IFERROR(__xludf.DUMMYFUNCTION("""COMPUTED_VALUE"""),"OASIS")</f>
        <v>OASIS</v>
      </c>
      <c r="G784">
        <f>IFERROR(__xludf.DUMMYFUNCTION("""COMPUTED_VALUE"""),0.0)</f>
        <v>0</v>
      </c>
      <c r="H784" s="5">
        <f>IFERROR(__xludf.DUMMYFUNCTION("""COMPUTED_VALUE"""),0.16805555555401952)</f>
        <v>0.1680555556</v>
      </c>
    </row>
    <row r="785">
      <c r="A785" t="str">
        <f>IFERROR(__xludf.DUMMYFUNCTION("""COMPUTED_VALUE"""),"Ecuador")</f>
        <v>Ecuador</v>
      </c>
      <c r="B785" t="str">
        <f>IFERROR(__xludf.DUMMYFUNCTION("""COMPUTED_VALUE"""),"South America")</f>
        <v>South America</v>
      </c>
      <c r="C785">
        <f>IFERROR(__xludf.DUMMYFUNCTION("""COMPUTED_VALUE"""),34.0)</f>
        <v>34</v>
      </c>
      <c r="D785" t="str">
        <f>IFERROR(__xludf.DUMMYFUNCTION("""COMPUTED_VALUE"""),"Los Besos")</f>
        <v>Los Besos</v>
      </c>
      <c r="E785" t="str">
        <f>IFERROR(__xludf.DUMMYFUNCTION("""COMPUTED_VALUE"""),"Greeicy")</f>
        <v>Greeicy</v>
      </c>
      <c r="F785" t="str">
        <f>IFERROR(__xludf.DUMMYFUNCTION("""COMPUTED_VALUE"""),"Los Besos")</f>
        <v>Los Besos</v>
      </c>
      <c r="G785">
        <f>IFERROR(__xludf.DUMMYFUNCTION("""COMPUTED_VALUE"""),0.0)</f>
        <v>0</v>
      </c>
      <c r="H785" s="5">
        <f>IFERROR(__xludf.DUMMYFUNCTION("""COMPUTED_VALUE"""),0.14027777777664596)</f>
        <v>0.1402777778</v>
      </c>
    </row>
    <row r="786">
      <c r="A786" t="str">
        <f>IFERROR(__xludf.DUMMYFUNCTION("""COMPUTED_VALUE"""),"Ecuador")</f>
        <v>Ecuador</v>
      </c>
      <c r="B786" t="str">
        <f>IFERROR(__xludf.DUMMYFUNCTION("""COMPUTED_VALUE"""),"South America")</f>
        <v>South America</v>
      </c>
      <c r="C786">
        <f>IFERROR(__xludf.DUMMYFUNCTION("""COMPUTED_VALUE"""),35.0)</f>
        <v>35</v>
      </c>
      <c r="D786" t="str">
        <f>IFERROR(__xludf.DUMMYFUNCTION("""COMPUTED_VALUE"""),"CANCIÓN CON YANDEL")</f>
        <v>CANCIÓN CON YANDEL</v>
      </c>
      <c r="E786" t="str">
        <f>IFERROR(__xludf.DUMMYFUNCTION("""COMPUTED_VALUE"""),"Yandel, Bad Bunny")</f>
        <v>Yandel, Bad Bunny</v>
      </c>
      <c r="F786" t="str">
        <f>IFERROR(__xludf.DUMMYFUNCTION("""COMPUTED_VALUE"""),"LAS QUE NO IBAN A SALIR")</f>
        <v>LAS QUE NO IBAN A SALIR</v>
      </c>
      <c r="G786">
        <f>IFERROR(__xludf.DUMMYFUNCTION("""COMPUTED_VALUE"""),1.0)</f>
        <v>1</v>
      </c>
      <c r="H786" s="5">
        <f>IFERROR(__xludf.DUMMYFUNCTION("""COMPUTED_VALUE"""),0.14513888888905058)</f>
        <v>0.1451388889</v>
      </c>
    </row>
    <row r="787">
      <c r="A787" t="str">
        <f>IFERROR(__xludf.DUMMYFUNCTION("""COMPUTED_VALUE"""),"Ecuador")</f>
        <v>Ecuador</v>
      </c>
      <c r="B787" t="str">
        <f>IFERROR(__xludf.DUMMYFUNCTION("""COMPUTED_VALUE"""),"South America")</f>
        <v>South America</v>
      </c>
      <c r="C787">
        <f>IFERROR(__xludf.DUMMYFUNCTION("""COMPUTED_VALUE"""),36.0)</f>
        <v>36</v>
      </c>
      <c r="D787" t="str">
        <f>IFERROR(__xludf.DUMMYFUNCTION("""COMPUTED_VALUE"""),"La Santa")</f>
        <v>La Santa</v>
      </c>
      <c r="E787" t="str">
        <f>IFERROR(__xludf.DUMMYFUNCTION("""COMPUTED_VALUE"""),"Bad Bunny, Daddy Yankee")</f>
        <v>Bad Bunny, Daddy Yankee</v>
      </c>
      <c r="F787" t="str">
        <f>IFERROR(__xludf.DUMMYFUNCTION("""COMPUTED_VALUE"""),"YHLQMDLG")</f>
        <v>YHLQMDLG</v>
      </c>
      <c r="G787">
        <f>IFERROR(__xludf.DUMMYFUNCTION("""COMPUTED_VALUE"""),1.0)</f>
        <v>1</v>
      </c>
      <c r="H787" s="5">
        <f>IFERROR(__xludf.DUMMYFUNCTION("""COMPUTED_VALUE"""),0.1430555555562023)</f>
        <v>0.1430555556</v>
      </c>
    </row>
    <row r="788">
      <c r="A788" t="str">
        <f>IFERROR(__xludf.DUMMYFUNCTION("""COMPUTED_VALUE"""),"Ecuador")</f>
        <v>Ecuador</v>
      </c>
      <c r="B788" t="str">
        <f>IFERROR(__xludf.DUMMYFUNCTION("""COMPUTED_VALUE"""),"South America")</f>
        <v>South America</v>
      </c>
      <c r="C788">
        <f>IFERROR(__xludf.DUMMYFUNCTION("""COMPUTED_VALUE"""),37.0)</f>
        <v>37</v>
      </c>
      <c r="D788" t="str">
        <f>IFERROR(__xludf.DUMMYFUNCTION("""COMPUTED_VALUE"""),"Vete")</f>
        <v>Vete</v>
      </c>
      <c r="E788" t="str">
        <f>IFERROR(__xludf.DUMMYFUNCTION("""COMPUTED_VALUE"""),"Bad Bunny")</f>
        <v>Bad Bunny</v>
      </c>
      <c r="F788" t="str">
        <f>IFERROR(__xludf.DUMMYFUNCTION("""COMPUTED_VALUE"""),"YHLQMDLG")</f>
        <v>YHLQMDLG</v>
      </c>
      <c r="G788">
        <f>IFERROR(__xludf.DUMMYFUNCTION("""COMPUTED_VALUE"""),1.0)</f>
        <v>1</v>
      </c>
      <c r="H788" s="5">
        <f>IFERROR(__xludf.DUMMYFUNCTION("""COMPUTED_VALUE"""),0.13333333333503106)</f>
        <v>0.1333333333</v>
      </c>
    </row>
    <row r="789">
      <c r="A789" t="str">
        <f>IFERROR(__xludf.DUMMYFUNCTION("""COMPUTED_VALUE"""),"Ecuador")</f>
        <v>Ecuador</v>
      </c>
      <c r="B789" t="str">
        <f>IFERROR(__xludf.DUMMYFUNCTION("""COMPUTED_VALUE"""),"South America")</f>
        <v>South America</v>
      </c>
      <c r="C789">
        <f>IFERROR(__xludf.DUMMYFUNCTION("""COMPUTED_VALUE"""),38.0)</f>
        <v>38</v>
      </c>
      <c r="D789" t="str">
        <f>IFERROR(__xludf.DUMMYFUNCTION("""COMPUTED_VALUE"""),"Roses - Imanbek Remix")</f>
        <v>Roses - Imanbek Remix</v>
      </c>
      <c r="E789" t="str">
        <f>IFERROR(__xludf.DUMMYFUNCTION("""COMPUTED_VALUE"""),"SAINt JHN, Imanbek")</f>
        <v>SAINt JHN, Imanbek</v>
      </c>
      <c r="F789" t="str">
        <f>IFERROR(__xludf.DUMMYFUNCTION("""COMPUTED_VALUE"""),"Roses (Imanbek Remix)")</f>
        <v>Roses (Imanbek Remix)</v>
      </c>
      <c r="G789">
        <f>IFERROR(__xludf.DUMMYFUNCTION("""COMPUTED_VALUE"""),1.0)</f>
        <v>1</v>
      </c>
      <c r="H789" s="5">
        <f>IFERROR(__xludf.DUMMYFUNCTION("""COMPUTED_VALUE"""),0.12222222222044365)</f>
        <v>0.1222222222</v>
      </c>
    </row>
    <row r="790">
      <c r="A790" t="str">
        <f>IFERROR(__xludf.DUMMYFUNCTION("""COMPUTED_VALUE"""),"Ecuador")</f>
        <v>Ecuador</v>
      </c>
      <c r="B790" t="str">
        <f>IFERROR(__xludf.DUMMYFUNCTION("""COMPUTED_VALUE"""),"South America")</f>
        <v>South America</v>
      </c>
      <c r="C790">
        <f>IFERROR(__xludf.DUMMYFUNCTION("""COMPUTED_VALUE"""),39.0)</f>
        <v>39</v>
      </c>
      <c r="D790" t="str">
        <f>IFERROR(__xludf.DUMMYFUNCTION("""COMPUTED_VALUE"""),"Detente")</f>
        <v>Detente</v>
      </c>
      <c r="E790" t="str">
        <f>IFERROR(__xludf.DUMMYFUNCTION("""COMPUTED_VALUE"""),"Mike Bahía, Danny Ocean")</f>
        <v>Mike Bahía, Danny Ocean</v>
      </c>
      <c r="F790" t="str">
        <f>IFERROR(__xludf.DUMMYFUNCTION("""COMPUTED_VALUE"""),"Navegando")</f>
        <v>Navegando</v>
      </c>
      <c r="G790">
        <f>IFERROR(__xludf.DUMMYFUNCTION("""COMPUTED_VALUE"""),0.0)</f>
        <v>0</v>
      </c>
      <c r="H790" s="5">
        <f>IFERROR(__xludf.DUMMYFUNCTION("""COMPUTED_VALUE"""),0.1256944444430701)</f>
        <v>0.1256944444</v>
      </c>
    </row>
    <row r="791">
      <c r="A791" t="str">
        <f>IFERROR(__xludf.DUMMYFUNCTION("""COMPUTED_VALUE"""),"Ecuador")</f>
        <v>Ecuador</v>
      </c>
      <c r="B791" t="str">
        <f>IFERROR(__xludf.DUMMYFUNCTION("""COMPUTED_VALUE"""),"South America")</f>
        <v>South America</v>
      </c>
      <c r="C791">
        <f>IFERROR(__xludf.DUMMYFUNCTION("""COMPUTED_VALUE"""),40.0)</f>
        <v>40</v>
      </c>
      <c r="D791" t="str">
        <f>IFERROR(__xludf.DUMMYFUNCTION("""COMPUTED_VALUE"""),"A Tu Merced")</f>
        <v>A Tu Merced</v>
      </c>
      <c r="E791" t="str">
        <f>IFERROR(__xludf.DUMMYFUNCTION("""COMPUTED_VALUE"""),"Bad Bunny")</f>
        <v>Bad Bunny</v>
      </c>
      <c r="F791" t="str">
        <f>IFERROR(__xludf.DUMMYFUNCTION("""COMPUTED_VALUE"""),"YHLQMDLG")</f>
        <v>YHLQMDLG</v>
      </c>
      <c r="G791">
        <f>IFERROR(__xludf.DUMMYFUNCTION("""COMPUTED_VALUE"""),0.0)</f>
        <v>0</v>
      </c>
      <c r="H791" s="5">
        <f>IFERROR(__xludf.DUMMYFUNCTION("""COMPUTED_VALUE"""),0.12152777777737356)</f>
        <v>0.1215277778</v>
      </c>
    </row>
    <row r="792">
      <c r="A792" t="str">
        <f>IFERROR(__xludf.DUMMYFUNCTION("""COMPUTED_VALUE"""),"Ecuador")</f>
        <v>Ecuador</v>
      </c>
      <c r="B792" t="str">
        <f>IFERROR(__xludf.DUMMYFUNCTION("""COMPUTED_VALUE"""),"South America")</f>
        <v>South America</v>
      </c>
      <c r="C792">
        <f>IFERROR(__xludf.DUMMYFUNCTION("""COMPUTED_VALUE"""),41.0)</f>
        <v>41</v>
      </c>
      <c r="D792" t="str">
        <f>IFERROR(__xludf.DUMMYFUNCTION("""COMPUTED_VALUE"""),"Si Me Dices Que Sí")</f>
        <v>Si Me Dices Que Sí</v>
      </c>
      <c r="E792" t="str">
        <f>IFERROR(__xludf.DUMMYFUNCTION("""COMPUTED_VALUE"""),"Reik, Farruko, Camilo")</f>
        <v>Reik, Farruko, Camilo</v>
      </c>
      <c r="F792" t="str">
        <f>IFERROR(__xludf.DUMMYFUNCTION("""COMPUTED_VALUE"""),"Si Me Dices Que Sí")</f>
        <v>Si Me Dices Que Sí</v>
      </c>
      <c r="G792">
        <f>IFERROR(__xludf.DUMMYFUNCTION("""COMPUTED_VALUE"""),0.0)</f>
        <v>0</v>
      </c>
      <c r="H792" s="5">
        <f>IFERROR(__xludf.DUMMYFUNCTION("""COMPUTED_VALUE"""),0.14652777777882875)</f>
        <v>0.1465277778</v>
      </c>
    </row>
    <row r="793">
      <c r="A793" t="str">
        <f>IFERROR(__xludf.DUMMYFUNCTION("""COMPUTED_VALUE"""),"Ecuador")</f>
        <v>Ecuador</v>
      </c>
      <c r="B793" t="str">
        <f>IFERROR(__xludf.DUMMYFUNCTION("""COMPUTED_VALUE"""),"South America")</f>
        <v>South America</v>
      </c>
      <c r="C793">
        <f>IFERROR(__xludf.DUMMYFUNCTION("""COMPUTED_VALUE"""),42.0)</f>
        <v>42</v>
      </c>
      <c r="D793" t="str">
        <f>IFERROR(__xludf.DUMMYFUNCTION("""COMPUTED_VALUE"""),"Tutu")</f>
        <v>Tutu</v>
      </c>
      <c r="E793" t="str">
        <f>IFERROR(__xludf.DUMMYFUNCTION("""COMPUTED_VALUE"""),"Camilo, Pedro Capó")</f>
        <v>Camilo, Pedro Capó</v>
      </c>
      <c r="F793" t="str">
        <f>IFERROR(__xludf.DUMMYFUNCTION("""COMPUTED_VALUE"""),"Por Primera Vez")</f>
        <v>Por Primera Vez</v>
      </c>
      <c r="G793">
        <f>IFERROR(__xludf.DUMMYFUNCTION("""COMPUTED_VALUE"""),0.0)</f>
        <v>0</v>
      </c>
      <c r="H793" s="5">
        <f>IFERROR(__xludf.DUMMYFUNCTION("""COMPUTED_VALUE"""),0.1243055555569299)</f>
        <v>0.1243055556</v>
      </c>
    </row>
    <row r="794">
      <c r="A794" t="str">
        <f>IFERROR(__xludf.DUMMYFUNCTION("""COMPUTED_VALUE"""),"Ecuador")</f>
        <v>Ecuador</v>
      </c>
      <c r="B794" t="str">
        <f>IFERROR(__xludf.DUMMYFUNCTION("""COMPUTED_VALUE"""),"South America")</f>
        <v>South America</v>
      </c>
      <c r="C794">
        <f>IFERROR(__xludf.DUMMYFUNCTION("""COMPUTED_VALUE"""),43.0)</f>
        <v>43</v>
      </c>
      <c r="D794" t="str">
        <f>IFERROR(__xludf.DUMMYFUNCTION("""COMPUTED_VALUE"""),"Blanco")</f>
        <v>Blanco</v>
      </c>
      <c r="E794" t="str">
        <f>IFERROR(__xludf.DUMMYFUNCTION("""COMPUTED_VALUE"""),"J Balvin")</f>
        <v>J Balvin</v>
      </c>
      <c r="F794" t="str">
        <f>IFERROR(__xludf.DUMMYFUNCTION("""COMPUTED_VALUE"""),"Colores")</f>
        <v>Colores</v>
      </c>
      <c r="G794">
        <f>IFERROR(__xludf.DUMMYFUNCTION("""COMPUTED_VALUE"""),0.0)</f>
        <v>0</v>
      </c>
      <c r="H794" s="5">
        <f>IFERROR(__xludf.DUMMYFUNCTION("""COMPUTED_VALUE"""),0.10069444444525288)</f>
        <v>0.1006944444</v>
      </c>
    </row>
    <row r="795">
      <c r="A795" t="str">
        <f>IFERROR(__xludf.DUMMYFUNCTION("""COMPUTED_VALUE"""),"Ecuador")</f>
        <v>Ecuador</v>
      </c>
      <c r="B795" t="str">
        <f>IFERROR(__xludf.DUMMYFUNCTION("""COMPUTED_VALUE"""),"South America")</f>
        <v>South America</v>
      </c>
      <c r="C795">
        <f>IFERROR(__xludf.DUMMYFUNCTION("""COMPUTED_VALUE"""),44.0)</f>
        <v>44</v>
      </c>
      <c r="D795" t="str">
        <f>IFERROR(__xludf.DUMMYFUNCTION("""COMPUTED_VALUE"""),"Callaita")</f>
        <v>Callaita</v>
      </c>
      <c r="E795" t="str">
        <f>IFERROR(__xludf.DUMMYFUNCTION("""COMPUTED_VALUE"""),"Bad Bunny, Tainy")</f>
        <v>Bad Bunny, Tainy</v>
      </c>
      <c r="F795" t="str">
        <f>IFERROR(__xludf.DUMMYFUNCTION("""COMPUTED_VALUE"""),"Callaita")</f>
        <v>Callaita</v>
      </c>
      <c r="G795">
        <f>IFERROR(__xludf.DUMMYFUNCTION("""COMPUTED_VALUE"""),1.0)</f>
        <v>1</v>
      </c>
      <c r="H795" s="5">
        <f>IFERROR(__xludf.DUMMYFUNCTION("""COMPUTED_VALUE"""),0.17361111110949423)</f>
        <v>0.1736111111</v>
      </c>
    </row>
    <row r="796">
      <c r="A796" t="str">
        <f>IFERROR(__xludf.DUMMYFUNCTION("""COMPUTED_VALUE"""),"Ecuador")</f>
        <v>Ecuador</v>
      </c>
      <c r="B796" t="str">
        <f>IFERROR(__xludf.DUMMYFUNCTION("""COMPUTED_VALUE"""),"South America")</f>
        <v>South America</v>
      </c>
      <c r="C796">
        <f>IFERROR(__xludf.DUMMYFUNCTION("""COMPUTED_VALUE"""),45.0)</f>
        <v>45</v>
      </c>
      <c r="D796" t="str">
        <f>IFERROR(__xludf.DUMMYFUNCTION("""COMPUTED_VALUE"""),"death bed (coffee for your head) (feat. beabadoobee)")</f>
        <v>death bed (coffee for your head) (feat. beabadoobee)</v>
      </c>
      <c r="E796" t="str">
        <f>IFERROR(__xludf.DUMMYFUNCTION("""COMPUTED_VALUE"""),"Powfu, beabadoobee")</f>
        <v>Powfu, beabadoobee</v>
      </c>
      <c r="F796" t="str">
        <f>IFERROR(__xludf.DUMMYFUNCTION("""COMPUTED_VALUE"""),"death bed (coffee for your head) (feat. beabadoobee)")</f>
        <v>death bed (coffee for your head) (feat. beabadoobee)</v>
      </c>
      <c r="G796">
        <f>IFERROR(__xludf.DUMMYFUNCTION("""COMPUTED_VALUE"""),0.0)</f>
        <v>0</v>
      </c>
      <c r="H796" s="5">
        <f>IFERROR(__xludf.DUMMYFUNCTION("""COMPUTED_VALUE"""),0.12013888888759539)</f>
        <v>0.1201388889</v>
      </c>
    </row>
    <row r="797">
      <c r="A797" t="str">
        <f>IFERROR(__xludf.DUMMYFUNCTION("""COMPUTED_VALUE"""),"Ecuador")</f>
        <v>Ecuador</v>
      </c>
      <c r="B797" t="str">
        <f>IFERROR(__xludf.DUMMYFUNCTION("""COMPUTED_VALUE"""),"South America")</f>
        <v>South America</v>
      </c>
      <c r="C797">
        <f>IFERROR(__xludf.DUMMYFUNCTION("""COMPUTED_VALUE"""),46.0)</f>
        <v>46</v>
      </c>
      <c r="D797" t="str">
        <f>IFERROR(__xludf.DUMMYFUNCTION("""COMPUTED_VALUE"""),"Negro")</f>
        <v>Negro</v>
      </c>
      <c r="E797" t="str">
        <f>IFERROR(__xludf.DUMMYFUNCTION("""COMPUTED_VALUE"""),"J Balvin")</f>
        <v>J Balvin</v>
      </c>
      <c r="F797" t="str">
        <f>IFERROR(__xludf.DUMMYFUNCTION("""COMPUTED_VALUE"""),"Colores")</f>
        <v>Colores</v>
      </c>
      <c r="G797">
        <f>IFERROR(__xludf.DUMMYFUNCTION("""COMPUTED_VALUE"""),0.0)</f>
        <v>0</v>
      </c>
      <c r="H797" s="5">
        <f>IFERROR(__xludf.DUMMYFUNCTION("""COMPUTED_VALUE"""),0.12638888888977817)</f>
        <v>0.1263888889</v>
      </c>
    </row>
    <row r="798">
      <c r="A798" t="str">
        <f>IFERROR(__xludf.DUMMYFUNCTION("""COMPUTED_VALUE"""),"Ecuador")</f>
        <v>Ecuador</v>
      </c>
      <c r="B798" t="str">
        <f>IFERROR(__xludf.DUMMYFUNCTION("""COMPUTED_VALUE"""),"South America")</f>
        <v>South America</v>
      </c>
      <c r="C798">
        <f>IFERROR(__xludf.DUMMYFUNCTION("""COMPUTED_VALUE"""),47.0)</f>
        <v>47</v>
      </c>
      <c r="D798" t="str">
        <f>IFERROR(__xludf.DUMMYFUNCTION("""COMPUTED_VALUE"""),"China")</f>
        <v>China</v>
      </c>
      <c r="E798" t="str">
        <f>IFERROR(__xludf.DUMMYFUNCTION("""COMPUTED_VALUE"""),"Anuel AA, Daddy Yankee, KAROL G, J Balvin, Ozuna")</f>
        <v>Anuel AA, Daddy Yankee, KAROL G, J Balvin, Ozuna</v>
      </c>
      <c r="F798" t="str">
        <f>IFERROR(__xludf.DUMMYFUNCTION("""COMPUTED_VALUE"""),"China")</f>
        <v>China</v>
      </c>
      <c r="G798">
        <f>IFERROR(__xludf.DUMMYFUNCTION("""COMPUTED_VALUE"""),0.0)</f>
        <v>0</v>
      </c>
      <c r="H798" s="5">
        <f>IFERROR(__xludf.DUMMYFUNCTION("""COMPUTED_VALUE"""),0.20902777777882875)</f>
        <v>0.2090277778</v>
      </c>
    </row>
    <row r="799">
      <c r="A799" t="str">
        <f>IFERROR(__xludf.DUMMYFUNCTION("""COMPUTED_VALUE"""),"Ecuador")</f>
        <v>Ecuador</v>
      </c>
      <c r="B799" t="str">
        <f>IFERROR(__xludf.DUMMYFUNCTION("""COMPUTED_VALUE"""),"South America")</f>
        <v>South America</v>
      </c>
      <c r="C799">
        <f>IFERROR(__xludf.DUMMYFUNCTION("""COMPUTED_VALUE"""),48.0)</f>
        <v>48</v>
      </c>
      <c r="D799" t="str">
        <f>IFERROR(__xludf.DUMMYFUNCTION("""COMPUTED_VALUE"""),"Quiéreme Mientras Se Pueda")</f>
        <v>Quiéreme Mientras Se Pueda</v>
      </c>
      <c r="E799" t="str">
        <f>IFERROR(__xludf.DUMMYFUNCTION("""COMPUTED_VALUE"""),"Manuel Turizo")</f>
        <v>Manuel Turizo</v>
      </c>
      <c r="F799" t="str">
        <f>IFERROR(__xludf.DUMMYFUNCTION("""COMPUTED_VALUE"""),"Quiéreme Mientras Se Pueda")</f>
        <v>Quiéreme Mientras Se Pueda</v>
      </c>
      <c r="G799">
        <f>IFERROR(__xludf.DUMMYFUNCTION("""COMPUTED_VALUE"""),0.0)</f>
        <v>0</v>
      </c>
      <c r="H799" s="5">
        <f>IFERROR(__xludf.DUMMYFUNCTION("""COMPUTED_VALUE"""),0.13263888888832298)</f>
        <v>0.1326388889</v>
      </c>
    </row>
    <row r="800">
      <c r="A800" t="str">
        <f>IFERROR(__xludf.DUMMYFUNCTION("""COMPUTED_VALUE"""),"Ecuador")</f>
        <v>Ecuador</v>
      </c>
      <c r="B800" t="str">
        <f>IFERROR(__xludf.DUMMYFUNCTION("""COMPUTED_VALUE"""),"South America")</f>
        <v>South America</v>
      </c>
      <c r="C800">
        <f>IFERROR(__xludf.DUMMYFUNCTION("""COMPUTED_VALUE"""),49.0)</f>
        <v>49</v>
      </c>
      <c r="D800" t="str">
        <f>IFERROR(__xludf.DUMMYFUNCTION("""COMPUTED_VALUE"""),"Rain On Me (with Ariana Grande)")</f>
        <v>Rain On Me (with Ariana Grande)</v>
      </c>
      <c r="E800" t="str">
        <f>IFERROR(__xludf.DUMMYFUNCTION("""COMPUTED_VALUE"""),"Lady Gaga, Ariana Grande")</f>
        <v>Lady Gaga, Ariana Grande</v>
      </c>
      <c r="F800" t="str">
        <f>IFERROR(__xludf.DUMMYFUNCTION("""COMPUTED_VALUE"""),"Rain On Me (with Ariana Grande)")</f>
        <v>Rain On Me (with Ariana Grande)</v>
      </c>
      <c r="G800">
        <f>IFERROR(__xludf.DUMMYFUNCTION("""COMPUTED_VALUE"""),0.0)</f>
        <v>0</v>
      </c>
      <c r="H800" s="5">
        <f>IFERROR(__xludf.DUMMYFUNCTION("""COMPUTED_VALUE"""),0.12638888888977817)</f>
        <v>0.1263888889</v>
      </c>
    </row>
    <row r="801">
      <c r="A801" t="str">
        <f>IFERROR(__xludf.DUMMYFUNCTION("""COMPUTED_VALUE"""),"Ecuador")</f>
        <v>Ecuador</v>
      </c>
      <c r="B801" t="str">
        <f>IFERROR(__xludf.DUMMYFUNCTION("""COMPUTED_VALUE"""),"South America")</f>
        <v>South America</v>
      </c>
      <c r="C801">
        <f>IFERROR(__xludf.DUMMYFUNCTION("""COMPUTED_VALUE"""),50.0)</f>
        <v>50</v>
      </c>
      <c r="D801" t="str">
        <f>IFERROR(__xludf.DUMMYFUNCTION("""COMPUTED_VALUE"""),"ADMV")</f>
        <v>ADMV</v>
      </c>
      <c r="E801" t="str">
        <f>IFERROR(__xludf.DUMMYFUNCTION("""COMPUTED_VALUE"""),"Maluma")</f>
        <v>Maluma</v>
      </c>
      <c r="F801" t="str">
        <f>IFERROR(__xludf.DUMMYFUNCTION("""COMPUTED_VALUE"""),"ADMV")</f>
        <v>ADMV</v>
      </c>
      <c r="G801">
        <f>IFERROR(__xludf.DUMMYFUNCTION("""COMPUTED_VALUE"""),0.0)</f>
        <v>0</v>
      </c>
      <c r="H801" s="5">
        <f>IFERROR(__xludf.DUMMYFUNCTION("""COMPUTED_VALUE"""),0.13402777777810115)</f>
        <v>0.1340277778</v>
      </c>
    </row>
    <row r="802">
      <c r="A802" t="str">
        <f>IFERROR(__xludf.DUMMYFUNCTION("""COMPUTED_VALUE"""),"El Salvador")</f>
        <v>El Salvador</v>
      </c>
      <c r="B802" t="str">
        <f>IFERROR(__xludf.DUMMYFUNCTION("""COMPUTED_VALUE"""),"North America")</f>
        <v>North America</v>
      </c>
      <c r="C802">
        <f>IFERROR(__xludf.DUMMYFUNCTION("""COMPUTED_VALUE"""),1.0)</f>
        <v>1</v>
      </c>
      <c r="D802" t="str">
        <f>IFERROR(__xludf.DUMMYFUNCTION("""COMPUTED_VALUE"""),"Safaera")</f>
        <v>Safaera</v>
      </c>
      <c r="E802" t="str">
        <f>IFERROR(__xludf.DUMMYFUNCTION("""COMPUTED_VALUE"""),"Bad Bunny, Jowell &amp; Randy, Nengo Flow")</f>
        <v>Bad Bunny, Jowell &amp; Randy, Nengo Flow</v>
      </c>
      <c r="F802" t="str">
        <f>IFERROR(__xludf.DUMMYFUNCTION("""COMPUTED_VALUE"""),"YHLQMDLG")</f>
        <v>YHLQMDLG</v>
      </c>
      <c r="G802">
        <f>IFERROR(__xludf.DUMMYFUNCTION("""COMPUTED_VALUE"""),1.0)</f>
        <v>1</v>
      </c>
      <c r="H802" s="5">
        <f>IFERROR(__xludf.DUMMYFUNCTION("""COMPUTED_VALUE"""),0.20486111110949423)</f>
        <v>0.2048611111</v>
      </c>
    </row>
    <row r="803">
      <c r="A803" t="str">
        <f>IFERROR(__xludf.DUMMYFUNCTION("""COMPUTED_VALUE"""),"El Salvador")</f>
        <v>El Salvador</v>
      </c>
      <c r="B803" t="str">
        <f>IFERROR(__xludf.DUMMYFUNCTION("""COMPUTED_VALUE"""),"North America")</f>
        <v>North America</v>
      </c>
      <c r="C803">
        <f>IFERROR(__xludf.DUMMYFUNCTION("""COMPUTED_VALUE"""),2.0)</f>
        <v>2</v>
      </c>
      <c r="D803" t="str">
        <f>IFERROR(__xludf.DUMMYFUNCTION("""COMPUTED_VALUE"""),"Rojo")</f>
        <v>Rojo</v>
      </c>
      <c r="E803" t="str">
        <f>IFERROR(__xludf.DUMMYFUNCTION("""COMPUTED_VALUE"""),"J Balvin")</f>
        <v>J Balvin</v>
      </c>
      <c r="F803" t="str">
        <f>IFERROR(__xludf.DUMMYFUNCTION("""COMPUTED_VALUE"""),"Colores")</f>
        <v>Colores</v>
      </c>
      <c r="G803">
        <f>IFERROR(__xludf.DUMMYFUNCTION("""COMPUTED_VALUE"""),0.0)</f>
        <v>0</v>
      </c>
      <c r="H803" s="5">
        <f>IFERROR(__xludf.DUMMYFUNCTION("""COMPUTED_VALUE"""),0.10416666666787933)</f>
        <v>0.1041666667</v>
      </c>
    </row>
    <row r="804">
      <c r="A804" t="str">
        <f>IFERROR(__xludf.DUMMYFUNCTION("""COMPUTED_VALUE"""),"El Salvador")</f>
        <v>El Salvador</v>
      </c>
      <c r="B804" t="str">
        <f>IFERROR(__xludf.DUMMYFUNCTION("""COMPUTED_VALUE"""),"North America")</f>
        <v>North America</v>
      </c>
      <c r="C804">
        <f>IFERROR(__xludf.DUMMYFUNCTION("""COMPUTED_VALUE"""),3.0)</f>
        <v>3</v>
      </c>
      <c r="D804" t="str">
        <f>IFERROR(__xludf.DUMMYFUNCTION("""COMPUTED_VALUE"""),"Yo Perreo Sola")</f>
        <v>Yo Perreo Sola</v>
      </c>
      <c r="E804" t="str">
        <f>IFERROR(__xludf.DUMMYFUNCTION("""COMPUTED_VALUE"""),"Bad Bunny")</f>
        <v>Bad Bunny</v>
      </c>
      <c r="F804" t="str">
        <f>IFERROR(__xludf.DUMMYFUNCTION("""COMPUTED_VALUE"""),"YHLQMDLG")</f>
        <v>YHLQMDLG</v>
      </c>
      <c r="G804">
        <f>IFERROR(__xludf.DUMMYFUNCTION("""COMPUTED_VALUE"""),0.0)</f>
        <v>0</v>
      </c>
      <c r="H804" s="5">
        <f>IFERROR(__xludf.DUMMYFUNCTION("""COMPUTED_VALUE"""),0.11944444444452529)</f>
        <v>0.1194444444</v>
      </c>
    </row>
    <row r="805">
      <c r="A805" t="str">
        <f>IFERROR(__xludf.DUMMYFUNCTION("""COMPUTED_VALUE"""),"El Salvador")</f>
        <v>El Salvador</v>
      </c>
      <c r="B805" t="str">
        <f>IFERROR(__xludf.DUMMYFUNCTION("""COMPUTED_VALUE"""),"North America")</f>
        <v>North America</v>
      </c>
      <c r="C805">
        <f>IFERROR(__xludf.DUMMYFUNCTION("""COMPUTED_VALUE"""),4.0)</f>
        <v>4</v>
      </c>
      <c r="D805" t="str">
        <f>IFERROR(__xludf.DUMMYFUNCTION("""COMPUTED_VALUE"""),"Favorito")</f>
        <v>Favorito</v>
      </c>
      <c r="E805" t="str">
        <f>IFERROR(__xludf.DUMMYFUNCTION("""COMPUTED_VALUE"""),"Camilo")</f>
        <v>Camilo</v>
      </c>
      <c r="F805" t="str">
        <f>IFERROR(__xludf.DUMMYFUNCTION("""COMPUTED_VALUE"""),"Por Primera Vez")</f>
        <v>Por Primera Vez</v>
      </c>
      <c r="G805">
        <f>IFERROR(__xludf.DUMMYFUNCTION("""COMPUTED_VALUE"""),0.0)</f>
        <v>0</v>
      </c>
      <c r="H805" s="5">
        <f>IFERROR(__xludf.DUMMYFUNCTION("""COMPUTED_VALUE"""),0.14513888888905058)</f>
        <v>0.1451388889</v>
      </c>
    </row>
    <row r="806">
      <c r="A806" t="str">
        <f>IFERROR(__xludf.DUMMYFUNCTION("""COMPUTED_VALUE"""),"El Salvador")</f>
        <v>El Salvador</v>
      </c>
      <c r="B806" t="str">
        <f>IFERROR(__xludf.DUMMYFUNCTION("""COMPUTED_VALUE"""),"North America")</f>
        <v>North America</v>
      </c>
      <c r="C806">
        <f>IFERROR(__xludf.DUMMYFUNCTION("""COMPUTED_VALUE"""),5.0)</f>
        <v>5</v>
      </c>
      <c r="D806" t="str">
        <f>IFERROR(__xludf.DUMMYFUNCTION("""COMPUTED_VALUE"""),"Tattoo")</f>
        <v>Tattoo</v>
      </c>
      <c r="E806" t="str">
        <f>IFERROR(__xludf.DUMMYFUNCTION("""COMPUTED_VALUE"""),"Rauw Alejandro")</f>
        <v>Rauw Alejandro</v>
      </c>
      <c r="F806" t="str">
        <f>IFERROR(__xludf.DUMMYFUNCTION("""COMPUTED_VALUE"""),"Tattoo")</f>
        <v>Tattoo</v>
      </c>
      <c r="G806">
        <f>IFERROR(__xludf.DUMMYFUNCTION("""COMPUTED_VALUE"""),0.0)</f>
        <v>0</v>
      </c>
      <c r="H806" s="5">
        <f>IFERROR(__xludf.DUMMYFUNCTION("""COMPUTED_VALUE"""),0.14027777777664596)</f>
        <v>0.1402777778</v>
      </c>
    </row>
    <row r="807">
      <c r="A807" t="str">
        <f>IFERROR(__xludf.DUMMYFUNCTION("""COMPUTED_VALUE"""),"El Salvador")</f>
        <v>El Salvador</v>
      </c>
      <c r="B807" t="str">
        <f>IFERROR(__xludf.DUMMYFUNCTION("""COMPUTED_VALUE"""),"North America")</f>
        <v>North America</v>
      </c>
      <c r="C807">
        <f>IFERROR(__xludf.DUMMYFUNCTION("""COMPUTED_VALUE"""),6.0)</f>
        <v>6</v>
      </c>
      <c r="D807" t="str">
        <f>IFERROR(__xludf.DUMMYFUNCTION("""COMPUTED_VALUE"""),"Blinding Lights")</f>
        <v>Blinding Lights</v>
      </c>
      <c r="E807" t="str">
        <f>IFERROR(__xludf.DUMMYFUNCTION("""COMPUTED_VALUE"""),"The Weeknd")</f>
        <v>The Weeknd</v>
      </c>
      <c r="F807" t="str">
        <f>IFERROR(__xludf.DUMMYFUNCTION("""COMPUTED_VALUE"""),"After Hours")</f>
        <v>After Hours</v>
      </c>
      <c r="G807">
        <f>IFERROR(__xludf.DUMMYFUNCTION("""COMPUTED_VALUE"""),0.0)</f>
        <v>0</v>
      </c>
      <c r="H807" s="5">
        <f>IFERROR(__xludf.DUMMYFUNCTION("""COMPUTED_VALUE"""),0.13888888889050577)</f>
        <v>0.1388888889</v>
      </c>
    </row>
    <row r="808">
      <c r="A808" t="str">
        <f>IFERROR(__xludf.DUMMYFUNCTION("""COMPUTED_VALUE"""),"El Salvador")</f>
        <v>El Salvador</v>
      </c>
      <c r="B808" t="str">
        <f>IFERROR(__xludf.DUMMYFUNCTION("""COMPUTED_VALUE"""),"North America")</f>
        <v>North America</v>
      </c>
      <c r="C808">
        <f>IFERROR(__xludf.DUMMYFUNCTION("""COMPUTED_VALUE"""),7.0)</f>
        <v>7</v>
      </c>
      <c r="D808" t="str">
        <f>IFERROR(__xludf.DUMMYFUNCTION("""COMPUTED_VALUE"""),"Hola - Remix")</f>
        <v>Hola - Remix</v>
      </c>
      <c r="E808" t="str">
        <f>IFERROR(__xludf.DUMMYFUNCTION("""COMPUTED_VALUE"""),"Dalex, Lenny Tavárez, Chencho Corleone, Juhn, Dímelo Flow")</f>
        <v>Dalex, Lenny Tavárez, Chencho Corleone, Juhn, Dímelo Flow</v>
      </c>
      <c r="F808" t="str">
        <f>IFERROR(__xludf.DUMMYFUNCTION("""COMPUTED_VALUE"""),"Hola (Remix)")</f>
        <v>Hola (Remix)</v>
      </c>
      <c r="G808">
        <f>IFERROR(__xludf.DUMMYFUNCTION("""COMPUTED_VALUE"""),0.0)</f>
        <v>0</v>
      </c>
      <c r="H808" s="5">
        <f>IFERROR(__xludf.DUMMYFUNCTION("""COMPUTED_VALUE"""),0.17291666666642413)</f>
        <v>0.1729166667</v>
      </c>
    </row>
    <row r="809">
      <c r="A809" t="str">
        <f>IFERROR(__xludf.DUMMYFUNCTION("""COMPUTED_VALUE"""),"El Salvador")</f>
        <v>El Salvador</v>
      </c>
      <c r="B809" t="str">
        <f>IFERROR(__xludf.DUMMYFUNCTION("""COMPUTED_VALUE"""),"North America")</f>
        <v>North America</v>
      </c>
      <c r="C809">
        <f>IFERROR(__xludf.DUMMYFUNCTION("""COMPUTED_VALUE"""),8.0)</f>
        <v>8</v>
      </c>
      <c r="D809" t="str">
        <f>IFERROR(__xludf.DUMMYFUNCTION("""COMPUTED_VALUE"""),"BYE ME FUI")</f>
        <v>BYE ME FUI</v>
      </c>
      <c r="E809" t="str">
        <f>IFERROR(__xludf.DUMMYFUNCTION("""COMPUTED_VALUE"""),"Bad Bunny")</f>
        <v>Bad Bunny</v>
      </c>
      <c r="F809" t="str">
        <f>IFERROR(__xludf.DUMMYFUNCTION("""COMPUTED_VALUE"""),"LAS QUE NO IBAN A SALIR")</f>
        <v>LAS QUE NO IBAN A SALIR</v>
      </c>
      <c r="G809">
        <f>IFERROR(__xludf.DUMMYFUNCTION("""COMPUTED_VALUE"""),1.0)</f>
        <v>1</v>
      </c>
      <c r="H809" s="5">
        <f>IFERROR(__xludf.DUMMYFUNCTION("""COMPUTED_VALUE"""),0.12361111111022183)</f>
        <v>0.1236111111</v>
      </c>
    </row>
    <row r="810">
      <c r="A810" t="str">
        <f>IFERROR(__xludf.DUMMYFUNCTION("""COMPUTED_VALUE"""),"El Salvador")</f>
        <v>El Salvador</v>
      </c>
      <c r="B810" t="str">
        <f>IFERROR(__xludf.DUMMYFUNCTION("""COMPUTED_VALUE"""),"North America")</f>
        <v>North America</v>
      </c>
      <c r="C810">
        <f>IFERROR(__xludf.DUMMYFUNCTION("""COMPUTED_VALUE"""),9.0)</f>
        <v>9</v>
      </c>
      <c r="D810" t="str">
        <f>IFERROR(__xludf.DUMMYFUNCTION("""COMPUTED_VALUE"""),"La Difícil")</f>
        <v>La Difícil</v>
      </c>
      <c r="E810" t="str">
        <f>IFERROR(__xludf.DUMMYFUNCTION("""COMPUTED_VALUE"""),"Bad Bunny")</f>
        <v>Bad Bunny</v>
      </c>
      <c r="F810" t="str">
        <f>IFERROR(__xludf.DUMMYFUNCTION("""COMPUTED_VALUE"""),"YHLQMDLG")</f>
        <v>YHLQMDLG</v>
      </c>
      <c r="G810">
        <f>IFERROR(__xludf.DUMMYFUNCTION("""COMPUTED_VALUE"""),1.0)</f>
        <v>1</v>
      </c>
      <c r="H810" s="5">
        <f>IFERROR(__xludf.DUMMYFUNCTION("""COMPUTED_VALUE"""),0.11319444444598048)</f>
        <v>0.1131944444</v>
      </c>
    </row>
    <row r="811">
      <c r="A811" t="str">
        <f>IFERROR(__xludf.DUMMYFUNCTION("""COMPUTED_VALUE"""),"El Salvador")</f>
        <v>El Salvador</v>
      </c>
      <c r="B811" t="str">
        <f>IFERROR(__xludf.DUMMYFUNCTION("""COMPUTED_VALUE"""),"North America")</f>
        <v>North America</v>
      </c>
      <c r="C811">
        <f>IFERROR(__xludf.DUMMYFUNCTION("""COMPUTED_VALUE"""),10.0)</f>
        <v>10</v>
      </c>
      <c r="D811" t="str">
        <f>IFERROR(__xludf.DUMMYFUNCTION("""COMPUTED_VALUE"""),"Si Veo a Tu Mamá")</f>
        <v>Si Veo a Tu Mamá</v>
      </c>
      <c r="E811" t="str">
        <f>IFERROR(__xludf.DUMMYFUNCTION("""COMPUTED_VALUE"""),"Bad Bunny")</f>
        <v>Bad Bunny</v>
      </c>
      <c r="F811" t="str">
        <f>IFERROR(__xludf.DUMMYFUNCTION("""COMPUTED_VALUE"""),"YHLQMDLG")</f>
        <v>YHLQMDLG</v>
      </c>
      <c r="G811">
        <f>IFERROR(__xludf.DUMMYFUNCTION("""COMPUTED_VALUE"""),0.0)</f>
        <v>0</v>
      </c>
      <c r="H811" s="5">
        <f>IFERROR(__xludf.DUMMYFUNCTION("""COMPUTED_VALUE"""),0.11805555555474712)</f>
        <v>0.1180555556</v>
      </c>
    </row>
    <row r="812">
      <c r="A812" t="str">
        <f>IFERROR(__xludf.DUMMYFUNCTION("""COMPUTED_VALUE"""),"El Salvador")</f>
        <v>El Salvador</v>
      </c>
      <c r="B812" t="str">
        <f>IFERROR(__xludf.DUMMYFUNCTION("""COMPUTED_VALUE"""),"North America")</f>
        <v>North America</v>
      </c>
      <c r="C812">
        <f>IFERROR(__xludf.DUMMYFUNCTION("""COMPUTED_VALUE"""),11.0)</f>
        <v>11</v>
      </c>
      <c r="D812" t="str">
        <f>IFERROR(__xludf.DUMMYFUNCTION("""COMPUTED_VALUE"""),"Elegí (feat. Dímelo Flow)")</f>
        <v>Elegí (feat. Dímelo Flow)</v>
      </c>
      <c r="E812" t="str">
        <f>IFERROR(__xludf.DUMMYFUNCTION("""COMPUTED_VALUE"""),"Rauw Alejandro, Dalex, Lenny Tavárez, Dímelo Flow")</f>
        <v>Rauw Alejandro, Dalex, Lenny Tavárez, Dímelo Flow</v>
      </c>
      <c r="F812" t="str">
        <f>IFERROR(__xludf.DUMMYFUNCTION("""COMPUTED_VALUE"""),"Elegí (feat. Dímelo Flow)")</f>
        <v>Elegí (feat. Dímelo Flow)</v>
      </c>
      <c r="G812">
        <f>IFERROR(__xludf.DUMMYFUNCTION("""COMPUTED_VALUE"""),0.0)</f>
        <v>0</v>
      </c>
      <c r="H812" s="5">
        <f>IFERROR(__xludf.DUMMYFUNCTION("""COMPUTED_VALUE"""),0.13680555555401952)</f>
        <v>0.1368055556</v>
      </c>
    </row>
    <row r="813">
      <c r="A813" t="str">
        <f>IFERROR(__xludf.DUMMYFUNCTION("""COMPUTED_VALUE"""),"El Salvador")</f>
        <v>El Salvador</v>
      </c>
      <c r="B813" t="str">
        <f>IFERROR(__xludf.DUMMYFUNCTION("""COMPUTED_VALUE"""),"North America")</f>
        <v>North America</v>
      </c>
      <c r="C813">
        <f>IFERROR(__xludf.DUMMYFUNCTION("""COMPUTED_VALUE"""),12.0)</f>
        <v>12</v>
      </c>
      <c r="D813" t="str">
        <f>IFERROR(__xludf.DUMMYFUNCTION("""COMPUTED_VALUE"""),"Ignorantes")</f>
        <v>Ignorantes</v>
      </c>
      <c r="E813" t="str">
        <f>IFERROR(__xludf.DUMMYFUNCTION("""COMPUTED_VALUE"""),"Bad Bunny, Sech")</f>
        <v>Bad Bunny, Sech</v>
      </c>
      <c r="F813" t="str">
        <f>IFERROR(__xludf.DUMMYFUNCTION("""COMPUTED_VALUE"""),"YHLQMDLG")</f>
        <v>YHLQMDLG</v>
      </c>
      <c r="G813">
        <f>IFERROR(__xludf.DUMMYFUNCTION("""COMPUTED_VALUE"""),1.0)</f>
        <v>1</v>
      </c>
      <c r="H813" s="5">
        <f>IFERROR(__xludf.DUMMYFUNCTION("""COMPUTED_VALUE"""),0.14583333333212067)</f>
        <v>0.1458333333</v>
      </c>
    </row>
    <row r="814">
      <c r="A814" t="str">
        <f>IFERROR(__xludf.DUMMYFUNCTION("""COMPUTED_VALUE"""),"El Salvador")</f>
        <v>El Salvador</v>
      </c>
      <c r="B814" t="str">
        <f>IFERROR(__xludf.DUMMYFUNCTION("""COMPUTED_VALUE"""),"North America")</f>
        <v>North America</v>
      </c>
      <c r="C814">
        <f>IFERROR(__xludf.DUMMYFUNCTION("""COMPUTED_VALUE"""),13.0)</f>
        <v>13</v>
      </c>
      <c r="D814" t="str">
        <f>IFERROR(__xludf.DUMMYFUNCTION("""COMPUTED_VALUE"""),"Fantasias")</f>
        <v>Fantasias</v>
      </c>
      <c r="E814" t="str">
        <f>IFERROR(__xludf.DUMMYFUNCTION("""COMPUTED_VALUE"""),"Rauw Alejandro, Farruko")</f>
        <v>Rauw Alejandro, Farruko</v>
      </c>
      <c r="F814" t="str">
        <f>IFERROR(__xludf.DUMMYFUNCTION("""COMPUTED_VALUE"""),"Fantasias")</f>
        <v>Fantasias</v>
      </c>
      <c r="G814">
        <f>IFERROR(__xludf.DUMMYFUNCTION("""COMPUTED_VALUE"""),0.0)</f>
        <v>0</v>
      </c>
      <c r="H814" s="5">
        <f>IFERROR(__xludf.DUMMYFUNCTION("""COMPUTED_VALUE"""),0.1381944444437977)</f>
        <v>0.1381944444</v>
      </c>
    </row>
    <row r="815">
      <c r="A815" t="str">
        <f>IFERROR(__xludf.DUMMYFUNCTION("""COMPUTED_VALUE"""),"El Salvador")</f>
        <v>El Salvador</v>
      </c>
      <c r="B815" t="str">
        <f>IFERROR(__xludf.DUMMYFUNCTION("""COMPUTED_VALUE"""),"North America")</f>
        <v>North America</v>
      </c>
      <c r="C815">
        <f>IFERROR(__xludf.DUMMYFUNCTION("""COMPUTED_VALUE"""),14.0)</f>
        <v>14</v>
      </c>
      <c r="D815" t="str">
        <f>IFERROR(__xludf.DUMMYFUNCTION("""COMPUTED_VALUE"""),"La Santa")</f>
        <v>La Santa</v>
      </c>
      <c r="E815" t="str">
        <f>IFERROR(__xludf.DUMMYFUNCTION("""COMPUTED_VALUE"""),"Bad Bunny, Daddy Yankee")</f>
        <v>Bad Bunny, Daddy Yankee</v>
      </c>
      <c r="F815" t="str">
        <f>IFERROR(__xludf.DUMMYFUNCTION("""COMPUTED_VALUE"""),"YHLQMDLG")</f>
        <v>YHLQMDLG</v>
      </c>
      <c r="G815">
        <f>IFERROR(__xludf.DUMMYFUNCTION("""COMPUTED_VALUE"""),1.0)</f>
        <v>1</v>
      </c>
      <c r="H815" s="5">
        <f>IFERROR(__xludf.DUMMYFUNCTION("""COMPUTED_VALUE"""),0.1430555555562023)</f>
        <v>0.1430555556</v>
      </c>
    </row>
    <row r="816">
      <c r="A816" t="str">
        <f>IFERROR(__xludf.DUMMYFUNCTION("""COMPUTED_VALUE"""),"El Salvador")</f>
        <v>El Salvador</v>
      </c>
      <c r="B816" t="str">
        <f>IFERROR(__xludf.DUMMYFUNCTION("""COMPUTED_VALUE"""),"North America")</f>
        <v>North America</v>
      </c>
      <c r="C816">
        <f>IFERROR(__xludf.DUMMYFUNCTION("""COMPUTED_VALUE"""),15.0)</f>
        <v>15</v>
      </c>
      <c r="D816" t="str">
        <f>IFERROR(__xludf.DUMMYFUNCTION("""COMPUTED_VALUE"""),"Rain On Me (with Ariana Grande)")</f>
        <v>Rain On Me (with Ariana Grande)</v>
      </c>
      <c r="E816" t="str">
        <f>IFERROR(__xludf.DUMMYFUNCTION("""COMPUTED_VALUE"""),"Lady Gaga, Ariana Grande")</f>
        <v>Lady Gaga, Ariana Grande</v>
      </c>
      <c r="F816" t="str">
        <f>IFERROR(__xludf.DUMMYFUNCTION("""COMPUTED_VALUE"""),"Rain On Me (with Ariana Grande)")</f>
        <v>Rain On Me (with Ariana Grande)</v>
      </c>
      <c r="G816">
        <f>IFERROR(__xludf.DUMMYFUNCTION("""COMPUTED_VALUE"""),0.0)</f>
        <v>0</v>
      </c>
      <c r="H816" s="5">
        <f>IFERROR(__xludf.DUMMYFUNCTION("""COMPUTED_VALUE"""),0.12638888888977817)</f>
        <v>0.1263888889</v>
      </c>
    </row>
    <row r="817">
      <c r="A817" t="str">
        <f>IFERROR(__xludf.DUMMYFUNCTION("""COMPUTED_VALUE"""),"El Salvador")</f>
        <v>El Salvador</v>
      </c>
      <c r="B817" t="str">
        <f>IFERROR(__xludf.DUMMYFUNCTION("""COMPUTED_VALUE"""),"North America")</f>
        <v>North America</v>
      </c>
      <c r="C817">
        <f>IFERROR(__xludf.DUMMYFUNCTION("""COMPUTED_VALUE"""),16.0)</f>
        <v>16</v>
      </c>
      <c r="D817" t="str">
        <f>IFERROR(__xludf.DUMMYFUNCTION("""COMPUTED_VALUE"""),"Sigues Con El")</f>
        <v>Sigues Con El</v>
      </c>
      <c r="E817" t="str">
        <f>IFERROR(__xludf.DUMMYFUNCTION("""COMPUTED_VALUE"""),"Dímelo Flow, Arcangel, Sech")</f>
        <v>Dímelo Flow, Arcangel, Sech</v>
      </c>
      <c r="F817" t="str">
        <f>IFERROR(__xludf.DUMMYFUNCTION("""COMPUTED_VALUE"""),"Sigues Con El")</f>
        <v>Sigues Con El</v>
      </c>
      <c r="G817">
        <f>IFERROR(__xludf.DUMMYFUNCTION("""COMPUTED_VALUE"""),0.0)</f>
        <v>0</v>
      </c>
      <c r="H817" s="5">
        <f>IFERROR(__xludf.DUMMYFUNCTION("""COMPUTED_VALUE"""),0.1569444444430701)</f>
        <v>0.1569444444</v>
      </c>
    </row>
    <row r="818">
      <c r="A818" t="str">
        <f>IFERROR(__xludf.DUMMYFUNCTION("""COMPUTED_VALUE"""),"El Salvador")</f>
        <v>El Salvador</v>
      </c>
      <c r="B818" t="str">
        <f>IFERROR(__xludf.DUMMYFUNCTION("""COMPUTED_VALUE"""),"North America")</f>
        <v>North America</v>
      </c>
      <c r="C818">
        <f>IFERROR(__xludf.DUMMYFUNCTION("""COMPUTED_VALUE"""),17.0)</f>
        <v>17</v>
      </c>
      <c r="D818" t="str">
        <f>IFERROR(__xludf.DUMMYFUNCTION("""COMPUTED_VALUE"""),"CANCIÓN CON YANDEL")</f>
        <v>CANCIÓN CON YANDEL</v>
      </c>
      <c r="E818" t="str">
        <f>IFERROR(__xludf.DUMMYFUNCTION("""COMPUTED_VALUE"""),"Yandel, Bad Bunny")</f>
        <v>Yandel, Bad Bunny</v>
      </c>
      <c r="F818" t="str">
        <f>IFERROR(__xludf.DUMMYFUNCTION("""COMPUTED_VALUE"""),"LAS QUE NO IBAN A SALIR")</f>
        <v>LAS QUE NO IBAN A SALIR</v>
      </c>
      <c r="G818">
        <f>IFERROR(__xludf.DUMMYFUNCTION("""COMPUTED_VALUE"""),1.0)</f>
        <v>1</v>
      </c>
      <c r="H818" s="5">
        <f>IFERROR(__xludf.DUMMYFUNCTION("""COMPUTED_VALUE"""),0.14513888888905058)</f>
        <v>0.1451388889</v>
      </c>
    </row>
    <row r="819">
      <c r="A819" t="str">
        <f>IFERROR(__xludf.DUMMYFUNCTION("""COMPUTED_VALUE"""),"El Salvador")</f>
        <v>El Salvador</v>
      </c>
      <c r="B819" t="str">
        <f>IFERROR(__xludf.DUMMYFUNCTION("""COMPUTED_VALUE"""),"North America")</f>
        <v>North America</v>
      </c>
      <c r="C819">
        <f>IFERROR(__xludf.DUMMYFUNCTION("""COMPUTED_VALUE"""),18.0)</f>
        <v>18</v>
      </c>
      <c r="D819" t="str">
        <f>IFERROR(__xludf.DUMMYFUNCTION("""COMPUTED_VALUE"""),"Vete")</f>
        <v>Vete</v>
      </c>
      <c r="E819" t="str">
        <f>IFERROR(__xludf.DUMMYFUNCTION("""COMPUTED_VALUE"""),"Bad Bunny")</f>
        <v>Bad Bunny</v>
      </c>
      <c r="F819" t="str">
        <f>IFERROR(__xludf.DUMMYFUNCTION("""COMPUTED_VALUE"""),"YHLQMDLG")</f>
        <v>YHLQMDLG</v>
      </c>
      <c r="G819">
        <f>IFERROR(__xludf.DUMMYFUNCTION("""COMPUTED_VALUE"""),1.0)</f>
        <v>1</v>
      </c>
      <c r="H819" s="5">
        <f>IFERROR(__xludf.DUMMYFUNCTION("""COMPUTED_VALUE"""),0.13333333333503106)</f>
        <v>0.1333333333</v>
      </c>
    </row>
    <row r="820">
      <c r="A820" t="str">
        <f>IFERROR(__xludf.DUMMYFUNCTION("""COMPUTED_VALUE"""),"El Salvador")</f>
        <v>El Salvador</v>
      </c>
      <c r="B820" t="str">
        <f>IFERROR(__xludf.DUMMYFUNCTION("""COMPUTED_VALUE"""),"North America")</f>
        <v>North America</v>
      </c>
      <c r="C820">
        <f>IFERROR(__xludf.DUMMYFUNCTION("""COMPUTED_VALUE"""),19.0)</f>
        <v>19</v>
      </c>
      <c r="D820" t="str">
        <f>IFERROR(__xludf.DUMMYFUNCTION("""COMPUTED_VALUE"""),"CÓMO SE SIENTE - Remix")</f>
        <v>CÓMO SE SIENTE - Remix</v>
      </c>
      <c r="E820" t="str">
        <f>IFERROR(__xludf.DUMMYFUNCTION("""COMPUTED_VALUE"""),"Jhay Cortez, Bad Bunny")</f>
        <v>Jhay Cortez, Bad Bunny</v>
      </c>
      <c r="F820" t="str">
        <f>IFERROR(__xludf.DUMMYFUNCTION("""COMPUTED_VALUE"""),"CÓMO SE SIENTE (Remix)")</f>
        <v>CÓMO SE SIENTE (Remix)</v>
      </c>
      <c r="G820">
        <f>IFERROR(__xludf.DUMMYFUNCTION("""COMPUTED_VALUE"""),1.0)</f>
        <v>1</v>
      </c>
      <c r="H820" s="5">
        <f>IFERROR(__xludf.DUMMYFUNCTION("""COMPUTED_VALUE"""),0.15763888888977817)</f>
        <v>0.1576388889</v>
      </c>
    </row>
    <row r="821">
      <c r="A821" t="str">
        <f>IFERROR(__xludf.DUMMYFUNCTION("""COMPUTED_VALUE"""),"El Salvador")</f>
        <v>El Salvador</v>
      </c>
      <c r="B821" t="str">
        <f>IFERROR(__xludf.DUMMYFUNCTION("""COMPUTED_VALUE"""),"North America")</f>
        <v>North America</v>
      </c>
      <c r="C821">
        <f>IFERROR(__xludf.DUMMYFUNCTION("""COMPUTED_VALUE"""),20.0)</f>
        <v>20</v>
      </c>
      <c r="D821" t="str">
        <f>IFERROR(__xludf.DUMMYFUNCTION("""COMPUTED_VALUE"""),"Diosa")</f>
        <v>Diosa</v>
      </c>
      <c r="E821" t="str">
        <f>IFERROR(__xludf.DUMMYFUNCTION("""COMPUTED_VALUE"""),"Myke Towers")</f>
        <v>Myke Towers</v>
      </c>
      <c r="F821" t="str">
        <f>IFERROR(__xludf.DUMMYFUNCTION("""COMPUTED_VALUE"""),"Easy Money Baby")</f>
        <v>Easy Money Baby</v>
      </c>
      <c r="G821">
        <f>IFERROR(__xludf.DUMMYFUNCTION("""COMPUTED_VALUE"""),1.0)</f>
        <v>1</v>
      </c>
      <c r="H821" s="5">
        <f>IFERROR(__xludf.DUMMYFUNCTION("""COMPUTED_VALUE"""),0.14861111111167702)</f>
        <v>0.1486111111</v>
      </c>
    </row>
    <row r="822">
      <c r="A822" t="str">
        <f>IFERROR(__xludf.DUMMYFUNCTION("""COMPUTED_VALUE"""),"El Salvador")</f>
        <v>El Salvador</v>
      </c>
      <c r="B822" t="str">
        <f>IFERROR(__xludf.DUMMYFUNCTION("""COMPUTED_VALUE"""),"North America")</f>
        <v>North America</v>
      </c>
      <c r="C822">
        <f>IFERROR(__xludf.DUMMYFUNCTION("""COMPUTED_VALUE"""),21.0)</f>
        <v>21</v>
      </c>
      <c r="D822" t="str">
        <f>IFERROR(__xludf.DUMMYFUNCTION("""COMPUTED_VALUE"""),"No Me Conoce - Remix")</f>
        <v>No Me Conoce - Remix</v>
      </c>
      <c r="E822" t="str">
        <f>IFERROR(__xludf.DUMMYFUNCTION("""COMPUTED_VALUE"""),"Jhay Cortez, J Balvin, Bad Bunny")</f>
        <v>Jhay Cortez, J Balvin, Bad Bunny</v>
      </c>
      <c r="F822" t="str">
        <f>IFERROR(__xludf.DUMMYFUNCTION("""COMPUTED_VALUE"""),"Famouz")</f>
        <v>Famouz</v>
      </c>
      <c r="G822">
        <f>IFERROR(__xludf.DUMMYFUNCTION("""COMPUTED_VALUE"""),0.0)</f>
        <v>0</v>
      </c>
      <c r="H822" s="5">
        <f>IFERROR(__xludf.DUMMYFUNCTION("""COMPUTED_VALUE"""),0.21458333333430346)</f>
        <v>0.2145833333</v>
      </c>
    </row>
    <row r="823">
      <c r="A823" t="str">
        <f>IFERROR(__xludf.DUMMYFUNCTION("""COMPUTED_VALUE"""),"El Salvador")</f>
        <v>El Salvador</v>
      </c>
      <c r="B823" t="str">
        <f>IFERROR(__xludf.DUMMYFUNCTION("""COMPUTED_VALUE"""),"North America")</f>
        <v>North America</v>
      </c>
      <c r="C823">
        <f>IFERROR(__xludf.DUMMYFUNCTION("""COMPUTED_VALUE"""),22.0)</f>
        <v>22</v>
      </c>
      <c r="D823" t="str">
        <f>IFERROR(__xludf.DUMMYFUNCTION("""COMPUTED_VALUE"""),"LA CANCIÓN")</f>
        <v>LA CANCIÓN</v>
      </c>
      <c r="E823" t="str">
        <f>IFERROR(__xludf.DUMMYFUNCTION("""COMPUTED_VALUE"""),"J Balvin, Bad Bunny")</f>
        <v>J Balvin, Bad Bunny</v>
      </c>
      <c r="F823" t="str">
        <f>IFERROR(__xludf.DUMMYFUNCTION("""COMPUTED_VALUE"""),"OASIS")</f>
        <v>OASIS</v>
      </c>
      <c r="G823">
        <f>IFERROR(__xludf.DUMMYFUNCTION("""COMPUTED_VALUE"""),0.0)</f>
        <v>0</v>
      </c>
      <c r="H823" s="5">
        <f>IFERROR(__xludf.DUMMYFUNCTION("""COMPUTED_VALUE"""),0.16805555555401952)</f>
        <v>0.1680555556</v>
      </c>
    </row>
    <row r="824">
      <c r="A824" t="str">
        <f>IFERROR(__xludf.DUMMYFUNCTION("""COMPUTED_VALUE"""),"El Salvador")</f>
        <v>El Salvador</v>
      </c>
      <c r="B824" t="str">
        <f>IFERROR(__xludf.DUMMYFUNCTION("""COMPUTED_VALUE"""),"North America")</f>
        <v>North America</v>
      </c>
      <c r="C824">
        <f>IFERROR(__xludf.DUMMYFUNCTION("""COMPUTED_VALUE"""),23.0)</f>
        <v>23</v>
      </c>
      <c r="D824" t="str">
        <f>IFERROR(__xludf.DUMMYFUNCTION("""COMPUTED_VALUE"""),"Tusa")</f>
        <v>Tusa</v>
      </c>
      <c r="E824" t="str">
        <f>IFERROR(__xludf.DUMMYFUNCTION("""COMPUTED_VALUE"""),"KAROL G, Nicki Minaj")</f>
        <v>KAROL G, Nicki Minaj</v>
      </c>
      <c r="F824" t="str">
        <f>IFERROR(__xludf.DUMMYFUNCTION("""COMPUTED_VALUE"""),"Tusa")</f>
        <v>Tusa</v>
      </c>
      <c r="G824">
        <f>IFERROR(__xludf.DUMMYFUNCTION("""COMPUTED_VALUE"""),0.0)</f>
        <v>0</v>
      </c>
      <c r="H824" s="5">
        <f>IFERROR(__xludf.DUMMYFUNCTION("""COMPUTED_VALUE"""),0.13888888889050577)</f>
        <v>0.1388888889</v>
      </c>
    </row>
    <row r="825">
      <c r="A825" t="str">
        <f>IFERROR(__xludf.DUMMYFUNCTION("""COMPUTED_VALUE"""),"El Salvador")</f>
        <v>El Salvador</v>
      </c>
      <c r="B825" t="str">
        <f>IFERROR(__xludf.DUMMYFUNCTION("""COMPUTED_VALUE"""),"North America")</f>
        <v>North America</v>
      </c>
      <c r="C825">
        <f>IFERROR(__xludf.DUMMYFUNCTION("""COMPUTED_VALUE"""),24.0)</f>
        <v>24</v>
      </c>
      <c r="D825" t="str">
        <f>IFERROR(__xludf.DUMMYFUNCTION("""COMPUTED_VALUE"""),"Morado")</f>
        <v>Morado</v>
      </c>
      <c r="E825" t="str">
        <f>IFERROR(__xludf.DUMMYFUNCTION("""COMPUTED_VALUE"""),"J Balvin")</f>
        <v>J Balvin</v>
      </c>
      <c r="F825" t="str">
        <f>IFERROR(__xludf.DUMMYFUNCTION("""COMPUTED_VALUE"""),"Colores")</f>
        <v>Colores</v>
      </c>
      <c r="G825">
        <f>IFERROR(__xludf.DUMMYFUNCTION("""COMPUTED_VALUE"""),0.0)</f>
        <v>0</v>
      </c>
      <c r="H825" s="5">
        <f>IFERROR(__xludf.DUMMYFUNCTION("""COMPUTED_VALUE"""),0.13888888889050577)</f>
        <v>0.1388888889</v>
      </c>
    </row>
    <row r="826">
      <c r="A826" t="str">
        <f>IFERROR(__xludf.DUMMYFUNCTION("""COMPUTED_VALUE"""),"El Salvador")</f>
        <v>El Salvador</v>
      </c>
      <c r="B826" t="str">
        <f>IFERROR(__xludf.DUMMYFUNCTION("""COMPUTED_VALUE"""),"North America")</f>
        <v>North America</v>
      </c>
      <c r="C826">
        <f>IFERROR(__xludf.DUMMYFUNCTION("""COMPUTED_VALUE"""),25.0)</f>
        <v>25</v>
      </c>
      <c r="D826" t="str">
        <f>IFERROR(__xludf.DUMMYFUNCTION("""COMPUTED_VALUE"""),"Don't Start Now")</f>
        <v>Don't Start Now</v>
      </c>
      <c r="E826" t="str">
        <f>IFERROR(__xludf.DUMMYFUNCTION("""COMPUTED_VALUE"""),"Dua Lipa")</f>
        <v>Dua Lipa</v>
      </c>
      <c r="F826" t="str">
        <f>IFERROR(__xludf.DUMMYFUNCTION("""COMPUTED_VALUE"""),"Future Nostalgia")</f>
        <v>Future Nostalgia</v>
      </c>
      <c r="G826">
        <f>IFERROR(__xludf.DUMMYFUNCTION("""COMPUTED_VALUE"""),0.0)</f>
        <v>0</v>
      </c>
      <c r="H826" s="5">
        <f>IFERROR(__xludf.DUMMYFUNCTION("""COMPUTED_VALUE"""),0.12708333333284827)</f>
        <v>0.1270833333</v>
      </c>
    </row>
    <row r="827">
      <c r="A827" t="str">
        <f>IFERROR(__xludf.DUMMYFUNCTION("""COMPUTED_VALUE"""),"El Salvador")</f>
        <v>El Salvador</v>
      </c>
      <c r="B827" t="str">
        <f>IFERROR(__xludf.DUMMYFUNCTION("""COMPUTED_VALUE"""),"North America")</f>
        <v>North America</v>
      </c>
      <c r="C827">
        <f>IFERROR(__xludf.DUMMYFUNCTION("""COMPUTED_VALUE"""),26.0)</f>
        <v>26</v>
      </c>
      <c r="D827" t="str">
        <f>IFERROR(__xludf.DUMMYFUNCTION("""COMPUTED_VALUE"""),"PORFA")</f>
        <v>PORFA</v>
      </c>
      <c r="E827" t="str">
        <f>IFERROR(__xludf.DUMMYFUNCTION("""COMPUTED_VALUE"""),"Feid, Justin Quiles")</f>
        <v>Feid, Justin Quiles</v>
      </c>
      <c r="F827" t="str">
        <f>IFERROR(__xludf.DUMMYFUNCTION("""COMPUTED_VALUE"""),"FERXXO (VOL 1: M.O.R)")</f>
        <v>FERXXO (VOL 1: M.O.R)</v>
      </c>
      <c r="G827">
        <f>IFERROR(__xludf.DUMMYFUNCTION("""COMPUTED_VALUE"""),0.0)</f>
        <v>0</v>
      </c>
      <c r="H827" s="5">
        <f>IFERROR(__xludf.DUMMYFUNCTION("""COMPUTED_VALUE"""),0.16111111111240461)</f>
        <v>0.1611111111</v>
      </c>
    </row>
    <row r="828">
      <c r="A828" t="str">
        <f>IFERROR(__xludf.DUMMYFUNCTION("""COMPUTED_VALUE"""),"El Salvador")</f>
        <v>El Salvador</v>
      </c>
      <c r="B828" t="str">
        <f>IFERROR(__xludf.DUMMYFUNCTION("""COMPUTED_VALUE"""),"North America")</f>
        <v>North America</v>
      </c>
      <c r="C828">
        <f>IFERROR(__xludf.DUMMYFUNCTION("""COMPUTED_VALUE"""),27.0)</f>
        <v>27</v>
      </c>
      <c r="D828" t="str">
        <f>IFERROR(__xludf.DUMMYFUNCTION("""COMPUTED_VALUE"""),"death bed (coffee for your head) (feat. beabadoobee)")</f>
        <v>death bed (coffee for your head) (feat. beabadoobee)</v>
      </c>
      <c r="E828" t="str">
        <f>IFERROR(__xludf.DUMMYFUNCTION("""COMPUTED_VALUE"""),"Powfu, beabadoobee")</f>
        <v>Powfu, beabadoobee</v>
      </c>
      <c r="F828" t="str">
        <f>IFERROR(__xludf.DUMMYFUNCTION("""COMPUTED_VALUE"""),"death bed (coffee for your head) (feat. beabadoobee)")</f>
        <v>death bed (coffee for your head) (feat. beabadoobee)</v>
      </c>
      <c r="G828">
        <f>IFERROR(__xludf.DUMMYFUNCTION("""COMPUTED_VALUE"""),0.0)</f>
        <v>0</v>
      </c>
      <c r="H828" s="5">
        <f>IFERROR(__xludf.DUMMYFUNCTION("""COMPUTED_VALUE"""),0.12013888888759539)</f>
        <v>0.1201388889</v>
      </c>
    </row>
    <row r="829">
      <c r="A829" t="str">
        <f>IFERROR(__xludf.DUMMYFUNCTION("""COMPUTED_VALUE"""),"El Salvador")</f>
        <v>El Salvador</v>
      </c>
      <c r="B829" t="str">
        <f>IFERROR(__xludf.DUMMYFUNCTION("""COMPUTED_VALUE"""),"North America")</f>
        <v>North America</v>
      </c>
      <c r="C829">
        <f>IFERROR(__xludf.DUMMYFUNCTION("""COMPUTED_VALUE"""),28.0)</f>
        <v>28</v>
      </c>
      <c r="D829" t="str">
        <f>IFERROR(__xludf.DUMMYFUNCTION("""COMPUTED_VALUE"""),"Pa' Olvidarme De Ella")</f>
        <v>Pa' Olvidarme De Ella</v>
      </c>
      <c r="E829" t="str">
        <f>IFERROR(__xludf.DUMMYFUNCTION("""COMPUTED_VALUE"""),"Piso 21, Christian Nodal")</f>
        <v>Piso 21, Christian Nodal</v>
      </c>
      <c r="F829" t="str">
        <f>IFERROR(__xludf.DUMMYFUNCTION("""COMPUTED_VALUE"""),"Pa' Olvidarme De Ella")</f>
        <v>Pa' Olvidarme De Ella</v>
      </c>
      <c r="G829">
        <f>IFERROR(__xludf.DUMMYFUNCTION("""COMPUTED_VALUE"""),1.0)</f>
        <v>1</v>
      </c>
      <c r="H829" s="5">
        <f>IFERROR(__xludf.DUMMYFUNCTION("""COMPUTED_VALUE"""),0.15763888888977817)</f>
        <v>0.1576388889</v>
      </c>
    </row>
    <row r="830">
      <c r="A830" t="str">
        <f>IFERROR(__xludf.DUMMYFUNCTION("""COMPUTED_VALUE"""),"El Salvador")</f>
        <v>El Salvador</v>
      </c>
      <c r="B830" t="str">
        <f>IFERROR(__xludf.DUMMYFUNCTION("""COMPUTED_VALUE"""),"North America")</f>
        <v>North America</v>
      </c>
      <c r="C830">
        <f>IFERROR(__xludf.DUMMYFUNCTION("""COMPUTED_VALUE"""),29.0)</f>
        <v>29</v>
      </c>
      <c r="D830" t="str">
        <f>IFERROR(__xludf.DUMMYFUNCTION("""COMPUTED_VALUE"""),"Relación")</f>
        <v>Relación</v>
      </c>
      <c r="E830" t="str">
        <f>IFERROR(__xludf.DUMMYFUNCTION("""COMPUTED_VALUE"""),"Sech")</f>
        <v>Sech</v>
      </c>
      <c r="F830" t="str">
        <f>IFERROR(__xludf.DUMMYFUNCTION("""COMPUTED_VALUE"""),"1 of 1")</f>
        <v>1 of 1</v>
      </c>
      <c r="G830">
        <f>IFERROR(__xludf.DUMMYFUNCTION("""COMPUTED_VALUE"""),0.0)</f>
        <v>0</v>
      </c>
      <c r="H830" s="5">
        <f>IFERROR(__xludf.DUMMYFUNCTION("""COMPUTED_VALUE"""),0.12777777777955635)</f>
        <v>0.1277777778</v>
      </c>
    </row>
    <row r="831">
      <c r="A831" t="str">
        <f>IFERROR(__xludf.DUMMYFUNCTION("""COMPUTED_VALUE"""),"El Salvador")</f>
        <v>El Salvador</v>
      </c>
      <c r="B831" t="str">
        <f>IFERROR(__xludf.DUMMYFUNCTION("""COMPUTED_VALUE"""),"North America")</f>
        <v>North America</v>
      </c>
      <c r="C831">
        <f>IFERROR(__xludf.DUMMYFUNCTION("""COMPUTED_VALUE"""),30.0)</f>
        <v>30</v>
      </c>
      <c r="D831" t="str">
        <f>IFERROR(__xludf.DUMMYFUNCTION("""COMPUTED_VALUE"""),"Amarillo")</f>
        <v>Amarillo</v>
      </c>
      <c r="E831" t="str">
        <f>IFERROR(__xludf.DUMMYFUNCTION("""COMPUTED_VALUE"""),"J Balvin")</f>
        <v>J Balvin</v>
      </c>
      <c r="F831" t="str">
        <f>IFERROR(__xludf.DUMMYFUNCTION("""COMPUTED_VALUE"""),"Colores")</f>
        <v>Colores</v>
      </c>
      <c r="G831">
        <f>IFERROR(__xludf.DUMMYFUNCTION("""COMPUTED_VALUE"""),0.0)</f>
        <v>0</v>
      </c>
      <c r="H831" s="5">
        <f>IFERROR(__xludf.DUMMYFUNCTION("""COMPUTED_VALUE"""),0.10902777777664596)</f>
        <v>0.1090277778</v>
      </c>
    </row>
    <row r="832">
      <c r="A832" t="str">
        <f>IFERROR(__xludf.DUMMYFUNCTION("""COMPUTED_VALUE"""),"El Salvador")</f>
        <v>El Salvador</v>
      </c>
      <c r="B832" t="str">
        <f>IFERROR(__xludf.DUMMYFUNCTION("""COMPUTED_VALUE"""),"North America")</f>
        <v>North America</v>
      </c>
      <c r="C832">
        <f>IFERROR(__xludf.DUMMYFUNCTION("""COMPUTED_VALUE"""),31.0)</f>
        <v>31</v>
      </c>
      <c r="D832" t="str">
        <f>IFERROR(__xludf.DUMMYFUNCTION("""COMPUTED_VALUE"""),"Dance Monkey")</f>
        <v>Dance Monkey</v>
      </c>
      <c r="E832" t="str">
        <f>IFERROR(__xludf.DUMMYFUNCTION("""COMPUTED_VALUE"""),"Tones And I")</f>
        <v>Tones And I</v>
      </c>
      <c r="F832" t="str">
        <f>IFERROR(__xludf.DUMMYFUNCTION("""COMPUTED_VALUE"""),"Dance Monkey (Stripped Back) / Dance Monkey")</f>
        <v>Dance Monkey (Stripped Back) / Dance Monkey</v>
      </c>
      <c r="G832">
        <f>IFERROR(__xludf.DUMMYFUNCTION("""COMPUTED_VALUE"""),0.0)</f>
        <v>0</v>
      </c>
      <c r="H832" s="5">
        <f>IFERROR(__xludf.DUMMYFUNCTION("""COMPUTED_VALUE"""),0.14513888888905058)</f>
        <v>0.1451388889</v>
      </c>
    </row>
    <row r="833">
      <c r="A833" t="str">
        <f>IFERROR(__xludf.DUMMYFUNCTION("""COMPUTED_VALUE"""),"El Salvador")</f>
        <v>El Salvador</v>
      </c>
      <c r="B833" t="str">
        <f>IFERROR(__xludf.DUMMYFUNCTION("""COMPUTED_VALUE"""),"North America")</f>
        <v>North America</v>
      </c>
      <c r="C833">
        <f>IFERROR(__xludf.DUMMYFUNCTION("""COMPUTED_VALUE"""),32.0)</f>
        <v>32</v>
      </c>
      <c r="D833" t="str">
        <f>IFERROR(__xludf.DUMMYFUNCTION("""COMPUTED_VALUE"""),"Jangueo")</f>
        <v>Jangueo</v>
      </c>
      <c r="E833" t="str">
        <f>IFERROR(__xludf.DUMMYFUNCTION("""COMPUTED_VALUE"""),"Alex Rose, Rafa Pabön")</f>
        <v>Alex Rose, Rafa Pabön</v>
      </c>
      <c r="F833" t="str">
        <f>IFERROR(__xludf.DUMMYFUNCTION("""COMPUTED_VALUE"""),"LOST")</f>
        <v>LOST</v>
      </c>
      <c r="G833">
        <f>IFERROR(__xludf.DUMMYFUNCTION("""COMPUTED_VALUE"""),0.0)</f>
        <v>0</v>
      </c>
      <c r="H833" s="5">
        <f>IFERROR(__xludf.DUMMYFUNCTION("""COMPUTED_VALUE"""),0.17986111111167702)</f>
        <v>0.1798611111</v>
      </c>
    </row>
    <row r="834">
      <c r="A834" t="str">
        <f>IFERROR(__xludf.DUMMYFUNCTION("""COMPUTED_VALUE"""),"El Salvador")</f>
        <v>El Salvador</v>
      </c>
      <c r="B834" t="str">
        <f>IFERROR(__xludf.DUMMYFUNCTION("""COMPUTED_VALUE"""),"North America")</f>
        <v>North America</v>
      </c>
      <c r="C834">
        <f>IFERROR(__xludf.DUMMYFUNCTION("""COMPUTED_VALUE"""),33.0)</f>
        <v>33</v>
      </c>
      <c r="D834" t="str">
        <f>IFERROR(__xludf.DUMMYFUNCTION("""COMPUTED_VALUE"""),"PA' ROMPERLA")</f>
        <v>PA' ROMPERLA</v>
      </c>
      <c r="E834" t="str">
        <f>IFERROR(__xludf.DUMMYFUNCTION("""COMPUTED_VALUE"""),"Bad Bunny, Don Omar")</f>
        <v>Bad Bunny, Don Omar</v>
      </c>
      <c r="F834" t="str">
        <f>IFERROR(__xludf.DUMMYFUNCTION("""COMPUTED_VALUE"""),"LAS QUE NO IBAN A SALIR")</f>
        <v>LAS QUE NO IBAN A SALIR</v>
      </c>
      <c r="G834">
        <f>IFERROR(__xludf.DUMMYFUNCTION("""COMPUTED_VALUE"""),1.0)</f>
        <v>1</v>
      </c>
      <c r="H834" s="5">
        <f>IFERROR(__xludf.DUMMYFUNCTION("""COMPUTED_VALUE"""),0.13472222222117125)</f>
        <v>0.1347222222</v>
      </c>
    </row>
    <row r="835">
      <c r="A835" t="str">
        <f>IFERROR(__xludf.DUMMYFUNCTION("""COMPUTED_VALUE"""),"El Salvador")</f>
        <v>El Salvador</v>
      </c>
      <c r="B835" t="str">
        <f>IFERROR(__xludf.DUMMYFUNCTION("""COMPUTED_VALUE"""),"North America")</f>
        <v>North America</v>
      </c>
      <c r="C835">
        <f>IFERROR(__xludf.DUMMYFUNCTION("""COMPUTED_VALUE"""),34.0)</f>
        <v>34</v>
      </c>
      <c r="D835" t="str">
        <f>IFERROR(__xludf.DUMMYFUNCTION("""COMPUTED_VALUE"""),"Callaita")</f>
        <v>Callaita</v>
      </c>
      <c r="E835" t="str">
        <f>IFERROR(__xludf.DUMMYFUNCTION("""COMPUTED_VALUE"""),"Bad Bunny, Tainy")</f>
        <v>Bad Bunny, Tainy</v>
      </c>
      <c r="F835" t="str">
        <f>IFERROR(__xludf.DUMMYFUNCTION("""COMPUTED_VALUE"""),"Callaita")</f>
        <v>Callaita</v>
      </c>
      <c r="G835">
        <f>IFERROR(__xludf.DUMMYFUNCTION("""COMPUTED_VALUE"""),1.0)</f>
        <v>1</v>
      </c>
      <c r="H835" s="5">
        <f>IFERROR(__xludf.DUMMYFUNCTION("""COMPUTED_VALUE"""),0.17361111110949423)</f>
        <v>0.1736111111</v>
      </c>
    </row>
    <row r="836">
      <c r="A836" t="str">
        <f>IFERROR(__xludf.DUMMYFUNCTION("""COMPUTED_VALUE"""),"El Salvador")</f>
        <v>El Salvador</v>
      </c>
      <c r="B836" t="str">
        <f>IFERROR(__xludf.DUMMYFUNCTION("""COMPUTED_VALUE"""),"North America")</f>
        <v>North America</v>
      </c>
      <c r="C836">
        <f>IFERROR(__xludf.DUMMYFUNCTION("""COMPUTED_VALUE"""),35.0)</f>
        <v>35</v>
      </c>
      <c r="D836" t="str">
        <f>IFERROR(__xludf.DUMMYFUNCTION("""COMPUTED_VALUE"""),"El Efecto - Remix")</f>
        <v>El Efecto - Remix</v>
      </c>
      <c r="E836" t="str">
        <f>IFERROR(__xludf.DUMMYFUNCTION("""COMPUTED_VALUE"""),"Rauw Alejandro, Chencho Corleone, KEVVO, Bryant Myers, Lyanno, Dalex")</f>
        <v>Rauw Alejandro, Chencho Corleone, KEVVO, Bryant Myers, Lyanno, Dalex</v>
      </c>
      <c r="F836" t="str">
        <f>IFERROR(__xludf.DUMMYFUNCTION("""COMPUTED_VALUE"""),"El Efecto (Remix)")</f>
        <v>El Efecto (Remix)</v>
      </c>
      <c r="G836">
        <f>IFERROR(__xludf.DUMMYFUNCTION("""COMPUTED_VALUE"""),1.0)</f>
        <v>1</v>
      </c>
      <c r="H836" s="5">
        <f>IFERROR(__xludf.DUMMYFUNCTION("""COMPUTED_VALUE"""),0.2006944444437977)</f>
        <v>0.2006944444</v>
      </c>
    </row>
    <row r="837">
      <c r="A837" t="str">
        <f>IFERROR(__xludf.DUMMYFUNCTION("""COMPUTED_VALUE"""),"El Salvador")</f>
        <v>El Salvador</v>
      </c>
      <c r="B837" t="str">
        <f>IFERROR(__xludf.DUMMYFUNCTION("""COMPUTED_VALUE"""),"North America")</f>
        <v>North America</v>
      </c>
      <c r="C837">
        <f>IFERROR(__xludf.DUMMYFUNCTION("""COMPUTED_VALUE"""),36.0)</f>
        <v>36</v>
      </c>
      <c r="D837" t="str">
        <f>IFERROR(__xludf.DUMMYFUNCTION("""COMPUTED_VALUE"""),"BAD CON NICKY")</f>
        <v>BAD CON NICKY</v>
      </c>
      <c r="E837" t="str">
        <f>IFERROR(__xludf.DUMMYFUNCTION("""COMPUTED_VALUE"""),"Bad Bunny, Nicky Jam")</f>
        <v>Bad Bunny, Nicky Jam</v>
      </c>
      <c r="F837" t="str">
        <f>IFERROR(__xludf.DUMMYFUNCTION("""COMPUTED_VALUE"""),"LAS QUE NO IBAN A SALIR")</f>
        <v>LAS QUE NO IBAN A SALIR</v>
      </c>
      <c r="G837">
        <f>IFERROR(__xludf.DUMMYFUNCTION("""COMPUTED_VALUE"""),1.0)</f>
        <v>1</v>
      </c>
      <c r="H837" s="5">
        <f>IFERROR(__xludf.DUMMYFUNCTION("""COMPUTED_VALUE"""),0.14027777777664596)</f>
        <v>0.1402777778</v>
      </c>
    </row>
    <row r="838">
      <c r="A838" t="str">
        <f>IFERROR(__xludf.DUMMYFUNCTION("""COMPUTED_VALUE"""),"El Salvador")</f>
        <v>El Salvador</v>
      </c>
      <c r="B838" t="str">
        <f>IFERROR(__xludf.DUMMYFUNCTION("""COMPUTED_VALUE"""),"North America")</f>
        <v>North America</v>
      </c>
      <c r="C838">
        <f>IFERROR(__xludf.DUMMYFUNCTION("""COMPUTED_VALUE"""),37.0)</f>
        <v>37</v>
      </c>
      <c r="D838" t="str">
        <f>IFERROR(__xludf.DUMMYFUNCTION("""COMPUTED_VALUE"""),"A Tu Merced")</f>
        <v>A Tu Merced</v>
      </c>
      <c r="E838" t="str">
        <f>IFERROR(__xludf.DUMMYFUNCTION("""COMPUTED_VALUE"""),"Bad Bunny")</f>
        <v>Bad Bunny</v>
      </c>
      <c r="F838" t="str">
        <f>IFERROR(__xludf.DUMMYFUNCTION("""COMPUTED_VALUE"""),"YHLQMDLG")</f>
        <v>YHLQMDLG</v>
      </c>
      <c r="G838">
        <f>IFERROR(__xludf.DUMMYFUNCTION("""COMPUTED_VALUE"""),0.0)</f>
        <v>0</v>
      </c>
      <c r="H838" s="5">
        <f>IFERROR(__xludf.DUMMYFUNCTION("""COMPUTED_VALUE"""),0.12152777777737356)</f>
        <v>0.1215277778</v>
      </c>
    </row>
    <row r="839">
      <c r="A839" t="str">
        <f>IFERROR(__xludf.DUMMYFUNCTION("""COMPUTED_VALUE"""),"El Salvador")</f>
        <v>El Salvador</v>
      </c>
      <c r="B839" t="str">
        <f>IFERROR(__xludf.DUMMYFUNCTION("""COMPUTED_VALUE"""),"North America")</f>
        <v>North America</v>
      </c>
      <c r="C839">
        <f>IFERROR(__xludf.DUMMYFUNCTION("""COMPUTED_VALUE"""),38.0)</f>
        <v>38</v>
      </c>
      <c r="D839" t="str">
        <f>IFERROR(__xludf.DUMMYFUNCTION("""COMPUTED_VALUE"""),"MÁS DE UNA CITA")</f>
        <v>MÁS DE UNA CITA</v>
      </c>
      <c r="E839" t="str">
        <f>IFERROR(__xludf.DUMMYFUNCTION("""COMPUTED_VALUE"""),"Bad Bunny, Zion &amp; Lennox")</f>
        <v>Bad Bunny, Zion &amp; Lennox</v>
      </c>
      <c r="F839" t="str">
        <f>IFERROR(__xludf.DUMMYFUNCTION("""COMPUTED_VALUE"""),"LAS QUE NO IBAN A SALIR")</f>
        <v>LAS QUE NO IBAN A SALIR</v>
      </c>
      <c r="G839">
        <f>IFERROR(__xludf.DUMMYFUNCTION("""COMPUTED_VALUE"""),1.0)</f>
        <v>1</v>
      </c>
      <c r="H839" s="5">
        <f>IFERROR(__xludf.DUMMYFUNCTION("""COMPUTED_VALUE"""),0.12708333333284827)</f>
        <v>0.1270833333</v>
      </c>
    </row>
    <row r="840">
      <c r="A840" t="str">
        <f>IFERROR(__xludf.DUMMYFUNCTION("""COMPUTED_VALUE"""),"El Salvador")</f>
        <v>El Salvador</v>
      </c>
      <c r="B840" t="str">
        <f>IFERROR(__xludf.DUMMYFUNCTION("""COMPUTED_VALUE"""),"North America")</f>
        <v>North America</v>
      </c>
      <c r="C840">
        <f>IFERROR(__xludf.DUMMYFUNCTION("""COMPUTED_VALUE"""),39.0)</f>
        <v>39</v>
      </c>
      <c r="D840" t="str">
        <f>IFERROR(__xludf.DUMMYFUNCTION("""COMPUTED_VALUE"""),"Bajo La Mesa")</f>
        <v>Bajo La Mesa</v>
      </c>
      <c r="E840" t="str">
        <f>IFERROR(__xludf.DUMMYFUNCTION("""COMPUTED_VALUE"""),"Morat, Sebastian Yatra")</f>
        <v>Morat, Sebastian Yatra</v>
      </c>
      <c r="F840" t="str">
        <f>IFERROR(__xludf.DUMMYFUNCTION("""COMPUTED_VALUE"""),"Bajo La Mesa")</f>
        <v>Bajo La Mesa</v>
      </c>
      <c r="G840">
        <f>IFERROR(__xludf.DUMMYFUNCTION("""COMPUTED_VALUE"""),0.0)</f>
        <v>0</v>
      </c>
      <c r="H840" s="5">
        <f>IFERROR(__xludf.DUMMYFUNCTION("""COMPUTED_VALUE"""),0.10902777777664596)</f>
        <v>0.1090277778</v>
      </c>
    </row>
    <row r="841">
      <c r="A841" t="str">
        <f>IFERROR(__xludf.DUMMYFUNCTION("""COMPUTED_VALUE"""),"El Salvador")</f>
        <v>El Salvador</v>
      </c>
      <c r="B841" t="str">
        <f>IFERROR(__xludf.DUMMYFUNCTION("""COMPUTED_VALUE"""),"North America")</f>
        <v>North America</v>
      </c>
      <c r="C841">
        <f>IFERROR(__xludf.DUMMYFUNCTION("""COMPUTED_VALUE"""),40.0)</f>
        <v>40</v>
      </c>
      <c r="D841" t="str">
        <f>IFERROR(__xludf.DUMMYFUNCTION("""COMPUTED_VALUE"""),"Adicto (with Anuel AA &amp; Ozuna)")</f>
        <v>Adicto (with Anuel AA &amp; Ozuna)</v>
      </c>
      <c r="E841" t="str">
        <f>IFERROR(__xludf.DUMMYFUNCTION("""COMPUTED_VALUE"""),"Tainy, Anuel AA, Ozuna")</f>
        <v>Tainy, Anuel AA, Ozuna</v>
      </c>
      <c r="F841" t="str">
        <f>IFERROR(__xludf.DUMMYFUNCTION("""COMPUTED_VALUE"""),"Adicto (with Anuel AA &amp; Ozuna)")</f>
        <v>Adicto (with Anuel AA &amp; Ozuna)</v>
      </c>
      <c r="G841">
        <f>IFERROR(__xludf.DUMMYFUNCTION("""COMPUTED_VALUE"""),0.0)</f>
        <v>0</v>
      </c>
      <c r="H841" s="5">
        <f>IFERROR(__xludf.DUMMYFUNCTION("""COMPUTED_VALUE"""),0.1875)</f>
        <v>0.1875</v>
      </c>
    </row>
    <row r="842">
      <c r="A842" t="str">
        <f>IFERROR(__xludf.DUMMYFUNCTION("""COMPUTED_VALUE"""),"El Salvador")</f>
        <v>El Salvador</v>
      </c>
      <c r="B842" t="str">
        <f>IFERROR(__xludf.DUMMYFUNCTION("""COMPUTED_VALUE"""),"North America")</f>
        <v>North America</v>
      </c>
      <c r="C842">
        <f>IFERROR(__xludf.DUMMYFUNCTION("""COMPUTED_VALUE"""),41.0)</f>
        <v>41</v>
      </c>
      <c r="D842" t="str">
        <f>IFERROR(__xludf.DUMMYFUNCTION("""COMPUTED_VALUE"""),"Sigues Con El - Remix")</f>
        <v>Sigues Con El - Remix</v>
      </c>
      <c r="E842" t="str">
        <f>IFERROR(__xludf.DUMMYFUNCTION("""COMPUTED_VALUE"""),"Arcangel, Sech, Romeo Santos")</f>
        <v>Arcangel, Sech, Romeo Santos</v>
      </c>
      <c r="F842" t="str">
        <f>IFERROR(__xludf.DUMMYFUNCTION("""COMPUTED_VALUE"""),"Sigues Con El (Remix)")</f>
        <v>Sigues Con El (Remix)</v>
      </c>
      <c r="G842">
        <f>IFERROR(__xludf.DUMMYFUNCTION("""COMPUTED_VALUE"""),0.0)</f>
        <v>0</v>
      </c>
      <c r="H842" s="5">
        <f>IFERROR(__xludf.DUMMYFUNCTION("""COMPUTED_VALUE"""),0.1312499999985448)</f>
        <v>0.13125</v>
      </c>
    </row>
    <row r="843">
      <c r="A843" t="str">
        <f>IFERROR(__xludf.DUMMYFUNCTION("""COMPUTED_VALUE"""),"El Salvador")</f>
        <v>El Salvador</v>
      </c>
      <c r="B843" t="str">
        <f>IFERROR(__xludf.DUMMYFUNCTION("""COMPUTED_VALUE"""),"North America")</f>
        <v>North America</v>
      </c>
      <c r="C843">
        <f>IFERROR(__xludf.DUMMYFUNCTION("""COMPUTED_VALUE"""),42.0)</f>
        <v>42</v>
      </c>
      <c r="D843" t="str">
        <f>IFERROR(__xludf.DUMMYFUNCTION("""COMPUTED_VALUE"""),"Bellaquita - Remix")</f>
        <v>Bellaquita - Remix</v>
      </c>
      <c r="E843" t="str">
        <f>IFERROR(__xludf.DUMMYFUNCTION("""COMPUTED_VALUE"""),"Dalex, Lenny Tavárez, Anitta, Natti Natasha, Farruko, Justin Quiles")</f>
        <v>Dalex, Lenny Tavárez, Anitta, Natti Natasha, Farruko, Justin Quiles</v>
      </c>
      <c r="F843" t="str">
        <f>IFERROR(__xludf.DUMMYFUNCTION("""COMPUTED_VALUE"""),"Modo Avión")</f>
        <v>Modo Avión</v>
      </c>
      <c r="G843">
        <f>IFERROR(__xludf.DUMMYFUNCTION("""COMPUTED_VALUE"""),1.0)</f>
        <v>1</v>
      </c>
      <c r="H843" s="5">
        <f>IFERROR(__xludf.DUMMYFUNCTION("""COMPUTED_VALUE"""),0.21111111111167702)</f>
        <v>0.2111111111</v>
      </c>
    </row>
    <row r="844">
      <c r="A844" t="str">
        <f>IFERROR(__xludf.DUMMYFUNCTION("""COMPUTED_VALUE"""),"El Salvador")</f>
        <v>El Salvador</v>
      </c>
      <c r="B844" t="str">
        <f>IFERROR(__xludf.DUMMYFUNCTION("""COMPUTED_VALUE"""),"North America")</f>
        <v>North America</v>
      </c>
      <c r="C844">
        <f>IFERROR(__xludf.DUMMYFUNCTION("""COMPUTED_VALUE"""),43.0)</f>
        <v>43</v>
      </c>
      <c r="D844" t="str">
        <f>IFERROR(__xludf.DUMMYFUNCTION("""COMPUTED_VALUE"""),"El Efecto")</f>
        <v>El Efecto</v>
      </c>
      <c r="E844" t="str">
        <f>IFERROR(__xludf.DUMMYFUNCTION("""COMPUTED_VALUE"""),"Rauw Alejandro, Chencho Corleone")</f>
        <v>Rauw Alejandro, Chencho Corleone</v>
      </c>
      <c r="F844" t="str">
        <f>IFERROR(__xludf.DUMMYFUNCTION("""COMPUTED_VALUE"""),"El Efecto")</f>
        <v>El Efecto</v>
      </c>
      <c r="G844">
        <f>IFERROR(__xludf.DUMMYFUNCTION("""COMPUTED_VALUE"""),0.0)</f>
        <v>0</v>
      </c>
      <c r="H844" s="5">
        <f>IFERROR(__xludf.DUMMYFUNCTION("""COMPUTED_VALUE"""),0.1506944444445253)</f>
        <v>0.1506944444</v>
      </c>
    </row>
    <row r="845">
      <c r="A845" t="str">
        <f>IFERROR(__xludf.DUMMYFUNCTION("""COMPUTED_VALUE"""),"El Salvador")</f>
        <v>El Salvador</v>
      </c>
      <c r="B845" t="str">
        <f>IFERROR(__xludf.DUMMYFUNCTION("""COMPUTED_VALUE"""),"North America")</f>
        <v>North America</v>
      </c>
      <c r="C845">
        <f>IFERROR(__xludf.DUMMYFUNCTION("""COMPUTED_VALUE"""),44.0)</f>
        <v>44</v>
      </c>
      <c r="D845" t="str">
        <f>IFERROR(__xludf.DUMMYFUNCTION("""COMPUTED_VALUE"""),"Por Primera Vez")</f>
        <v>Por Primera Vez</v>
      </c>
      <c r="E845" t="str">
        <f>IFERROR(__xludf.DUMMYFUNCTION("""COMPUTED_VALUE"""),"Camilo, Evaluna Montaner")</f>
        <v>Camilo, Evaluna Montaner</v>
      </c>
      <c r="F845" t="str">
        <f>IFERROR(__xludf.DUMMYFUNCTION("""COMPUTED_VALUE"""),"Por Primera Vez")</f>
        <v>Por Primera Vez</v>
      </c>
      <c r="G845">
        <f>IFERROR(__xludf.DUMMYFUNCTION("""COMPUTED_VALUE"""),0.0)</f>
        <v>0</v>
      </c>
      <c r="H845" s="5">
        <f>IFERROR(__xludf.DUMMYFUNCTION("""COMPUTED_VALUE"""),0.12638888888977817)</f>
        <v>0.1263888889</v>
      </c>
    </row>
    <row r="846">
      <c r="A846" t="str">
        <f>IFERROR(__xludf.DUMMYFUNCTION("""COMPUTED_VALUE"""),"El Salvador")</f>
        <v>El Salvador</v>
      </c>
      <c r="B846" t="str">
        <f>IFERROR(__xludf.DUMMYFUNCTION("""COMPUTED_VALUE"""),"North America")</f>
        <v>North America</v>
      </c>
      <c r="C846">
        <f>IFERROR(__xludf.DUMMYFUNCTION("""COMPUTED_VALUE"""),45.0)</f>
        <v>45</v>
      </c>
      <c r="D846" t="str">
        <f>IFERROR(__xludf.DUMMYFUNCTION("""COMPUTED_VALUE"""),"Qué Maldición")</f>
        <v>Qué Maldición</v>
      </c>
      <c r="E846" t="str">
        <f>IFERROR(__xludf.DUMMYFUNCTION("""COMPUTED_VALUE"""),"Banda MS de Sergio Lizárraga, Snoop Dogg")</f>
        <v>Banda MS de Sergio Lizárraga, Snoop Dogg</v>
      </c>
      <c r="F846" t="str">
        <f>IFERROR(__xludf.DUMMYFUNCTION("""COMPUTED_VALUE"""),"Qué Maldición")</f>
        <v>Qué Maldición</v>
      </c>
      <c r="G846">
        <f>IFERROR(__xludf.DUMMYFUNCTION("""COMPUTED_VALUE"""),0.0)</f>
        <v>0</v>
      </c>
      <c r="H846" s="5">
        <f>IFERROR(__xludf.DUMMYFUNCTION("""COMPUTED_VALUE"""),0.14097222222335404)</f>
        <v>0.1409722222</v>
      </c>
    </row>
    <row r="847">
      <c r="A847" t="str">
        <f>IFERROR(__xludf.DUMMYFUNCTION("""COMPUTED_VALUE"""),"El Salvador")</f>
        <v>El Salvador</v>
      </c>
      <c r="B847" t="str">
        <f>IFERROR(__xludf.DUMMYFUNCTION("""COMPUTED_VALUE"""),"North America")</f>
        <v>North America</v>
      </c>
      <c r="C847">
        <f>IFERROR(__xludf.DUMMYFUNCTION("""COMPUTED_VALUE"""),46.0)</f>
        <v>46</v>
      </c>
      <c r="D847" t="str">
        <f>IFERROR(__xludf.DUMMYFUNCTION("""COMPUTED_VALUE"""),"Azul")</f>
        <v>Azul</v>
      </c>
      <c r="E847" t="str">
        <f>IFERROR(__xludf.DUMMYFUNCTION("""COMPUTED_VALUE"""),"J Balvin")</f>
        <v>J Balvin</v>
      </c>
      <c r="F847" t="str">
        <f>IFERROR(__xludf.DUMMYFUNCTION("""COMPUTED_VALUE"""),"Colores")</f>
        <v>Colores</v>
      </c>
      <c r="G847">
        <f>IFERROR(__xludf.DUMMYFUNCTION("""COMPUTED_VALUE"""),0.0)</f>
        <v>0</v>
      </c>
      <c r="H847" s="5">
        <f>IFERROR(__xludf.DUMMYFUNCTION("""COMPUTED_VALUE"""),0.14236111110949423)</f>
        <v>0.1423611111</v>
      </c>
    </row>
    <row r="848">
      <c r="A848" t="str">
        <f>IFERROR(__xludf.DUMMYFUNCTION("""COMPUTED_VALUE"""),"El Salvador")</f>
        <v>El Salvador</v>
      </c>
      <c r="B848" t="str">
        <f>IFERROR(__xludf.DUMMYFUNCTION("""COMPUTED_VALUE"""),"North America")</f>
        <v>North America</v>
      </c>
      <c r="C848">
        <f>IFERROR(__xludf.DUMMYFUNCTION("""COMPUTED_VALUE"""),47.0)</f>
        <v>47</v>
      </c>
      <c r="D848" t="str">
        <f>IFERROR(__xludf.DUMMYFUNCTION("""COMPUTED_VALUE"""),"Tutu")</f>
        <v>Tutu</v>
      </c>
      <c r="E848" t="str">
        <f>IFERROR(__xludf.DUMMYFUNCTION("""COMPUTED_VALUE"""),"Camilo, Pedro Capó")</f>
        <v>Camilo, Pedro Capó</v>
      </c>
      <c r="F848" t="str">
        <f>IFERROR(__xludf.DUMMYFUNCTION("""COMPUTED_VALUE"""),"Por Primera Vez")</f>
        <v>Por Primera Vez</v>
      </c>
      <c r="G848">
        <f>IFERROR(__xludf.DUMMYFUNCTION("""COMPUTED_VALUE"""),0.0)</f>
        <v>0</v>
      </c>
      <c r="H848" s="5">
        <f>IFERROR(__xludf.DUMMYFUNCTION("""COMPUTED_VALUE"""),0.1243055555569299)</f>
        <v>0.1243055556</v>
      </c>
    </row>
    <row r="849">
      <c r="A849" t="str">
        <f>IFERROR(__xludf.DUMMYFUNCTION("""COMPUTED_VALUE"""),"El Salvador")</f>
        <v>El Salvador</v>
      </c>
      <c r="B849" t="str">
        <f>IFERROR(__xludf.DUMMYFUNCTION("""COMPUTED_VALUE"""),"North America")</f>
        <v>North America</v>
      </c>
      <c r="C849">
        <f>IFERROR(__xludf.DUMMYFUNCTION("""COMPUTED_VALUE"""),48.0)</f>
        <v>48</v>
      </c>
      <c r="D849" t="str">
        <f>IFERROR(__xludf.DUMMYFUNCTION("""COMPUTED_VALUE"""),"China")</f>
        <v>China</v>
      </c>
      <c r="E849" t="str">
        <f>IFERROR(__xludf.DUMMYFUNCTION("""COMPUTED_VALUE"""),"Anuel AA, Daddy Yankee, KAROL G, J Balvin, Ozuna")</f>
        <v>Anuel AA, Daddy Yankee, KAROL G, J Balvin, Ozuna</v>
      </c>
      <c r="F849" t="str">
        <f>IFERROR(__xludf.DUMMYFUNCTION("""COMPUTED_VALUE"""),"China")</f>
        <v>China</v>
      </c>
      <c r="G849">
        <f>IFERROR(__xludf.DUMMYFUNCTION("""COMPUTED_VALUE"""),0.0)</f>
        <v>0</v>
      </c>
      <c r="H849" s="5">
        <f>IFERROR(__xludf.DUMMYFUNCTION("""COMPUTED_VALUE"""),0.20902777777882875)</f>
        <v>0.2090277778</v>
      </c>
    </row>
    <row r="850">
      <c r="A850" t="str">
        <f>IFERROR(__xludf.DUMMYFUNCTION("""COMPUTED_VALUE"""),"El Salvador")</f>
        <v>El Salvador</v>
      </c>
      <c r="B850" t="str">
        <f>IFERROR(__xludf.DUMMYFUNCTION("""COMPUTED_VALUE"""),"North America")</f>
        <v>North America</v>
      </c>
      <c r="C850">
        <f>IFERROR(__xludf.DUMMYFUNCTION("""COMPUTED_VALUE"""),49.0)</f>
        <v>49</v>
      </c>
      <c r="D850" t="str">
        <f>IFERROR(__xludf.DUMMYFUNCTION("""COMPUTED_VALUE"""),"Quiéreme Mientras Se Pueda")</f>
        <v>Quiéreme Mientras Se Pueda</v>
      </c>
      <c r="E850" t="str">
        <f>IFERROR(__xludf.DUMMYFUNCTION("""COMPUTED_VALUE"""),"Manuel Turizo")</f>
        <v>Manuel Turizo</v>
      </c>
      <c r="F850" t="str">
        <f>IFERROR(__xludf.DUMMYFUNCTION("""COMPUTED_VALUE"""),"Quiéreme Mientras Se Pueda")</f>
        <v>Quiéreme Mientras Se Pueda</v>
      </c>
      <c r="G850">
        <f>IFERROR(__xludf.DUMMYFUNCTION("""COMPUTED_VALUE"""),0.0)</f>
        <v>0</v>
      </c>
      <c r="H850" s="5">
        <f>IFERROR(__xludf.DUMMYFUNCTION("""COMPUTED_VALUE"""),0.13263888888832298)</f>
        <v>0.1326388889</v>
      </c>
    </row>
    <row r="851">
      <c r="A851" t="str">
        <f>IFERROR(__xludf.DUMMYFUNCTION("""COMPUTED_VALUE"""),"El Salvador")</f>
        <v>El Salvador</v>
      </c>
      <c r="B851" t="str">
        <f>IFERROR(__xludf.DUMMYFUNCTION("""COMPUTED_VALUE"""),"North America")</f>
        <v>North America</v>
      </c>
      <c r="C851">
        <f>IFERROR(__xludf.DUMMYFUNCTION("""COMPUTED_VALUE"""),50.0)</f>
        <v>50</v>
      </c>
      <c r="D851" t="str">
        <f>IFERROR(__xludf.DUMMYFUNCTION("""COMPUTED_VALUE"""),"Quizas")</f>
        <v>Quizas</v>
      </c>
      <c r="E851" t="str">
        <f>IFERROR(__xludf.DUMMYFUNCTION("""COMPUTED_VALUE"""),"Rich Music LTD, Sech, Dalex, Justin Quiles, Lenny Tavárez, Feid, Wisin, Zion")</f>
        <v>Rich Music LTD, Sech, Dalex, Justin Quiles, Lenny Tavárez, Feid, Wisin, Zion</v>
      </c>
      <c r="F851" t="str">
        <f>IFERROR(__xludf.DUMMYFUNCTION("""COMPUTED_VALUE"""),"The Academy")</f>
        <v>The Academy</v>
      </c>
      <c r="G851">
        <f>IFERROR(__xludf.DUMMYFUNCTION("""COMPUTED_VALUE"""),1.0)</f>
        <v>1</v>
      </c>
      <c r="H851" s="5">
        <f>IFERROR(__xludf.DUMMYFUNCTION("""COMPUTED_VALUE"""),0.1500000000014552)</f>
        <v>0.15</v>
      </c>
    </row>
    <row r="852">
      <c r="A852" t="str">
        <f>IFERROR(__xludf.DUMMYFUNCTION("""COMPUTED_VALUE"""),"Estonia")</f>
        <v>Estonia</v>
      </c>
      <c r="B852" t="str">
        <f>IFERROR(__xludf.DUMMYFUNCTION("""COMPUTED_VALUE"""),"Europe")</f>
        <v>Europe</v>
      </c>
      <c r="C852">
        <f>IFERROR(__xludf.DUMMYFUNCTION("""COMPUTED_VALUE"""),1.0)</f>
        <v>1</v>
      </c>
      <c r="D852" t="str">
        <f>IFERROR(__xludf.DUMMYFUNCTION("""COMPUTED_VALUE"""),"Croissantid")</f>
        <v>Croissantid</v>
      </c>
      <c r="E852" t="str">
        <f>IFERROR(__xludf.DUMMYFUNCTION("""COMPUTED_VALUE"""),"Nublu")</f>
        <v>Nublu</v>
      </c>
      <c r="F852" t="str">
        <f>IFERROR(__xludf.DUMMYFUNCTION("""COMPUTED_VALUE"""),"Croissantid")</f>
        <v>Croissantid</v>
      </c>
      <c r="G852">
        <f>IFERROR(__xludf.DUMMYFUNCTION("""COMPUTED_VALUE"""),0.0)</f>
        <v>0</v>
      </c>
      <c r="H852" s="5">
        <f>IFERROR(__xludf.DUMMYFUNCTION("""COMPUTED_VALUE"""),0.10833333333357587)</f>
        <v>0.1083333333</v>
      </c>
    </row>
    <row r="853">
      <c r="A853" t="str">
        <f>IFERROR(__xludf.DUMMYFUNCTION("""COMPUTED_VALUE"""),"Estonia")</f>
        <v>Estonia</v>
      </c>
      <c r="B853" t="str">
        <f>IFERROR(__xludf.DUMMYFUNCTION("""COMPUTED_VALUE"""),"Europe")</f>
        <v>Europe</v>
      </c>
      <c r="C853">
        <f>IFERROR(__xludf.DUMMYFUNCTION("""COMPUTED_VALUE"""),2.0)</f>
        <v>2</v>
      </c>
      <c r="D853" t="str">
        <f>IFERROR(__xludf.DUMMYFUNCTION("""COMPUTED_VALUE"""),"Blinding Lights")</f>
        <v>Blinding Lights</v>
      </c>
      <c r="E853" t="str">
        <f>IFERROR(__xludf.DUMMYFUNCTION("""COMPUTED_VALUE"""),"The Weeknd")</f>
        <v>The Weeknd</v>
      </c>
      <c r="F853" t="str">
        <f>IFERROR(__xludf.DUMMYFUNCTION("""COMPUTED_VALUE"""),"After Hours")</f>
        <v>After Hours</v>
      </c>
      <c r="G853">
        <f>IFERROR(__xludf.DUMMYFUNCTION("""COMPUTED_VALUE"""),0.0)</f>
        <v>0</v>
      </c>
      <c r="H853" s="5">
        <f>IFERROR(__xludf.DUMMYFUNCTION("""COMPUTED_VALUE"""),0.13888888889050577)</f>
        <v>0.1388888889</v>
      </c>
    </row>
    <row r="854">
      <c r="A854" t="str">
        <f>IFERROR(__xludf.DUMMYFUNCTION("""COMPUTED_VALUE"""),"Estonia")</f>
        <v>Estonia</v>
      </c>
      <c r="B854" t="str">
        <f>IFERROR(__xludf.DUMMYFUNCTION("""COMPUTED_VALUE"""),"Europe")</f>
        <v>Europe</v>
      </c>
      <c r="C854">
        <f>IFERROR(__xludf.DUMMYFUNCTION("""COMPUTED_VALUE"""),3.0)</f>
        <v>3</v>
      </c>
      <c r="D854" t="str">
        <f>IFERROR(__xludf.DUMMYFUNCTION("""COMPUTED_VALUE"""),"Roses - Imanbek Remix")</f>
        <v>Roses - Imanbek Remix</v>
      </c>
      <c r="E854" t="str">
        <f>IFERROR(__xludf.DUMMYFUNCTION("""COMPUTED_VALUE"""),"SAINt JHN, Imanbek")</f>
        <v>SAINt JHN, Imanbek</v>
      </c>
      <c r="F854" t="str">
        <f>IFERROR(__xludf.DUMMYFUNCTION("""COMPUTED_VALUE"""),"Roses (Imanbek Remix)")</f>
        <v>Roses (Imanbek Remix)</v>
      </c>
      <c r="G854">
        <f>IFERROR(__xludf.DUMMYFUNCTION("""COMPUTED_VALUE"""),1.0)</f>
        <v>1</v>
      </c>
      <c r="H854" s="5">
        <f>IFERROR(__xludf.DUMMYFUNCTION("""COMPUTED_VALUE"""),0.12222222222044365)</f>
        <v>0.1222222222</v>
      </c>
    </row>
    <row r="855">
      <c r="A855" t="str">
        <f>IFERROR(__xludf.DUMMYFUNCTION("""COMPUTED_VALUE"""),"Estonia")</f>
        <v>Estonia</v>
      </c>
      <c r="B855" t="str">
        <f>IFERROR(__xludf.DUMMYFUNCTION("""COMPUTED_VALUE"""),"Europe")</f>
        <v>Europe</v>
      </c>
      <c r="C855">
        <f>IFERROR(__xludf.DUMMYFUNCTION("""COMPUTED_VALUE"""),4.0)</f>
        <v>4</v>
      </c>
      <c r="D855" t="str">
        <f>IFERROR(__xludf.DUMMYFUNCTION("""COMPUTED_VALUE"""),"Rain On Me (with Ariana Grande)")</f>
        <v>Rain On Me (with Ariana Grande)</v>
      </c>
      <c r="E855" t="str">
        <f>IFERROR(__xludf.DUMMYFUNCTION("""COMPUTED_VALUE"""),"Lady Gaga, Ariana Grande")</f>
        <v>Lady Gaga, Ariana Grande</v>
      </c>
      <c r="F855" t="str">
        <f>IFERROR(__xludf.DUMMYFUNCTION("""COMPUTED_VALUE"""),"Rain On Me (with Ariana Grande)")</f>
        <v>Rain On Me (with Ariana Grande)</v>
      </c>
      <c r="G855">
        <f>IFERROR(__xludf.DUMMYFUNCTION("""COMPUTED_VALUE"""),0.0)</f>
        <v>0</v>
      </c>
      <c r="H855" s="5">
        <f>IFERROR(__xludf.DUMMYFUNCTION("""COMPUTED_VALUE"""),0.12638888888977817)</f>
        <v>0.1263888889</v>
      </c>
    </row>
    <row r="856">
      <c r="A856" t="str">
        <f>IFERROR(__xludf.DUMMYFUNCTION("""COMPUTED_VALUE"""),"Estonia")</f>
        <v>Estonia</v>
      </c>
      <c r="B856" t="str">
        <f>IFERROR(__xludf.DUMMYFUNCTION("""COMPUTED_VALUE"""),"Europe")</f>
        <v>Europe</v>
      </c>
      <c r="C856">
        <f>IFERROR(__xludf.DUMMYFUNCTION("""COMPUTED_VALUE"""),5.0)</f>
        <v>5</v>
      </c>
      <c r="D856" t="str">
        <f>IFERROR(__xludf.DUMMYFUNCTION("""COMPUTED_VALUE"""),"ROCKSTAR (feat. Roddy Ricch)")</f>
        <v>ROCKSTAR (feat. Roddy Ricch)</v>
      </c>
      <c r="E856" t="str">
        <f>IFERROR(__xludf.DUMMYFUNCTION("""COMPUTED_VALUE"""),"DaBaby, Roddy Ricch")</f>
        <v>DaBaby, Roddy Ricch</v>
      </c>
      <c r="F856" t="str">
        <f>IFERROR(__xludf.DUMMYFUNCTION("""COMPUTED_VALUE"""),"BLAME IT ON BABY")</f>
        <v>BLAME IT ON BABY</v>
      </c>
      <c r="G856">
        <f>IFERROR(__xludf.DUMMYFUNCTION("""COMPUTED_VALUE"""),1.0)</f>
        <v>1</v>
      </c>
      <c r="H856" s="5">
        <f>IFERROR(__xludf.DUMMYFUNCTION("""COMPUTED_VALUE"""),0.1256944444430701)</f>
        <v>0.1256944444</v>
      </c>
    </row>
    <row r="857">
      <c r="A857" t="str">
        <f>IFERROR(__xludf.DUMMYFUNCTION("""COMPUTED_VALUE"""),"Estonia")</f>
        <v>Estonia</v>
      </c>
      <c r="B857" t="str">
        <f>IFERROR(__xludf.DUMMYFUNCTION("""COMPUTED_VALUE"""),"Europe")</f>
        <v>Europe</v>
      </c>
      <c r="C857">
        <f>IFERROR(__xludf.DUMMYFUNCTION("""COMPUTED_VALUE"""),6.0)</f>
        <v>6</v>
      </c>
      <c r="D857" t="str">
        <f>IFERROR(__xludf.DUMMYFUNCTION("""COMPUTED_VALUE"""),"Young Boy")</f>
        <v>Young Boy</v>
      </c>
      <c r="E857" t="str">
        <f>IFERROR(__xludf.DUMMYFUNCTION("""COMPUTED_VALUE"""),"NOËP")</f>
        <v>NOËP</v>
      </c>
      <c r="F857" t="str">
        <f>IFERROR(__xludf.DUMMYFUNCTION("""COMPUTED_VALUE"""),"Young Boy")</f>
        <v>Young Boy</v>
      </c>
      <c r="G857">
        <f>IFERROR(__xludf.DUMMYFUNCTION("""COMPUTED_VALUE"""),0.0)</f>
        <v>0</v>
      </c>
      <c r="H857" s="5">
        <f>IFERROR(__xludf.DUMMYFUNCTION("""COMPUTED_VALUE"""),0.1062500000007276)</f>
        <v>0.10625</v>
      </c>
    </row>
    <row r="858">
      <c r="A858" t="str">
        <f>IFERROR(__xludf.DUMMYFUNCTION("""COMPUTED_VALUE"""),"Estonia")</f>
        <v>Estonia</v>
      </c>
      <c r="B858" t="str">
        <f>IFERROR(__xludf.DUMMYFUNCTION("""COMPUTED_VALUE"""),"Europe")</f>
        <v>Europe</v>
      </c>
      <c r="C858">
        <f>IFERROR(__xludf.DUMMYFUNCTION("""COMPUTED_VALUE"""),7.0)</f>
        <v>7</v>
      </c>
      <c r="D858" t="str">
        <f>IFERROR(__xludf.DUMMYFUNCTION("""COMPUTED_VALUE"""),"GOOBA")</f>
        <v>GOOBA</v>
      </c>
      <c r="E858" t="str">
        <f>IFERROR(__xludf.DUMMYFUNCTION("""COMPUTED_VALUE"""),"6ix9ine")</f>
        <v>6ix9ine</v>
      </c>
      <c r="F858" t="str">
        <f>IFERROR(__xludf.DUMMYFUNCTION("""COMPUTED_VALUE"""),"GOOBA")</f>
        <v>GOOBA</v>
      </c>
      <c r="G858">
        <f>IFERROR(__xludf.DUMMYFUNCTION("""COMPUTED_VALUE"""),1.0)</f>
        <v>1</v>
      </c>
      <c r="H858" s="5">
        <f>IFERROR(__xludf.DUMMYFUNCTION("""COMPUTED_VALUE"""),0.09166666666715173)</f>
        <v>0.09166666667</v>
      </c>
    </row>
    <row r="859">
      <c r="A859" t="str">
        <f>IFERROR(__xludf.DUMMYFUNCTION("""COMPUTED_VALUE"""),"Estonia")</f>
        <v>Estonia</v>
      </c>
      <c r="B859" t="str">
        <f>IFERROR(__xludf.DUMMYFUNCTION("""COMPUTED_VALUE"""),"Europe")</f>
        <v>Europe</v>
      </c>
      <c r="C859">
        <f>IFERROR(__xludf.DUMMYFUNCTION("""COMPUTED_VALUE"""),8.0)</f>
        <v>8</v>
      </c>
      <c r="D859" t="str">
        <f>IFERROR(__xludf.DUMMYFUNCTION("""COMPUTED_VALUE"""),"Aluspükse")</f>
        <v>Aluspükse</v>
      </c>
      <c r="E859" t="str">
        <f>IFERROR(__xludf.DUMMYFUNCTION("""COMPUTED_VALUE"""),"5MIINUST, Nublu")</f>
        <v>5MIINUST, Nublu</v>
      </c>
      <c r="F859" t="str">
        <f>IFERROR(__xludf.DUMMYFUNCTION("""COMPUTED_VALUE"""),"Aluspükse")</f>
        <v>Aluspükse</v>
      </c>
      <c r="G859">
        <f>IFERROR(__xludf.DUMMYFUNCTION("""COMPUTED_VALUE"""),0.0)</f>
        <v>0</v>
      </c>
      <c r="H859" s="5">
        <f>IFERROR(__xludf.DUMMYFUNCTION("""COMPUTED_VALUE"""),0.14583333333212067)</f>
        <v>0.1458333333</v>
      </c>
    </row>
    <row r="860">
      <c r="A860" t="str">
        <f>IFERROR(__xludf.DUMMYFUNCTION("""COMPUTED_VALUE"""),"Estonia")</f>
        <v>Estonia</v>
      </c>
      <c r="B860" t="str">
        <f>IFERROR(__xludf.DUMMYFUNCTION("""COMPUTED_VALUE"""),"Europe")</f>
        <v>Europe</v>
      </c>
      <c r="C860">
        <f>IFERROR(__xludf.DUMMYFUNCTION("""COMPUTED_VALUE"""),9.0)</f>
        <v>9</v>
      </c>
      <c r="D860" t="str">
        <f>IFERROR(__xludf.DUMMYFUNCTION("""COMPUTED_VALUE"""),"ily (i love you baby) (feat. Emilee)")</f>
        <v>ily (i love you baby) (feat. Emilee)</v>
      </c>
      <c r="E860" t="str">
        <f>IFERROR(__xludf.DUMMYFUNCTION("""COMPUTED_VALUE"""),"Surf Mesa, Emilee")</f>
        <v>Surf Mesa, Emilee</v>
      </c>
      <c r="F860" t="str">
        <f>IFERROR(__xludf.DUMMYFUNCTION("""COMPUTED_VALUE"""),"ily (i love you baby) (feat. Emilee)")</f>
        <v>ily (i love you baby) (feat. Emilee)</v>
      </c>
      <c r="G860">
        <f>IFERROR(__xludf.DUMMYFUNCTION("""COMPUTED_VALUE"""),0.0)</f>
        <v>0</v>
      </c>
      <c r="H860" s="5">
        <f>IFERROR(__xludf.DUMMYFUNCTION("""COMPUTED_VALUE"""),0.12222222222044365)</f>
        <v>0.1222222222</v>
      </c>
    </row>
    <row r="861">
      <c r="A861" t="str">
        <f>IFERROR(__xludf.DUMMYFUNCTION("""COMPUTED_VALUE"""),"Estonia")</f>
        <v>Estonia</v>
      </c>
      <c r="B861" t="str">
        <f>IFERROR(__xludf.DUMMYFUNCTION("""COMPUTED_VALUE"""),"Europe")</f>
        <v>Europe</v>
      </c>
      <c r="C861">
        <f>IFERROR(__xludf.DUMMYFUNCTION("""COMPUTED_VALUE"""),10.0)</f>
        <v>10</v>
      </c>
      <c r="D861" t="str">
        <f>IFERROR(__xludf.DUMMYFUNCTION("""COMPUTED_VALUE"""),"für Oksana")</f>
        <v>für Oksana</v>
      </c>
      <c r="E861" t="str">
        <f>IFERROR(__xludf.DUMMYFUNCTION("""COMPUTED_VALUE"""),"Nublu, gameboy tetris")</f>
        <v>Nublu, gameboy tetris</v>
      </c>
      <c r="F861" t="str">
        <f>IFERROR(__xludf.DUMMYFUNCTION("""COMPUTED_VALUE"""),"für Oksana")</f>
        <v>für Oksana</v>
      </c>
      <c r="G861">
        <f>IFERROR(__xludf.DUMMYFUNCTION("""COMPUTED_VALUE"""),0.0)</f>
        <v>0</v>
      </c>
      <c r="H861" s="5">
        <f>IFERROR(__xludf.DUMMYFUNCTION("""COMPUTED_VALUE"""),0.13472222222117125)</f>
        <v>0.1347222222</v>
      </c>
    </row>
    <row r="862">
      <c r="A862" t="str">
        <f>IFERROR(__xludf.DUMMYFUNCTION("""COMPUTED_VALUE"""),"Estonia")</f>
        <v>Estonia</v>
      </c>
      <c r="B862" t="str">
        <f>IFERROR(__xludf.DUMMYFUNCTION("""COMPUTED_VALUE"""),"Europe")</f>
        <v>Europe</v>
      </c>
      <c r="C862">
        <f>IFERROR(__xludf.DUMMYFUNCTION("""COMPUTED_VALUE"""),11.0)</f>
        <v>11</v>
      </c>
      <c r="D862" t="str">
        <f>IFERROR(__xludf.DUMMYFUNCTION("""COMPUTED_VALUE"""),"Paaristõuked")</f>
        <v>Paaristõuked</v>
      </c>
      <c r="E862" t="str">
        <f>IFERROR(__xludf.DUMMYFUNCTION("""COMPUTED_VALUE"""),"5MIINUST, Villemdrillem")</f>
        <v>5MIINUST, Villemdrillem</v>
      </c>
      <c r="F862" t="str">
        <f>IFERROR(__xludf.DUMMYFUNCTION("""COMPUTED_VALUE"""),"Paaristõuked")</f>
        <v>Paaristõuked</v>
      </c>
      <c r="G862">
        <f>IFERROR(__xludf.DUMMYFUNCTION("""COMPUTED_VALUE"""),0.0)</f>
        <v>0</v>
      </c>
      <c r="H862" s="5">
        <f>IFERROR(__xludf.DUMMYFUNCTION("""COMPUTED_VALUE"""),0.14791666666496894)</f>
        <v>0.1479166667</v>
      </c>
    </row>
    <row r="863">
      <c r="A863" t="str">
        <f>IFERROR(__xludf.DUMMYFUNCTION("""COMPUTED_VALUE"""),"Estonia")</f>
        <v>Estonia</v>
      </c>
      <c r="B863" t="str">
        <f>IFERROR(__xludf.DUMMYFUNCTION("""COMPUTED_VALUE"""),"Europe")</f>
        <v>Europe</v>
      </c>
      <c r="C863">
        <f>IFERROR(__xludf.DUMMYFUNCTION("""COMPUTED_VALUE"""),12.0)</f>
        <v>12</v>
      </c>
      <c r="D863" t="str">
        <f>IFERROR(__xludf.DUMMYFUNCTION("""COMPUTED_VALUE"""),"death bed (coffee for your head) (feat. beabadoobee)")</f>
        <v>death bed (coffee for your head) (feat. beabadoobee)</v>
      </c>
      <c r="E863" t="str">
        <f>IFERROR(__xludf.DUMMYFUNCTION("""COMPUTED_VALUE"""),"Powfu, beabadoobee")</f>
        <v>Powfu, beabadoobee</v>
      </c>
      <c r="F863" t="str">
        <f>IFERROR(__xludf.DUMMYFUNCTION("""COMPUTED_VALUE"""),"death bed (coffee for your head) (feat. beabadoobee)")</f>
        <v>death bed (coffee for your head) (feat. beabadoobee)</v>
      </c>
      <c r="G863">
        <f>IFERROR(__xludf.DUMMYFUNCTION("""COMPUTED_VALUE"""),0.0)</f>
        <v>0</v>
      </c>
      <c r="H863" s="5">
        <f>IFERROR(__xludf.DUMMYFUNCTION("""COMPUTED_VALUE"""),0.12013888888759539)</f>
        <v>0.1201388889</v>
      </c>
    </row>
    <row r="864">
      <c r="A864" t="str">
        <f>IFERROR(__xludf.DUMMYFUNCTION("""COMPUTED_VALUE"""),"Estonia")</f>
        <v>Estonia</v>
      </c>
      <c r="B864" t="str">
        <f>IFERROR(__xludf.DUMMYFUNCTION("""COMPUTED_VALUE"""),"Europe")</f>
        <v>Europe</v>
      </c>
      <c r="C864">
        <f>IFERROR(__xludf.DUMMYFUNCTION("""COMPUTED_VALUE"""),13.0)</f>
        <v>13</v>
      </c>
      <c r="D864" t="str">
        <f>IFERROR(__xludf.DUMMYFUNCTION("""COMPUTED_VALUE"""),"Toosie Slide")</f>
        <v>Toosie Slide</v>
      </c>
      <c r="E864" t="str">
        <f>IFERROR(__xludf.DUMMYFUNCTION("""COMPUTED_VALUE"""),"Drake")</f>
        <v>Drake</v>
      </c>
      <c r="F864" t="str">
        <f>IFERROR(__xludf.DUMMYFUNCTION("""COMPUTED_VALUE"""),"Dark Lane Demo Tapes")</f>
        <v>Dark Lane Demo Tapes</v>
      </c>
      <c r="G864">
        <f>IFERROR(__xludf.DUMMYFUNCTION("""COMPUTED_VALUE"""),1.0)</f>
        <v>1</v>
      </c>
      <c r="H864" s="5">
        <f>IFERROR(__xludf.DUMMYFUNCTION("""COMPUTED_VALUE"""),0.17152777777664596)</f>
        <v>0.1715277778</v>
      </c>
    </row>
    <row r="865">
      <c r="A865" t="str">
        <f>IFERROR(__xludf.DUMMYFUNCTION("""COMPUTED_VALUE"""),"Estonia")</f>
        <v>Estonia</v>
      </c>
      <c r="B865" t="str">
        <f>IFERROR(__xludf.DUMMYFUNCTION("""COMPUTED_VALUE"""),"Europe")</f>
        <v>Europe</v>
      </c>
      <c r="C865">
        <f>IFERROR(__xludf.DUMMYFUNCTION("""COMPUTED_VALUE"""),14.0)</f>
        <v>14</v>
      </c>
      <c r="D865" t="str">
        <f>IFERROR(__xludf.DUMMYFUNCTION("""COMPUTED_VALUE"""),"THE SCOTTS")</f>
        <v>THE SCOTTS</v>
      </c>
      <c r="E865" t="str">
        <f>IFERROR(__xludf.DUMMYFUNCTION("""COMPUTED_VALUE"""),"THE SCOTTS, Travis Scott, Kid Cudi")</f>
        <v>THE SCOTTS, Travis Scott, Kid Cudi</v>
      </c>
      <c r="F865" t="str">
        <f>IFERROR(__xludf.DUMMYFUNCTION("""COMPUTED_VALUE"""),"THE SCOTTS")</f>
        <v>THE SCOTTS</v>
      </c>
      <c r="G865">
        <f>IFERROR(__xludf.DUMMYFUNCTION("""COMPUTED_VALUE"""),1.0)</f>
        <v>1</v>
      </c>
      <c r="H865" s="5">
        <f>IFERROR(__xludf.DUMMYFUNCTION("""COMPUTED_VALUE"""),0.11458333333212067)</f>
        <v>0.1145833333</v>
      </c>
    </row>
    <row r="866">
      <c r="A866" t="str">
        <f>IFERROR(__xludf.DUMMYFUNCTION("""COMPUTED_VALUE"""),"Estonia")</f>
        <v>Estonia</v>
      </c>
      <c r="B866" t="str">
        <f>IFERROR(__xludf.DUMMYFUNCTION("""COMPUTED_VALUE"""),"Europe")</f>
        <v>Europe</v>
      </c>
      <c r="C866">
        <f>IFERROR(__xludf.DUMMYFUNCTION("""COMPUTED_VALUE"""),15.0)</f>
        <v>15</v>
      </c>
      <c r="D866" t="str">
        <f>IFERROR(__xludf.DUMMYFUNCTION("""COMPUTED_VALUE"""),"In Your Eyes")</f>
        <v>In Your Eyes</v>
      </c>
      <c r="E866" t="str">
        <f>IFERROR(__xludf.DUMMYFUNCTION("""COMPUTED_VALUE"""),"The Weeknd")</f>
        <v>The Weeknd</v>
      </c>
      <c r="F866" t="str">
        <f>IFERROR(__xludf.DUMMYFUNCTION("""COMPUTED_VALUE"""),"After Hours")</f>
        <v>After Hours</v>
      </c>
      <c r="G866">
        <f>IFERROR(__xludf.DUMMYFUNCTION("""COMPUTED_VALUE"""),1.0)</f>
        <v>1</v>
      </c>
      <c r="H866" s="5">
        <f>IFERROR(__xludf.DUMMYFUNCTION("""COMPUTED_VALUE"""),0.16458333333503106)</f>
        <v>0.1645833333</v>
      </c>
    </row>
    <row r="867">
      <c r="A867" t="str">
        <f>IFERROR(__xludf.DUMMYFUNCTION("""COMPUTED_VALUE"""),"Estonia")</f>
        <v>Estonia</v>
      </c>
      <c r="B867" t="str">
        <f>IFERROR(__xludf.DUMMYFUNCTION("""COMPUTED_VALUE"""),"Europe")</f>
        <v>Europe</v>
      </c>
      <c r="C867">
        <f>IFERROR(__xludf.DUMMYFUNCTION("""COMPUTED_VALUE"""),16.0)</f>
        <v>16</v>
      </c>
      <c r="D867" t="str">
        <f>IFERROR(__xludf.DUMMYFUNCTION("""COMPUTED_VALUE"""),"Breaking Me")</f>
        <v>Breaking Me</v>
      </c>
      <c r="E867" t="str">
        <f>IFERROR(__xludf.DUMMYFUNCTION("""COMPUTED_VALUE"""),"Topic, A7S")</f>
        <v>Topic, A7S</v>
      </c>
      <c r="F867" t="str">
        <f>IFERROR(__xludf.DUMMYFUNCTION("""COMPUTED_VALUE"""),"Breaking Me")</f>
        <v>Breaking Me</v>
      </c>
      <c r="G867">
        <f>IFERROR(__xludf.DUMMYFUNCTION("""COMPUTED_VALUE"""),0.0)</f>
        <v>0</v>
      </c>
      <c r="H867" s="5">
        <f>IFERROR(__xludf.DUMMYFUNCTION("""COMPUTED_VALUE"""),0.11527777777882875)</f>
        <v>0.1152777778</v>
      </c>
    </row>
    <row r="868">
      <c r="A868" t="str">
        <f>IFERROR(__xludf.DUMMYFUNCTION("""COMPUTED_VALUE"""),"Estonia")</f>
        <v>Estonia</v>
      </c>
      <c r="B868" t="str">
        <f>IFERROR(__xludf.DUMMYFUNCTION("""COMPUTED_VALUE"""),"Europe")</f>
        <v>Europe</v>
      </c>
      <c r="C868">
        <f>IFERROR(__xludf.DUMMYFUNCTION("""COMPUTED_VALUE"""),17.0)</f>
        <v>17</v>
      </c>
      <c r="D868" t="str">
        <f>IFERROR(__xludf.DUMMYFUNCTION("""COMPUTED_VALUE"""),"Blueberry Faygo")</f>
        <v>Blueberry Faygo</v>
      </c>
      <c r="E868" t="str">
        <f>IFERROR(__xludf.DUMMYFUNCTION("""COMPUTED_VALUE"""),"Lil Mosey")</f>
        <v>Lil Mosey</v>
      </c>
      <c r="F868" t="str">
        <f>IFERROR(__xludf.DUMMYFUNCTION("""COMPUTED_VALUE"""),"Certified Hitmaker")</f>
        <v>Certified Hitmaker</v>
      </c>
      <c r="G868">
        <f>IFERROR(__xludf.DUMMYFUNCTION("""COMPUTED_VALUE"""),1.0)</f>
        <v>1</v>
      </c>
      <c r="H868" s="5">
        <f>IFERROR(__xludf.DUMMYFUNCTION("""COMPUTED_VALUE"""),0.1124999999992724)</f>
        <v>0.1125</v>
      </c>
    </row>
    <row r="869">
      <c r="A869" t="str">
        <f>IFERROR(__xludf.DUMMYFUNCTION("""COMPUTED_VALUE"""),"Estonia")</f>
        <v>Estonia</v>
      </c>
      <c r="B869" t="str">
        <f>IFERROR(__xludf.DUMMYFUNCTION("""COMPUTED_VALUE"""),"Europe")</f>
        <v>Europe</v>
      </c>
      <c r="C869">
        <f>IFERROR(__xludf.DUMMYFUNCTION("""COMPUTED_VALUE"""),18.0)</f>
        <v>18</v>
      </c>
      <c r="D869" t="str">
        <f>IFERROR(__xludf.DUMMYFUNCTION("""COMPUTED_VALUE"""),"Supalonely")</f>
        <v>Supalonely</v>
      </c>
      <c r="E869" t="str">
        <f>IFERROR(__xludf.DUMMYFUNCTION("""COMPUTED_VALUE"""),"BENEE, Gus Dapperton")</f>
        <v>BENEE, Gus Dapperton</v>
      </c>
      <c r="F869" t="str">
        <f>IFERROR(__xludf.DUMMYFUNCTION("""COMPUTED_VALUE"""),"STELLA &amp; STEVE")</f>
        <v>STELLA &amp; STEVE</v>
      </c>
      <c r="G869">
        <f>IFERROR(__xludf.DUMMYFUNCTION("""COMPUTED_VALUE"""),1.0)</f>
        <v>1</v>
      </c>
      <c r="H869" s="5">
        <f>IFERROR(__xludf.DUMMYFUNCTION("""COMPUTED_VALUE"""),0.15486111111022183)</f>
        <v>0.1548611111</v>
      </c>
    </row>
    <row r="870">
      <c r="A870" t="str">
        <f>IFERROR(__xludf.DUMMYFUNCTION("""COMPUTED_VALUE"""),"Estonia")</f>
        <v>Estonia</v>
      </c>
      <c r="B870" t="str">
        <f>IFERROR(__xludf.DUMMYFUNCTION("""COMPUTED_VALUE"""),"Europe")</f>
        <v>Europe</v>
      </c>
      <c r="C870">
        <f>IFERROR(__xludf.DUMMYFUNCTION("""COMPUTED_VALUE"""),19.0)</f>
        <v>19</v>
      </c>
      <c r="D870" t="str">
        <f>IFERROR(__xludf.DUMMYFUNCTION("""COMPUTED_VALUE"""),"Don't Start Now")</f>
        <v>Don't Start Now</v>
      </c>
      <c r="E870" t="str">
        <f>IFERROR(__xludf.DUMMYFUNCTION("""COMPUTED_VALUE"""),"Dua Lipa")</f>
        <v>Dua Lipa</v>
      </c>
      <c r="F870" t="str">
        <f>IFERROR(__xludf.DUMMYFUNCTION("""COMPUTED_VALUE"""),"Future Nostalgia")</f>
        <v>Future Nostalgia</v>
      </c>
      <c r="G870">
        <f>IFERROR(__xludf.DUMMYFUNCTION("""COMPUTED_VALUE"""),0.0)</f>
        <v>0</v>
      </c>
      <c r="H870" s="5">
        <f>IFERROR(__xludf.DUMMYFUNCTION("""COMPUTED_VALUE"""),0.12708333333284827)</f>
        <v>0.1270833333</v>
      </c>
    </row>
    <row r="871">
      <c r="A871" t="str">
        <f>IFERROR(__xludf.DUMMYFUNCTION("""COMPUTED_VALUE"""),"Estonia")</f>
        <v>Estonia</v>
      </c>
      <c r="B871" t="str">
        <f>IFERROR(__xludf.DUMMYFUNCTION("""COMPUTED_VALUE"""),"Europe")</f>
        <v>Europe</v>
      </c>
      <c r="C871">
        <f>IFERROR(__xludf.DUMMYFUNCTION("""COMPUTED_VALUE"""),20.0)</f>
        <v>20</v>
      </c>
      <c r="D871" t="str">
        <f>IFERROR(__xludf.DUMMYFUNCTION("""COMPUTED_VALUE"""),"Watermelon Sugar")</f>
        <v>Watermelon Sugar</v>
      </c>
      <c r="E871" t="str">
        <f>IFERROR(__xludf.DUMMYFUNCTION("""COMPUTED_VALUE"""),"Harry Styles")</f>
        <v>Harry Styles</v>
      </c>
      <c r="F871" t="str">
        <f>IFERROR(__xludf.DUMMYFUNCTION("""COMPUTED_VALUE"""),"Fine Line")</f>
        <v>Fine Line</v>
      </c>
      <c r="G871">
        <f>IFERROR(__xludf.DUMMYFUNCTION("""COMPUTED_VALUE"""),0.0)</f>
        <v>0</v>
      </c>
      <c r="H871" s="5">
        <f>IFERROR(__xludf.DUMMYFUNCTION("""COMPUTED_VALUE"""),0.12083333333430346)</f>
        <v>0.1208333333</v>
      </c>
    </row>
    <row r="872">
      <c r="A872" t="str">
        <f>IFERROR(__xludf.DUMMYFUNCTION("""COMPUTED_VALUE"""),"Estonia")</f>
        <v>Estonia</v>
      </c>
      <c r="B872" t="str">
        <f>IFERROR(__xludf.DUMMYFUNCTION("""COMPUTED_VALUE"""),"Europe")</f>
        <v>Europe</v>
      </c>
      <c r="C872">
        <f>IFERROR(__xludf.DUMMYFUNCTION("""COMPUTED_VALUE"""),21.0)</f>
        <v>21</v>
      </c>
      <c r="D872" t="str">
        <f>IFERROR(__xludf.DUMMYFUNCTION("""COMPUTED_VALUE"""),"The Box")</f>
        <v>The Box</v>
      </c>
      <c r="E872" t="str">
        <f>IFERROR(__xludf.DUMMYFUNCTION("""COMPUTED_VALUE"""),"Roddy Ricch")</f>
        <v>Roddy Ricch</v>
      </c>
      <c r="F872" t="str">
        <f>IFERROR(__xludf.DUMMYFUNCTION("""COMPUTED_VALUE"""),"Please Excuse Me For Being Antisocial")</f>
        <v>Please Excuse Me For Being Antisocial</v>
      </c>
      <c r="G872">
        <f>IFERROR(__xludf.DUMMYFUNCTION("""COMPUTED_VALUE"""),1.0)</f>
        <v>1</v>
      </c>
      <c r="H872" s="5">
        <f>IFERROR(__xludf.DUMMYFUNCTION("""COMPUTED_VALUE"""),0.13611111111094942)</f>
        <v>0.1361111111</v>
      </c>
    </row>
    <row r="873">
      <c r="A873" t="str">
        <f>IFERROR(__xludf.DUMMYFUNCTION("""COMPUTED_VALUE"""),"Estonia")</f>
        <v>Estonia</v>
      </c>
      <c r="B873" t="str">
        <f>IFERROR(__xludf.DUMMYFUNCTION("""COMPUTED_VALUE"""),"Europe")</f>
        <v>Europe</v>
      </c>
      <c r="C873">
        <f>IFERROR(__xludf.DUMMYFUNCTION("""COMPUTED_VALUE"""),22.0)</f>
        <v>22</v>
      </c>
      <c r="D873" t="str">
        <f>IFERROR(__xludf.DUMMYFUNCTION("""COMPUTED_VALUE"""),"Break My Heart")</f>
        <v>Break My Heart</v>
      </c>
      <c r="E873" t="str">
        <f>IFERROR(__xludf.DUMMYFUNCTION("""COMPUTED_VALUE"""),"Dua Lipa")</f>
        <v>Dua Lipa</v>
      </c>
      <c r="F873" t="str">
        <f>IFERROR(__xludf.DUMMYFUNCTION("""COMPUTED_VALUE"""),"Future Nostalgia")</f>
        <v>Future Nostalgia</v>
      </c>
      <c r="G873">
        <f>IFERROR(__xludf.DUMMYFUNCTION("""COMPUTED_VALUE"""),0.0)</f>
        <v>0</v>
      </c>
      <c r="H873" s="5">
        <f>IFERROR(__xludf.DUMMYFUNCTION("""COMPUTED_VALUE"""),0.15347222222044365)</f>
        <v>0.1534722222</v>
      </c>
    </row>
    <row r="874">
      <c r="A874" t="str">
        <f>IFERROR(__xludf.DUMMYFUNCTION("""COMPUTED_VALUE"""),"Estonia")</f>
        <v>Estonia</v>
      </c>
      <c r="B874" t="str">
        <f>IFERROR(__xludf.DUMMYFUNCTION("""COMPUTED_VALUE"""),"Europe")</f>
        <v>Europe</v>
      </c>
      <c r="C874">
        <f>IFERROR(__xludf.DUMMYFUNCTION("""COMPUTED_VALUE"""),23.0)</f>
        <v>23</v>
      </c>
      <c r="D874" t="str">
        <f>IFERROR(__xludf.DUMMYFUNCTION("""COMPUTED_VALUE"""),"Boss Bitch")</f>
        <v>Boss Bitch</v>
      </c>
      <c r="E874" t="str">
        <f>IFERROR(__xludf.DUMMYFUNCTION("""COMPUTED_VALUE"""),"Doja Cat")</f>
        <v>Doja Cat</v>
      </c>
      <c r="F874" t="str">
        <f>IFERROR(__xludf.DUMMYFUNCTION("""COMPUTED_VALUE"""),"Boss Bitch")</f>
        <v>Boss Bitch</v>
      </c>
      <c r="G874">
        <f>IFERROR(__xludf.DUMMYFUNCTION("""COMPUTED_VALUE"""),0.0)</f>
        <v>0</v>
      </c>
      <c r="H874" s="5">
        <f>IFERROR(__xludf.DUMMYFUNCTION("""COMPUTED_VALUE"""),0.0930555555569299)</f>
        <v>0.09305555556</v>
      </c>
    </row>
    <row r="875">
      <c r="A875" t="str">
        <f>IFERROR(__xludf.DUMMYFUNCTION("""COMPUTED_VALUE"""),"Estonia")</f>
        <v>Estonia</v>
      </c>
      <c r="B875" t="str">
        <f>IFERROR(__xludf.DUMMYFUNCTION("""COMPUTED_VALUE"""),"Europe")</f>
        <v>Europe</v>
      </c>
      <c r="C875">
        <f>IFERROR(__xludf.DUMMYFUNCTION("""COMPUTED_VALUE"""),24.0)</f>
        <v>24</v>
      </c>
      <c r="D875" t="str">
        <f>IFERROR(__xludf.DUMMYFUNCTION("""COMPUTED_VALUE"""),"Stuck with U (with Justin Bieber)")</f>
        <v>Stuck with U (with Justin Bieber)</v>
      </c>
      <c r="E875" t="str">
        <f>IFERROR(__xludf.DUMMYFUNCTION("""COMPUTED_VALUE"""),"Ariana Grande, Justin Bieber")</f>
        <v>Ariana Grande, Justin Bieber</v>
      </c>
      <c r="F875" t="str">
        <f>IFERROR(__xludf.DUMMYFUNCTION("""COMPUTED_VALUE"""),"Stuck with U")</f>
        <v>Stuck with U</v>
      </c>
      <c r="G875">
        <f>IFERROR(__xludf.DUMMYFUNCTION("""COMPUTED_VALUE"""),0.0)</f>
        <v>0</v>
      </c>
      <c r="H875" s="5">
        <f>IFERROR(__xludf.DUMMYFUNCTION("""COMPUTED_VALUE"""),0.15833333333284827)</f>
        <v>0.1583333333</v>
      </c>
    </row>
    <row r="876">
      <c r="A876" t="str">
        <f>IFERROR(__xludf.DUMMYFUNCTION("""COMPUTED_VALUE"""),"Estonia")</f>
        <v>Estonia</v>
      </c>
      <c r="B876" t="str">
        <f>IFERROR(__xludf.DUMMYFUNCTION("""COMPUTED_VALUE"""),"Europe")</f>
        <v>Europe</v>
      </c>
      <c r="C876">
        <f>IFERROR(__xludf.DUMMYFUNCTION("""COMPUTED_VALUE"""),25.0)</f>
        <v>25</v>
      </c>
      <c r="D876" t="str">
        <f>IFERROR(__xludf.DUMMYFUNCTION("""COMPUTED_VALUE"""),"Falling")</f>
        <v>Falling</v>
      </c>
      <c r="E876" t="str">
        <f>IFERROR(__xludf.DUMMYFUNCTION("""COMPUTED_VALUE"""),"Trevor Daniel")</f>
        <v>Trevor Daniel</v>
      </c>
      <c r="F876" t="str">
        <f>IFERROR(__xludf.DUMMYFUNCTION("""COMPUTED_VALUE"""),"Nicotine")</f>
        <v>Nicotine</v>
      </c>
      <c r="G876">
        <f>IFERROR(__xludf.DUMMYFUNCTION("""COMPUTED_VALUE"""),0.0)</f>
        <v>0</v>
      </c>
      <c r="H876" s="5">
        <f>IFERROR(__xludf.DUMMYFUNCTION("""COMPUTED_VALUE"""),0.11041666666642413)</f>
        <v>0.1104166667</v>
      </c>
    </row>
    <row r="877">
      <c r="A877" t="str">
        <f>IFERROR(__xludf.DUMMYFUNCTION("""COMPUTED_VALUE"""),"Estonia")</f>
        <v>Estonia</v>
      </c>
      <c r="B877" t="str">
        <f>IFERROR(__xludf.DUMMYFUNCTION("""COMPUTED_VALUE"""),"Europe")</f>
        <v>Europe</v>
      </c>
      <c r="C877">
        <f>IFERROR(__xludf.DUMMYFUNCTION("""COMPUTED_VALUE"""),26.0)</f>
        <v>26</v>
      </c>
      <c r="D877" t="str">
        <f>IFERROR(__xludf.DUMMYFUNCTION("""COMPUTED_VALUE"""),"Be Kind (with Halsey)")</f>
        <v>Be Kind (with Halsey)</v>
      </c>
      <c r="E877" t="str">
        <f>IFERROR(__xludf.DUMMYFUNCTION("""COMPUTED_VALUE"""),"Marshmello, Halsey")</f>
        <v>Marshmello, Halsey</v>
      </c>
      <c r="F877" t="str">
        <f>IFERROR(__xludf.DUMMYFUNCTION("""COMPUTED_VALUE"""),"Be Kind (with Halsey)")</f>
        <v>Be Kind (with Halsey)</v>
      </c>
      <c r="G877">
        <f>IFERROR(__xludf.DUMMYFUNCTION("""COMPUTED_VALUE"""),0.0)</f>
        <v>0</v>
      </c>
      <c r="H877" s="5">
        <f>IFERROR(__xludf.DUMMYFUNCTION("""COMPUTED_VALUE"""),0.11944444444452529)</f>
        <v>0.1194444444</v>
      </c>
    </row>
    <row r="878">
      <c r="A878" t="str">
        <f>IFERROR(__xludf.DUMMYFUNCTION("""COMPUTED_VALUE"""),"Estonia")</f>
        <v>Estonia</v>
      </c>
      <c r="B878" t="str">
        <f>IFERROR(__xludf.DUMMYFUNCTION("""COMPUTED_VALUE"""),"Europe")</f>
        <v>Europe</v>
      </c>
      <c r="C878">
        <f>IFERROR(__xludf.DUMMYFUNCTION("""COMPUTED_VALUE"""),27.0)</f>
        <v>27</v>
      </c>
      <c r="D878" t="str">
        <f>IFERROR(__xludf.DUMMYFUNCTION("""COMPUTED_VALUE"""),"Daechwita")</f>
        <v>Daechwita</v>
      </c>
      <c r="E878" t="str">
        <f>IFERROR(__xludf.DUMMYFUNCTION("""COMPUTED_VALUE"""),"Agust D")</f>
        <v>Agust D</v>
      </c>
      <c r="F878" t="str">
        <f>IFERROR(__xludf.DUMMYFUNCTION("""COMPUTED_VALUE"""),"D-2")</f>
        <v>D-2</v>
      </c>
      <c r="G878">
        <f>IFERROR(__xludf.DUMMYFUNCTION("""COMPUTED_VALUE"""),1.0)</f>
        <v>1</v>
      </c>
      <c r="H878" s="5">
        <f>IFERROR(__xludf.DUMMYFUNCTION("""COMPUTED_VALUE"""),0.15625)</f>
        <v>0.15625</v>
      </c>
    </row>
    <row r="879">
      <c r="A879" t="str">
        <f>IFERROR(__xludf.DUMMYFUNCTION("""COMPUTED_VALUE"""),"Estonia")</f>
        <v>Estonia</v>
      </c>
      <c r="B879" t="str">
        <f>IFERROR(__xludf.DUMMYFUNCTION("""COMPUTED_VALUE"""),"Europe")</f>
        <v>Europe</v>
      </c>
      <c r="C879">
        <f>IFERROR(__xludf.DUMMYFUNCTION("""COMPUTED_VALUE"""),28.0)</f>
        <v>28</v>
      </c>
      <c r="D879" t="str">
        <f>IFERROR(__xludf.DUMMYFUNCTION("""COMPUTED_VALUE"""),"SOS (Siimi Remix)")</f>
        <v>SOS (Siimi Remix)</v>
      </c>
      <c r="E879" t="str">
        <f>IFERROR(__xludf.DUMMYFUNCTION("""COMPUTED_VALUE"""),"Pluuto, Nublu, Reket, Siimi")</f>
        <v>Pluuto, Nublu, Reket, Siimi</v>
      </c>
      <c r="F879" t="str">
        <f>IFERROR(__xludf.DUMMYFUNCTION("""COMPUTED_VALUE"""),"SOS (Siimi Remix)")</f>
        <v>SOS (Siimi Remix)</v>
      </c>
      <c r="G879">
        <f>IFERROR(__xludf.DUMMYFUNCTION("""COMPUTED_VALUE"""),0.0)</f>
        <v>0</v>
      </c>
      <c r="H879" s="5">
        <f>IFERROR(__xludf.DUMMYFUNCTION("""COMPUTED_VALUE"""),0.15972222222262644)</f>
        <v>0.1597222222</v>
      </c>
    </row>
    <row r="880">
      <c r="A880" t="str">
        <f>IFERROR(__xludf.DUMMYFUNCTION("""COMPUTED_VALUE"""),"Estonia")</f>
        <v>Estonia</v>
      </c>
      <c r="B880" t="str">
        <f>IFERROR(__xludf.DUMMYFUNCTION("""COMPUTED_VALUE"""),"Europe")</f>
        <v>Europe</v>
      </c>
      <c r="C880">
        <f>IFERROR(__xludf.DUMMYFUNCTION("""COMPUTED_VALUE"""),29.0)</f>
        <v>29</v>
      </c>
      <c r="D880" t="str">
        <f>IFERROR(__xludf.DUMMYFUNCTION("""COMPUTED_VALUE"""),"Ooh Aah")</f>
        <v>Ooh Aah</v>
      </c>
      <c r="E880" t="str">
        <f>IFERROR(__xludf.DUMMYFUNCTION("""COMPUTED_VALUE"""),"Cdeep")</f>
        <v>Cdeep</v>
      </c>
      <c r="F880" t="str">
        <f>IFERROR(__xludf.DUMMYFUNCTION("""COMPUTED_VALUE"""),"Deep Sense")</f>
        <v>Deep Sense</v>
      </c>
      <c r="G880">
        <f>IFERROR(__xludf.DUMMYFUNCTION("""COMPUTED_VALUE"""),0.0)</f>
        <v>0</v>
      </c>
      <c r="H880" s="5">
        <f>IFERROR(__xludf.DUMMYFUNCTION("""COMPUTED_VALUE"""),0.11180555555620231)</f>
        <v>0.1118055556</v>
      </c>
    </row>
    <row r="881">
      <c r="A881" t="str">
        <f>IFERROR(__xludf.DUMMYFUNCTION("""COMPUTED_VALUE"""),"Estonia")</f>
        <v>Estonia</v>
      </c>
      <c r="B881" t="str">
        <f>IFERROR(__xludf.DUMMYFUNCTION("""COMPUTED_VALUE"""),"Europe")</f>
        <v>Europe</v>
      </c>
      <c r="C881">
        <f>IFERROR(__xludf.DUMMYFUNCTION("""COMPUTED_VALUE"""),30.0)</f>
        <v>30</v>
      </c>
      <c r="D881" t="str">
        <f>IFERROR(__xludf.DUMMYFUNCTION("""COMPUTED_VALUE"""),"Say So")</f>
        <v>Say So</v>
      </c>
      <c r="E881" t="str">
        <f>IFERROR(__xludf.DUMMYFUNCTION("""COMPUTED_VALUE"""),"Doja Cat")</f>
        <v>Doja Cat</v>
      </c>
      <c r="F881" t="str">
        <f>IFERROR(__xludf.DUMMYFUNCTION("""COMPUTED_VALUE"""),"Hot Pink")</f>
        <v>Hot Pink</v>
      </c>
      <c r="G881">
        <f>IFERROR(__xludf.DUMMYFUNCTION("""COMPUTED_VALUE"""),1.0)</f>
        <v>1</v>
      </c>
      <c r="H881" s="5">
        <f>IFERROR(__xludf.DUMMYFUNCTION("""COMPUTED_VALUE"""),0.16458333333503106)</f>
        <v>0.1645833333</v>
      </c>
    </row>
    <row r="882">
      <c r="A882" t="str">
        <f>IFERROR(__xludf.DUMMYFUNCTION("""COMPUTED_VALUE"""),"Estonia")</f>
        <v>Estonia</v>
      </c>
      <c r="B882" t="str">
        <f>IFERROR(__xludf.DUMMYFUNCTION("""COMPUTED_VALUE"""),"Europe")</f>
        <v>Europe</v>
      </c>
      <c r="C882">
        <f>IFERROR(__xludf.DUMMYFUNCTION("""COMPUTED_VALUE"""),31.0)</f>
        <v>31</v>
      </c>
      <c r="D882" t="str">
        <f>IFERROR(__xludf.DUMMYFUNCTION("""COMPUTED_VALUE"""),"Sunday Best")</f>
        <v>Sunday Best</v>
      </c>
      <c r="E882" t="str">
        <f>IFERROR(__xludf.DUMMYFUNCTION("""COMPUTED_VALUE"""),"Surfaces")</f>
        <v>Surfaces</v>
      </c>
      <c r="F882" t="str">
        <f>IFERROR(__xludf.DUMMYFUNCTION("""COMPUTED_VALUE"""),"Where the Light Is")</f>
        <v>Where the Light Is</v>
      </c>
      <c r="G882">
        <f>IFERROR(__xludf.DUMMYFUNCTION("""COMPUTED_VALUE"""),0.0)</f>
        <v>0</v>
      </c>
      <c r="H882" s="5">
        <f>IFERROR(__xludf.DUMMYFUNCTION("""COMPUTED_VALUE"""),0.10972222222335404)</f>
        <v>0.1097222222</v>
      </c>
    </row>
    <row r="883">
      <c r="A883" t="str">
        <f>IFERROR(__xludf.DUMMYFUNCTION("""COMPUTED_VALUE"""),"Estonia")</f>
        <v>Estonia</v>
      </c>
      <c r="B883" t="str">
        <f>IFERROR(__xludf.DUMMYFUNCTION("""COMPUTED_VALUE"""),"Europe")</f>
        <v>Europe</v>
      </c>
      <c r="C883">
        <f>IFERROR(__xludf.DUMMYFUNCTION("""COMPUTED_VALUE"""),32.0)</f>
        <v>32</v>
      </c>
      <c r="D883" t="str">
        <f>IFERROR(__xludf.DUMMYFUNCTION("""COMPUTED_VALUE"""),"Kuule")</f>
        <v>Kuule</v>
      </c>
      <c r="E883" t="str">
        <f>IFERROR(__xludf.DUMMYFUNCTION("""COMPUTED_VALUE"""),"Karl-Erik Taukar")</f>
        <v>Karl-Erik Taukar</v>
      </c>
      <c r="F883" t="str">
        <f>IFERROR(__xludf.DUMMYFUNCTION("""COMPUTED_VALUE"""),"Kuule")</f>
        <v>Kuule</v>
      </c>
      <c r="G883">
        <f>IFERROR(__xludf.DUMMYFUNCTION("""COMPUTED_VALUE"""),0.0)</f>
        <v>0</v>
      </c>
      <c r="H883" s="5">
        <f>IFERROR(__xludf.DUMMYFUNCTION("""COMPUTED_VALUE"""),0.13888888889050577)</f>
        <v>0.1388888889</v>
      </c>
    </row>
    <row r="884">
      <c r="A884" t="str">
        <f>IFERROR(__xludf.DUMMYFUNCTION("""COMPUTED_VALUE"""),"Estonia")</f>
        <v>Estonia</v>
      </c>
      <c r="B884" t="str">
        <f>IFERROR(__xludf.DUMMYFUNCTION("""COMPUTED_VALUE"""),"Europe")</f>
        <v>Europe</v>
      </c>
      <c r="C884">
        <f>IFERROR(__xludf.DUMMYFUNCTION("""COMPUTED_VALUE"""),33.0)</f>
        <v>33</v>
      </c>
      <c r="D884" t="str">
        <f>IFERROR(__xludf.DUMMYFUNCTION("""COMPUTED_VALUE"""),"WHATS POPPIN")</f>
        <v>WHATS POPPIN</v>
      </c>
      <c r="E884" t="str">
        <f>IFERROR(__xludf.DUMMYFUNCTION("""COMPUTED_VALUE"""),"Jack Harlow")</f>
        <v>Jack Harlow</v>
      </c>
      <c r="F884" t="str">
        <f>IFERROR(__xludf.DUMMYFUNCTION("""COMPUTED_VALUE"""),"Sweet Action")</f>
        <v>Sweet Action</v>
      </c>
      <c r="G884">
        <f>IFERROR(__xludf.DUMMYFUNCTION("""COMPUTED_VALUE"""),1.0)</f>
        <v>1</v>
      </c>
      <c r="H884" s="5">
        <f>IFERROR(__xludf.DUMMYFUNCTION("""COMPUTED_VALUE"""),0.09652777777955635)</f>
        <v>0.09652777778</v>
      </c>
    </row>
    <row r="885">
      <c r="A885" t="str">
        <f>IFERROR(__xludf.DUMMYFUNCTION("""COMPUTED_VALUE"""),"Estonia")</f>
        <v>Estonia</v>
      </c>
      <c r="B885" t="str">
        <f>IFERROR(__xludf.DUMMYFUNCTION("""COMPUTED_VALUE"""),"Europe")</f>
        <v>Europe</v>
      </c>
      <c r="C885">
        <f>IFERROR(__xludf.DUMMYFUNCTION("""COMPUTED_VALUE"""),34.0)</f>
        <v>34</v>
      </c>
      <c r="D885" t="str">
        <f>IFERROR(__xludf.DUMMYFUNCTION("""COMPUTED_VALUE"""),"Circles")</f>
        <v>Circles</v>
      </c>
      <c r="E885" t="str">
        <f>IFERROR(__xludf.DUMMYFUNCTION("""COMPUTED_VALUE"""),"Post Malone")</f>
        <v>Post Malone</v>
      </c>
      <c r="F885" t="str">
        <f>IFERROR(__xludf.DUMMYFUNCTION("""COMPUTED_VALUE"""),"Hollywood's Bleeding")</f>
        <v>Hollywood's Bleeding</v>
      </c>
      <c r="G885">
        <f>IFERROR(__xludf.DUMMYFUNCTION("""COMPUTED_VALUE"""),0.0)</f>
        <v>0</v>
      </c>
      <c r="H885" s="5">
        <f>IFERROR(__xludf.DUMMYFUNCTION("""COMPUTED_VALUE"""),0.14930555555474712)</f>
        <v>0.1493055556</v>
      </c>
    </row>
    <row r="886">
      <c r="A886" t="str">
        <f>IFERROR(__xludf.DUMMYFUNCTION("""COMPUTED_VALUE"""),"Estonia")</f>
        <v>Estonia</v>
      </c>
      <c r="B886" t="str">
        <f>IFERROR(__xludf.DUMMYFUNCTION("""COMPUTED_VALUE"""),"Europe")</f>
        <v>Europe</v>
      </c>
      <c r="C886">
        <f>IFERROR(__xludf.DUMMYFUNCTION("""COMPUTED_VALUE"""),35.0)</f>
        <v>35</v>
      </c>
      <c r="D886" t="str">
        <f>IFERROR(__xludf.DUMMYFUNCTION("""COMPUTED_VALUE"""),"Play Date")</f>
        <v>Play Date</v>
      </c>
      <c r="E886" t="str">
        <f>IFERROR(__xludf.DUMMYFUNCTION("""COMPUTED_VALUE"""),"Melanie Martinez")</f>
        <v>Melanie Martinez</v>
      </c>
      <c r="F886" t="str">
        <f>IFERROR(__xludf.DUMMYFUNCTION("""COMPUTED_VALUE"""),"Cry Baby (Deluxe Edition)")</f>
        <v>Cry Baby (Deluxe Edition)</v>
      </c>
      <c r="G886">
        <f>IFERROR(__xludf.DUMMYFUNCTION("""COMPUTED_VALUE"""),1.0)</f>
        <v>1</v>
      </c>
      <c r="H886" s="5">
        <f>IFERROR(__xludf.DUMMYFUNCTION("""COMPUTED_VALUE"""),0.1243055555569299)</f>
        <v>0.1243055556</v>
      </c>
    </row>
    <row r="887">
      <c r="A887" t="str">
        <f>IFERROR(__xludf.DUMMYFUNCTION("""COMPUTED_VALUE"""),"Estonia")</f>
        <v>Estonia</v>
      </c>
      <c r="B887" t="str">
        <f>IFERROR(__xludf.DUMMYFUNCTION("""COMPUTED_VALUE"""),"Europe")</f>
        <v>Europe</v>
      </c>
      <c r="C887">
        <f>IFERROR(__xludf.DUMMYFUNCTION("""COMPUTED_VALUE"""),36.0)</f>
        <v>36</v>
      </c>
      <c r="D887" t="str">
        <f>IFERROR(__xludf.DUMMYFUNCTION("""COMPUTED_VALUE"""),"öölaps!")</f>
        <v>öölaps!</v>
      </c>
      <c r="E887" t="str">
        <f>IFERROR(__xludf.DUMMYFUNCTION("""COMPUTED_VALUE"""),"Nublu")</f>
        <v>Nublu</v>
      </c>
      <c r="F887" t="str">
        <f>IFERROR(__xludf.DUMMYFUNCTION("""COMPUTED_VALUE"""),"Mind on Mitu")</f>
        <v>Mind on Mitu</v>
      </c>
      <c r="G887">
        <f>IFERROR(__xludf.DUMMYFUNCTION("""COMPUTED_VALUE"""),0.0)</f>
        <v>0</v>
      </c>
      <c r="H887" s="5">
        <f>IFERROR(__xludf.DUMMYFUNCTION("""COMPUTED_VALUE"""),0.13333333333503106)</f>
        <v>0.1333333333</v>
      </c>
    </row>
    <row r="888">
      <c r="A888" t="str">
        <f>IFERROR(__xludf.DUMMYFUNCTION("""COMPUTED_VALUE"""),"Estonia")</f>
        <v>Estonia</v>
      </c>
      <c r="B888" t="str">
        <f>IFERROR(__xludf.DUMMYFUNCTION("""COMPUTED_VALUE"""),"Europe")</f>
        <v>Europe</v>
      </c>
      <c r="C888">
        <f>IFERROR(__xludf.DUMMYFUNCTION("""COMPUTED_VALUE"""),37.0)</f>
        <v>37</v>
      </c>
      <c r="D888" t="str">
        <f>IFERROR(__xludf.DUMMYFUNCTION("""COMPUTED_VALUE"""),"Dance Monkey")</f>
        <v>Dance Monkey</v>
      </c>
      <c r="E888" t="str">
        <f>IFERROR(__xludf.DUMMYFUNCTION("""COMPUTED_VALUE"""),"Tones And I")</f>
        <v>Tones And I</v>
      </c>
      <c r="F888" t="str">
        <f>IFERROR(__xludf.DUMMYFUNCTION("""COMPUTED_VALUE"""),"Dance Monkey (Stripped Back) / Dance Monkey")</f>
        <v>Dance Monkey (Stripped Back) / Dance Monkey</v>
      </c>
      <c r="G888">
        <f>IFERROR(__xludf.DUMMYFUNCTION("""COMPUTED_VALUE"""),0.0)</f>
        <v>0</v>
      </c>
      <c r="H888" s="5">
        <f>IFERROR(__xludf.DUMMYFUNCTION("""COMPUTED_VALUE"""),0.14513888888905058)</f>
        <v>0.1451388889</v>
      </c>
    </row>
    <row r="889">
      <c r="A889" t="str">
        <f>IFERROR(__xludf.DUMMYFUNCTION("""COMPUTED_VALUE"""),"Estonia")</f>
        <v>Estonia</v>
      </c>
      <c r="B889" t="str">
        <f>IFERROR(__xludf.DUMMYFUNCTION("""COMPUTED_VALUE"""),"Europe")</f>
        <v>Europe</v>
      </c>
      <c r="C889">
        <f>IFERROR(__xludf.DUMMYFUNCTION("""COMPUTED_VALUE"""),38.0)</f>
        <v>38</v>
      </c>
      <c r="D889" t="str">
        <f>IFERROR(__xludf.DUMMYFUNCTION("""COMPUTED_VALUE"""),"Party Girl")</f>
        <v>Party Girl</v>
      </c>
      <c r="E889" t="str">
        <f>IFERROR(__xludf.DUMMYFUNCTION("""COMPUTED_VALUE"""),"StaySolidRocky")</f>
        <v>StaySolidRocky</v>
      </c>
      <c r="F889" t="str">
        <f>IFERROR(__xludf.DUMMYFUNCTION("""COMPUTED_VALUE"""),"Party Girl")</f>
        <v>Party Girl</v>
      </c>
      <c r="G889">
        <f>IFERROR(__xludf.DUMMYFUNCTION("""COMPUTED_VALUE"""),0.0)</f>
        <v>0</v>
      </c>
      <c r="H889" s="5">
        <f>IFERROR(__xludf.DUMMYFUNCTION("""COMPUTED_VALUE"""),0.10208333333503106)</f>
        <v>0.1020833333</v>
      </c>
    </row>
    <row r="890">
      <c r="A890" t="str">
        <f>IFERROR(__xludf.DUMMYFUNCTION("""COMPUTED_VALUE"""),"Estonia")</f>
        <v>Estonia</v>
      </c>
      <c r="B890" t="str">
        <f>IFERROR(__xludf.DUMMYFUNCTION("""COMPUTED_VALUE"""),"Europe")</f>
        <v>Europe</v>
      </c>
      <c r="C890">
        <f>IFERROR(__xludf.DUMMYFUNCTION("""COMPUTED_VALUE"""),39.0)</f>
        <v>39</v>
      </c>
      <c r="D890" t="str">
        <f>IFERROR(__xludf.DUMMYFUNCTION("""COMPUTED_VALUE"""),"Tsirkus")</f>
        <v>Tsirkus</v>
      </c>
      <c r="E890" t="str">
        <f>IFERROR(__xludf.DUMMYFUNCTION("""COMPUTED_VALUE"""),"5MIINUST, Nublu, PLUUTO")</f>
        <v>5MIINUST, Nublu, PLUUTO</v>
      </c>
      <c r="F890" t="str">
        <f>IFERROR(__xludf.DUMMYFUNCTION("""COMPUTED_VALUE"""),"Tsirkus")</f>
        <v>Tsirkus</v>
      </c>
      <c r="G890">
        <f>IFERROR(__xludf.DUMMYFUNCTION("""COMPUTED_VALUE"""),0.0)</f>
        <v>0</v>
      </c>
      <c r="H890" s="5">
        <f>IFERROR(__xludf.DUMMYFUNCTION("""COMPUTED_VALUE"""),0.19513888888832298)</f>
        <v>0.1951388889</v>
      </c>
    </row>
    <row r="891">
      <c r="A891" t="str">
        <f>IFERROR(__xludf.DUMMYFUNCTION("""COMPUTED_VALUE"""),"Estonia")</f>
        <v>Estonia</v>
      </c>
      <c r="B891" t="str">
        <f>IFERROR(__xludf.DUMMYFUNCTION("""COMPUTED_VALUE"""),"Europe")</f>
        <v>Europe</v>
      </c>
      <c r="C891">
        <f>IFERROR(__xludf.DUMMYFUNCTION("""COMPUTED_VALUE"""),40.0)</f>
        <v>40</v>
      </c>
      <c r="D891" t="str">
        <f>IFERROR(__xludf.DUMMYFUNCTION("""COMPUTED_VALUE"""),"ROXANNE")</f>
        <v>ROXANNE</v>
      </c>
      <c r="E891" t="str">
        <f>IFERROR(__xludf.DUMMYFUNCTION("""COMPUTED_VALUE"""),"Arizona Zervas")</f>
        <v>Arizona Zervas</v>
      </c>
      <c r="F891" t="str">
        <f>IFERROR(__xludf.DUMMYFUNCTION("""COMPUTED_VALUE"""),"ROXANNE")</f>
        <v>ROXANNE</v>
      </c>
      <c r="G891">
        <f>IFERROR(__xludf.DUMMYFUNCTION("""COMPUTED_VALUE"""),1.0)</f>
        <v>1</v>
      </c>
      <c r="H891" s="5">
        <f>IFERROR(__xludf.DUMMYFUNCTION("""COMPUTED_VALUE"""),0.11319444444598048)</f>
        <v>0.1131944444</v>
      </c>
    </row>
    <row r="892">
      <c r="A892" t="str">
        <f>IFERROR(__xludf.DUMMYFUNCTION("""COMPUTED_VALUE"""),"Estonia")</f>
        <v>Estonia</v>
      </c>
      <c r="B892" t="str">
        <f>IFERROR(__xludf.DUMMYFUNCTION("""COMPUTED_VALUE"""),"Europe")</f>
        <v>Europe</v>
      </c>
      <c r="C892">
        <f>IFERROR(__xludf.DUMMYFUNCTION("""COMPUTED_VALUE"""),41.0)</f>
        <v>41</v>
      </c>
      <c r="D892" t="str">
        <f>IFERROR(__xludf.DUMMYFUNCTION("""COMPUTED_VALUE"""),"Adore You")</f>
        <v>Adore You</v>
      </c>
      <c r="E892" t="str">
        <f>IFERROR(__xludf.DUMMYFUNCTION("""COMPUTED_VALUE"""),"Harry Styles")</f>
        <v>Harry Styles</v>
      </c>
      <c r="F892" t="str">
        <f>IFERROR(__xludf.DUMMYFUNCTION("""COMPUTED_VALUE"""),"Fine Line")</f>
        <v>Fine Line</v>
      </c>
      <c r="G892">
        <f>IFERROR(__xludf.DUMMYFUNCTION("""COMPUTED_VALUE"""),0.0)</f>
        <v>0</v>
      </c>
      <c r="H892" s="5">
        <f>IFERROR(__xludf.DUMMYFUNCTION("""COMPUTED_VALUE"""),0.1437499999992724)</f>
        <v>0.14375</v>
      </c>
    </row>
    <row r="893">
      <c r="A893" t="str">
        <f>IFERROR(__xludf.DUMMYFUNCTION("""COMPUTED_VALUE"""),"Estonia")</f>
        <v>Estonia</v>
      </c>
      <c r="B893" t="str">
        <f>IFERROR(__xludf.DUMMYFUNCTION("""COMPUTED_VALUE"""),"Europe")</f>
        <v>Europe</v>
      </c>
      <c r="C893">
        <f>IFERROR(__xludf.DUMMYFUNCTION("""COMPUTED_VALUE"""),42.0)</f>
        <v>42</v>
      </c>
      <c r="D893" t="str">
        <f>IFERROR(__xludf.DUMMYFUNCTION("""COMPUTED_VALUE"""),"I Got Love")</f>
        <v>I Got Love</v>
      </c>
      <c r="E893" t="str">
        <f>IFERROR(__xludf.DUMMYFUNCTION("""COMPUTED_VALUE"""),"MiyaGi &amp; Endspiel, Rem Digga")</f>
        <v>MiyaGi &amp; Endspiel, Rem Digga</v>
      </c>
      <c r="F893" t="str">
        <f>IFERROR(__xludf.DUMMYFUNCTION("""COMPUTED_VALUE"""),"I Got Love")</f>
        <v>I Got Love</v>
      </c>
      <c r="G893">
        <f>IFERROR(__xludf.DUMMYFUNCTION("""COMPUTED_VALUE"""),0.0)</f>
        <v>0</v>
      </c>
      <c r="H893" s="5">
        <f>IFERROR(__xludf.DUMMYFUNCTION("""COMPUTED_VALUE"""),0.19166666666569654)</f>
        <v>0.1916666667</v>
      </c>
    </row>
    <row r="894">
      <c r="A894" t="str">
        <f>IFERROR(__xludf.DUMMYFUNCTION("""COMPUTED_VALUE"""),"Estonia")</f>
        <v>Estonia</v>
      </c>
      <c r="B894" t="str">
        <f>IFERROR(__xludf.DUMMYFUNCTION("""COMPUTED_VALUE"""),"Europe")</f>
        <v>Europe</v>
      </c>
      <c r="C894">
        <f>IFERROR(__xludf.DUMMYFUNCTION("""COMPUTED_VALUE"""),43.0)</f>
        <v>43</v>
      </c>
      <c r="D894" t="str">
        <f>IFERROR(__xludf.DUMMYFUNCTION("""COMPUTED_VALUE"""),"Life Is Good (feat. Drake)")</f>
        <v>Life Is Good (feat. Drake)</v>
      </c>
      <c r="E894" t="str">
        <f>IFERROR(__xludf.DUMMYFUNCTION("""COMPUTED_VALUE"""),"Future, Drake")</f>
        <v>Future, Drake</v>
      </c>
      <c r="F894" t="str">
        <f>IFERROR(__xludf.DUMMYFUNCTION("""COMPUTED_VALUE"""),"High Off Life")</f>
        <v>High Off Life</v>
      </c>
      <c r="G894">
        <f>IFERROR(__xludf.DUMMYFUNCTION("""COMPUTED_VALUE"""),1.0)</f>
        <v>1</v>
      </c>
      <c r="H894" s="5">
        <f>IFERROR(__xludf.DUMMYFUNCTION("""COMPUTED_VALUE"""),0.16458333333503106)</f>
        <v>0.1645833333</v>
      </c>
    </row>
    <row r="895">
      <c r="A895" t="str">
        <f>IFERROR(__xludf.DUMMYFUNCTION("""COMPUTED_VALUE"""),"Estonia")</f>
        <v>Estonia</v>
      </c>
      <c r="B895" t="str">
        <f>IFERROR(__xludf.DUMMYFUNCTION("""COMPUTED_VALUE"""),"Europe")</f>
        <v>Europe</v>
      </c>
      <c r="C895">
        <f>IFERROR(__xludf.DUMMYFUNCTION("""COMPUTED_VALUE"""),44.0)</f>
        <v>44</v>
      </c>
      <c r="D895" t="str">
        <f>IFERROR(__xludf.DUMMYFUNCTION("""COMPUTED_VALUE"""),"everything i wanted")</f>
        <v>everything i wanted</v>
      </c>
      <c r="E895" t="str">
        <f>IFERROR(__xludf.DUMMYFUNCTION("""COMPUTED_VALUE"""),"Billie Eilish")</f>
        <v>Billie Eilish</v>
      </c>
      <c r="F895" t="str">
        <f>IFERROR(__xludf.DUMMYFUNCTION("""COMPUTED_VALUE"""),"everything i wanted")</f>
        <v>everything i wanted</v>
      </c>
      <c r="G895">
        <f>IFERROR(__xludf.DUMMYFUNCTION("""COMPUTED_VALUE"""),0.0)</f>
        <v>0</v>
      </c>
      <c r="H895" s="5">
        <f>IFERROR(__xludf.DUMMYFUNCTION("""COMPUTED_VALUE"""),0.17013888889050577)</f>
        <v>0.1701388889</v>
      </c>
    </row>
    <row r="896">
      <c r="A896" t="str">
        <f>IFERROR(__xludf.DUMMYFUNCTION("""COMPUTED_VALUE"""),"Estonia")</f>
        <v>Estonia</v>
      </c>
      <c r="B896" t="str">
        <f>IFERROR(__xludf.DUMMYFUNCTION("""COMPUTED_VALUE"""),"Europe")</f>
        <v>Europe</v>
      </c>
      <c r="C896">
        <f>IFERROR(__xludf.DUMMYFUNCTION("""COMPUTED_VALUE"""),45.0)</f>
        <v>45</v>
      </c>
      <c r="D896" t="str">
        <f>IFERROR(__xludf.DUMMYFUNCTION("""COMPUTED_VALUE"""),"Intentions (feat. Quavo)")</f>
        <v>Intentions (feat. Quavo)</v>
      </c>
      <c r="E896" t="str">
        <f>IFERROR(__xludf.DUMMYFUNCTION("""COMPUTED_VALUE"""),"Justin Bieber, Quavo")</f>
        <v>Justin Bieber, Quavo</v>
      </c>
      <c r="F896" t="str">
        <f>IFERROR(__xludf.DUMMYFUNCTION("""COMPUTED_VALUE"""),"Changes")</f>
        <v>Changes</v>
      </c>
      <c r="G896">
        <f>IFERROR(__xludf.DUMMYFUNCTION("""COMPUTED_VALUE"""),0.0)</f>
        <v>0</v>
      </c>
      <c r="H896" s="5">
        <f>IFERROR(__xludf.DUMMYFUNCTION("""COMPUTED_VALUE"""),0.14722222222189885)</f>
        <v>0.1472222222</v>
      </c>
    </row>
    <row r="897">
      <c r="A897" t="str">
        <f>IFERROR(__xludf.DUMMYFUNCTION("""COMPUTED_VALUE"""),"Estonia")</f>
        <v>Estonia</v>
      </c>
      <c r="B897" t="str">
        <f>IFERROR(__xludf.DUMMYFUNCTION("""COMPUTED_VALUE"""),"Europe")</f>
        <v>Europe</v>
      </c>
      <c r="C897">
        <f>IFERROR(__xludf.DUMMYFUNCTION("""COMPUTED_VALUE"""),46.0)</f>
        <v>46</v>
      </c>
      <c r="D897" t="str">
        <f>IFERROR(__xludf.DUMMYFUNCTION("""COMPUTED_VALUE"""),"goosebumps")</f>
        <v>goosebumps</v>
      </c>
      <c r="E897" t="str">
        <f>IFERROR(__xludf.DUMMYFUNCTION("""COMPUTED_VALUE"""),"Travis Scott")</f>
        <v>Travis Scott</v>
      </c>
      <c r="F897" t="str">
        <f>IFERROR(__xludf.DUMMYFUNCTION("""COMPUTED_VALUE"""),"Birds In The Trap Sing McKnight")</f>
        <v>Birds In The Trap Sing McKnight</v>
      </c>
      <c r="G897">
        <f>IFERROR(__xludf.DUMMYFUNCTION("""COMPUTED_VALUE"""),1.0)</f>
        <v>1</v>
      </c>
      <c r="H897" s="5">
        <f>IFERROR(__xludf.DUMMYFUNCTION("""COMPUTED_VALUE"""),0.1687500000007276)</f>
        <v>0.16875</v>
      </c>
    </row>
    <row r="898">
      <c r="A898" t="str">
        <f>IFERROR(__xludf.DUMMYFUNCTION("""COMPUTED_VALUE"""),"Estonia")</f>
        <v>Estonia</v>
      </c>
      <c r="B898" t="str">
        <f>IFERROR(__xludf.DUMMYFUNCTION("""COMPUTED_VALUE"""),"Europe")</f>
        <v>Europe</v>
      </c>
      <c r="C898">
        <f>IFERROR(__xludf.DUMMYFUNCTION("""COMPUTED_VALUE"""),47.0)</f>
        <v>47</v>
      </c>
      <c r="D898" t="str">
        <f>IFERROR(__xludf.DUMMYFUNCTION("""COMPUTED_VALUE"""),"Ma Kuulsin Seda Läbi Viinamarjaväädi")</f>
        <v>Ma Kuulsin Seda Läbi Viinamarjaväädi</v>
      </c>
      <c r="E898" t="str">
        <f>IFERROR(__xludf.DUMMYFUNCTION("""COMPUTED_VALUE"""),"Reket")</f>
        <v>Reket</v>
      </c>
      <c r="F898" t="str">
        <f>IFERROR(__xludf.DUMMYFUNCTION("""COMPUTED_VALUE"""),"Kulutuli")</f>
        <v>Kulutuli</v>
      </c>
      <c r="G898">
        <f>IFERROR(__xludf.DUMMYFUNCTION("""COMPUTED_VALUE"""),0.0)</f>
        <v>0</v>
      </c>
      <c r="H898" s="5">
        <f>IFERROR(__xludf.DUMMYFUNCTION("""COMPUTED_VALUE"""),0.1305555555554747)</f>
        <v>0.1305555556</v>
      </c>
    </row>
    <row r="899">
      <c r="A899" t="str">
        <f>IFERROR(__xludf.DUMMYFUNCTION("""COMPUTED_VALUE"""),"Estonia")</f>
        <v>Estonia</v>
      </c>
      <c r="B899" t="str">
        <f>IFERROR(__xludf.DUMMYFUNCTION("""COMPUTED_VALUE"""),"Europe")</f>
        <v>Europe</v>
      </c>
      <c r="C899">
        <f>IFERROR(__xludf.DUMMYFUNCTION("""COMPUTED_VALUE"""),48.0)</f>
        <v>48</v>
      </c>
      <c r="D899" t="str">
        <f>IFERROR(__xludf.DUMMYFUNCTION("""COMPUTED_VALUE"""),"Ride It")</f>
        <v>Ride It</v>
      </c>
      <c r="E899" t="str">
        <f>IFERROR(__xludf.DUMMYFUNCTION("""COMPUTED_VALUE"""),"Regard")</f>
        <v>Regard</v>
      </c>
      <c r="F899" t="str">
        <f>IFERROR(__xludf.DUMMYFUNCTION("""COMPUTED_VALUE"""),"Ride It")</f>
        <v>Ride It</v>
      </c>
      <c r="G899">
        <f>IFERROR(__xludf.DUMMYFUNCTION("""COMPUTED_VALUE"""),0.0)</f>
        <v>0</v>
      </c>
      <c r="H899" s="5">
        <f>IFERROR(__xludf.DUMMYFUNCTION("""COMPUTED_VALUE"""),0.10902777777664596)</f>
        <v>0.1090277778</v>
      </c>
    </row>
    <row r="900">
      <c r="A900" t="str">
        <f>IFERROR(__xludf.DUMMYFUNCTION("""COMPUTED_VALUE"""),"Estonia")</f>
        <v>Estonia</v>
      </c>
      <c r="B900" t="str">
        <f>IFERROR(__xludf.DUMMYFUNCTION("""COMPUTED_VALUE"""),"Europe")</f>
        <v>Europe</v>
      </c>
      <c r="C900">
        <f>IFERROR(__xludf.DUMMYFUNCTION("""COMPUTED_VALUE"""),49.0)</f>
        <v>49</v>
      </c>
      <c r="D900" t="str">
        <f>IFERROR(__xludf.DUMMYFUNCTION("""COMPUTED_VALUE"""),"Say So (feat. Nicki Minaj)")</f>
        <v>Say So (feat. Nicki Minaj)</v>
      </c>
      <c r="E900" t="str">
        <f>IFERROR(__xludf.DUMMYFUNCTION("""COMPUTED_VALUE"""),"Doja Cat, Nicki Minaj")</f>
        <v>Doja Cat, Nicki Minaj</v>
      </c>
      <c r="F900" t="str">
        <f>IFERROR(__xludf.DUMMYFUNCTION("""COMPUTED_VALUE"""),"Say So (feat. Nicki Minaj)")</f>
        <v>Say So (feat. Nicki Minaj)</v>
      </c>
      <c r="G900">
        <f>IFERROR(__xludf.DUMMYFUNCTION("""COMPUTED_VALUE"""),1.0)</f>
        <v>1</v>
      </c>
      <c r="H900" s="5">
        <f>IFERROR(__xludf.DUMMYFUNCTION("""COMPUTED_VALUE"""),0.1430555555562023)</f>
        <v>0.1430555556</v>
      </c>
    </row>
    <row r="901">
      <c r="A901" t="str">
        <f>IFERROR(__xludf.DUMMYFUNCTION("""COMPUTED_VALUE"""),"Estonia")</f>
        <v>Estonia</v>
      </c>
      <c r="B901" t="str">
        <f>IFERROR(__xludf.DUMMYFUNCTION("""COMPUTED_VALUE"""),"Europe")</f>
        <v>Europe</v>
      </c>
      <c r="C901">
        <f>IFERROR(__xludf.DUMMYFUNCTION("""COMPUTED_VALUE"""),50.0)</f>
        <v>50</v>
      </c>
      <c r="D901" t="str">
        <f>IFERROR(__xludf.DUMMYFUNCTION("""COMPUTED_VALUE"""),"HIGHEST IN THE ROOM")</f>
        <v>HIGHEST IN THE ROOM</v>
      </c>
      <c r="E901" t="str">
        <f>IFERROR(__xludf.DUMMYFUNCTION("""COMPUTED_VALUE"""),"Travis Scott")</f>
        <v>Travis Scott</v>
      </c>
      <c r="F901" t="str">
        <f>IFERROR(__xludf.DUMMYFUNCTION("""COMPUTED_VALUE"""),"HIGHEST IN THE ROOM")</f>
        <v>HIGHEST IN THE ROOM</v>
      </c>
      <c r="G901">
        <f>IFERROR(__xludf.DUMMYFUNCTION("""COMPUTED_VALUE"""),1.0)</f>
        <v>1</v>
      </c>
      <c r="H901" s="5">
        <f>IFERROR(__xludf.DUMMYFUNCTION("""COMPUTED_VALUE"""),0.12152777777737356)</f>
        <v>0.1215277778</v>
      </c>
    </row>
    <row r="902">
      <c r="A902" t="str">
        <f>IFERROR(__xludf.DUMMYFUNCTION("""COMPUTED_VALUE"""),"Finland")</f>
        <v>Finland</v>
      </c>
      <c r="B902" t="str">
        <f>IFERROR(__xludf.DUMMYFUNCTION("""COMPUTED_VALUE"""),"Europe")</f>
        <v>Europe</v>
      </c>
      <c r="C902">
        <f>IFERROR(__xludf.DUMMYFUNCTION("""COMPUTED_VALUE"""),1.0)</f>
        <v>1</v>
      </c>
      <c r="D902" t="str">
        <f>IFERROR(__xludf.DUMMYFUNCTION("""COMPUTED_VALUE"""),"Tässäkö tää oli? (feat. Leavings-Orkesteri)")</f>
        <v>Tässäkö tää oli? (feat. Leavings-Orkesteri)</v>
      </c>
      <c r="E902" t="str">
        <f>IFERROR(__xludf.DUMMYFUNCTION("""COMPUTED_VALUE"""),"Arttu Wiskari, Leavings-Orkesteri")</f>
        <v>Arttu Wiskari, Leavings-Orkesteri</v>
      </c>
      <c r="F902" t="str">
        <f>IFERROR(__xludf.DUMMYFUNCTION("""COMPUTED_VALUE"""),"Tässäkö tää oli? (feat. Leavings-Orkesteri)")</f>
        <v>Tässäkö tää oli? (feat. Leavings-Orkesteri)</v>
      </c>
      <c r="G902">
        <f>IFERROR(__xludf.DUMMYFUNCTION("""COMPUTED_VALUE"""),0.0)</f>
        <v>0</v>
      </c>
      <c r="H902" s="5">
        <f>IFERROR(__xludf.DUMMYFUNCTION("""COMPUTED_VALUE"""),0.15416666666715173)</f>
        <v>0.1541666667</v>
      </c>
    </row>
    <row r="903">
      <c r="A903" t="str">
        <f>IFERROR(__xludf.DUMMYFUNCTION("""COMPUTED_VALUE"""),"Finland")</f>
        <v>Finland</v>
      </c>
      <c r="B903" t="str">
        <f>IFERROR(__xludf.DUMMYFUNCTION("""COMPUTED_VALUE"""),"Europe")</f>
        <v>Europe</v>
      </c>
      <c r="C903">
        <f>IFERROR(__xludf.DUMMYFUNCTION("""COMPUTED_VALUE"""),2.0)</f>
        <v>2</v>
      </c>
      <c r="D903" t="str">
        <f>IFERROR(__xludf.DUMMYFUNCTION("""COMPUTED_VALUE"""),"Blinding Lights")</f>
        <v>Blinding Lights</v>
      </c>
      <c r="E903" t="str">
        <f>IFERROR(__xludf.DUMMYFUNCTION("""COMPUTED_VALUE"""),"The Weeknd")</f>
        <v>The Weeknd</v>
      </c>
      <c r="F903" t="str">
        <f>IFERROR(__xludf.DUMMYFUNCTION("""COMPUTED_VALUE"""),"After Hours")</f>
        <v>After Hours</v>
      </c>
      <c r="G903">
        <f>IFERROR(__xludf.DUMMYFUNCTION("""COMPUTED_VALUE"""),0.0)</f>
        <v>0</v>
      </c>
      <c r="H903" s="5">
        <f>IFERROR(__xludf.DUMMYFUNCTION("""COMPUTED_VALUE"""),0.13888888889050577)</f>
        <v>0.1388888889</v>
      </c>
    </row>
    <row r="904">
      <c r="A904" t="str">
        <f>IFERROR(__xludf.DUMMYFUNCTION("""COMPUTED_VALUE"""),"Finland")</f>
        <v>Finland</v>
      </c>
      <c r="B904" t="str">
        <f>IFERROR(__xludf.DUMMYFUNCTION("""COMPUTED_VALUE"""),"Europe")</f>
        <v>Europe</v>
      </c>
      <c r="C904">
        <f>IFERROR(__xludf.DUMMYFUNCTION("""COMPUTED_VALUE"""),3.0)</f>
        <v>3</v>
      </c>
      <c r="D904" t="str">
        <f>IFERROR(__xludf.DUMMYFUNCTION("""COMPUTED_VALUE"""),"Penelope (feat. Clever)")</f>
        <v>Penelope (feat. Clever)</v>
      </c>
      <c r="E904" t="str">
        <f>IFERROR(__xludf.DUMMYFUNCTION("""COMPUTED_VALUE"""),"william, Clever")</f>
        <v>william, Clever</v>
      </c>
      <c r="F904" t="str">
        <f>IFERROR(__xludf.DUMMYFUNCTION("""COMPUTED_VALUE"""),"Penelope (feat. Clever)")</f>
        <v>Penelope (feat. Clever)</v>
      </c>
      <c r="G904">
        <f>IFERROR(__xludf.DUMMYFUNCTION("""COMPUTED_VALUE"""),0.0)</f>
        <v>0</v>
      </c>
      <c r="H904" s="5">
        <f>IFERROR(__xludf.DUMMYFUNCTION("""COMPUTED_VALUE"""),0.12708333333284827)</f>
        <v>0.1270833333</v>
      </c>
    </row>
    <row r="905">
      <c r="A905" t="str">
        <f>IFERROR(__xludf.DUMMYFUNCTION("""COMPUTED_VALUE"""),"Finland")</f>
        <v>Finland</v>
      </c>
      <c r="B905" t="str">
        <f>IFERROR(__xludf.DUMMYFUNCTION("""COMPUTED_VALUE"""),"Europe")</f>
        <v>Europe</v>
      </c>
      <c r="C905">
        <f>IFERROR(__xludf.DUMMYFUNCTION("""COMPUTED_VALUE"""),4.0)</f>
        <v>4</v>
      </c>
      <c r="D905" t="str">
        <f>IFERROR(__xludf.DUMMYFUNCTION("""COMPUTED_VALUE"""),"GOOBA")</f>
        <v>GOOBA</v>
      </c>
      <c r="E905" t="str">
        <f>IFERROR(__xludf.DUMMYFUNCTION("""COMPUTED_VALUE"""),"6ix9ine")</f>
        <v>6ix9ine</v>
      </c>
      <c r="F905" t="str">
        <f>IFERROR(__xludf.DUMMYFUNCTION("""COMPUTED_VALUE"""),"GOOBA")</f>
        <v>GOOBA</v>
      </c>
      <c r="G905">
        <f>IFERROR(__xludf.DUMMYFUNCTION("""COMPUTED_VALUE"""),1.0)</f>
        <v>1</v>
      </c>
      <c r="H905" s="5">
        <f>IFERROR(__xludf.DUMMYFUNCTION("""COMPUTED_VALUE"""),0.09166666666715173)</f>
        <v>0.09166666667</v>
      </c>
    </row>
    <row r="906">
      <c r="A906" t="str">
        <f>IFERROR(__xludf.DUMMYFUNCTION("""COMPUTED_VALUE"""),"Finland")</f>
        <v>Finland</v>
      </c>
      <c r="B906" t="str">
        <f>IFERROR(__xludf.DUMMYFUNCTION("""COMPUTED_VALUE"""),"Europe")</f>
        <v>Europe</v>
      </c>
      <c r="C906">
        <f>IFERROR(__xludf.DUMMYFUNCTION("""COMPUTED_VALUE"""),5.0)</f>
        <v>5</v>
      </c>
      <c r="D906" t="str">
        <f>IFERROR(__xludf.DUMMYFUNCTION("""COMPUTED_VALUE"""),"Christian Rapper")</f>
        <v>Christian Rapper</v>
      </c>
      <c r="E906" t="str">
        <f>IFERROR(__xludf.DUMMYFUNCTION("""COMPUTED_VALUE"""),"Devo")</f>
        <v>Devo</v>
      </c>
      <c r="F906" t="str">
        <f>IFERROR(__xludf.DUMMYFUNCTION("""COMPUTED_VALUE"""),"Christian Rapper")</f>
        <v>Christian Rapper</v>
      </c>
      <c r="G906">
        <f>IFERROR(__xludf.DUMMYFUNCTION("""COMPUTED_VALUE"""),0.0)</f>
        <v>0</v>
      </c>
      <c r="H906" s="5">
        <f>IFERROR(__xludf.DUMMYFUNCTION("""COMPUTED_VALUE"""),0.10555555555401952)</f>
        <v>0.1055555556</v>
      </c>
    </row>
    <row r="907">
      <c r="A907" t="str">
        <f>IFERROR(__xludf.DUMMYFUNCTION("""COMPUTED_VALUE"""),"Finland")</f>
        <v>Finland</v>
      </c>
      <c r="B907" t="str">
        <f>IFERROR(__xludf.DUMMYFUNCTION("""COMPUTED_VALUE"""),"Europe")</f>
        <v>Europe</v>
      </c>
      <c r="C907">
        <f>IFERROR(__xludf.DUMMYFUNCTION("""COMPUTED_VALUE"""),6.0)</f>
        <v>6</v>
      </c>
      <c r="D907" t="str">
        <f>IFERROR(__xludf.DUMMYFUNCTION("""COMPUTED_VALUE"""),"Believe Me - Remastered")</f>
        <v>Believe Me - Remastered</v>
      </c>
      <c r="E907" t="str">
        <f>IFERROR(__xludf.DUMMYFUNCTION("""COMPUTED_VALUE"""),"Devo, Janni")</f>
        <v>Devo, Janni</v>
      </c>
      <c r="F907" t="str">
        <f>IFERROR(__xludf.DUMMYFUNCTION("""COMPUTED_VALUE"""),"Believe Me (Remastered)")</f>
        <v>Believe Me (Remastered)</v>
      </c>
      <c r="G907">
        <f>IFERROR(__xludf.DUMMYFUNCTION("""COMPUTED_VALUE"""),1.0)</f>
        <v>1</v>
      </c>
      <c r="H907" s="5">
        <f>IFERROR(__xludf.DUMMYFUNCTION("""COMPUTED_VALUE"""),0.12638888888977817)</f>
        <v>0.1263888889</v>
      </c>
    </row>
    <row r="908">
      <c r="A908" t="str">
        <f>IFERROR(__xludf.DUMMYFUNCTION("""COMPUTED_VALUE"""),"Finland")</f>
        <v>Finland</v>
      </c>
      <c r="B908" t="str">
        <f>IFERROR(__xludf.DUMMYFUNCTION("""COMPUTED_VALUE"""),"Europe")</f>
        <v>Europe</v>
      </c>
      <c r="C908">
        <f>IFERROR(__xludf.DUMMYFUNCTION("""COMPUTED_VALUE"""),7.0)</f>
        <v>7</v>
      </c>
      <c r="D908" t="str">
        <f>IFERROR(__xludf.DUMMYFUNCTION("""COMPUTED_VALUE"""),"Yhtenä sunnuntaina")</f>
        <v>Yhtenä sunnuntaina</v>
      </c>
      <c r="E908" t="str">
        <f>IFERROR(__xludf.DUMMYFUNCTION("""COMPUTED_VALUE"""),"Erin")</f>
        <v>Erin</v>
      </c>
      <c r="F908" t="str">
        <f>IFERROR(__xludf.DUMMYFUNCTION("""COMPUTED_VALUE"""),"Yhtenä sunnuntaina")</f>
        <v>Yhtenä sunnuntaina</v>
      </c>
      <c r="G908">
        <f>IFERROR(__xludf.DUMMYFUNCTION("""COMPUTED_VALUE"""),0.0)</f>
        <v>0</v>
      </c>
      <c r="H908" s="5">
        <f>IFERROR(__xludf.DUMMYFUNCTION("""COMPUTED_VALUE"""),0.15208333333430346)</f>
        <v>0.1520833333</v>
      </c>
    </row>
    <row r="909">
      <c r="A909" t="str">
        <f>IFERROR(__xludf.DUMMYFUNCTION("""COMPUTED_VALUE"""),"Finland")</f>
        <v>Finland</v>
      </c>
      <c r="B909" t="str">
        <f>IFERROR(__xludf.DUMMYFUNCTION("""COMPUTED_VALUE"""),"Europe")</f>
        <v>Europe</v>
      </c>
      <c r="C909">
        <f>IFERROR(__xludf.DUMMYFUNCTION("""COMPUTED_VALUE"""),8.0)</f>
        <v>8</v>
      </c>
      <c r="D909" t="str">
        <f>IFERROR(__xludf.DUMMYFUNCTION("""COMPUTED_VALUE"""),"Liian vähän, liian myöhään")</f>
        <v>Liian vähän, liian myöhään</v>
      </c>
      <c r="E909" t="str">
        <f>IFERROR(__xludf.DUMMYFUNCTION("""COMPUTED_VALUE"""),"Evelina")</f>
        <v>Evelina</v>
      </c>
      <c r="F909" t="str">
        <f>IFERROR(__xludf.DUMMYFUNCTION("""COMPUTED_VALUE"""),"Liian vähän, liian myöhään")</f>
        <v>Liian vähän, liian myöhään</v>
      </c>
      <c r="G909">
        <f>IFERROR(__xludf.DUMMYFUNCTION("""COMPUTED_VALUE"""),0.0)</f>
        <v>0</v>
      </c>
      <c r="H909" s="5">
        <f>IFERROR(__xludf.DUMMYFUNCTION("""COMPUTED_VALUE"""),0.13541666666787933)</f>
        <v>0.1354166667</v>
      </c>
    </row>
    <row r="910">
      <c r="A910" t="str">
        <f>IFERROR(__xludf.DUMMYFUNCTION("""COMPUTED_VALUE"""),"Finland")</f>
        <v>Finland</v>
      </c>
      <c r="B910" t="str">
        <f>IFERROR(__xludf.DUMMYFUNCTION("""COMPUTED_VALUE"""),"Europe")</f>
        <v>Europe</v>
      </c>
      <c r="C910">
        <f>IFERROR(__xludf.DUMMYFUNCTION("""COMPUTED_VALUE"""),9.0)</f>
        <v>9</v>
      </c>
      <c r="D910" t="str">
        <f>IFERROR(__xludf.DUMMYFUNCTION("""COMPUTED_VALUE"""),"ROCKSTAR (feat. Roddy Ricch)")</f>
        <v>ROCKSTAR (feat. Roddy Ricch)</v>
      </c>
      <c r="E910" t="str">
        <f>IFERROR(__xludf.DUMMYFUNCTION("""COMPUTED_VALUE"""),"DaBaby, Roddy Ricch")</f>
        <v>DaBaby, Roddy Ricch</v>
      </c>
      <c r="F910" t="str">
        <f>IFERROR(__xludf.DUMMYFUNCTION("""COMPUTED_VALUE"""),"BLAME IT ON BABY")</f>
        <v>BLAME IT ON BABY</v>
      </c>
      <c r="G910">
        <f>IFERROR(__xludf.DUMMYFUNCTION("""COMPUTED_VALUE"""),1.0)</f>
        <v>1</v>
      </c>
      <c r="H910" s="5">
        <f>IFERROR(__xludf.DUMMYFUNCTION("""COMPUTED_VALUE"""),0.1256944444430701)</f>
        <v>0.1256944444</v>
      </c>
    </row>
    <row r="911">
      <c r="A911" t="str">
        <f>IFERROR(__xludf.DUMMYFUNCTION("""COMPUTED_VALUE"""),"Finland")</f>
        <v>Finland</v>
      </c>
      <c r="B911" t="str">
        <f>IFERROR(__xludf.DUMMYFUNCTION("""COMPUTED_VALUE"""),"Europe")</f>
        <v>Europe</v>
      </c>
      <c r="C911">
        <f>IFERROR(__xludf.DUMMYFUNCTION("""COMPUTED_VALUE"""),10.0)</f>
        <v>10</v>
      </c>
      <c r="D911" t="str">
        <f>IFERROR(__xludf.DUMMYFUNCTION("""COMPUTED_VALUE"""),"Rain On Me (with Ariana Grande)")</f>
        <v>Rain On Me (with Ariana Grande)</v>
      </c>
      <c r="E911" t="str">
        <f>IFERROR(__xludf.DUMMYFUNCTION("""COMPUTED_VALUE"""),"Lady Gaga, Ariana Grande")</f>
        <v>Lady Gaga, Ariana Grande</v>
      </c>
      <c r="F911" t="str">
        <f>IFERROR(__xludf.DUMMYFUNCTION("""COMPUTED_VALUE"""),"Rain On Me (with Ariana Grande)")</f>
        <v>Rain On Me (with Ariana Grande)</v>
      </c>
      <c r="G911">
        <f>IFERROR(__xludf.DUMMYFUNCTION("""COMPUTED_VALUE"""),0.0)</f>
        <v>0</v>
      </c>
      <c r="H911" s="5">
        <f>IFERROR(__xludf.DUMMYFUNCTION("""COMPUTED_VALUE"""),0.12638888888977817)</f>
        <v>0.1263888889</v>
      </c>
    </row>
    <row r="912">
      <c r="A912" t="str">
        <f>IFERROR(__xludf.DUMMYFUNCTION("""COMPUTED_VALUE"""),"Finland")</f>
        <v>Finland</v>
      </c>
      <c r="B912" t="str">
        <f>IFERROR(__xludf.DUMMYFUNCTION("""COMPUTED_VALUE"""),"Europe")</f>
        <v>Europe</v>
      </c>
      <c r="C912">
        <f>IFERROR(__xludf.DUMMYFUNCTION("""COMPUTED_VALUE"""),11.0)</f>
        <v>11</v>
      </c>
      <c r="D912" t="str">
        <f>IFERROR(__xludf.DUMMYFUNCTION("""COMPUTED_VALUE"""),"100%")</f>
        <v>100%</v>
      </c>
      <c r="E912" t="str">
        <f>IFERROR(__xludf.DUMMYFUNCTION("""COMPUTED_VALUE"""),"Keko Salata, BESS, Sexmane")</f>
        <v>Keko Salata, BESS, Sexmane</v>
      </c>
      <c r="F912" t="str">
        <f>IFERROR(__xludf.DUMMYFUNCTION("""COMPUTED_VALUE"""),"100%")</f>
        <v>100%</v>
      </c>
      <c r="G912">
        <f>IFERROR(__xludf.DUMMYFUNCTION("""COMPUTED_VALUE"""),0.0)</f>
        <v>0</v>
      </c>
      <c r="H912" s="5">
        <f>IFERROR(__xludf.DUMMYFUNCTION("""COMPUTED_VALUE"""),0.14097222222335404)</f>
        <v>0.1409722222</v>
      </c>
    </row>
    <row r="913">
      <c r="A913" t="str">
        <f>IFERROR(__xludf.DUMMYFUNCTION("""COMPUTED_VALUE"""),"Finland")</f>
        <v>Finland</v>
      </c>
      <c r="B913" t="str">
        <f>IFERROR(__xludf.DUMMYFUNCTION("""COMPUTED_VALUE"""),"Europe")</f>
        <v>Europe</v>
      </c>
      <c r="C913">
        <f>IFERROR(__xludf.DUMMYFUNCTION("""COMPUTED_VALUE"""),12.0)</f>
        <v>12</v>
      </c>
      <c r="D913" t="str">
        <f>IFERROR(__xludf.DUMMYFUNCTION("""COMPUTED_VALUE"""),"Roses - Imanbek Remix")</f>
        <v>Roses - Imanbek Remix</v>
      </c>
      <c r="E913" t="str">
        <f>IFERROR(__xludf.DUMMYFUNCTION("""COMPUTED_VALUE"""),"SAINt JHN, Imanbek")</f>
        <v>SAINt JHN, Imanbek</v>
      </c>
      <c r="F913" t="str">
        <f>IFERROR(__xludf.DUMMYFUNCTION("""COMPUTED_VALUE"""),"Roses (Imanbek Remix)")</f>
        <v>Roses (Imanbek Remix)</v>
      </c>
      <c r="G913">
        <f>IFERROR(__xludf.DUMMYFUNCTION("""COMPUTED_VALUE"""),1.0)</f>
        <v>1</v>
      </c>
      <c r="H913" s="5">
        <f>IFERROR(__xludf.DUMMYFUNCTION("""COMPUTED_VALUE"""),0.12222222222044365)</f>
        <v>0.1222222222</v>
      </c>
    </row>
    <row r="914">
      <c r="A914" t="str">
        <f>IFERROR(__xludf.DUMMYFUNCTION("""COMPUTED_VALUE"""),"Finland")</f>
        <v>Finland</v>
      </c>
      <c r="B914" t="str">
        <f>IFERROR(__xludf.DUMMYFUNCTION("""COMPUTED_VALUE"""),"Europe")</f>
        <v>Europe</v>
      </c>
      <c r="C914">
        <f>IFERROR(__xludf.DUMMYFUNCTION("""COMPUTED_VALUE"""),13.0)</f>
        <v>13</v>
      </c>
      <c r="D914" t="str">
        <f>IFERROR(__xludf.DUMMYFUNCTION("""COMPUTED_VALUE"""),"Tivolit")</f>
        <v>Tivolit</v>
      </c>
      <c r="E914" t="str">
        <f>IFERROR(__xludf.DUMMYFUNCTION("""COMPUTED_VALUE"""),"BEHM")</f>
        <v>BEHM</v>
      </c>
      <c r="F914" t="str">
        <f>IFERROR(__xludf.DUMMYFUNCTION("""COMPUTED_VALUE"""),"Tivolit")</f>
        <v>Tivolit</v>
      </c>
      <c r="G914">
        <f>IFERROR(__xludf.DUMMYFUNCTION("""COMPUTED_VALUE"""),0.0)</f>
        <v>0</v>
      </c>
      <c r="H914" s="5">
        <f>IFERROR(__xludf.DUMMYFUNCTION("""COMPUTED_VALUE"""),0.14652777777882875)</f>
        <v>0.1465277778</v>
      </c>
    </row>
    <row r="915">
      <c r="A915" t="str">
        <f>IFERROR(__xludf.DUMMYFUNCTION("""COMPUTED_VALUE"""),"Finland")</f>
        <v>Finland</v>
      </c>
      <c r="B915" t="str">
        <f>IFERROR(__xludf.DUMMYFUNCTION("""COMPUTED_VALUE"""),"Europe")</f>
        <v>Europe</v>
      </c>
      <c r="C915">
        <f>IFERROR(__xludf.DUMMYFUNCTION("""COMPUTED_VALUE"""),14.0)</f>
        <v>14</v>
      </c>
      <c r="D915" t="str">
        <f>IFERROR(__xludf.DUMMYFUNCTION("""COMPUTED_VALUE"""),"100")</f>
        <v>100</v>
      </c>
      <c r="E915" t="str">
        <f>IFERROR(__xludf.DUMMYFUNCTION("""COMPUTED_VALUE"""),"Kube")</f>
        <v>Kube</v>
      </c>
      <c r="F915" t="str">
        <f>IFERROR(__xludf.DUMMYFUNCTION("""COMPUTED_VALUE"""),"100")</f>
        <v>100</v>
      </c>
      <c r="G915">
        <f>IFERROR(__xludf.DUMMYFUNCTION("""COMPUTED_VALUE"""),0.0)</f>
        <v>0</v>
      </c>
      <c r="H915" s="5">
        <f>IFERROR(__xludf.DUMMYFUNCTION("""COMPUTED_VALUE"""),0.11597222222189885)</f>
        <v>0.1159722222</v>
      </c>
    </row>
    <row r="916">
      <c r="A916" t="str">
        <f>IFERROR(__xludf.DUMMYFUNCTION("""COMPUTED_VALUE"""),"Finland")</f>
        <v>Finland</v>
      </c>
      <c r="B916" t="str">
        <f>IFERROR(__xludf.DUMMYFUNCTION("""COMPUTED_VALUE"""),"Europe")</f>
        <v>Europe</v>
      </c>
      <c r="C916">
        <f>IFERROR(__xludf.DUMMYFUNCTION("""COMPUTED_VALUE"""),15.0)</f>
        <v>15</v>
      </c>
      <c r="D916" t="str">
        <f>IFERROR(__xludf.DUMMYFUNCTION("""COMPUTED_VALUE"""),"Boss Bitch")</f>
        <v>Boss Bitch</v>
      </c>
      <c r="E916" t="str">
        <f>IFERROR(__xludf.DUMMYFUNCTION("""COMPUTED_VALUE"""),"Doja Cat")</f>
        <v>Doja Cat</v>
      </c>
      <c r="F916" t="str">
        <f>IFERROR(__xludf.DUMMYFUNCTION("""COMPUTED_VALUE"""),"Boss Bitch")</f>
        <v>Boss Bitch</v>
      </c>
      <c r="G916">
        <f>IFERROR(__xludf.DUMMYFUNCTION("""COMPUTED_VALUE"""),0.0)</f>
        <v>0</v>
      </c>
      <c r="H916" s="5">
        <f>IFERROR(__xludf.DUMMYFUNCTION("""COMPUTED_VALUE"""),0.0930555555569299)</f>
        <v>0.09305555556</v>
      </c>
    </row>
    <row r="917">
      <c r="A917" t="str">
        <f>IFERROR(__xludf.DUMMYFUNCTION("""COMPUTED_VALUE"""),"Finland")</f>
        <v>Finland</v>
      </c>
      <c r="B917" t="str">
        <f>IFERROR(__xludf.DUMMYFUNCTION("""COMPUTED_VALUE"""),"Europe")</f>
        <v>Europe</v>
      </c>
      <c r="C917">
        <f>IFERROR(__xludf.DUMMYFUNCTION("""COMPUTED_VALUE"""),16.0)</f>
        <v>16</v>
      </c>
      <c r="D917" t="str">
        <f>IFERROR(__xludf.DUMMYFUNCTION("""COMPUTED_VALUE"""),"Epäröimättä hetkeekään")</f>
        <v>Epäröimättä hetkeekään</v>
      </c>
      <c r="E917" t="str">
        <f>IFERROR(__xludf.DUMMYFUNCTION("""COMPUTED_VALUE"""),"Elastinen, Jenni Vartiainen")</f>
        <v>Elastinen, Jenni Vartiainen</v>
      </c>
      <c r="F917" t="str">
        <f>IFERROR(__xludf.DUMMYFUNCTION("""COMPUTED_VALUE"""),"Epäröimättä hetkeekään")</f>
        <v>Epäröimättä hetkeekään</v>
      </c>
      <c r="G917">
        <f>IFERROR(__xludf.DUMMYFUNCTION("""COMPUTED_VALUE"""),0.0)</f>
        <v>0</v>
      </c>
      <c r="H917" s="5">
        <f>IFERROR(__xludf.DUMMYFUNCTION("""COMPUTED_VALUE"""),0.13888888889050577)</f>
        <v>0.1388888889</v>
      </c>
    </row>
    <row r="918">
      <c r="A918" t="str">
        <f>IFERROR(__xludf.DUMMYFUNCTION("""COMPUTED_VALUE"""),"Finland")</f>
        <v>Finland</v>
      </c>
      <c r="B918" t="str">
        <f>IFERROR(__xludf.DUMMYFUNCTION("""COMPUTED_VALUE"""),"Europe")</f>
        <v>Europe</v>
      </c>
      <c r="C918">
        <f>IFERROR(__xludf.DUMMYFUNCTION("""COMPUTED_VALUE"""),17.0)</f>
        <v>17</v>
      </c>
      <c r="D918" t="str">
        <f>IFERROR(__xludf.DUMMYFUNCTION("""COMPUTED_VALUE"""),"THE SCOTTS")</f>
        <v>THE SCOTTS</v>
      </c>
      <c r="E918" t="str">
        <f>IFERROR(__xludf.DUMMYFUNCTION("""COMPUTED_VALUE"""),"THE SCOTTS, Travis Scott, Kid Cudi")</f>
        <v>THE SCOTTS, Travis Scott, Kid Cudi</v>
      </c>
      <c r="F918" t="str">
        <f>IFERROR(__xludf.DUMMYFUNCTION("""COMPUTED_VALUE"""),"THE SCOTTS")</f>
        <v>THE SCOTTS</v>
      </c>
      <c r="G918">
        <f>IFERROR(__xludf.DUMMYFUNCTION("""COMPUTED_VALUE"""),1.0)</f>
        <v>1</v>
      </c>
      <c r="H918" s="5">
        <f>IFERROR(__xludf.DUMMYFUNCTION("""COMPUTED_VALUE"""),0.11458333333212067)</f>
        <v>0.1145833333</v>
      </c>
    </row>
    <row r="919">
      <c r="A919" t="str">
        <f>IFERROR(__xludf.DUMMYFUNCTION("""COMPUTED_VALUE"""),"Finland")</f>
        <v>Finland</v>
      </c>
      <c r="B919" t="str">
        <f>IFERROR(__xludf.DUMMYFUNCTION("""COMPUTED_VALUE"""),"Europe")</f>
        <v>Europe</v>
      </c>
      <c r="C919">
        <f>IFERROR(__xludf.DUMMYFUNCTION("""COMPUTED_VALUE"""),18.0)</f>
        <v>18</v>
      </c>
      <c r="D919" t="str">
        <f>IFERROR(__xludf.DUMMYFUNCTION("""COMPUTED_VALUE"""),"Breaking Me")</f>
        <v>Breaking Me</v>
      </c>
      <c r="E919" t="str">
        <f>IFERROR(__xludf.DUMMYFUNCTION("""COMPUTED_VALUE"""),"Topic, A7S")</f>
        <v>Topic, A7S</v>
      </c>
      <c r="F919" t="str">
        <f>IFERROR(__xludf.DUMMYFUNCTION("""COMPUTED_VALUE"""),"Breaking Me")</f>
        <v>Breaking Me</v>
      </c>
      <c r="G919">
        <f>IFERROR(__xludf.DUMMYFUNCTION("""COMPUTED_VALUE"""),0.0)</f>
        <v>0</v>
      </c>
      <c r="H919" s="5">
        <f>IFERROR(__xludf.DUMMYFUNCTION("""COMPUTED_VALUE"""),0.11527777777882875)</f>
        <v>0.1152777778</v>
      </c>
    </row>
    <row r="920">
      <c r="A920" t="str">
        <f>IFERROR(__xludf.DUMMYFUNCTION("""COMPUTED_VALUE"""),"Finland")</f>
        <v>Finland</v>
      </c>
      <c r="B920" t="str">
        <f>IFERROR(__xludf.DUMMYFUNCTION("""COMPUTED_VALUE"""),"Europe")</f>
        <v>Europe</v>
      </c>
      <c r="C920">
        <f>IFERROR(__xludf.DUMMYFUNCTION("""COMPUTED_VALUE"""),19.0)</f>
        <v>19</v>
      </c>
      <c r="D920" t="str">
        <f>IFERROR(__xludf.DUMMYFUNCTION("""COMPUTED_VALUE"""),"Kings &amp; Queens")</f>
        <v>Kings &amp; Queens</v>
      </c>
      <c r="E920" t="str">
        <f>IFERROR(__xludf.DUMMYFUNCTION("""COMPUTED_VALUE"""),"Ava Max")</f>
        <v>Ava Max</v>
      </c>
      <c r="F920" t="str">
        <f>IFERROR(__xludf.DUMMYFUNCTION("""COMPUTED_VALUE"""),"Kings &amp; Queens")</f>
        <v>Kings &amp; Queens</v>
      </c>
      <c r="G920">
        <f>IFERROR(__xludf.DUMMYFUNCTION("""COMPUTED_VALUE"""),0.0)</f>
        <v>0</v>
      </c>
      <c r="H920" s="5">
        <f>IFERROR(__xludf.DUMMYFUNCTION("""COMPUTED_VALUE"""),0.1124999999992724)</f>
        <v>0.1125</v>
      </c>
    </row>
    <row r="921">
      <c r="A921" t="str">
        <f>IFERROR(__xludf.DUMMYFUNCTION("""COMPUTED_VALUE"""),"Finland")</f>
        <v>Finland</v>
      </c>
      <c r="B921" t="str">
        <f>IFERROR(__xludf.DUMMYFUNCTION("""COMPUTED_VALUE"""),"Europe")</f>
        <v>Europe</v>
      </c>
      <c r="C921">
        <f>IFERROR(__xludf.DUMMYFUNCTION("""COMPUTED_VALUE"""),20.0)</f>
        <v>20</v>
      </c>
      <c r="D921" t="str">
        <f>IFERROR(__xludf.DUMMYFUNCTION("""COMPUTED_VALUE"""),"Hei rakas")</f>
        <v>Hei rakas</v>
      </c>
      <c r="E921" t="str">
        <f>IFERROR(__xludf.DUMMYFUNCTION("""COMPUTED_VALUE"""),"BEHM")</f>
        <v>BEHM</v>
      </c>
      <c r="F921" t="str">
        <f>IFERROR(__xludf.DUMMYFUNCTION("""COMPUTED_VALUE"""),"Hei rakas")</f>
        <v>Hei rakas</v>
      </c>
      <c r="G921">
        <f>IFERROR(__xludf.DUMMYFUNCTION("""COMPUTED_VALUE"""),0.0)</f>
        <v>0</v>
      </c>
      <c r="H921" s="5">
        <f>IFERROR(__xludf.DUMMYFUNCTION("""COMPUTED_VALUE"""),0.14652777777882875)</f>
        <v>0.1465277778</v>
      </c>
    </row>
    <row r="922">
      <c r="A922" t="str">
        <f>IFERROR(__xludf.DUMMYFUNCTION("""COMPUTED_VALUE"""),"Finland")</f>
        <v>Finland</v>
      </c>
      <c r="B922" t="str">
        <f>IFERROR(__xludf.DUMMYFUNCTION("""COMPUTED_VALUE"""),"Europe")</f>
        <v>Europe</v>
      </c>
      <c r="C922">
        <f>IFERROR(__xludf.DUMMYFUNCTION("""COMPUTED_VALUE"""),21.0)</f>
        <v>21</v>
      </c>
      <c r="D922" t="str">
        <f>IFERROR(__xludf.DUMMYFUNCTION("""COMPUTED_VALUE"""),"Thank You [Not So Bad]")</f>
        <v>Thank You [Not So Bad]</v>
      </c>
      <c r="E922" t="str">
        <f>IFERROR(__xludf.DUMMYFUNCTION("""COMPUTED_VALUE"""),"VIZE, Felix Jaehn")</f>
        <v>VIZE, Felix Jaehn</v>
      </c>
      <c r="F922" t="str">
        <f>IFERROR(__xludf.DUMMYFUNCTION("""COMPUTED_VALUE"""),"Thank You [Not So Bad]")</f>
        <v>Thank You [Not So Bad]</v>
      </c>
      <c r="G922">
        <f>IFERROR(__xludf.DUMMYFUNCTION("""COMPUTED_VALUE"""),0.0)</f>
        <v>0</v>
      </c>
      <c r="H922" s="5">
        <f>IFERROR(__xludf.DUMMYFUNCTION("""COMPUTED_VALUE"""),0.13680555555401952)</f>
        <v>0.1368055556</v>
      </c>
    </row>
    <row r="923">
      <c r="A923" t="str">
        <f>IFERROR(__xludf.DUMMYFUNCTION("""COMPUTED_VALUE"""),"Finland")</f>
        <v>Finland</v>
      </c>
      <c r="B923" t="str">
        <f>IFERROR(__xludf.DUMMYFUNCTION("""COMPUTED_VALUE"""),"Europe")</f>
        <v>Europe</v>
      </c>
      <c r="C923">
        <f>IFERROR(__xludf.DUMMYFUNCTION("""COMPUTED_VALUE"""),22.0)</f>
        <v>22</v>
      </c>
      <c r="D923" t="str">
        <f>IFERROR(__xludf.DUMMYFUNCTION("""COMPUTED_VALUE"""),"Ikuinen vappu")</f>
        <v>Ikuinen vappu</v>
      </c>
      <c r="E923" t="str">
        <f>IFERROR(__xludf.DUMMYFUNCTION("""COMPUTED_VALUE"""),"JVG")</f>
        <v>JVG</v>
      </c>
      <c r="F923" t="str">
        <f>IFERROR(__xludf.DUMMYFUNCTION("""COMPUTED_VALUE"""),"RATA/RAITTI")</f>
        <v>RATA/RAITTI</v>
      </c>
      <c r="G923">
        <f>IFERROR(__xludf.DUMMYFUNCTION("""COMPUTED_VALUE"""),0.0)</f>
        <v>0</v>
      </c>
      <c r="H923" s="5">
        <f>IFERROR(__xludf.DUMMYFUNCTION("""COMPUTED_VALUE"""),0.12986111111240461)</f>
        <v>0.1298611111</v>
      </c>
    </row>
    <row r="924">
      <c r="A924" t="str">
        <f>IFERROR(__xludf.DUMMYFUNCTION("""COMPUTED_VALUE"""),"Finland")</f>
        <v>Finland</v>
      </c>
      <c r="B924" t="str">
        <f>IFERROR(__xludf.DUMMYFUNCTION("""COMPUTED_VALUE"""),"Europe")</f>
        <v>Europe</v>
      </c>
      <c r="C924">
        <f>IFERROR(__xludf.DUMMYFUNCTION("""COMPUTED_VALUE"""),23.0)</f>
        <v>23</v>
      </c>
      <c r="D924" t="str">
        <f>IFERROR(__xludf.DUMMYFUNCTION("""COMPUTED_VALUE"""),"Break My Heart")</f>
        <v>Break My Heart</v>
      </c>
      <c r="E924" t="str">
        <f>IFERROR(__xludf.DUMMYFUNCTION("""COMPUTED_VALUE"""),"Dua Lipa")</f>
        <v>Dua Lipa</v>
      </c>
      <c r="F924" t="str">
        <f>IFERROR(__xludf.DUMMYFUNCTION("""COMPUTED_VALUE"""),"Future Nostalgia")</f>
        <v>Future Nostalgia</v>
      </c>
      <c r="G924">
        <f>IFERROR(__xludf.DUMMYFUNCTION("""COMPUTED_VALUE"""),0.0)</f>
        <v>0</v>
      </c>
      <c r="H924" s="5">
        <f>IFERROR(__xludf.DUMMYFUNCTION("""COMPUTED_VALUE"""),0.15347222222044365)</f>
        <v>0.1534722222</v>
      </c>
    </row>
    <row r="925">
      <c r="A925" t="str">
        <f>IFERROR(__xludf.DUMMYFUNCTION("""COMPUTED_VALUE"""),"Finland")</f>
        <v>Finland</v>
      </c>
      <c r="B925" t="str">
        <f>IFERROR(__xludf.DUMMYFUNCTION("""COMPUTED_VALUE"""),"Europe")</f>
        <v>Europe</v>
      </c>
      <c r="C925">
        <f>IFERROR(__xludf.DUMMYFUNCTION("""COMPUTED_VALUE"""),24.0)</f>
        <v>24</v>
      </c>
      <c r="D925" t="str">
        <f>IFERROR(__xludf.DUMMYFUNCTION("""COMPUTED_VALUE"""),"LINKO")</f>
        <v>LINKO</v>
      </c>
      <c r="E925" t="str">
        <f>IFERROR(__xludf.DUMMYFUNCTION("""COMPUTED_VALUE"""),"Lord Est, MEGA-Ertsi")</f>
        <v>Lord Est, MEGA-Ertsi</v>
      </c>
      <c r="F925" t="str">
        <f>IFERROR(__xludf.DUMMYFUNCTION("""COMPUTED_VALUE"""),"LINKO")</f>
        <v>LINKO</v>
      </c>
      <c r="G925">
        <f>IFERROR(__xludf.DUMMYFUNCTION("""COMPUTED_VALUE"""),0.0)</f>
        <v>0</v>
      </c>
      <c r="H925" s="5">
        <f>IFERROR(__xludf.DUMMYFUNCTION("""COMPUTED_VALUE"""),0.13333333333503106)</f>
        <v>0.1333333333</v>
      </c>
    </row>
    <row r="926">
      <c r="A926" t="str">
        <f>IFERROR(__xludf.DUMMYFUNCTION("""COMPUTED_VALUE"""),"Finland")</f>
        <v>Finland</v>
      </c>
      <c r="B926" t="str">
        <f>IFERROR(__xludf.DUMMYFUNCTION("""COMPUTED_VALUE"""),"Europe")</f>
        <v>Europe</v>
      </c>
      <c r="C926">
        <f>IFERROR(__xludf.DUMMYFUNCTION("""COMPUTED_VALUE"""),25.0)</f>
        <v>25</v>
      </c>
      <c r="D926" t="str">
        <f>IFERROR(__xludf.DUMMYFUNCTION("""COMPUTED_VALUE"""),"Blueberry Faygo")</f>
        <v>Blueberry Faygo</v>
      </c>
      <c r="E926" t="str">
        <f>IFERROR(__xludf.DUMMYFUNCTION("""COMPUTED_VALUE"""),"Lil Mosey")</f>
        <v>Lil Mosey</v>
      </c>
      <c r="F926" t="str">
        <f>IFERROR(__xludf.DUMMYFUNCTION("""COMPUTED_VALUE"""),"Certified Hitmaker")</f>
        <v>Certified Hitmaker</v>
      </c>
      <c r="G926">
        <f>IFERROR(__xludf.DUMMYFUNCTION("""COMPUTED_VALUE"""),1.0)</f>
        <v>1</v>
      </c>
      <c r="H926" s="5">
        <f>IFERROR(__xludf.DUMMYFUNCTION("""COMPUTED_VALUE"""),0.1124999999992724)</f>
        <v>0.1125</v>
      </c>
    </row>
    <row r="927">
      <c r="A927" t="str">
        <f>IFERROR(__xludf.DUMMYFUNCTION("""COMPUTED_VALUE"""),"Finland")</f>
        <v>Finland</v>
      </c>
      <c r="B927" t="str">
        <f>IFERROR(__xludf.DUMMYFUNCTION("""COMPUTED_VALUE"""),"Europe")</f>
        <v>Europe</v>
      </c>
      <c r="C927">
        <f>IFERROR(__xludf.DUMMYFUNCTION("""COMPUTED_VALUE"""),26.0)</f>
        <v>26</v>
      </c>
      <c r="D927" t="str">
        <f>IFERROR(__xludf.DUMMYFUNCTION("""COMPUTED_VALUE"""),"Tuhansien Lärvien Maa")</f>
        <v>Tuhansien Lärvien Maa</v>
      </c>
      <c r="E927" t="str">
        <f>IFERROR(__xludf.DUMMYFUNCTION("""COMPUTED_VALUE"""),"Petri Nygård")</f>
        <v>Petri Nygård</v>
      </c>
      <c r="F927" t="str">
        <f>IFERROR(__xludf.DUMMYFUNCTION("""COMPUTED_VALUE"""),"Tuhansien Lärvien Maa")</f>
        <v>Tuhansien Lärvien Maa</v>
      </c>
      <c r="G927">
        <f>IFERROR(__xludf.DUMMYFUNCTION("""COMPUTED_VALUE"""),0.0)</f>
        <v>0</v>
      </c>
      <c r="H927" s="5">
        <f>IFERROR(__xludf.DUMMYFUNCTION("""COMPUTED_VALUE"""),0.10902777777664596)</f>
        <v>0.1090277778</v>
      </c>
    </row>
    <row r="928">
      <c r="A928" t="str">
        <f>IFERROR(__xludf.DUMMYFUNCTION("""COMPUTED_VALUE"""),"Finland")</f>
        <v>Finland</v>
      </c>
      <c r="B928" t="str">
        <f>IFERROR(__xludf.DUMMYFUNCTION("""COMPUTED_VALUE"""),"Europe")</f>
        <v>Europe</v>
      </c>
      <c r="C928">
        <f>IFERROR(__xludf.DUMMYFUNCTION("""COMPUTED_VALUE"""),27.0)</f>
        <v>27</v>
      </c>
      <c r="D928" t="str">
        <f>IFERROR(__xludf.DUMMYFUNCTION("""COMPUTED_VALUE"""),"Supalonely")</f>
        <v>Supalonely</v>
      </c>
      <c r="E928" t="str">
        <f>IFERROR(__xludf.DUMMYFUNCTION("""COMPUTED_VALUE"""),"BENEE, Gus Dapperton")</f>
        <v>BENEE, Gus Dapperton</v>
      </c>
      <c r="F928" t="str">
        <f>IFERROR(__xludf.DUMMYFUNCTION("""COMPUTED_VALUE"""),"STELLA &amp; STEVE")</f>
        <v>STELLA &amp; STEVE</v>
      </c>
      <c r="G928">
        <f>IFERROR(__xludf.DUMMYFUNCTION("""COMPUTED_VALUE"""),1.0)</f>
        <v>1</v>
      </c>
      <c r="H928" s="5">
        <f>IFERROR(__xludf.DUMMYFUNCTION("""COMPUTED_VALUE"""),0.15486111111022183)</f>
        <v>0.1548611111</v>
      </c>
    </row>
    <row r="929">
      <c r="A929" t="str">
        <f>IFERROR(__xludf.DUMMYFUNCTION("""COMPUTED_VALUE"""),"Finland")</f>
        <v>Finland</v>
      </c>
      <c r="B929" t="str">
        <f>IFERROR(__xludf.DUMMYFUNCTION("""COMPUTED_VALUE"""),"Europe")</f>
        <v>Europe</v>
      </c>
      <c r="C929">
        <f>IFERROR(__xludf.DUMMYFUNCTION("""COMPUTED_VALUE"""),28.0)</f>
        <v>28</v>
      </c>
      <c r="D929" t="str">
        <f>IFERROR(__xludf.DUMMYFUNCTION("""COMPUTED_VALUE"""),"Parempi yksin - Recorded At Spotify Studios, Stockholm")</f>
        <v>Parempi yksin - Recorded At Spotify Studios, Stockholm</v>
      </c>
      <c r="E929" t="str">
        <f>IFERROR(__xludf.DUMMYFUNCTION("""COMPUTED_VALUE"""),"Pyhimys")</f>
        <v>Pyhimys</v>
      </c>
      <c r="F929" t="str">
        <f>IFERROR(__xludf.DUMMYFUNCTION("""COMPUTED_VALUE"""),"Spotify Singles")</f>
        <v>Spotify Singles</v>
      </c>
      <c r="G929">
        <f>IFERROR(__xludf.DUMMYFUNCTION("""COMPUTED_VALUE"""),0.0)</f>
        <v>0</v>
      </c>
      <c r="H929" s="5">
        <f>IFERROR(__xludf.DUMMYFUNCTION("""COMPUTED_VALUE"""),0.12638888888977817)</f>
        <v>0.1263888889</v>
      </c>
    </row>
    <row r="930">
      <c r="A930" t="str">
        <f>IFERROR(__xludf.DUMMYFUNCTION("""COMPUTED_VALUE"""),"Finland")</f>
        <v>Finland</v>
      </c>
      <c r="B930" t="str">
        <f>IFERROR(__xludf.DUMMYFUNCTION("""COMPUTED_VALUE"""),"Europe")</f>
        <v>Europe</v>
      </c>
      <c r="C930">
        <f>IFERROR(__xludf.DUMMYFUNCTION("""COMPUTED_VALUE"""),29.0)</f>
        <v>29</v>
      </c>
      <c r="D930" t="str">
        <f>IFERROR(__xludf.DUMMYFUNCTION("""COMPUTED_VALUE"""),"Stuck with U (with Justin Bieber)")</f>
        <v>Stuck with U (with Justin Bieber)</v>
      </c>
      <c r="E930" t="str">
        <f>IFERROR(__xludf.DUMMYFUNCTION("""COMPUTED_VALUE"""),"Ariana Grande, Justin Bieber")</f>
        <v>Ariana Grande, Justin Bieber</v>
      </c>
      <c r="F930" t="str">
        <f>IFERROR(__xludf.DUMMYFUNCTION("""COMPUTED_VALUE"""),"Stuck with U")</f>
        <v>Stuck with U</v>
      </c>
      <c r="G930">
        <f>IFERROR(__xludf.DUMMYFUNCTION("""COMPUTED_VALUE"""),0.0)</f>
        <v>0</v>
      </c>
      <c r="H930" s="5">
        <f>IFERROR(__xludf.DUMMYFUNCTION("""COMPUTED_VALUE"""),0.15833333333284827)</f>
        <v>0.1583333333</v>
      </c>
    </row>
    <row r="931">
      <c r="A931" t="str">
        <f>IFERROR(__xludf.DUMMYFUNCTION("""COMPUTED_VALUE"""),"Finland")</f>
        <v>Finland</v>
      </c>
      <c r="B931" t="str">
        <f>IFERROR(__xludf.DUMMYFUNCTION("""COMPUTED_VALUE"""),"Europe")</f>
        <v>Europe</v>
      </c>
      <c r="C931">
        <f>IFERROR(__xludf.DUMMYFUNCTION("""COMPUTED_VALUE"""),30.0)</f>
        <v>30</v>
      </c>
      <c r="D931" t="str">
        <f>IFERROR(__xludf.DUMMYFUNCTION("""COMPUTED_VALUE"""),"In Your Eyes")</f>
        <v>In Your Eyes</v>
      </c>
      <c r="E931" t="str">
        <f>IFERROR(__xludf.DUMMYFUNCTION("""COMPUTED_VALUE"""),"The Weeknd")</f>
        <v>The Weeknd</v>
      </c>
      <c r="F931" t="str">
        <f>IFERROR(__xludf.DUMMYFUNCTION("""COMPUTED_VALUE"""),"After Hours")</f>
        <v>After Hours</v>
      </c>
      <c r="G931">
        <f>IFERROR(__xludf.DUMMYFUNCTION("""COMPUTED_VALUE"""),1.0)</f>
        <v>1</v>
      </c>
      <c r="H931" s="5">
        <f>IFERROR(__xludf.DUMMYFUNCTION("""COMPUTED_VALUE"""),0.16458333333503106)</f>
        <v>0.1645833333</v>
      </c>
    </row>
    <row r="932">
      <c r="A932" t="str">
        <f>IFERROR(__xludf.DUMMYFUNCTION("""COMPUTED_VALUE"""),"Finland")</f>
        <v>Finland</v>
      </c>
      <c r="B932" t="str">
        <f>IFERROR(__xludf.DUMMYFUNCTION("""COMPUTED_VALUE"""),"Europe")</f>
        <v>Europe</v>
      </c>
      <c r="C932">
        <f>IFERROR(__xludf.DUMMYFUNCTION("""COMPUTED_VALUE"""),31.0)</f>
        <v>31</v>
      </c>
      <c r="D932" t="str">
        <f>IFERROR(__xludf.DUMMYFUNCTION("""COMPUTED_VALUE"""),"Valonsäteet")</f>
        <v>Valonsäteet</v>
      </c>
      <c r="E932" t="str">
        <f>IFERROR(__xludf.DUMMYFUNCTION("""COMPUTED_VALUE"""),"Vesta")</f>
        <v>Vesta</v>
      </c>
      <c r="F932" t="str">
        <f>IFERROR(__xludf.DUMMYFUNCTION("""COMPUTED_VALUE"""),"Valonsäteet")</f>
        <v>Valonsäteet</v>
      </c>
      <c r="G932">
        <f>IFERROR(__xludf.DUMMYFUNCTION("""COMPUTED_VALUE"""),0.0)</f>
        <v>0</v>
      </c>
      <c r="H932" s="5">
        <f>IFERROR(__xludf.DUMMYFUNCTION("""COMPUTED_VALUE"""),0.15902777777955635)</f>
        <v>0.1590277778</v>
      </c>
    </row>
    <row r="933">
      <c r="A933" t="str">
        <f>IFERROR(__xludf.DUMMYFUNCTION("""COMPUTED_VALUE"""),"Finland")</f>
        <v>Finland</v>
      </c>
      <c r="B933" t="str">
        <f>IFERROR(__xludf.DUMMYFUNCTION("""COMPUTED_VALUE"""),"Europe")</f>
        <v>Europe</v>
      </c>
      <c r="C933">
        <f>IFERROR(__xludf.DUMMYFUNCTION("""COMPUTED_VALUE"""),32.0)</f>
        <v>32</v>
      </c>
      <c r="D933" t="str">
        <f>IFERROR(__xludf.DUMMYFUNCTION("""COMPUTED_VALUE"""),"Komm Komm")</f>
        <v>Komm Komm</v>
      </c>
      <c r="E933" t="str">
        <f>IFERROR(__xludf.DUMMYFUNCTION("""COMPUTED_VALUE"""),"Capital Bra")</f>
        <v>Capital Bra</v>
      </c>
      <c r="F933" t="str">
        <f>IFERROR(__xludf.DUMMYFUNCTION("""COMPUTED_VALUE"""),"Komm Komm")</f>
        <v>Komm Komm</v>
      </c>
      <c r="G933">
        <f>IFERROR(__xludf.DUMMYFUNCTION("""COMPUTED_VALUE"""),0.0)</f>
        <v>0</v>
      </c>
      <c r="H933" s="5">
        <f>IFERROR(__xludf.DUMMYFUNCTION("""COMPUTED_VALUE"""),0.11111111110949423)</f>
        <v>0.1111111111</v>
      </c>
    </row>
    <row r="934">
      <c r="A934" t="str">
        <f>IFERROR(__xludf.DUMMYFUNCTION("""COMPUTED_VALUE"""),"Finland")</f>
        <v>Finland</v>
      </c>
      <c r="B934" t="str">
        <f>IFERROR(__xludf.DUMMYFUNCTION("""COMPUTED_VALUE"""),"Europe")</f>
        <v>Europe</v>
      </c>
      <c r="C934">
        <f>IFERROR(__xludf.DUMMYFUNCTION("""COMPUTED_VALUE"""),33.0)</f>
        <v>33</v>
      </c>
      <c r="D934" t="str">
        <f>IFERROR(__xludf.DUMMYFUNCTION("""COMPUTED_VALUE"""),"Toosie Slide")</f>
        <v>Toosie Slide</v>
      </c>
      <c r="E934" t="str">
        <f>IFERROR(__xludf.DUMMYFUNCTION("""COMPUTED_VALUE"""),"Drake")</f>
        <v>Drake</v>
      </c>
      <c r="F934" t="str">
        <f>IFERROR(__xludf.DUMMYFUNCTION("""COMPUTED_VALUE"""),"Dark Lane Demo Tapes")</f>
        <v>Dark Lane Demo Tapes</v>
      </c>
      <c r="G934">
        <f>IFERROR(__xludf.DUMMYFUNCTION("""COMPUTED_VALUE"""),1.0)</f>
        <v>1</v>
      </c>
      <c r="H934" s="5">
        <f>IFERROR(__xludf.DUMMYFUNCTION("""COMPUTED_VALUE"""),0.17152777777664596)</f>
        <v>0.1715277778</v>
      </c>
    </row>
    <row r="935">
      <c r="A935" t="str">
        <f>IFERROR(__xludf.DUMMYFUNCTION("""COMPUTED_VALUE"""),"Finland")</f>
        <v>Finland</v>
      </c>
      <c r="B935" t="str">
        <f>IFERROR(__xludf.DUMMYFUNCTION("""COMPUTED_VALUE"""),"Europe")</f>
        <v>Europe</v>
      </c>
      <c r="C935">
        <f>IFERROR(__xludf.DUMMYFUNCTION("""COMPUTED_VALUE"""),34.0)</f>
        <v>34</v>
      </c>
      <c r="D935" t="str">
        <f>IFERROR(__xludf.DUMMYFUNCTION("""COMPUTED_VALUE"""),"Hengitä")</f>
        <v>Hengitä</v>
      </c>
      <c r="E935" t="str">
        <f>IFERROR(__xludf.DUMMYFUNCTION("""COMPUTED_VALUE"""),"Tuure Boelius")</f>
        <v>Tuure Boelius</v>
      </c>
      <c r="F935" t="str">
        <f>IFERROR(__xludf.DUMMYFUNCTION("""COMPUTED_VALUE"""),"Hengitä")</f>
        <v>Hengitä</v>
      </c>
      <c r="G935">
        <f>IFERROR(__xludf.DUMMYFUNCTION("""COMPUTED_VALUE"""),0.0)</f>
        <v>0</v>
      </c>
      <c r="H935" s="5">
        <f>IFERROR(__xludf.DUMMYFUNCTION("""COMPUTED_VALUE"""),0.11111111110949423)</f>
        <v>0.1111111111</v>
      </c>
    </row>
    <row r="936">
      <c r="A936" t="str">
        <f>IFERROR(__xludf.DUMMYFUNCTION("""COMPUTED_VALUE"""),"Finland")</f>
        <v>Finland</v>
      </c>
      <c r="B936" t="str">
        <f>IFERROR(__xludf.DUMMYFUNCTION("""COMPUTED_VALUE"""),"Europe")</f>
        <v>Europe</v>
      </c>
      <c r="C936">
        <f>IFERROR(__xludf.DUMMYFUNCTION("""COMPUTED_VALUE"""),35.0)</f>
        <v>35</v>
      </c>
      <c r="D936" t="str">
        <f>IFERROR(__xludf.DUMMYFUNCTION("""COMPUTED_VALUE"""),"Salt")</f>
        <v>Salt</v>
      </c>
      <c r="E936" t="str">
        <f>IFERROR(__xludf.DUMMYFUNCTION("""COMPUTED_VALUE"""),"Ava Max")</f>
        <v>Ava Max</v>
      </c>
      <c r="F936" t="str">
        <f>IFERROR(__xludf.DUMMYFUNCTION("""COMPUTED_VALUE"""),"Salt")</f>
        <v>Salt</v>
      </c>
      <c r="G936">
        <f>IFERROR(__xludf.DUMMYFUNCTION("""COMPUTED_VALUE"""),0.0)</f>
        <v>0</v>
      </c>
      <c r="H936" s="5">
        <f>IFERROR(__xludf.DUMMYFUNCTION("""COMPUTED_VALUE"""),0.125)</f>
        <v>0.125</v>
      </c>
    </row>
    <row r="937">
      <c r="A937" t="str">
        <f>IFERROR(__xludf.DUMMYFUNCTION("""COMPUTED_VALUE"""),"Finland")</f>
        <v>Finland</v>
      </c>
      <c r="B937" t="str">
        <f>IFERROR(__xludf.DUMMYFUNCTION("""COMPUTED_VALUE"""),"Europe")</f>
        <v>Europe</v>
      </c>
      <c r="C937">
        <f>IFERROR(__xludf.DUMMYFUNCTION("""COMPUTED_VALUE"""),36.0)</f>
        <v>36</v>
      </c>
      <c r="D937" t="str">
        <f>IFERROR(__xludf.DUMMYFUNCTION("""COMPUTED_VALUE"""),"Teipillä tai rakkaudella")</f>
        <v>Teipillä tai rakkaudella</v>
      </c>
      <c r="E937" t="str">
        <f>IFERROR(__xludf.DUMMYFUNCTION("""COMPUTED_VALUE"""),"ABREU")</f>
        <v>ABREU</v>
      </c>
      <c r="F937" t="str">
        <f>IFERROR(__xludf.DUMMYFUNCTION("""COMPUTED_VALUE"""),"Teipillä tai rakkaudella")</f>
        <v>Teipillä tai rakkaudella</v>
      </c>
      <c r="G937">
        <f>IFERROR(__xludf.DUMMYFUNCTION("""COMPUTED_VALUE"""),0.0)</f>
        <v>0</v>
      </c>
      <c r="H937" s="5">
        <f>IFERROR(__xludf.DUMMYFUNCTION("""COMPUTED_VALUE"""),0.13541666666787933)</f>
        <v>0.1354166667</v>
      </c>
    </row>
    <row r="938">
      <c r="A938" t="str">
        <f>IFERROR(__xludf.DUMMYFUNCTION("""COMPUTED_VALUE"""),"Finland")</f>
        <v>Finland</v>
      </c>
      <c r="B938" t="str">
        <f>IFERROR(__xludf.DUMMYFUNCTION("""COMPUTED_VALUE"""),"Europe")</f>
        <v>Europe</v>
      </c>
      <c r="C938">
        <f>IFERROR(__xludf.DUMMYFUNCTION("""COMPUTED_VALUE"""),37.0)</f>
        <v>37</v>
      </c>
      <c r="D938" t="str">
        <f>IFERROR(__xludf.DUMMYFUNCTION("""COMPUTED_VALUE"""),"Lose Somebody")</f>
        <v>Lose Somebody</v>
      </c>
      <c r="E938" t="str">
        <f>IFERROR(__xludf.DUMMYFUNCTION("""COMPUTED_VALUE"""),"Kygo, OneRepublic")</f>
        <v>Kygo, OneRepublic</v>
      </c>
      <c r="F938" t="str">
        <f>IFERROR(__xludf.DUMMYFUNCTION("""COMPUTED_VALUE"""),"Lose Somebody")</f>
        <v>Lose Somebody</v>
      </c>
      <c r="G938">
        <f>IFERROR(__xludf.DUMMYFUNCTION("""COMPUTED_VALUE"""),0.0)</f>
        <v>0</v>
      </c>
      <c r="H938" s="5">
        <f>IFERROR(__xludf.DUMMYFUNCTION("""COMPUTED_VALUE"""),0.1381944444437977)</f>
        <v>0.1381944444</v>
      </c>
    </row>
    <row r="939">
      <c r="A939" t="str">
        <f>IFERROR(__xludf.DUMMYFUNCTION("""COMPUTED_VALUE"""),"Finland")</f>
        <v>Finland</v>
      </c>
      <c r="B939" t="str">
        <f>IFERROR(__xludf.DUMMYFUNCTION("""COMPUTED_VALUE"""),"Europe")</f>
        <v>Europe</v>
      </c>
      <c r="C939">
        <f>IFERROR(__xludf.DUMMYFUNCTION("""COMPUTED_VALUE"""),38.0)</f>
        <v>38</v>
      </c>
      <c r="D939" t="str">
        <f>IFERROR(__xludf.DUMMYFUNCTION("""COMPUTED_VALUE"""),"Dance Monkey")</f>
        <v>Dance Monkey</v>
      </c>
      <c r="E939" t="str">
        <f>IFERROR(__xludf.DUMMYFUNCTION("""COMPUTED_VALUE"""),"Tones And I")</f>
        <v>Tones And I</v>
      </c>
      <c r="F939" t="str">
        <f>IFERROR(__xludf.DUMMYFUNCTION("""COMPUTED_VALUE"""),"Dance Monkey (Stripped Back) / Dance Monkey")</f>
        <v>Dance Monkey (Stripped Back) / Dance Monkey</v>
      </c>
      <c r="G939">
        <f>IFERROR(__xludf.DUMMYFUNCTION("""COMPUTED_VALUE"""),0.0)</f>
        <v>0</v>
      </c>
      <c r="H939" s="5">
        <f>IFERROR(__xludf.DUMMYFUNCTION("""COMPUTED_VALUE"""),0.14513888888905058)</f>
        <v>0.1451388889</v>
      </c>
    </row>
    <row r="940">
      <c r="A940" t="str">
        <f>IFERROR(__xludf.DUMMYFUNCTION("""COMPUTED_VALUE"""),"Finland")</f>
        <v>Finland</v>
      </c>
      <c r="B940" t="str">
        <f>IFERROR(__xludf.DUMMYFUNCTION("""COMPUTED_VALUE"""),"Europe")</f>
        <v>Europe</v>
      </c>
      <c r="C940">
        <f>IFERROR(__xludf.DUMMYFUNCTION("""COMPUTED_VALUE"""),39.0)</f>
        <v>39</v>
      </c>
      <c r="D940" t="str">
        <f>IFERROR(__xludf.DUMMYFUNCTION("""COMPUTED_VALUE"""),"Play Date")</f>
        <v>Play Date</v>
      </c>
      <c r="E940" t="str">
        <f>IFERROR(__xludf.DUMMYFUNCTION("""COMPUTED_VALUE"""),"Melanie Martinez")</f>
        <v>Melanie Martinez</v>
      </c>
      <c r="F940" t="str">
        <f>IFERROR(__xludf.DUMMYFUNCTION("""COMPUTED_VALUE"""),"Cry Baby (Deluxe Edition)")</f>
        <v>Cry Baby (Deluxe Edition)</v>
      </c>
      <c r="G940">
        <f>IFERROR(__xludf.DUMMYFUNCTION("""COMPUTED_VALUE"""),1.0)</f>
        <v>1</v>
      </c>
      <c r="H940" s="5">
        <f>IFERROR(__xludf.DUMMYFUNCTION("""COMPUTED_VALUE"""),0.1243055555569299)</f>
        <v>0.1243055556</v>
      </c>
    </row>
    <row r="941">
      <c r="A941" t="str">
        <f>IFERROR(__xludf.DUMMYFUNCTION("""COMPUTED_VALUE"""),"Finland")</f>
        <v>Finland</v>
      </c>
      <c r="B941" t="str">
        <f>IFERROR(__xludf.DUMMYFUNCTION("""COMPUTED_VALUE"""),"Europe")</f>
        <v>Europe</v>
      </c>
      <c r="C941">
        <f>IFERROR(__xludf.DUMMYFUNCTION("""COMPUTED_VALUE"""),40.0)</f>
        <v>40</v>
      </c>
      <c r="D941" t="str">
        <f>IFERROR(__xludf.DUMMYFUNCTION("""COMPUTED_VALUE"""),"death bed (coffee for your head) (feat. beabadoobee)")</f>
        <v>death bed (coffee for your head) (feat. beabadoobee)</v>
      </c>
      <c r="E941" t="str">
        <f>IFERROR(__xludf.DUMMYFUNCTION("""COMPUTED_VALUE"""),"Powfu, beabadoobee")</f>
        <v>Powfu, beabadoobee</v>
      </c>
      <c r="F941" t="str">
        <f>IFERROR(__xludf.DUMMYFUNCTION("""COMPUTED_VALUE"""),"death bed (coffee for your head) (feat. beabadoobee)")</f>
        <v>death bed (coffee for your head) (feat. beabadoobee)</v>
      </c>
      <c r="G941">
        <f>IFERROR(__xludf.DUMMYFUNCTION("""COMPUTED_VALUE"""),0.0)</f>
        <v>0</v>
      </c>
      <c r="H941" s="5">
        <f>IFERROR(__xludf.DUMMYFUNCTION("""COMPUTED_VALUE"""),0.12013888888759539)</f>
        <v>0.1201388889</v>
      </c>
    </row>
    <row r="942">
      <c r="A942" t="str">
        <f>IFERROR(__xludf.DUMMYFUNCTION("""COMPUTED_VALUE"""),"Finland")</f>
        <v>Finland</v>
      </c>
      <c r="B942" t="str">
        <f>IFERROR(__xludf.DUMMYFUNCTION("""COMPUTED_VALUE"""),"Europe")</f>
        <v>Europe</v>
      </c>
      <c r="C942">
        <f>IFERROR(__xludf.DUMMYFUNCTION("""COMPUTED_VALUE"""),41.0)</f>
        <v>41</v>
      </c>
      <c r="D942" t="str">
        <f>IFERROR(__xludf.DUMMYFUNCTION("""COMPUTED_VALUE"""),"LA Money")</f>
        <v>LA Money</v>
      </c>
      <c r="E942" t="str">
        <f>IFERROR(__xludf.DUMMYFUNCTION("""COMPUTED_VALUE"""),"ALMA")</f>
        <v>ALMA</v>
      </c>
      <c r="F942" t="str">
        <f>IFERROR(__xludf.DUMMYFUNCTION("""COMPUTED_VALUE"""),"Have U Seen Her?")</f>
        <v>Have U Seen Her?</v>
      </c>
      <c r="G942">
        <f>IFERROR(__xludf.DUMMYFUNCTION("""COMPUTED_VALUE"""),1.0)</f>
        <v>1</v>
      </c>
      <c r="H942" s="5">
        <f>IFERROR(__xludf.DUMMYFUNCTION("""COMPUTED_VALUE"""),0.12013888888759539)</f>
        <v>0.1201388889</v>
      </c>
    </row>
    <row r="943">
      <c r="A943" t="str">
        <f>IFERROR(__xludf.DUMMYFUNCTION("""COMPUTED_VALUE"""),"Finland")</f>
        <v>Finland</v>
      </c>
      <c r="B943" t="str">
        <f>IFERROR(__xludf.DUMMYFUNCTION("""COMPUTED_VALUE"""),"Europe")</f>
        <v>Europe</v>
      </c>
      <c r="C943">
        <f>IFERROR(__xludf.DUMMYFUNCTION("""COMPUTED_VALUE"""),42.0)</f>
        <v>42</v>
      </c>
      <c r="D943" t="str">
        <f>IFERROR(__xludf.DUMMYFUNCTION("""COMPUTED_VALUE"""),"ily (i love you baby) (feat. Emilee)")</f>
        <v>ily (i love you baby) (feat. Emilee)</v>
      </c>
      <c r="E943" t="str">
        <f>IFERROR(__xludf.DUMMYFUNCTION("""COMPUTED_VALUE"""),"Surf Mesa, Emilee")</f>
        <v>Surf Mesa, Emilee</v>
      </c>
      <c r="F943" t="str">
        <f>IFERROR(__xludf.DUMMYFUNCTION("""COMPUTED_VALUE"""),"ily (i love you baby) (feat. Emilee)")</f>
        <v>ily (i love you baby) (feat. Emilee)</v>
      </c>
      <c r="G943">
        <f>IFERROR(__xludf.DUMMYFUNCTION("""COMPUTED_VALUE"""),0.0)</f>
        <v>0</v>
      </c>
      <c r="H943" s="5">
        <f>IFERROR(__xludf.DUMMYFUNCTION("""COMPUTED_VALUE"""),0.12222222222044365)</f>
        <v>0.1222222222</v>
      </c>
    </row>
    <row r="944">
      <c r="A944" t="str">
        <f>IFERROR(__xludf.DUMMYFUNCTION("""COMPUTED_VALUE"""),"Finland")</f>
        <v>Finland</v>
      </c>
      <c r="B944" t="str">
        <f>IFERROR(__xludf.DUMMYFUNCTION("""COMPUTED_VALUE"""),"Europe")</f>
        <v>Europe</v>
      </c>
      <c r="C944">
        <f>IFERROR(__xludf.DUMMYFUNCTION("""COMPUTED_VALUE"""),43.0)</f>
        <v>43</v>
      </c>
      <c r="D944" t="str">
        <f>IFERROR(__xludf.DUMMYFUNCTION("""COMPUTED_VALUE"""),"Herkku")</f>
        <v>Herkku</v>
      </c>
      <c r="E944" t="str">
        <f>IFERROR(__xludf.DUMMYFUNCTION("""COMPUTED_VALUE"""),"Seksikäs-Suklaa, Dosdela")</f>
        <v>Seksikäs-Suklaa, Dosdela</v>
      </c>
      <c r="F944" t="str">
        <f>IFERROR(__xludf.DUMMYFUNCTION("""COMPUTED_VALUE"""),"Herkku")</f>
        <v>Herkku</v>
      </c>
      <c r="G944">
        <f>IFERROR(__xludf.DUMMYFUNCTION("""COMPUTED_VALUE"""),0.0)</f>
        <v>0</v>
      </c>
      <c r="H944" s="5">
        <f>IFERROR(__xludf.DUMMYFUNCTION("""COMPUTED_VALUE"""),0.11875000000145519)</f>
        <v>0.11875</v>
      </c>
    </row>
    <row r="945">
      <c r="A945" t="str">
        <f>IFERROR(__xludf.DUMMYFUNCTION("""COMPUTED_VALUE"""),"Finland")</f>
        <v>Finland</v>
      </c>
      <c r="B945" t="str">
        <f>IFERROR(__xludf.DUMMYFUNCTION("""COMPUTED_VALUE"""),"Europe")</f>
        <v>Europe</v>
      </c>
      <c r="C945">
        <f>IFERROR(__xludf.DUMMYFUNCTION("""COMPUTED_VALUE"""),44.0)</f>
        <v>44</v>
      </c>
      <c r="D945" t="str">
        <f>IFERROR(__xludf.DUMMYFUNCTION("""COMPUTED_VALUE"""),"KYSYMYS (feat. Pyhimys)")</f>
        <v>KYSYMYS (feat. Pyhimys)</v>
      </c>
      <c r="E945" t="str">
        <f>IFERROR(__xludf.DUMMYFUNCTION("""COMPUTED_VALUE"""),"Cledos, Pyhimys")</f>
        <v>Cledos, Pyhimys</v>
      </c>
      <c r="F945" t="str">
        <f>IFERROR(__xludf.DUMMYFUNCTION("""COMPUTED_VALUE"""),"KYSYMYS (feat. Pyhimys)")</f>
        <v>KYSYMYS (feat. Pyhimys)</v>
      </c>
      <c r="G945">
        <f>IFERROR(__xludf.DUMMYFUNCTION("""COMPUTED_VALUE"""),0.0)</f>
        <v>0</v>
      </c>
      <c r="H945" s="5">
        <f>IFERROR(__xludf.DUMMYFUNCTION("""COMPUTED_VALUE"""),0.1124999999992724)</f>
        <v>0.1125</v>
      </c>
    </row>
    <row r="946">
      <c r="A946" t="str">
        <f>IFERROR(__xludf.DUMMYFUNCTION("""COMPUTED_VALUE"""),"Finland")</f>
        <v>Finland</v>
      </c>
      <c r="B946" t="str">
        <f>IFERROR(__xludf.DUMMYFUNCTION("""COMPUTED_VALUE"""),"Europe")</f>
        <v>Europe</v>
      </c>
      <c r="C946">
        <f>IFERROR(__xludf.DUMMYFUNCTION("""COMPUTED_VALUE"""),45.0)</f>
        <v>45</v>
      </c>
      <c r="D946" t="str">
        <f>IFERROR(__xludf.DUMMYFUNCTION("""COMPUTED_VALUE"""),"Cicciolina")</f>
        <v>Cicciolina</v>
      </c>
      <c r="E946" t="str">
        <f>IFERROR(__xludf.DUMMYFUNCTION("""COMPUTED_VALUE"""),"Erika Vikman")</f>
        <v>Erika Vikman</v>
      </c>
      <c r="F946" t="str">
        <f>IFERROR(__xludf.DUMMYFUNCTION("""COMPUTED_VALUE"""),"Cicciolina")</f>
        <v>Cicciolina</v>
      </c>
      <c r="G946">
        <f>IFERROR(__xludf.DUMMYFUNCTION("""COMPUTED_VALUE"""),0.0)</f>
        <v>0</v>
      </c>
      <c r="H946" s="5">
        <f>IFERROR(__xludf.DUMMYFUNCTION("""COMPUTED_VALUE"""),0.12361111111022183)</f>
        <v>0.1236111111</v>
      </c>
    </row>
    <row r="947">
      <c r="A947" t="str">
        <f>IFERROR(__xludf.DUMMYFUNCTION("""COMPUTED_VALUE"""),"Finland")</f>
        <v>Finland</v>
      </c>
      <c r="B947" t="str">
        <f>IFERROR(__xludf.DUMMYFUNCTION("""COMPUTED_VALUE"""),"Europe")</f>
        <v>Europe</v>
      </c>
      <c r="C947">
        <f>IFERROR(__xludf.DUMMYFUNCTION("""COMPUTED_VALUE"""),46.0)</f>
        <v>46</v>
      </c>
      <c r="D947" t="str">
        <f>IFERROR(__xludf.DUMMYFUNCTION("""COMPUTED_VALUE"""),"Naamat")</f>
        <v>Naamat</v>
      </c>
      <c r="E947" t="str">
        <f>IFERROR(__xludf.DUMMYFUNCTION("""COMPUTED_VALUE"""),"HesaÄijä")</f>
        <v>HesaÄijä</v>
      </c>
      <c r="F947" t="str">
        <f>IFERROR(__xludf.DUMMYFUNCTION("""COMPUTED_VALUE"""),"Naamat")</f>
        <v>Naamat</v>
      </c>
      <c r="G947">
        <f>IFERROR(__xludf.DUMMYFUNCTION("""COMPUTED_VALUE"""),0.0)</f>
        <v>0</v>
      </c>
      <c r="H947" s="5">
        <f>IFERROR(__xludf.DUMMYFUNCTION("""COMPUTED_VALUE"""),0.12777777777955635)</f>
        <v>0.1277777778</v>
      </c>
    </row>
    <row r="948">
      <c r="A948" t="str">
        <f>IFERROR(__xludf.DUMMYFUNCTION("""COMPUTED_VALUE"""),"Finland")</f>
        <v>Finland</v>
      </c>
      <c r="B948" t="str">
        <f>IFERROR(__xludf.DUMMYFUNCTION("""COMPUTED_VALUE"""),"Europe")</f>
        <v>Europe</v>
      </c>
      <c r="C948">
        <f>IFERROR(__xludf.DUMMYFUNCTION("""COMPUTED_VALUE"""),47.0)</f>
        <v>47</v>
      </c>
      <c r="D948" t="str">
        <f>IFERROR(__xludf.DUMMYFUNCTION("""COMPUTED_VALUE"""),"Be Kind (with Halsey)")</f>
        <v>Be Kind (with Halsey)</v>
      </c>
      <c r="E948" t="str">
        <f>IFERROR(__xludf.DUMMYFUNCTION("""COMPUTED_VALUE"""),"Marshmello, Halsey")</f>
        <v>Marshmello, Halsey</v>
      </c>
      <c r="F948" t="str">
        <f>IFERROR(__xludf.DUMMYFUNCTION("""COMPUTED_VALUE"""),"Be Kind (with Halsey)")</f>
        <v>Be Kind (with Halsey)</v>
      </c>
      <c r="G948">
        <f>IFERROR(__xludf.DUMMYFUNCTION("""COMPUTED_VALUE"""),0.0)</f>
        <v>0</v>
      </c>
      <c r="H948" s="5">
        <f>IFERROR(__xludf.DUMMYFUNCTION("""COMPUTED_VALUE"""),0.11944444444452529)</f>
        <v>0.1194444444</v>
      </c>
    </row>
    <row r="949">
      <c r="A949" t="str">
        <f>IFERROR(__xludf.DUMMYFUNCTION("""COMPUTED_VALUE"""),"Finland")</f>
        <v>Finland</v>
      </c>
      <c r="B949" t="str">
        <f>IFERROR(__xludf.DUMMYFUNCTION("""COMPUTED_VALUE"""),"Europe")</f>
        <v>Europe</v>
      </c>
      <c r="C949">
        <f>IFERROR(__xludf.DUMMYFUNCTION("""COMPUTED_VALUE"""),48.0)</f>
        <v>48</v>
      </c>
      <c r="D949" t="str">
        <f>IFERROR(__xludf.DUMMYFUNCTION("""COMPUTED_VALUE"""),"Physical")</f>
        <v>Physical</v>
      </c>
      <c r="E949" t="str">
        <f>IFERROR(__xludf.DUMMYFUNCTION("""COMPUTED_VALUE"""),"Dua Lipa")</f>
        <v>Dua Lipa</v>
      </c>
      <c r="F949" t="str">
        <f>IFERROR(__xludf.DUMMYFUNCTION("""COMPUTED_VALUE"""),"Future Nostalgia")</f>
        <v>Future Nostalgia</v>
      </c>
      <c r="G949">
        <f>IFERROR(__xludf.DUMMYFUNCTION("""COMPUTED_VALUE"""),0.0)</f>
        <v>0</v>
      </c>
      <c r="H949" s="5">
        <f>IFERROR(__xludf.DUMMYFUNCTION("""COMPUTED_VALUE"""),0.13402777777810115)</f>
        <v>0.1340277778</v>
      </c>
    </row>
    <row r="950">
      <c r="A950" t="str">
        <f>IFERROR(__xludf.DUMMYFUNCTION("""COMPUTED_VALUE"""),"Finland")</f>
        <v>Finland</v>
      </c>
      <c r="B950" t="str">
        <f>IFERROR(__xludf.DUMMYFUNCTION("""COMPUTED_VALUE"""),"Europe")</f>
        <v>Europe</v>
      </c>
      <c r="C950">
        <f>IFERROR(__xludf.DUMMYFUNCTION("""COMPUTED_VALUE"""),49.0)</f>
        <v>49</v>
      </c>
      <c r="D950" t="str">
        <f>IFERROR(__xludf.DUMMYFUNCTION("""COMPUTED_VALUE"""),"WHATS POPPIN")</f>
        <v>WHATS POPPIN</v>
      </c>
      <c r="E950" t="str">
        <f>IFERROR(__xludf.DUMMYFUNCTION("""COMPUTED_VALUE"""),"Jack Harlow")</f>
        <v>Jack Harlow</v>
      </c>
      <c r="F950" t="str">
        <f>IFERROR(__xludf.DUMMYFUNCTION("""COMPUTED_VALUE"""),"Sweet Action")</f>
        <v>Sweet Action</v>
      </c>
      <c r="G950">
        <f>IFERROR(__xludf.DUMMYFUNCTION("""COMPUTED_VALUE"""),1.0)</f>
        <v>1</v>
      </c>
      <c r="H950" s="5">
        <f>IFERROR(__xludf.DUMMYFUNCTION("""COMPUTED_VALUE"""),0.09652777777955635)</f>
        <v>0.09652777778</v>
      </c>
    </row>
    <row r="951">
      <c r="A951" t="str">
        <f>IFERROR(__xludf.DUMMYFUNCTION("""COMPUTED_VALUE"""),"Finland")</f>
        <v>Finland</v>
      </c>
      <c r="B951" t="str">
        <f>IFERROR(__xludf.DUMMYFUNCTION("""COMPUTED_VALUE"""),"Europe")</f>
        <v>Europe</v>
      </c>
      <c r="C951">
        <f>IFERROR(__xludf.DUMMYFUNCTION("""COMPUTED_VALUE"""),50.0)</f>
        <v>50</v>
      </c>
      <c r="D951" t="str">
        <f>IFERROR(__xludf.DUMMYFUNCTION("""COMPUTED_VALUE"""),"Haituvat")</f>
        <v>Haituvat</v>
      </c>
      <c r="E951" t="str">
        <f>IFERROR(__xludf.DUMMYFUNCTION("""COMPUTED_VALUE"""),"Jukka Poika, Janna")</f>
        <v>Jukka Poika, Janna</v>
      </c>
      <c r="F951" t="str">
        <f>IFERROR(__xludf.DUMMYFUNCTION("""COMPUTED_VALUE"""),"Haituvat")</f>
        <v>Haituvat</v>
      </c>
      <c r="G951">
        <f>IFERROR(__xludf.DUMMYFUNCTION("""COMPUTED_VALUE"""),0.0)</f>
        <v>0</v>
      </c>
      <c r="H951" s="5">
        <f>IFERROR(__xludf.DUMMYFUNCTION("""COMPUTED_VALUE"""),0.1305555555554747)</f>
        <v>0.1305555556</v>
      </c>
    </row>
    <row r="952">
      <c r="A952" t="str">
        <f>IFERROR(__xludf.DUMMYFUNCTION("""COMPUTED_VALUE"""),"France")</f>
        <v>France</v>
      </c>
      <c r="B952" t="str">
        <f>IFERROR(__xludf.DUMMYFUNCTION("""COMPUTED_VALUE"""),"Europe")</f>
        <v>Europe</v>
      </c>
      <c r="C952">
        <f>IFERROR(__xludf.DUMMYFUNCTION("""COMPUTED_VALUE"""),1.0)</f>
        <v>1</v>
      </c>
      <c r="D952" t="str">
        <f>IFERROR(__xludf.DUMMYFUNCTION("""COMPUTED_VALUE"""),"Angela")</f>
        <v>Angela</v>
      </c>
      <c r="E952" t="str">
        <f>IFERROR(__xludf.DUMMYFUNCTION("""COMPUTED_VALUE"""),"Hatik")</f>
        <v>Hatik</v>
      </c>
      <c r="F952" t="str">
        <f>IFERROR(__xludf.DUMMYFUNCTION("""COMPUTED_VALUE"""),"Chaise pliante")</f>
        <v>Chaise pliante</v>
      </c>
      <c r="G952">
        <f>IFERROR(__xludf.DUMMYFUNCTION("""COMPUTED_VALUE"""),1.0)</f>
        <v>1</v>
      </c>
      <c r="H952" s="5">
        <f>IFERROR(__xludf.DUMMYFUNCTION("""COMPUTED_VALUE"""),0.16388888888832298)</f>
        <v>0.1638888889</v>
      </c>
    </row>
    <row r="953">
      <c r="A953" t="str">
        <f>IFERROR(__xludf.DUMMYFUNCTION("""COMPUTED_VALUE"""),"France")</f>
        <v>France</v>
      </c>
      <c r="B953" t="str">
        <f>IFERROR(__xludf.DUMMYFUNCTION("""COMPUTED_VALUE"""),"Europe")</f>
        <v>Europe</v>
      </c>
      <c r="C953">
        <f>IFERROR(__xludf.DUMMYFUNCTION("""COMPUTED_VALUE"""),2.0)</f>
        <v>2</v>
      </c>
      <c r="D953" t="str">
        <f>IFERROR(__xludf.DUMMYFUNCTION("""COMPUTED_VALUE"""),"JAUNÉ")</f>
        <v>JAUNÉ</v>
      </c>
      <c r="E953" t="str">
        <f>IFERROR(__xludf.DUMMYFUNCTION("""COMPUTED_VALUE"""),"Booba, Zed")</f>
        <v>Booba, Zed</v>
      </c>
      <c r="F953" t="str">
        <f>IFERROR(__xludf.DUMMYFUNCTION("""COMPUTED_VALUE"""),"JAUNÉ")</f>
        <v>JAUNÉ</v>
      </c>
      <c r="G953">
        <f>IFERROR(__xludf.DUMMYFUNCTION("""COMPUTED_VALUE"""),1.0)</f>
        <v>1</v>
      </c>
      <c r="H953" s="5">
        <f>IFERROR(__xludf.DUMMYFUNCTION("""COMPUTED_VALUE"""),0.14930555555474712)</f>
        <v>0.1493055556</v>
      </c>
    </row>
    <row r="954">
      <c r="A954" t="str">
        <f>IFERROR(__xludf.DUMMYFUNCTION("""COMPUTED_VALUE"""),"France")</f>
        <v>France</v>
      </c>
      <c r="B954" t="str">
        <f>IFERROR(__xludf.DUMMYFUNCTION("""COMPUTED_VALUE"""),"Europe")</f>
        <v>Europe</v>
      </c>
      <c r="C954">
        <f>IFERROR(__xludf.DUMMYFUNCTION("""COMPUTED_VALUE"""),3.0)</f>
        <v>3</v>
      </c>
      <c r="D954" t="str">
        <f>IFERROR(__xludf.DUMMYFUNCTION("""COMPUTED_VALUE"""),"Blinding Lights")</f>
        <v>Blinding Lights</v>
      </c>
      <c r="E954" t="str">
        <f>IFERROR(__xludf.DUMMYFUNCTION("""COMPUTED_VALUE"""),"The Weeknd")</f>
        <v>The Weeknd</v>
      </c>
      <c r="F954" t="str">
        <f>IFERROR(__xludf.DUMMYFUNCTION("""COMPUTED_VALUE"""),"After Hours")</f>
        <v>After Hours</v>
      </c>
      <c r="G954">
        <f>IFERROR(__xludf.DUMMYFUNCTION("""COMPUTED_VALUE"""),0.0)</f>
        <v>0</v>
      </c>
      <c r="H954" s="5">
        <f>IFERROR(__xludf.DUMMYFUNCTION("""COMPUTED_VALUE"""),0.13888888889050577)</f>
        <v>0.1388888889</v>
      </c>
    </row>
    <row r="955">
      <c r="A955" t="str">
        <f>IFERROR(__xludf.DUMMYFUNCTION("""COMPUTED_VALUE"""),"France")</f>
        <v>France</v>
      </c>
      <c r="B955" t="str">
        <f>IFERROR(__xludf.DUMMYFUNCTION("""COMPUTED_VALUE"""),"Europe")</f>
        <v>Europe</v>
      </c>
      <c r="C955">
        <f>IFERROR(__xludf.DUMMYFUNCTION("""COMPUTED_VALUE"""),4.0)</f>
        <v>4</v>
      </c>
      <c r="D955" t="str">
        <f>IFERROR(__xludf.DUMMYFUNCTION("""COMPUTED_VALUE"""),"Roses - Imanbek Remix")</f>
        <v>Roses - Imanbek Remix</v>
      </c>
      <c r="E955" t="str">
        <f>IFERROR(__xludf.DUMMYFUNCTION("""COMPUTED_VALUE"""),"SAINt JHN, Imanbek")</f>
        <v>SAINt JHN, Imanbek</v>
      </c>
      <c r="F955" t="str">
        <f>IFERROR(__xludf.DUMMYFUNCTION("""COMPUTED_VALUE"""),"Roses (Imanbek Remix)")</f>
        <v>Roses (Imanbek Remix)</v>
      </c>
      <c r="G955">
        <f>IFERROR(__xludf.DUMMYFUNCTION("""COMPUTED_VALUE"""),1.0)</f>
        <v>1</v>
      </c>
      <c r="H955" s="5">
        <f>IFERROR(__xludf.DUMMYFUNCTION("""COMPUTED_VALUE"""),0.12222222222044365)</f>
        <v>0.1222222222</v>
      </c>
    </row>
    <row r="956">
      <c r="A956" t="str">
        <f>IFERROR(__xludf.DUMMYFUNCTION("""COMPUTED_VALUE"""),"France")</f>
        <v>France</v>
      </c>
      <c r="B956" t="str">
        <f>IFERROR(__xludf.DUMMYFUNCTION("""COMPUTED_VALUE"""),"Europe")</f>
        <v>Europe</v>
      </c>
      <c r="C956">
        <f>IFERROR(__xludf.DUMMYFUNCTION("""COMPUTED_VALUE"""),5.0)</f>
        <v>5</v>
      </c>
      <c r="D956" t="str">
        <f>IFERROR(__xludf.DUMMYFUNCTION("""COMPUTED_VALUE"""),"Meleğim")</f>
        <v>Meleğim</v>
      </c>
      <c r="E956" t="str">
        <f>IFERROR(__xludf.DUMMYFUNCTION("""COMPUTED_VALUE"""),"Soolking, Dadju")</f>
        <v>Soolking, Dadju</v>
      </c>
      <c r="F956" t="str">
        <f>IFERROR(__xludf.DUMMYFUNCTION("""COMPUTED_VALUE"""),"Vintage")</f>
        <v>Vintage</v>
      </c>
      <c r="G956">
        <f>IFERROR(__xludf.DUMMYFUNCTION("""COMPUTED_VALUE"""),0.0)</f>
        <v>0</v>
      </c>
      <c r="H956" s="5">
        <f>IFERROR(__xludf.DUMMYFUNCTION("""COMPUTED_VALUE"""),0.15277777777737356)</f>
        <v>0.1527777778</v>
      </c>
    </row>
    <row r="957">
      <c r="A957" t="str">
        <f>IFERROR(__xludf.DUMMYFUNCTION("""COMPUTED_VALUE"""),"France")</f>
        <v>France</v>
      </c>
      <c r="B957" t="str">
        <f>IFERROR(__xludf.DUMMYFUNCTION("""COMPUTED_VALUE"""),"Europe")</f>
        <v>Europe</v>
      </c>
      <c r="C957">
        <f>IFERROR(__xludf.DUMMYFUNCTION("""COMPUTED_VALUE"""),6.0)</f>
        <v>6</v>
      </c>
      <c r="D957" t="str">
        <f>IFERROR(__xludf.DUMMYFUNCTION("""COMPUTED_VALUE"""),"Lettre à une femme")</f>
        <v>Lettre à une femme</v>
      </c>
      <c r="E957" t="str">
        <f>IFERROR(__xludf.DUMMYFUNCTION("""COMPUTED_VALUE"""),"Ninho")</f>
        <v>Ninho</v>
      </c>
      <c r="F957" t="str">
        <f>IFERROR(__xludf.DUMMYFUNCTION("""COMPUTED_VALUE"""),"M.I.L.S 3")</f>
        <v>M.I.L.S 3</v>
      </c>
      <c r="G957">
        <f>IFERROR(__xludf.DUMMYFUNCTION("""COMPUTED_VALUE"""),1.0)</f>
        <v>1</v>
      </c>
      <c r="H957" s="5">
        <f>IFERROR(__xludf.DUMMYFUNCTION("""COMPUTED_VALUE"""),0.10902777777664596)</f>
        <v>0.1090277778</v>
      </c>
    </row>
    <row r="958">
      <c r="A958" t="str">
        <f>IFERROR(__xludf.DUMMYFUNCTION("""COMPUTED_VALUE"""),"France")</f>
        <v>France</v>
      </c>
      <c r="B958" t="str">
        <f>IFERROR(__xludf.DUMMYFUNCTION("""COMPUTED_VALUE"""),"Europe")</f>
        <v>Europe</v>
      </c>
      <c r="C958">
        <f>IFERROR(__xludf.DUMMYFUNCTION("""COMPUTED_VALUE"""),7.0)</f>
        <v>7</v>
      </c>
      <c r="D958" t="str">
        <f>IFERROR(__xludf.DUMMYFUNCTION("""COMPUTED_VALUE"""),"Tusa")</f>
        <v>Tusa</v>
      </c>
      <c r="E958" t="str">
        <f>IFERROR(__xludf.DUMMYFUNCTION("""COMPUTED_VALUE"""),"KAROL G, Nicki Minaj")</f>
        <v>KAROL G, Nicki Minaj</v>
      </c>
      <c r="F958" t="str">
        <f>IFERROR(__xludf.DUMMYFUNCTION("""COMPUTED_VALUE"""),"Tusa")</f>
        <v>Tusa</v>
      </c>
      <c r="G958">
        <f>IFERROR(__xludf.DUMMYFUNCTION("""COMPUTED_VALUE"""),0.0)</f>
        <v>0</v>
      </c>
      <c r="H958" s="5">
        <f>IFERROR(__xludf.DUMMYFUNCTION("""COMPUTED_VALUE"""),0.13888888889050577)</f>
        <v>0.1388888889</v>
      </c>
    </row>
    <row r="959">
      <c r="A959" t="str">
        <f>IFERROR(__xludf.DUMMYFUNCTION("""COMPUTED_VALUE"""),"France")</f>
        <v>France</v>
      </c>
      <c r="B959" t="str">
        <f>IFERROR(__xludf.DUMMYFUNCTION("""COMPUTED_VALUE"""),"Europe")</f>
        <v>Europe</v>
      </c>
      <c r="C959">
        <f>IFERROR(__xludf.DUMMYFUNCTION("""COMPUTED_VALUE"""),8.0)</f>
        <v>8</v>
      </c>
      <c r="D959" t="str">
        <f>IFERROR(__xludf.DUMMYFUNCTION("""COMPUTED_VALUE"""),"ily (i love you baby) (feat. Emilee)")</f>
        <v>ily (i love you baby) (feat. Emilee)</v>
      </c>
      <c r="E959" t="str">
        <f>IFERROR(__xludf.DUMMYFUNCTION("""COMPUTED_VALUE"""),"Surf Mesa, Emilee")</f>
        <v>Surf Mesa, Emilee</v>
      </c>
      <c r="F959" t="str">
        <f>IFERROR(__xludf.DUMMYFUNCTION("""COMPUTED_VALUE"""),"ily (i love you baby) (feat. Emilee)")</f>
        <v>ily (i love you baby) (feat. Emilee)</v>
      </c>
      <c r="G959">
        <f>IFERROR(__xludf.DUMMYFUNCTION("""COMPUTED_VALUE"""),0.0)</f>
        <v>0</v>
      </c>
      <c r="H959" s="5">
        <f>IFERROR(__xludf.DUMMYFUNCTION("""COMPUTED_VALUE"""),0.12222222222044365)</f>
        <v>0.1222222222</v>
      </c>
    </row>
    <row r="960">
      <c r="A960" t="str">
        <f>IFERROR(__xludf.DUMMYFUNCTION("""COMPUTED_VALUE"""),"France")</f>
        <v>France</v>
      </c>
      <c r="B960" t="str">
        <f>IFERROR(__xludf.DUMMYFUNCTION("""COMPUTED_VALUE"""),"Europe")</f>
        <v>Europe</v>
      </c>
      <c r="C960">
        <f>IFERROR(__xludf.DUMMYFUNCTION("""COMPUTED_VALUE"""),9.0)</f>
        <v>9</v>
      </c>
      <c r="D960" t="str">
        <f>IFERROR(__xludf.DUMMYFUNCTION("""COMPUTED_VALUE"""),"6.3")</f>
        <v>6.3</v>
      </c>
      <c r="E960" t="str">
        <f>IFERROR(__xludf.DUMMYFUNCTION("""COMPUTED_VALUE"""),"Naps, Ninho")</f>
        <v>Naps, Ninho</v>
      </c>
      <c r="F960" t="str">
        <f>IFERROR(__xludf.DUMMYFUNCTION("""COMPUTED_VALUE"""),"Carré VIP")</f>
        <v>Carré VIP</v>
      </c>
      <c r="G960">
        <f>IFERROR(__xludf.DUMMYFUNCTION("""COMPUTED_VALUE"""),1.0)</f>
        <v>1</v>
      </c>
      <c r="H960" s="5">
        <f>IFERROR(__xludf.DUMMYFUNCTION("""COMPUTED_VALUE"""),0.14722222222189885)</f>
        <v>0.1472222222</v>
      </c>
    </row>
    <row r="961">
      <c r="A961" t="str">
        <f>IFERROR(__xludf.DUMMYFUNCTION("""COMPUTED_VALUE"""),"France")</f>
        <v>France</v>
      </c>
      <c r="B961" t="str">
        <f>IFERROR(__xludf.DUMMYFUNCTION("""COMPUTED_VALUE"""),"Europe")</f>
        <v>Europe</v>
      </c>
      <c r="C961">
        <f>IFERROR(__xludf.DUMMYFUNCTION("""COMPUTED_VALUE"""),10.0)</f>
        <v>10</v>
      </c>
      <c r="D961" t="str">
        <f>IFERROR(__xludf.DUMMYFUNCTION("""COMPUTED_VALUE"""),"Sousou")</f>
        <v>Sousou</v>
      </c>
      <c r="E961" t="str">
        <f>IFERROR(__xludf.DUMMYFUNCTION("""COMPUTED_VALUE"""),"Jul")</f>
        <v>Jul</v>
      </c>
      <c r="F961" t="str">
        <f>IFERROR(__xludf.DUMMYFUNCTION("""COMPUTED_VALUE"""),"Sousou")</f>
        <v>Sousou</v>
      </c>
      <c r="G961">
        <f>IFERROR(__xludf.DUMMYFUNCTION("""COMPUTED_VALUE"""),1.0)</f>
        <v>1</v>
      </c>
      <c r="H961" s="5">
        <f>IFERROR(__xludf.DUMMYFUNCTION("""COMPUTED_VALUE"""),0.16458333333503106)</f>
        <v>0.1645833333</v>
      </c>
    </row>
    <row r="962">
      <c r="A962" t="str">
        <f>IFERROR(__xludf.DUMMYFUNCTION("""COMPUTED_VALUE"""),"France")</f>
        <v>France</v>
      </c>
      <c r="B962" t="str">
        <f>IFERROR(__xludf.DUMMYFUNCTION("""COMPUTED_VALUE"""),"Europe")</f>
        <v>Europe</v>
      </c>
      <c r="C962">
        <f>IFERROR(__xludf.DUMMYFUNCTION("""COMPUTED_VALUE"""),11.0)</f>
        <v>11</v>
      </c>
      <c r="D962" t="str">
        <f>IFERROR(__xludf.DUMMYFUNCTION("""COMPUTED_VALUE"""),"Bro Bro")</f>
        <v>Bro Bro</v>
      </c>
      <c r="E962" t="str">
        <f>IFERROR(__xludf.DUMMYFUNCTION("""COMPUTED_VALUE"""),"Zola")</f>
        <v>Zola</v>
      </c>
      <c r="F962" t="str">
        <f>IFERROR(__xludf.DUMMYFUNCTION("""COMPUTED_VALUE"""),"Bro Bro")</f>
        <v>Bro Bro</v>
      </c>
      <c r="G962">
        <f>IFERROR(__xludf.DUMMYFUNCTION("""COMPUTED_VALUE"""),1.0)</f>
        <v>1</v>
      </c>
      <c r="H962" s="5">
        <f>IFERROR(__xludf.DUMMYFUNCTION("""COMPUTED_VALUE"""),0.09999999999854481)</f>
        <v>0.1</v>
      </c>
    </row>
    <row r="963">
      <c r="A963" t="str">
        <f>IFERROR(__xludf.DUMMYFUNCTION("""COMPUTED_VALUE"""),"France")</f>
        <v>France</v>
      </c>
      <c r="B963" t="str">
        <f>IFERROR(__xludf.DUMMYFUNCTION("""COMPUTED_VALUE"""),"Europe")</f>
        <v>Europe</v>
      </c>
      <c r="C963">
        <f>IFERROR(__xludf.DUMMYFUNCTION("""COMPUTED_VALUE"""),12.0)</f>
        <v>12</v>
      </c>
      <c r="D963" t="str">
        <f>IFERROR(__xludf.DUMMYFUNCTION("""COMPUTED_VALUE"""),"Blanche")</f>
        <v>Blanche</v>
      </c>
      <c r="E963" t="str">
        <f>IFERROR(__xludf.DUMMYFUNCTION("""COMPUTED_VALUE"""),"Maes, Booba")</f>
        <v>Maes, Booba</v>
      </c>
      <c r="F963" t="str">
        <f>IFERROR(__xludf.DUMMYFUNCTION("""COMPUTED_VALUE"""),"Les derniers salopards")</f>
        <v>Les derniers salopards</v>
      </c>
      <c r="G963">
        <f>IFERROR(__xludf.DUMMYFUNCTION("""COMPUTED_VALUE"""),1.0)</f>
        <v>1</v>
      </c>
      <c r="H963" s="5">
        <f>IFERROR(__xludf.DUMMYFUNCTION("""COMPUTED_VALUE"""),0.13402777777810115)</f>
        <v>0.1340277778</v>
      </c>
    </row>
    <row r="964">
      <c r="A964" t="str">
        <f>IFERROR(__xludf.DUMMYFUNCTION("""COMPUTED_VALUE"""),"France")</f>
        <v>France</v>
      </c>
      <c r="B964" t="str">
        <f>IFERROR(__xludf.DUMMYFUNCTION("""COMPUTED_VALUE"""),"Europe")</f>
        <v>Europe</v>
      </c>
      <c r="C964">
        <f>IFERROR(__xludf.DUMMYFUNCTION("""COMPUTED_VALUE"""),13.0)</f>
        <v>13</v>
      </c>
      <c r="D964" t="str">
        <f>IFERROR(__xludf.DUMMYFUNCTION("""COMPUTED_VALUE"""),"Toosie Slide")</f>
        <v>Toosie Slide</v>
      </c>
      <c r="E964" t="str">
        <f>IFERROR(__xludf.DUMMYFUNCTION("""COMPUTED_VALUE"""),"Drake")</f>
        <v>Drake</v>
      </c>
      <c r="F964" t="str">
        <f>IFERROR(__xludf.DUMMYFUNCTION("""COMPUTED_VALUE"""),"Dark Lane Demo Tapes")</f>
        <v>Dark Lane Demo Tapes</v>
      </c>
      <c r="G964">
        <f>IFERROR(__xludf.DUMMYFUNCTION("""COMPUTED_VALUE"""),1.0)</f>
        <v>1</v>
      </c>
      <c r="H964" s="5">
        <f>IFERROR(__xludf.DUMMYFUNCTION("""COMPUTED_VALUE"""),0.17152777777664596)</f>
        <v>0.1715277778</v>
      </c>
    </row>
    <row r="965">
      <c r="A965" t="str">
        <f>IFERROR(__xludf.DUMMYFUNCTION("""COMPUTED_VALUE"""),"France")</f>
        <v>France</v>
      </c>
      <c r="B965" t="str">
        <f>IFERROR(__xludf.DUMMYFUNCTION("""COMPUTED_VALUE"""),"Europe")</f>
        <v>Europe</v>
      </c>
      <c r="C965">
        <f>IFERROR(__xludf.DUMMYFUNCTION("""COMPUTED_VALUE"""),14.0)</f>
        <v>14</v>
      </c>
      <c r="D965" t="str">
        <f>IFERROR(__xludf.DUMMYFUNCTION("""COMPUTED_VALUE"""),"death bed (coffee for your head) (feat. beabadoobee)")</f>
        <v>death bed (coffee for your head) (feat. beabadoobee)</v>
      </c>
      <c r="E965" t="str">
        <f>IFERROR(__xludf.DUMMYFUNCTION("""COMPUTED_VALUE"""),"Powfu, beabadoobee")</f>
        <v>Powfu, beabadoobee</v>
      </c>
      <c r="F965" t="str">
        <f>IFERROR(__xludf.DUMMYFUNCTION("""COMPUTED_VALUE"""),"death bed (coffee for your head) (feat. beabadoobee)")</f>
        <v>death bed (coffee for your head) (feat. beabadoobee)</v>
      </c>
      <c r="G965">
        <f>IFERROR(__xludf.DUMMYFUNCTION("""COMPUTED_VALUE"""),0.0)</f>
        <v>0</v>
      </c>
      <c r="H965" s="5">
        <f>IFERROR(__xludf.DUMMYFUNCTION("""COMPUTED_VALUE"""),0.12013888888759539)</f>
        <v>0.1201388889</v>
      </c>
    </row>
    <row r="966">
      <c r="A966" t="str">
        <f>IFERROR(__xludf.DUMMYFUNCTION("""COMPUTED_VALUE"""),"France")</f>
        <v>France</v>
      </c>
      <c r="B966" t="str">
        <f>IFERROR(__xludf.DUMMYFUNCTION("""COMPUTED_VALUE"""),"Europe")</f>
        <v>Europe</v>
      </c>
      <c r="C966">
        <f>IFERROR(__xludf.DUMMYFUNCTION("""COMPUTED_VALUE"""),15.0)</f>
        <v>15</v>
      </c>
      <c r="D966" t="str">
        <f>IFERROR(__xludf.DUMMYFUNCTION("""COMPUTED_VALUE"""),"MAMACITA")</f>
        <v>MAMACITA</v>
      </c>
      <c r="E966" t="str">
        <f>IFERROR(__xludf.DUMMYFUNCTION("""COMPUTED_VALUE"""),"Black Eyed Peas, Ozuna, J. Rey Soul")</f>
        <v>Black Eyed Peas, Ozuna, J. Rey Soul</v>
      </c>
      <c r="F966" t="str">
        <f>IFERROR(__xludf.DUMMYFUNCTION("""COMPUTED_VALUE"""),"MAMACITA")</f>
        <v>MAMACITA</v>
      </c>
      <c r="G966">
        <f>IFERROR(__xludf.DUMMYFUNCTION("""COMPUTED_VALUE"""),1.0)</f>
        <v>1</v>
      </c>
      <c r="H966" s="5">
        <f>IFERROR(__xludf.DUMMYFUNCTION("""COMPUTED_VALUE"""),0.17291666666642413)</f>
        <v>0.1729166667</v>
      </c>
    </row>
    <row r="967">
      <c r="A967" t="str">
        <f>IFERROR(__xludf.DUMMYFUNCTION("""COMPUTED_VALUE"""),"France")</f>
        <v>France</v>
      </c>
      <c r="B967" t="str">
        <f>IFERROR(__xludf.DUMMYFUNCTION("""COMPUTED_VALUE"""),"Europe")</f>
        <v>Europe</v>
      </c>
      <c r="C967">
        <f>IFERROR(__xludf.DUMMYFUNCTION("""COMPUTED_VALUE"""),16.0)</f>
        <v>16</v>
      </c>
      <c r="D967" t="str">
        <f>IFERROR(__xludf.DUMMYFUNCTION("""COMPUTED_VALUE"""),"Criminel (feat. Niska)")</f>
        <v>Criminel (feat. Niska)</v>
      </c>
      <c r="E967" t="str">
        <f>IFERROR(__xludf.DUMMYFUNCTION("""COMPUTED_VALUE"""),"Bramsito, Niska")</f>
        <v>Bramsito, Niska</v>
      </c>
      <c r="F967" t="str">
        <f>IFERROR(__xludf.DUMMYFUNCTION("""COMPUTED_VALUE"""),"Criminel")</f>
        <v>Criminel</v>
      </c>
      <c r="G967">
        <f>IFERROR(__xludf.DUMMYFUNCTION("""COMPUTED_VALUE"""),1.0)</f>
        <v>1</v>
      </c>
      <c r="H967" s="5">
        <f>IFERROR(__xludf.DUMMYFUNCTION("""COMPUTED_VALUE"""),0.13611111111094942)</f>
        <v>0.1361111111</v>
      </c>
    </row>
    <row r="968">
      <c r="A968" t="str">
        <f>IFERROR(__xludf.DUMMYFUNCTION("""COMPUTED_VALUE"""),"France")</f>
        <v>France</v>
      </c>
      <c r="B968" t="str">
        <f>IFERROR(__xludf.DUMMYFUNCTION("""COMPUTED_VALUE"""),"Europe")</f>
        <v>Europe</v>
      </c>
      <c r="C968">
        <f>IFERROR(__xludf.DUMMYFUNCTION("""COMPUTED_VALUE"""),17.0)</f>
        <v>17</v>
      </c>
      <c r="D968" t="str">
        <f>IFERROR(__xludf.DUMMYFUNCTION("""COMPUTED_VALUE"""),"Dance Monkey")</f>
        <v>Dance Monkey</v>
      </c>
      <c r="E968" t="str">
        <f>IFERROR(__xludf.DUMMYFUNCTION("""COMPUTED_VALUE"""),"Tones And I")</f>
        <v>Tones And I</v>
      </c>
      <c r="F968" t="str">
        <f>IFERROR(__xludf.DUMMYFUNCTION("""COMPUTED_VALUE"""),"Dance Monkey (Stripped Back) / Dance Monkey")</f>
        <v>Dance Monkey (Stripped Back) / Dance Monkey</v>
      </c>
      <c r="G968">
        <f>IFERROR(__xludf.DUMMYFUNCTION("""COMPUTED_VALUE"""),0.0)</f>
        <v>0</v>
      </c>
      <c r="H968" s="5">
        <f>IFERROR(__xludf.DUMMYFUNCTION("""COMPUTED_VALUE"""),0.14513888888905058)</f>
        <v>0.1451388889</v>
      </c>
    </row>
    <row r="969">
      <c r="A969" t="str">
        <f>IFERROR(__xludf.DUMMYFUNCTION("""COMPUTED_VALUE"""),"France")</f>
        <v>France</v>
      </c>
      <c r="B969" t="str">
        <f>IFERROR(__xludf.DUMMYFUNCTION("""COMPUTED_VALUE"""),"Europe")</f>
        <v>Europe</v>
      </c>
      <c r="C969">
        <f>IFERROR(__xludf.DUMMYFUNCTION("""COMPUTED_VALUE"""),18.0)</f>
        <v>18</v>
      </c>
      <c r="D969" t="str">
        <f>IFERROR(__xludf.DUMMYFUNCTION("""COMPUTED_VALUE"""),"Skechers")</f>
        <v>Skechers</v>
      </c>
      <c r="E969" t="str">
        <f>IFERROR(__xludf.DUMMYFUNCTION("""COMPUTED_VALUE"""),"DripReport")</f>
        <v>DripReport</v>
      </c>
      <c r="F969" t="str">
        <f>IFERROR(__xludf.DUMMYFUNCTION("""COMPUTED_VALUE"""),"Skechers")</f>
        <v>Skechers</v>
      </c>
      <c r="G969">
        <f>IFERROR(__xludf.DUMMYFUNCTION("""COMPUTED_VALUE"""),1.0)</f>
        <v>1</v>
      </c>
      <c r="H969" s="5">
        <f>IFERROR(__xludf.DUMMYFUNCTION("""COMPUTED_VALUE"""),0.07361111111094942)</f>
        <v>0.07361111111</v>
      </c>
    </row>
    <row r="970">
      <c r="A970" t="str">
        <f>IFERROR(__xludf.DUMMYFUNCTION("""COMPUTED_VALUE"""),"France")</f>
        <v>France</v>
      </c>
      <c r="B970" t="str">
        <f>IFERROR(__xludf.DUMMYFUNCTION("""COMPUTED_VALUE"""),"Europe")</f>
        <v>Europe</v>
      </c>
      <c r="C970">
        <f>IFERROR(__xludf.DUMMYFUNCTION("""COMPUTED_VALUE"""),19.0)</f>
        <v>19</v>
      </c>
      <c r="D970" t="str">
        <f>IFERROR(__xludf.DUMMYFUNCTION("""COMPUTED_VALUE"""),"Distant")</f>
        <v>Distant</v>
      </c>
      <c r="E970" t="str">
        <f>IFERROR(__xludf.DUMMYFUNCTION("""COMPUTED_VALUE"""),"Maes, Ninho")</f>
        <v>Maes, Ninho</v>
      </c>
      <c r="F970" t="str">
        <f>IFERROR(__xludf.DUMMYFUNCTION("""COMPUTED_VALUE"""),"Les derniers salopards")</f>
        <v>Les derniers salopards</v>
      </c>
      <c r="G970">
        <f>IFERROR(__xludf.DUMMYFUNCTION("""COMPUTED_VALUE"""),1.0)</f>
        <v>1</v>
      </c>
      <c r="H970" s="5">
        <f>IFERROR(__xludf.DUMMYFUNCTION("""COMPUTED_VALUE"""),0.1124999999992724)</f>
        <v>0.1125</v>
      </c>
    </row>
    <row r="971">
      <c r="A971" t="str">
        <f>IFERROR(__xludf.DUMMYFUNCTION("""COMPUTED_VALUE"""),"France")</f>
        <v>France</v>
      </c>
      <c r="B971" t="str">
        <f>IFERROR(__xludf.DUMMYFUNCTION("""COMPUTED_VALUE"""),"Europe")</f>
        <v>Europe</v>
      </c>
      <c r="C971">
        <f>IFERROR(__xludf.DUMMYFUNCTION("""COMPUTED_VALUE"""),20.0)</f>
        <v>20</v>
      </c>
      <c r="D971" t="str">
        <f>IFERROR(__xludf.DUMMYFUNCTION("""COMPUTED_VALUE"""),"Ride It")</f>
        <v>Ride It</v>
      </c>
      <c r="E971" t="str">
        <f>IFERROR(__xludf.DUMMYFUNCTION("""COMPUTED_VALUE"""),"Regard")</f>
        <v>Regard</v>
      </c>
      <c r="F971" t="str">
        <f>IFERROR(__xludf.DUMMYFUNCTION("""COMPUTED_VALUE"""),"Ride It")</f>
        <v>Ride It</v>
      </c>
      <c r="G971">
        <f>IFERROR(__xludf.DUMMYFUNCTION("""COMPUTED_VALUE"""),0.0)</f>
        <v>0</v>
      </c>
      <c r="H971" s="5">
        <f>IFERROR(__xludf.DUMMYFUNCTION("""COMPUTED_VALUE"""),0.10902777777664596)</f>
        <v>0.1090277778</v>
      </c>
    </row>
    <row r="972">
      <c r="A972" t="str">
        <f>IFERROR(__xludf.DUMMYFUNCTION("""COMPUTED_VALUE"""),"France")</f>
        <v>France</v>
      </c>
      <c r="B972" t="str">
        <f>IFERROR(__xludf.DUMMYFUNCTION("""COMPUTED_VALUE"""),"Europe")</f>
        <v>Europe</v>
      </c>
      <c r="C972">
        <f>IFERROR(__xludf.DUMMYFUNCTION("""COMPUTED_VALUE"""),21.0)</f>
        <v>21</v>
      </c>
      <c r="D972" t="str">
        <f>IFERROR(__xludf.DUMMYFUNCTION("""COMPUTED_VALUE"""),"Rain On Me (with Ariana Grande)")</f>
        <v>Rain On Me (with Ariana Grande)</v>
      </c>
      <c r="E972" t="str">
        <f>IFERROR(__xludf.DUMMYFUNCTION("""COMPUTED_VALUE"""),"Lady Gaga, Ariana Grande")</f>
        <v>Lady Gaga, Ariana Grande</v>
      </c>
      <c r="F972" t="str">
        <f>IFERROR(__xludf.DUMMYFUNCTION("""COMPUTED_VALUE"""),"Rain On Me (with Ariana Grande)")</f>
        <v>Rain On Me (with Ariana Grande)</v>
      </c>
      <c r="G972">
        <f>IFERROR(__xludf.DUMMYFUNCTION("""COMPUTED_VALUE"""),0.0)</f>
        <v>0</v>
      </c>
      <c r="H972" s="5">
        <f>IFERROR(__xludf.DUMMYFUNCTION("""COMPUTED_VALUE"""),0.12638888888977817)</f>
        <v>0.1263888889</v>
      </c>
    </row>
    <row r="973">
      <c r="A973" t="str">
        <f>IFERROR(__xludf.DUMMYFUNCTION("""COMPUTED_VALUE"""),"France")</f>
        <v>France</v>
      </c>
      <c r="B973" t="str">
        <f>IFERROR(__xludf.DUMMYFUNCTION("""COMPUTED_VALUE"""),"Europe")</f>
        <v>Europe</v>
      </c>
      <c r="C973">
        <f>IFERROR(__xludf.DUMMYFUNCTION("""COMPUTED_VALUE"""),22.0)</f>
        <v>22</v>
      </c>
      <c r="D973" t="str">
        <f>IFERROR(__xludf.DUMMYFUNCTION("""COMPUTED_VALUE"""),"Zipette")</f>
        <v>Zipette</v>
      </c>
      <c r="E973" t="str">
        <f>IFERROR(__xludf.DUMMYFUNCTION("""COMPUTED_VALUE"""),"Ninho")</f>
        <v>Ninho</v>
      </c>
      <c r="F973" t="str">
        <f>IFERROR(__xludf.DUMMYFUNCTION("""COMPUTED_VALUE"""),"M.I.L.S 3")</f>
        <v>M.I.L.S 3</v>
      </c>
      <c r="G973">
        <f>IFERROR(__xludf.DUMMYFUNCTION("""COMPUTED_VALUE"""),1.0)</f>
        <v>1</v>
      </c>
      <c r="H973" s="5">
        <f>IFERROR(__xludf.DUMMYFUNCTION("""COMPUTED_VALUE"""),0.14652777777882875)</f>
        <v>0.1465277778</v>
      </c>
    </row>
    <row r="974">
      <c r="A974" t="str">
        <f>IFERROR(__xludf.DUMMYFUNCTION("""COMPUTED_VALUE"""),"France")</f>
        <v>France</v>
      </c>
      <c r="B974" t="str">
        <f>IFERROR(__xludf.DUMMYFUNCTION("""COMPUTED_VALUE"""),"Europe")</f>
        <v>Europe</v>
      </c>
      <c r="C974">
        <f>IFERROR(__xludf.DUMMYFUNCTION("""COMPUTED_VALUE"""),23.0)</f>
        <v>23</v>
      </c>
      <c r="D974" t="str">
        <f>IFERROR(__xludf.DUMMYFUNCTION("""COMPUTED_VALUE"""),"THE SCOTTS")</f>
        <v>THE SCOTTS</v>
      </c>
      <c r="E974" t="str">
        <f>IFERROR(__xludf.DUMMYFUNCTION("""COMPUTED_VALUE"""),"THE SCOTTS, Travis Scott, Kid Cudi")</f>
        <v>THE SCOTTS, Travis Scott, Kid Cudi</v>
      </c>
      <c r="F974" t="str">
        <f>IFERROR(__xludf.DUMMYFUNCTION("""COMPUTED_VALUE"""),"THE SCOTTS")</f>
        <v>THE SCOTTS</v>
      </c>
      <c r="G974">
        <f>IFERROR(__xludf.DUMMYFUNCTION("""COMPUTED_VALUE"""),1.0)</f>
        <v>1</v>
      </c>
      <c r="H974" s="5">
        <f>IFERROR(__xludf.DUMMYFUNCTION("""COMPUTED_VALUE"""),0.11458333333212067)</f>
        <v>0.1145833333</v>
      </c>
    </row>
    <row r="975">
      <c r="A975" t="str">
        <f>IFERROR(__xludf.DUMMYFUNCTION("""COMPUTED_VALUE"""),"France")</f>
        <v>France</v>
      </c>
      <c r="B975" t="str">
        <f>IFERROR(__xludf.DUMMYFUNCTION("""COMPUTED_VALUE"""),"Europe")</f>
        <v>Europe</v>
      </c>
      <c r="C975">
        <f>IFERROR(__xludf.DUMMYFUNCTION("""COMPUTED_VALUE"""),24.0)</f>
        <v>24</v>
      </c>
      <c r="D975" t="str">
        <f>IFERROR(__xludf.DUMMYFUNCTION("""COMPUTED_VALUE"""),"Ne reviens pas")</f>
        <v>Ne reviens pas</v>
      </c>
      <c r="E975" t="str">
        <f>IFERROR(__xludf.DUMMYFUNCTION("""COMPUTED_VALUE"""),"Gradur, Heuss L'enfoiré")</f>
        <v>Gradur, Heuss L'enfoiré</v>
      </c>
      <c r="F975" t="str">
        <f>IFERROR(__xludf.DUMMYFUNCTION("""COMPUTED_VALUE"""),"Zone 59")</f>
        <v>Zone 59</v>
      </c>
      <c r="G975">
        <f>IFERROR(__xludf.DUMMYFUNCTION("""COMPUTED_VALUE"""),1.0)</f>
        <v>1</v>
      </c>
      <c r="H975" s="5">
        <f>IFERROR(__xludf.DUMMYFUNCTION("""COMPUTED_VALUE"""),0.1305555555554747)</f>
        <v>0.1305555556</v>
      </c>
    </row>
    <row r="976">
      <c r="A976" t="str">
        <f>IFERROR(__xludf.DUMMYFUNCTION("""COMPUTED_VALUE"""),"France")</f>
        <v>France</v>
      </c>
      <c r="B976" t="str">
        <f>IFERROR(__xludf.DUMMYFUNCTION("""COMPUTED_VALUE"""),"Europe")</f>
        <v>Europe</v>
      </c>
      <c r="C976">
        <f>IFERROR(__xludf.DUMMYFUNCTION("""COMPUTED_VALUE"""),25.0)</f>
        <v>25</v>
      </c>
      <c r="D976" t="str">
        <f>IFERROR(__xludf.DUMMYFUNCTION("""COMPUTED_VALUE"""),"GOOBA")</f>
        <v>GOOBA</v>
      </c>
      <c r="E976" t="str">
        <f>IFERROR(__xludf.DUMMYFUNCTION("""COMPUTED_VALUE"""),"6ix9ine")</f>
        <v>6ix9ine</v>
      </c>
      <c r="F976" t="str">
        <f>IFERROR(__xludf.DUMMYFUNCTION("""COMPUTED_VALUE"""),"GOOBA")</f>
        <v>GOOBA</v>
      </c>
      <c r="G976">
        <f>IFERROR(__xludf.DUMMYFUNCTION("""COMPUTED_VALUE"""),1.0)</f>
        <v>1</v>
      </c>
      <c r="H976" s="5">
        <f>IFERROR(__xludf.DUMMYFUNCTION("""COMPUTED_VALUE"""),0.09166666666715173)</f>
        <v>0.09166666667</v>
      </c>
    </row>
    <row r="977">
      <c r="A977" t="str">
        <f>IFERROR(__xludf.DUMMYFUNCTION("""COMPUTED_VALUE"""),"France")</f>
        <v>France</v>
      </c>
      <c r="B977" t="str">
        <f>IFERROR(__xludf.DUMMYFUNCTION("""COMPUTED_VALUE"""),"Europe")</f>
        <v>Europe</v>
      </c>
      <c r="C977">
        <f>IFERROR(__xludf.DUMMYFUNCTION("""COMPUTED_VALUE"""),26.0)</f>
        <v>26</v>
      </c>
      <c r="D977" t="str">
        <f>IFERROR(__xludf.DUMMYFUNCTION("""COMPUTED_VALUE"""),"Dybala")</f>
        <v>Dybala</v>
      </c>
      <c r="E977" t="str">
        <f>IFERROR(__xludf.DUMMYFUNCTION("""COMPUTED_VALUE"""),"Maes, Jul")</f>
        <v>Maes, Jul</v>
      </c>
      <c r="F977" t="str">
        <f>IFERROR(__xludf.DUMMYFUNCTION("""COMPUTED_VALUE"""),"Les derniers salopards")</f>
        <v>Les derniers salopards</v>
      </c>
      <c r="G977">
        <f>IFERROR(__xludf.DUMMYFUNCTION("""COMPUTED_VALUE"""),1.0)</f>
        <v>1</v>
      </c>
      <c r="H977" s="5">
        <f>IFERROR(__xludf.DUMMYFUNCTION("""COMPUTED_VALUE"""),0.14652777777882875)</f>
        <v>0.1465277778</v>
      </c>
    </row>
    <row r="978">
      <c r="A978" t="str">
        <f>IFERROR(__xludf.DUMMYFUNCTION("""COMPUTED_VALUE"""),"France")</f>
        <v>France</v>
      </c>
      <c r="B978" t="str">
        <f>IFERROR(__xludf.DUMMYFUNCTION("""COMPUTED_VALUE"""),"Europe")</f>
        <v>Europe</v>
      </c>
      <c r="C978">
        <f>IFERROR(__xludf.DUMMYFUNCTION("""COMPUTED_VALUE"""),27.0)</f>
        <v>27</v>
      </c>
      <c r="D978" t="str">
        <f>IFERROR(__xludf.DUMMYFUNCTION("""COMPUTED_VALUE"""),"1ère fois")</f>
        <v>1ère fois</v>
      </c>
      <c r="E978" t="str">
        <f>IFERROR(__xludf.DUMMYFUNCTION("""COMPUTED_VALUE"""),"Imen Es, Alonzo")</f>
        <v>Imen Es, Alonzo</v>
      </c>
      <c r="F978" t="str">
        <f>IFERROR(__xludf.DUMMYFUNCTION("""COMPUTED_VALUE"""),"Nos vies")</f>
        <v>Nos vies</v>
      </c>
      <c r="G978">
        <f>IFERROR(__xludf.DUMMYFUNCTION("""COMPUTED_VALUE"""),0.0)</f>
        <v>0</v>
      </c>
      <c r="H978" s="5">
        <f>IFERROR(__xludf.DUMMYFUNCTION("""COMPUTED_VALUE"""),0.12152777777737356)</f>
        <v>0.1215277778</v>
      </c>
    </row>
    <row r="979">
      <c r="A979" t="str">
        <f>IFERROR(__xludf.DUMMYFUNCTION("""COMPUTED_VALUE"""),"France")</f>
        <v>France</v>
      </c>
      <c r="B979" t="str">
        <f>IFERROR(__xludf.DUMMYFUNCTION("""COMPUTED_VALUE"""),"Europe")</f>
        <v>Europe</v>
      </c>
      <c r="C979">
        <f>IFERROR(__xludf.DUMMYFUNCTION("""COMPUTED_VALUE"""),28.0)</f>
        <v>28</v>
      </c>
      <c r="D979" t="str">
        <f>IFERROR(__xludf.DUMMYFUNCTION("""COMPUTED_VALUE"""),"The Box")</f>
        <v>The Box</v>
      </c>
      <c r="E979" t="str">
        <f>IFERROR(__xludf.DUMMYFUNCTION("""COMPUTED_VALUE"""),"Roddy Ricch")</f>
        <v>Roddy Ricch</v>
      </c>
      <c r="F979" t="str">
        <f>IFERROR(__xludf.DUMMYFUNCTION("""COMPUTED_VALUE"""),"Please Excuse Me For Being Antisocial")</f>
        <v>Please Excuse Me For Being Antisocial</v>
      </c>
      <c r="G979">
        <f>IFERROR(__xludf.DUMMYFUNCTION("""COMPUTED_VALUE"""),1.0)</f>
        <v>1</v>
      </c>
      <c r="H979" s="5">
        <f>IFERROR(__xludf.DUMMYFUNCTION("""COMPUTED_VALUE"""),0.13611111111094942)</f>
        <v>0.1361111111</v>
      </c>
    </row>
    <row r="980">
      <c r="A980" t="str">
        <f>IFERROR(__xludf.DUMMYFUNCTION("""COMPUTED_VALUE"""),"France")</f>
        <v>France</v>
      </c>
      <c r="B980" t="str">
        <f>IFERROR(__xludf.DUMMYFUNCTION("""COMPUTED_VALUE"""),"Europe")</f>
        <v>Europe</v>
      </c>
      <c r="C980">
        <f>IFERROR(__xludf.DUMMYFUNCTION("""COMPUTED_VALUE"""),29.0)</f>
        <v>29</v>
      </c>
      <c r="D980" t="str">
        <f>IFERROR(__xludf.DUMMYFUNCTION("""COMPUTED_VALUE"""),"La vie qu'on mène")</f>
        <v>La vie qu'on mène</v>
      </c>
      <c r="E980" t="str">
        <f>IFERROR(__xludf.DUMMYFUNCTION("""COMPUTED_VALUE"""),"Ninho")</f>
        <v>Ninho</v>
      </c>
      <c r="F980" t="str">
        <f>IFERROR(__xludf.DUMMYFUNCTION("""COMPUTED_VALUE"""),"Destin")</f>
        <v>Destin</v>
      </c>
      <c r="G980">
        <f>IFERROR(__xludf.DUMMYFUNCTION("""COMPUTED_VALUE"""),0.0)</f>
        <v>0</v>
      </c>
      <c r="H980" s="5">
        <f>IFERROR(__xludf.DUMMYFUNCTION("""COMPUTED_VALUE"""),0.13402777777810115)</f>
        <v>0.1340277778</v>
      </c>
    </row>
    <row r="981">
      <c r="A981" t="str">
        <f>IFERROR(__xludf.DUMMYFUNCTION("""COMPUTED_VALUE"""),"France")</f>
        <v>France</v>
      </c>
      <c r="B981" t="str">
        <f>IFERROR(__xludf.DUMMYFUNCTION("""COMPUTED_VALUE"""),"Europe")</f>
        <v>Europe</v>
      </c>
      <c r="C981">
        <f>IFERROR(__xludf.DUMMYFUNCTION("""COMPUTED_VALUE"""),30.0)</f>
        <v>30</v>
      </c>
      <c r="D981" t="str">
        <f>IFERROR(__xludf.DUMMYFUNCTION("""COMPUTED_VALUE"""),"93% [Tijuana]")</f>
        <v>93% [Tijuana]</v>
      </c>
      <c r="E981" t="str">
        <f>IFERROR(__xludf.DUMMYFUNCTION("""COMPUTED_VALUE"""),"GLK, Landy, DA Uzi, Hornet La Frappe")</f>
        <v>GLK, Landy, DA Uzi, Hornet La Frappe</v>
      </c>
      <c r="F981" t="str">
        <f>IFERROR(__xludf.DUMMYFUNCTION("""COMPUTED_VALUE"""),"Indécis")</f>
        <v>Indécis</v>
      </c>
      <c r="G981">
        <f>IFERROR(__xludf.DUMMYFUNCTION("""COMPUTED_VALUE"""),1.0)</f>
        <v>1</v>
      </c>
      <c r="H981" s="5">
        <f>IFERROR(__xludf.DUMMYFUNCTION("""COMPUTED_VALUE"""),0.15416666666715173)</f>
        <v>0.1541666667</v>
      </c>
    </row>
    <row r="982">
      <c r="A982" t="str">
        <f>IFERROR(__xludf.DUMMYFUNCTION("""COMPUTED_VALUE"""),"France")</f>
        <v>France</v>
      </c>
      <c r="B982" t="str">
        <f>IFERROR(__xludf.DUMMYFUNCTION("""COMPUTED_VALUE"""),"Europe")</f>
        <v>Europe</v>
      </c>
      <c r="C982">
        <f>IFERROR(__xludf.DUMMYFUNCTION("""COMPUTED_VALUE"""),31.0)</f>
        <v>31</v>
      </c>
      <c r="D982" t="str">
        <f>IFERROR(__xludf.DUMMYFUNCTION("""COMPUTED_VALUE"""),"ROCKSTAR (feat. Roddy Ricch)")</f>
        <v>ROCKSTAR (feat. Roddy Ricch)</v>
      </c>
      <c r="E982" t="str">
        <f>IFERROR(__xludf.DUMMYFUNCTION("""COMPUTED_VALUE"""),"DaBaby, Roddy Ricch")</f>
        <v>DaBaby, Roddy Ricch</v>
      </c>
      <c r="F982" t="str">
        <f>IFERROR(__xludf.DUMMYFUNCTION("""COMPUTED_VALUE"""),"BLAME IT ON BABY")</f>
        <v>BLAME IT ON BABY</v>
      </c>
      <c r="G982">
        <f>IFERROR(__xludf.DUMMYFUNCTION("""COMPUTED_VALUE"""),1.0)</f>
        <v>1</v>
      </c>
      <c r="H982" s="5">
        <f>IFERROR(__xludf.DUMMYFUNCTION("""COMPUTED_VALUE"""),0.1256944444430701)</f>
        <v>0.1256944444</v>
      </c>
    </row>
    <row r="983">
      <c r="A983" t="str">
        <f>IFERROR(__xludf.DUMMYFUNCTION("""COMPUTED_VALUE"""),"France")</f>
        <v>France</v>
      </c>
      <c r="B983" t="str">
        <f>IFERROR(__xludf.DUMMYFUNCTION("""COMPUTED_VALUE"""),"Europe")</f>
        <v>Europe</v>
      </c>
      <c r="C983">
        <f>IFERROR(__xludf.DUMMYFUNCTION("""COMPUTED_VALUE"""),32.0)</f>
        <v>32</v>
      </c>
      <c r="D983" t="str">
        <f>IFERROR(__xludf.DUMMYFUNCTION("""COMPUTED_VALUE"""),"MD (feat. Niska)")</f>
        <v>MD (feat. Niska)</v>
      </c>
      <c r="E983" t="str">
        <f>IFERROR(__xludf.DUMMYFUNCTION("""COMPUTED_VALUE"""),"4Keus, Niska")</f>
        <v>4Keus, Niska</v>
      </c>
      <c r="F983" t="str">
        <f>IFERROR(__xludf.DUMMYFUNCTION("""COMPUTED_VALUE"""),"Vie d'artiste")</f>
        <v>Vie d'artiste</v>
      </c>
      <c r="G983">
        <f>IFERROR(__xludf.DUMMYFUNCTION("""COMPUTED_VALUE"""),1.0)</f>
        <v>1</v>
      </c>
      <c r="H983" s="5">
        <f>IFERROR(__xludf.DUMMYFUNCTION("""COMPUTED_VALUE"""),0.14583333333212067)</f>
        <v>0.1458333333</v>
      </c>
    </row>
    <row r="984">
      <c r="A984" t="str">
        <f>IFERROR(__xludf.DUMMYFUNCTION("""COMPUTED_VALUE"""),"France")</f>
        <v>France</v>
      </c>
      <c r="B984" t="str">
        <f>IFERROR(__xludf.DUMMYFUNCTION("""COMPUTED_VALUE"""),"Europe")</f>
        <v>Europe</v>
      </c>
      <c r="C984">
        <f>IFERROR(__xludf.DUMMYFUNCTION("""COMPUTED_VALUE"""),33.0)</f>
        <v>33</v>
      </c>
      <c r="D984" t="str">
        <f>IFERROR(__xludf.DUMMYFUNCTION("""COMPUTED_VALUE"""),"Salt")</f>
        <v>Salt</v>
      </c>
      <c r="E984" t="str">
        <f>IFERROR(__xludf.DUMMYFUNCTION("""COMPUTED_VALUE"""),"Ava Max")</f>
        <v>Ava Max</v>
      </c>
      <c r="F984" t="str">
        <f>IFERROR(__xludf.DUMMYFUNCTION("""COMPUTED_VALUE"""),"Salt")</f>
        <v>Salt</v>
      </c>
      <c r="G984">
        <f>IFERROR(__xludf.DUMMYFUNCTION("""COMPUTED_VALUE"""),0.0)</f>
        <v>0</v>
      </c>
      <c r="H984" s="5">
        <f>IFERROR(__xludf.DUMMYFUNCTION("""COMPUTED_VALUE"""),0.125)</f>
        <v>0.125</v>
      </c>
    </row>
    <row r="985">
      <c r="A985" t="str">
        <f>IFERROR(__xludf.DUMMYFUNCTION("""COMPUTED_VALUE"""),"France")</f>
        <v>France</v>
      </c>
      <c r="B985" t="str">
        <f>IFERROR(__xludf.DUMMYFUNCTION("""COMPUTED_VALUE"""),"Europe")</f>
        <v>Europe</v>
      </c>
      <c r="C985">
        <f>IFERROR(__xludf.DUMMYFUNCTION("""COMPUTED_VALUE"""),34.0)</f>
        <v>34</v>
      </c>
      <c r="D985" t="str">
        <f>IFERROR(__xludf.DUMMYFUNCTION("""COMPUTED_VALUE"""),"Crois-moi (feat. Ninho)")</f>
        <v>Crois-moi (feat. Ninho)</v>
      </c>
      <c r="E985" t="str">
        <f>IFERROR(__xludf.DUMMYFUNCTION("""COMPUTED_VALUE"""),"DA Uzi, Ninho")</f>
        <v>DA Uzi, Ninho</v>
      </c>
      <c r="F985" t="str">
        <f>IFERROR(__xludf.DUMMYFUNCTION("""COMPUTED_VALUE"""),"Architecte")</f>
        <v>Architecte</v>
      </c>
      <c r="G985">
        <f>IFERROR(__xludf.DUMMYFUNCTION("""COMPUTED_VALUE"""),1.0)</f>
        <v>1</v>
      </c>
      <c r="H985" s="5">
        <f>IFERROR(__xludf.DUMMYFUNCTION("""COMPUTED_VALUE"""),0.12708333333284827)</f>
        <v>0.1270833333</v>
      </c>
    </row>
    <row r="986">
      <c r="A986" t="str">
        <f>IFERROR(__xludf.DUMMYFUNCTION("""COMPUTED_VALUE"""),"France")</f>
        <v>France</v>
      </c>
      <c r="B986" t="str">
        <f>IFERROR(__xludf.DUMMYFUNCTION("""COMPUTED_VALUE"""),"Europe")</f>
        <v>Europe</v>
      </c>
      <c r="C986">
        <f>IFERROR(__xludf.DUMMYFUNCTION("""COMPUTED_VALUE"""),35.0)</f>
        <v>35</v>
      </c>
      <c r="D986" t="str">
        <f>IFERROR(__xludf.DUMMYFUNCTION("""COMPUTED_VALUE"""),"Falling")</f>
        <v>Falling</v>
      </c>
      <c r="E986" t="str">
        <f>IFERROR(__xludf.DUMMYFUNCTION("""COMPUTED_VALUE"""),"Trevor Daniel")</f>
        <v>Trevor Daniel</v>
      </c>
      <c r="F986" t="str">
        <f>IFERROR(__xludf.DUMMYFUNCTION("""COMPUTED_VALUE"""),"Nicotine")</f>
        <v>Nicotine</v>
      </c>
      <c r="G986">
        <f>IFERROR(__xludf.DUMMYFUNCTION("""COMPUTED_VALUE"""),0.0)</f>
        <v>0</v>
      </c>
      <c r="H986" s="5">
        <f>IFERROR(__xludf.DUMMYFUNCTION("""COMPUTED_VALUE"""),0.11041666666642413)</f>
        <v>0.1104166667</v>
      </c>
    </row>
    <row r="987">
      <c r="A987" t="str">
        <f>IFERROR(__xludf.DUMMYFUNCTION("""COMPUTED_VALUE"""),"France")</f>
        <v>France</v>
      </c>
      <c r="B987" t="str">
        <f>IFERROR(__xludf.DUMMYFUNCTION("""COMPUTED_VALUE"""),"Europe")</f>
        <v>Europe</v>
      </c>
      <c r="C987">
        <f>IFERROR(__xludf.DUMMYFUNCTION("""COMPUTED_VALUE"""),36.0)</f>
        <v>36</v>
      </c>
      <c r="D987" t="str">
        <f>IFERROR(__xludf.DUMMYFUNCTION("""COMPUTED_VALUE"""),"In Your Eyes")</f>
        <v>In Your Eyes</v>
      </c>
      <c r="E987" t="str">
        <f>IFERROR(__xludf.DUMMYFUNCTION("""COMPUTED_VALUE"""),"The Weeknd")</f>
        <v>The Weeknd</v>
      </c>
      <c r="F987" t="str">
        <f>IFERROR(__xludf.DUMMYFUNCTION("""COMPUTED_VALUE"""),"After Hours")</f>
        <v>After Hours</v>
      </c>
      <c r="G987">
        <f>IFERROR(__xludf.DUMMYFUNCTION("""COMPUTED_VALUE"""),1.0)</f>
        <v>1</v>
      </c>
      <c r="H987" s="5">
        <f>IFERROR(__xludf.DUMMYFUNCTION("""COMPUTED_VALUE"""),0.16458333333503106)</f>
        <v>0.1645833333</v>
      </c>
    </row>
    <row r="988">
      <c r="A988" t="str">
        <f>IFERROR(__xludf.DUMMYFUNCTION("""COMPUTED_VALUE"""),"France")</f>
        <v>France</v>
      </c>
      <c r="B988" t="str">
        <f>IFERROR(__xludf.DUMMYFUNCTION("""COMPUTED_VALUE"""),"Europe")</f>
        <v>Europe</v>
      </c>
      <c r="C988">
        <f>IFERROR(__xludf.DUMMYFUNCTION("""COMPUTED_VALUE"""),37.0)</f>
        <v>37</v>
      </c>
      <c r="D988" t="str">
        <f>IFERROR(__xludf.DUMMYFUNCTION("""COMPUTED_VALUE"""),"Breaking Me")</f>
        <v>Breaking Me</v>
      </c>
      <c r="E988" t="str">
        <f>IFERROR(__xludf.DUMMYFUNCTION("""COMPUTED_VALUE"""),"Topic, A7S")</f>
        <v>Topic, A7S</v>
      </c>
      <c r="F988" t="str">
        <f>IFERROR(__xludf.DUMMYFUNCTION("""COMPUTED_VALUE"""),"Breaking Me")</f>
        <v>Breaking Me</v>
      </c>
      <c r="G988">
        <f>IFERROR(__xludf.DUMMYFUNCTION("""COMPUTED_VALUE"""),0.0)</f>
        <v>0</v>
      </c>
      <c r="H988" s="5">
        <f>IFERROR(__xludf.DUMMYFUNCTION("""COMPUTED_VALUE"""),0.11527777777882875)</f>
        <v>0.1152777778</v>
      </c>
    </row>
    <row r="989">
      <c r="A989" t="str">
        <f>IFERROR(__xludf.DUMMYFUNCTION("""COMPUTED_VALUE"""),"France")</f>
        <v>France</v>
      </c>
      <c r="B989" t="str">
        <f>IFERROR(__xludf.DUMMYFUNCTION("""COMPUTED_VALUE"""),"Europe")</f>
        <v>Europe</v>
      </c>
      <c r="C989">
        <f>IFERROR(__xludf.DUMMYFUNCTION("""COMPUTED_VALUE"""),38.0)</f>
        <v>38</v>
      </c>
      <c r="D989" t="str">
        <f>IFERROR(__xludf.DUMMYFUNCTION("""COMPUTED_VALUE"""),"Supalonely")</f>
        <v>Supalonely</v>
      </c>
      <c r="E989" t="str">
        <f>IFERROR(__xludf.DUMMYFUNCTION("""COMPUTED_VALUE"""),"BENEE, Gus Dapperton")</f>
        <v>BENEE, Gus Dapperton</v>
      </c>
      <c r="F989" t="str">
        <f>IFERROR(__xludf.DUMMYFUNCTION("""COMPUTED_VALUE"""),"STELLA &amp; STEVE")</f>
        <v>STELLA &amp; STEVE</v>
      </c>
      <c r="G989">
        <f>IFERROR(__xludf.DUMMYFUNCTION("""COMPUTED_VALUE"""),1.0)</f>
        <v>1</v>
      </c>
      <c r="H989" s="5">
        <f>IFERROR(__xludf.DUMMYFUNCTION("""COMPUTED_VALUE"""),0.15486111111022183)</f>
        <v>0.1548611111</v>
      </c>
    </row>
    <row r="990">
      <c r="A990" t="str">
        <f>IFERROR(__xludf.DUMMYFUNCTION("""COMPUTED_VALUE"""),"France")</f>
        <v>France</v>
      </c>
      <c r="B990" t="str">
        <f>IFERROR(__xludf.DUMMYFUNCTION("""COMPUTED_VALUE"""),"Europe")</f>
        <v>Europe</v>
      </c>
      <c r="C990">
        <f>IFERROR(__xludf.DUMMYFUNCTION("""COMPUTED_VALUE"""),39.0)</f>
        <v>39</v>
      </c>
      <c r="D990" t="str">
        <f>IFERROR(__xludf.DUMMYFUNCTION("""COMPUTED_VALUE"""),"Moulaga")</f>
        <v>Moulaga</v>
      </c>
      <c r="E990" t="str">
        <f>IFERROR(__xludf.DUMMYFUNCTION("""COMPUTED_VALUE"""),"Heuss L'enfoiré, Jul")</f>
        <v>Heuss L'enfoiré, Jul</v>
      </c>
      <c r="F990" t="str">
        <f>IFERROR(__xludf.DUMMYFUNCTION("""COMPUTED_VALUE"""),"Moulaga")</f>
        <v>Moulaga</v>
      </c>
      <c r="G990">
        <f>IFERROR(__xludf.DUMMYFUNCTION("""COMPUTED_VALUE"""),1.0)</f>
        <v>1</v>
      </c>
      <c r="H990" s="5">
        <f>IFERROR(__xludf.DUMMYFUNCTION("""COMPUTED_VALUE"""),0.1243055555569299)</f>
        <v>0.1243055556</v>
      </c>
    </row>
    <row r="991">
      <c r="A991" t="str">
        <f>IFERROR(__xludf.DUMMYFUNCTION("""COMPUTED_VALUE"""),"France")</f>
        <v>France</v>
      </c>
      <c r="B991" t="str">
        <f>IFERROR(__xludf.DUMMYFUNCTION("""COMPUTED_VALUE"""),"Europe")</f>
        <v>Europe</v>
      </c>
      <c r="C991">
        <f>IFERROR(__xludf.DUMMYFUNCTION("""COMPUTED_VALUE"""),40.0)</f>
        <v>40</v>
      </c>
      <c r="D991" t="str">
        <f>IFERROR(__xludf.DUMMYFUNCTION("""COMPUTED_VALUE"""),"Some Say")</f>
        <v>Some Say</v>
      </c>
      <c r="E991" t="str">
        <f>IFERROR(__xludf.DUMMYFUNCTION("""COMPUTED_VALUE"""),"Nea")</f>
        <v>Nea</v>
      </c>
      <c r="F991" t="str">
        <f>IFERROR(__xludf.DUMMYFUNCTION("""COMPUTED_VALUE"""),"Some Say")</f>
        <v>Some Say</v>
      </c>
      <c r="G991">
        <f>IFERROR(__xludf.DUMMYFUNCTION("""COMPUTED_VALUE"""),0.0)</f>
        <v>0</v>
      </c>
      <c r="H991" s="5">
        <f>IFERROR(__xludf.DUMMYFUNCTION("""COMPUTED_VALUE"""),0.12152777777737356)</f>
        <v>0.1215277778</v>
      </c>
    </row>
    <row r="992">
      <c r="A992" t="str">
        <f>IFERROR(__xludf.DUMMYFUNCTION("""COMPUTED_VALUE"""),"France")</f>
        <v>France</v>
      </c>
      <c r="B992" t="str">
        <f>IFERROR(__xludf.DUMMYFUNCTION("""COMPUTED_VALUE"""),"Europe")</f>
        <v>Europe</v>
      </c>
      <c r="C992">
        <f>IFERROR(__xludf.DUMMYFUNCTION("""COMPUTED_VALUE"""),41.0)</f>
        <v>41</v>
      </c>
      <c r="D992" t="str">
        <f>IFERROR(__xludf.DUMMYFUNCTION("""COMPUTED_VALUE"""),"Infinity - Dubdogz &amp; Bhaskar Edit")</f>
        <v>Infinity - Dubdogz &amp; Bhaskar Edit</v>
      </c>
      <c r="E992" t="str">
        <f>IFERROR(__xludf.DUMMYFUNCTION("""COMPUTED_VALUE"""),"Dubdogz, Bhaskar")</f>
        <v>Dubdogz, Bhaskar</v>
      </c>
      <c r="F992" t="str">
        <f>IFERROR(__xludf.DUMMYFUNCTION("""COMPUTED_VALUE"""),"Infinity (Dubdogz &amp; Bhaskar Edit)")</f>
        <v>Infinity (Dubdogz &amp; Bhaskar Edit)</v>
      </c>
      <c r="G992">
        <f>IFERROR(__xludf.DUMMYFUNCTION("""COMPUTED_VALUE"""),0.0)</f>
        <v>0</v>
      </c>
      <c r="H992" s="5">
        <f>IFERROR(__xludf.DUMMYFUNCTION("""COMPUTED_VALUE"""),0.13611111111094942)</f>
        <v>0.1361111111</v>
      </c>
    </row>
    <row r="993">
      <c r="A993" t="str">
        <f>IFERROR(__xludf.DUMMYFUNCTION("""COMPUTED_VALUE"""),"France")</f>
        <v>France</v>
      </c>
      <c r="B993" t="str">
        <f>IFERROR(__xludf.DUMMYFUNCTION("""COMPUTED_VALUE"""),"Europe")</f>
        <v>Europe</v>
      </c>
      <c r="C993">
        <f>IFERROR(__xludf.DUMMYFUNCTION("""COMPUTED_VALUE"""),42.0)</f>
        <v>42</v>
      </c>
      <c r="D993" t="str">
        <f>IFERROR(__xludf.DUMMYFUNCTION("""COMPUTED_VALUE"""),"Train de vie (feat. PLK)")</f>
        <v>Train de vie (feat. PLK)</v>
      </c>
      <c r="E993" t="str">
        <f>IFERROR(__xludf.DUMMYFUNCTION("""COMPUTED_VALUE"""),"Leto, PLK")</f>
        <v>Leto, PLK</v>
      </c>
      <c r="F993" t="str">
        <f>IFERROR(__xludf.DUMMYFUNCTION("""COMPUTED_VALUE"""),"Virus: avant l'album")</f>
        <v>Virus: avant l'album</v>
      </c>
      <c r="G993">
        <f>IFERROR(__xludf.DUMMYFUNCTION("""COMPUTED_VALUE"""),1.0)</f>
        <v>1</v>
      </c>
      <c r="H993" s="5">
        <f>IFERROR(__xludf.DUMMYFUNCTION("""COMPUTED_VALUE"""),0.12986111111240461)</f>
        <v>0.1298611111</v>
      </c>
    </row>
    <row r="994">
      <c r="A994" t="str">
        <f>IFERROR(__xludf.DUMMYFUNCTION("""COMPUTED_VALUE"""),"France")</f>
        <v>France</v>
      </c>
      <c r="B994" t="str">
        <f>IFERROR(__xludf.DUMMYFUNCTION("""COMPUTED_VALUE"""),"Europe")</f>
        <v>Europe</v>
      </c>
      <c r="C994">
        <f>IFERROR(__xludf.DUMMYFUNCTION("""COMPUTED_VALUE"""),43.0)</f>
        <v>43</v>
      </c>
      <c r="D994" t="str">
        <f>IFERROR(__xludf.DUMMYFUNCTION("""COMPUTED_VALUE"""),"Prison pour mineurs")</f>
        <v>Prison pour mineurs</v>
      </c>
      <c r="E994" t="str">
        <f>IFERROR(__xludf.DUMMYFUNCTION("""COMPUTED_VALUE"""),"Hatik")</f>
        <v>Hatik</v>
      </c>
      <c r="F994" t="str">
        <f>IFERROR(__xludf.DUMMYFUNCTION("""COMPUTED_VALUE"""),"Prison pour mineurs")</f>
        <v>Prison pour mineurs</v>
      </c>
      <c r="G994">
        <f>IFERROR(__xludf.DUMMYFUNCTION("""COMPUTED_VALUE"""),1.0)</f>
        <v>1</v>
      </c>
      <c r="H994" s="5">
        <f>IFERROR(__xludf.DUMMYFUNCTION("""COMPUTED_VALUE"""),0.06527777777955635)</f>
        <v>0.06527777778</v>
      </c>
    </row>
    <row r="995">
      <c r="A995" t="str">
        <f>IFERROR(__xludf.DUMMYFUNCTION("""COMPUTED_VALUE"""),"France")</f>
        <v>France</v>
      </c>
      <c r="B995" t="str">
        <f>IFERROR(__xludf.DUMMYFUNCTION("""COMPUTED_VALUE"""),"Europe")</f>
        <v>Europe</v>
      </c>
      <c r="C995">
        <f>IFERROR(__xludf.DUMMYFUNCTION("""COMPUTED_VALUE"""),44.0)</f>
        <v>44</v>
      </c>
      <c r="D995" t="str">
        <f>IFERROR(__xludf.DUMMYFUNCTION("""COMPUTED_VALUE"""),"Pirate")</f>
        <v>Pirate</v>
      </c>
      <c r="E995" t="str">
        <f>IFERROR(__xludf.DUMMYFUNCTION("""COMPUTED_VALUE"""),"Ninho, Hös Copperfield")</f>
        <v>Ninho, Hös Copperfield</v>
      </c>
      <c r="F995" t="str">
        <f>IFERROR(__xludf.DUMMYFUNCTION("""COMPUTED_VALUE"""),"Pirate")</f>
        <v>Pirate</v>
      </c>
      <c r="G995">
        <f>IFERROR(__xludf.DUMMYFUNCTION("""COMPUTED_VALUE"""),1.0)</f>
        <v>1</v>
      </c>
      <c r="H995" s="5">
        <f>IFERROR(__xludf.DUMMYFUNCTION("""COMPUTED_VALUE"""),0.17013888889050577)</f>
        <v>0.1701388889</v>
      </c>
    </row>
    <row r="996">
      <c r="A996" t="str">
        <f>IFERROR(__xludf.DUMMYFUNCTION("""COMPUTED_VALUE"""),"France")</f>
        <v>France</v>
      </c>
      <c r="B996" t="str">
        <f>IFERROR(__xludf.DUMMYFUNCTION("""COMPUTED_VALUE"""),"Europe")</f>
        <v>Europe</v>
      </c>
      <c r="C996">
        <f>IFERROR(__xludf.DUMMYFUNCTION("""COMPUTED_VALUE"""),45.0)</f>
        <v>45</v>
      </c>
      <c r="D996" t="str">
        <f>IFERROR(__xludf.DUMMYFUNCTION("""COMPUTED_VALUE"""),"Physical")</f>
        <v>Physical</v>
      </c>
      <c r="E996" t="str">
        <f>IFERROR(__xludf.DUMMYFUNCTION("""COMPUTED_VALUE"""),"Dua Lipa")</f>
        <v>Dua Lipa</v>
      </c>
      <c r="F996" t="str">
        <f>IFERROR(__xludf.DUMMYFUNCTION("""COMPUTED_VALUE"""),"Future Nostalgia")</f>
        <v>Future Nostalgia</v>
      </c>
      <c r="G996">
        <f>IFERROR(__xludf.DUMMYFUNCTION("""COMPUTED_VALUE"""),0.0)</f>
        <v>0</v>
      </c>
      <c r="H996" s="5">
        <f>IFERROR(__xludf.DUMMYFUNCTION("""COMPUTED_VALUE"""),0.13402777777810115)</f>
        <v>0.1340277778</v>
      </c>
    </row>
    <row r="997">
      <c r="A997" t="str">
        <f>IFERROR(__xludf.DUMMYFUNCTION("""COMPUTED_VALUE"""),"France")</f>
        <v>France</v>
      </c>
      <c r="B997" t="str">
        <f>IFERROR(__xludf.DUMMYFUNCTION("""COMPUTED_VALUE"""),"Europe")</f>
        <v>Europe</v>
      </c>
      <c r="C997">
        <f>IFERROR(__xludf.DUMMYFUNCTION("""COMPUTED_VALUE"""),46.0)</f>
        <v>46</v>
      </c>
      <c r="D997" t="str">
        <f>IFERROR(__xludf.DUMMYFUNCTION("""COMPUTED_VALUE"""),"Fait d'or")</f>
        <v>Fait d'or</v>
      </c>
      <c r="E997" t="str">
        <f>IFERROR(__xludf.DUMMYFUNCTION("""COMPUTED_VALUE"""),"Jul")</f>
        <v>Jul</v>
      </c>
      <c r="F997" t="str">
        <f>IFERROR(__xludf.DUMMYFUNCTION("""COMPUTED_VALUE"""),"Fait d'or")</f>
        <v>Fait d'or</v>
      </c>
      <c r="G997">
        <f>IFERROR(__xludf.DUMMYFUNCTION("""COMPUTED_VALUE"""),1.0)</f>
        <v>1</v>
      </c>
      <c r="H997" s="5">
        <f>IFERROR(__xludf.DUMMYFUNCTION("""COMPUTED_VALUE"""),0.21875)</f>
        <v>0.21875</v>
      </c>
    </row>
    <row r="998">
      <c r="A998" t="str">
        <f>IFERROR(__xludf.DUMMYFUNCTION("""COMPUTED_VALUE"""),"France")</f>
        <v>France</v>
      </c>
      <c r="B998" t="str">
        <f>IFERROR(__xludf.DUMMYFUNCTION("""COMPUTED_VALUE"""),"Europe")</f>
        <v>Europe</v>
      </c>
      <c r="C998">
        <f>IFERROR(__xludf.DUMMYFUNCTION("""COMPUTED_VALUE"""),47.0)</f>
        <v>47</v>
      </c>
      <c r="D998" t="str">
        <f>IFERROR(__xludf.DUMMYFUNCTION("""COMPUTED_VALUE"""),"So Maness")</f>
        <v>So Maness</v>
      </c>
      <c r="E998" t="str">
        <f>IFERROR(__xludf.DUMMYFUNCTION("""COMPUTED_VALUE"""),"Soso Maness")</f>
        <v>Soso Maness</v>
      </c>
      <c r="F998" t="str">
        <f>IFERROR(__xludf.DUMMYFUNCTION("""COMPUTED_VALUE"""),"So Maness")</f>
        <v>So Maness</v>
      </c>
      <c r="G998">
        <f>IFERROR(__xludf.DUMMYFUNCTION("""COMPUTED_VALUE"""),1.0)</f>
        <v>1</v>
      </c>
      <c r="H998" s="5">
        <f>IFERROR(__xludf.DUMMYFUNCTION("""COMPUTED_VALUE"""),0.11041666666642413)</f>
        <v>0.1104166667</v>
      </c>
    </row>
    <row r="999">
      <c r="A999" t="str">
        <f>IFERROR(__xludf.DUMMYFUNCTION("""COMPUTED_VALUE"""),"France")</f>
        <v>France</v>
      </c>
      <c r="B999" t="str">
        <f>IFERROR(__xludf.DUMMYFUNCTION("""COMPUTED_VALUE"""),"Europe")</f>
        <v>Europe</v>
      </c>
      <c r="C999">
        <f>IFERROR(__xludf.DUMMYFUNCTION("""COMPUTED_VALUE"""),48.0)</f>
        <v>48</v>
      </c>
      <c r="D999" t="str">
        <f>IFERROR(__xludf.DUMMYFUNCTION("""COMPUTED_VALUE"""),"Sunday Best")</f>
        <v>Sunday Best</v>
      </c>
      <c r="E999" t="str">
        <f>IFERROR(__xludf.DUMMYFUNCTION("""COMPUTED_VALUE"""),"Surfaces")</f>
        <v>Surfaces</v>
      </c>
      <c r="F999" t="str">
        <f>IFERROR(__xludf.DUMMYFUNCTION("""COMPUTED_VALUE"""),"Where the Light Is")</f>
        <v>Where the Light Is</v>
      </c>
      <c r="G999">
        <f>IFERROR(__xludf.DUMMYFUNCTION("""COMPUTED_VALUE"""),0.0)</f>
        <v>0</v>
      </c>
      <c r="H999" s="5">
        <f>IFERROR(__xludf.DUMMYFUNCTION("""COMPUTED_VALUE"""),0.10972222222335404)</f>
        <v>0.1097222222</v>
      </c>
    </row>
    <row r="1000">
      <c r="A1000" t="str">
        <f>IFERROR(__xludf.DUMMYFUNCTION("""COMPUTED_VALUE"""),"France")</f>
        <v>France</v>
      </c>
      <c r="B1000" t="str">
        <f>IFERROR(__xludf.DUMMYFUNCTION("""COMPUTED_VALUE"""),"Europe")</f>
        <v>Europe</v>
      </c>
      <c r="C1000">
        <f>IFERROR(__xludf.DUMMYFUNCTION("""COMPUTED_VALUE"""),49.0)</f>
        <v>49</v>
      </c>
      <c r="D1000" t="str">
        <f>IFERROR(__xludf.DUMMYFUNCTION("""COMPUTED_VALUE"""),"Anissa")</f>
        <v>Anissa</v>
      </c>
      <c r="E1000" t="str">
        <f>IFERROR(__xludf.DUMMYFUNCTION("""COMPUTED_VALUE"""),"Wejdene")</f>
        <v>Wejdene</v>
      </c>
      <c r="F1000" t="str">
        <f>IFERROR(__xludf.DUMMYFUNCTION("""COMPUTED_VALUE"""),"Anissa")</f>
        <v>Anissa</v>
      </c>
      <c r="G1000">
        <f>IFERROR(__xludf.DUMMYFUNCTION("""COMPUTED_VALUE"""),0.0)</f>
        <v>0</v>
      </c>
      <c r="H1000" s="5">
        <f>IFERROR(__xludf.DUMMYFUNCTION("""COMPUTED_VALUE"""),0.12152777777737356)</f>
        <v>0.1215277778</v>
      </c>
    </row>
    <row r="1001">
      <c r="A1001" t="str">
        <f>IFERROR(__xludf.DUMMYFUNCTION("""COMPUTED_VALUE"""),"France")</f>
        <v>France</v>
      </c>
      <c r="B1001" t="str">
        <f>IFERROR(__xludf.DUMMYFUNCTION("""COMPUTED_VALUE"""),"Europe")</f>
        <v>Europe</v>
      </c>
      <c r="C1001">
        <f>IFERROR(__xludf.DUMMYFUNCTION("""COMPUTED_VALUE"""),50.0)</f>
        <v>50</v>
      </c>
      <c r="D1001" t="str">
        <f>IFERROR(__xludf.DUMMYFUNCTION("""COMPUTED_VALUE"""),"Djomb")</f>
        <v>Djomb</v>
      </c>
      <c r="E1001" t="str">
        <f>IFERROR(__xludf.DUMMYFUNCTION("""COMPUTED_VALUE"""),"Bosh")</f>
        <v>Bosh</v>
      </c>
      <c r="F1001" t="str">
        <f>IFERROR(__xludf.DUMMYFUNCTION("""COMPUTED_VALUE"""),"Synkinisi")</f>
        <v>Synkinisi</v>
      </c>
      <c r="G1001">
        <f>IFERROR(__xludf.DUMMYFUNCTION("""COMPUTED_VALUE"""),1.0)</f>
        <v>1</v>
      </c>
      <c r="H1001" s="5">
        <f>IFERROR(__xludf.DUMMYFUNCTION("""COMPUTED_VALUE"""),0.09791666666569654)</f>
        <v>0.09791666667</v>
      </c>
    </row>
    <row r="1002">
      <c r="A1002" t="str">
        <f>IFERROR(__xludf.DUMMYFUNCTION("""COMPUTED_VALUE"""),"Germany")</f>
        <v>Germany</v>
      </c>
      <c r="B1002" t="str">
        <f>IFERROR(__xludf.DUMMYFUNCTION("""COMPUTED_VALUE"""),"Europe")</f>
        <v>Europe</v>
      </c>
      <c r="C1002">
        <f>IFERROR(__xludf.DUMMYFUNCTION("""COMPUTED_VALUE"""),1.0)</f>
        <v>1</v>
      </c>
      <c r="D1002" t="str">
        <f>IFERROR(__xludf.DUMMYFUNCTION("""COMPUTED_VALUE"""),"Roadrunner")</f>
        <v>Roadrunner</v>
      </c>
      <c r="E1002" t="str">
        <f>IFERROR(__xludf.DUMMYFUNCTION("""COMPUTED_VALUE"""),"Bonez MC")</f>
        <v>Bonez MC</v>
      </c>
      <c r="F1002" t="str">
        <f>IFERROR(__xludf.DUMMYFUNCTION("""COMPUTED_VALUE"""),"Roadrunner")</f>
        <v>Roadrunner</v>
      </c>
      <c r="G1002">
        <f>IFERROR(__xludf.DUMMYFUNCTION("""COMPUTED_VALUE"""),0.0)</f>
        <v>0</v>
      </c>
      <c r="H1002" s="5">
        <f>IFERROR(__xludf.DUMMYFUNCTION("""COMPUTED_VALUE"""),0.10347222222117125)</f>
        <v>0.1034722222</v>
      </c>
    </row>
    <row r="1003">
      <c r="A1003" t="str">
        <f>IFERROR(__xludf.DUMMYFUNCTION("""COMPUTED_VALUE"""),"Germany")</f>
        <v>Germany</v>
      </c>
      <c r="B1003" t="str">
        <f>IFERROR(__xludf.DUMMYFUNCTION("""COMPUTED_VALUE"""),"Europe")</f>
        <v>Europe</v>
      </c>
      <c r="C1003">
        <f>IFERROR(__xludf.DUMMYFUNCTION("""COMPUTED_VALUE"""),2.0)</f>
        <v>2</v>
      </c>
      <c r="D1003" t="str">
        <f>IFERROR(__xludf.DUMMYFUNCTION("""COMPUTED_VALUE"""),"Komm Komm")</f>
        <v>Komm Komm</v>
      </c>
      <c r="E1003" t="str">
        <f>IFERROR(__xludf.DUMMYFUNCTION("""COMPUTED_VALUE"""),"Capital Bra")</f>
        <v>Capital Bra</v>
      </c>
      <c r="F1003" t="str">
        <f>IFERROR(__xludf.DUMMYFUNCTION("""COMPUTED_VALUE"""),"Komm Komm")</f>
        <v>Komm Komm</v>
      </c>
      <c r="G1003">
        <f>IFERROR(__xludf.DUMMYFUNCTION("""COMPUTED_VALUE"""),0.0)</f>
        <v>0</v>
      </c>
      <c r="H1003" s="5">
        <f>IFERROR(__xludf.DUMMYFUNCTION("""COMPUTED_VALUE"""),0.11111111110949423)</f>
        <v>0.1111111111</v>
      </c>
    </row>
    <row r="1004">
      <c r="A1004" t="str">
        <f>IFERROR(__xludf.DUMMYFUNCTION("""COMPUTED_VALUE"""),"Germany")</f>
        <v>Germany</v>
      </c>
      <c r="B1004" t="str">
        <f>IFERROR(__xludf.DUMMYFUNCTION("""COMPUTED_VALUE"""),"Europe")</f>
        <v>Europe</v>
      </c>
      <c r="C1004">
        <f>IFERROR(__xludf.DUMMYFUNCTION("""COMPUTED_VALUE"""),3.0)</f>
        <v>3</v>
      </c>
      <c r="D1004" t="str">
        <f>IFERROR(__xludf.DUMMYFUNCTION("""COMPUTED_VALUE"""),"Fame")</f>
        <v>Fame</v>
      </c>
      <c r="E1004" t="str">
        <f>IFERROR(__xludf.DUMMYFUNCTION("""COMPUTED_VALUE"""),"Apache 207")</f>
        <v>Apache 207</v>
      </c>
      <c r="F1004" t="str">
        <f>IFERROR(__xludf.DUMMYFUNCTION("""COMPUTED_VALUE"""),"Fame")</f>
        <v>Fame</v>
      </c>
      <c r="G1004">
        <f>IFERROR(__xludf.DUMMYFUNCTION("""COMPUTED_VALUE"""),0.0)</f>
        <v>0</v>
      </c>
      <c r="H1004" s="5">
        <f>IFERROR(__xludf.DUMMYFUNCTION("""COMPUTED_VALUE"""),0.12013888888759539)</f>
        <v>0.1201388889</v>
      </c>
    </row>
    <row r="1005">
      <c r="A1005" t="str">
        <f>IFERROR(__xludf.DUMMYFUNCTION("""COMPUTED_VALUE"""),"Germany")</f>
        <v>Germany</v>
      </c>
      <c r="B1005" t="str">
        <f>IFERROR(__xludf.DUMMYFUNCTION("""COMPUTED_VALUE"""),"Europe")</f>
        <v>Europe</v>
      </c>
      <c r="C1005">
        <f>IFERROR(__xludf.DUMMYFUNCTION("""COMPUTED_VALUE"""),4.0)</f>
        <v>4</v>
      </c>
      <c r="D1005" t="str">
        <f>IFERROR(__xludf.DUMMYFUNCTION("""COMPUTED_VALUE"""),"Airwaves")</f>
        <v>Airwaves</v>
      </c>
      <c r="E1005" t="str">
        <f>IFERROR(__xludf.DUMMYFUNCTION("""COMPUTED_VALUE"""),"Pashanim")</f>
        <v>Pashanim</v>
      </c>
      <c r="F1005" t="str">
        <f>IFERROR(__xludf.DUMMYFUNCTION("""COMPUTED_VALUE"""),"Airwaves")</f>
        <v>Airwaves</v>
      </c>
      <c r="G1005">
        <f>IFERROR(__xludf.DUMMYFUNCTION("""COMPUTED_VALUE"""),0.0)</f>
        <v>0</v>
      </c>
      <c r="H1005" s="5">
        <f>IFERROR(__xludf.DUMMYFUNCTION("""COMPUTED_VALUE"""),0.12361111111022183)</f>
        <v>0.1236111111</v>
      </c>
    </row>
    <row r="1006">
      <c r="A1006" t="str">
        <f>IFERROR(__xludf.DUMMYFUNCTION("""COMPUTED_VALUE"""),"Germany")</f>
        <v>Germany</v>
      </c>
      <c r="B1006" t="str">
        <f>IFERROR(__xludf.DUMMYFUNCTION("""COMPUTED_VALUE"""),"Europe")</f>
        <v>Europe</v>
      </c>
      <c r="C1006">
        <f>IFERROR(__xludf.DUMMYFUNCTION("""COMPUTED_VALUE"""),5.0)</f>
        <v>5</v>
      </c>
      <c r="D1006" t="str">
        <f>IFERROR(__xludf.DUMMYFUNCTION("""COMPUTED_VALUE"""),"ROCKSTAR (feat. Roddy Ricch)")</f>
        <v>ROCKSTAR (feat. Roddy Ricch)</v>
      </c>
      <c r="E1006" t="str">
        <f>IFERROR(__xludf.DUMMYFUNCTION("""COMPUTED_VALUE"""),"DaBaby, Roddy Ricch")</f>
        <v>DaBaby, Roddy Ricch</v>
      </c>
      <c r="F1006" t="str">
        <f>IFERROR(__xludf.DUMMYFUNCTION("""COMPUTED_VALUE"""),"BLAME IT ON BABY")</f>
        <v>BLAME IT ON BABY</v>
      </c>
      <c r="G1006">
        <f>IFERROR(__xludf.DUMMYFUNCTION("""COMPUTED_VALUE"""),1.0)</f>
        <v>1</v>
      </c>
      <c r="H1006" s="5">
        <f>IFERROR(__xludf.DUMMYFUNCTION("""COMPUTED_VALUE"""),0.1256944444430701)</f>
        <v>0.1256944444</v>
      </c>
    </row>
    <row r="1007">
      <c r="A1007" t="str">
        <f>IFERROR(__xludf.DUMMYFUNCTION("""COMPUTED_VALUE"""),"Germany")</f>
        <v>Germany</v>
      </c>
      <c r="B1007" t="str">
        <f>IFERROR(__xludf.DUMMYFUNCTION("""COMPUTED_VALUE"""),"Europe")</f>
        <v>Europe</v>
      </c>
      <c r="C1007">
        <f>IFERROR(__xludf.DUMMYFUNCTION("""COMPUTED_VALUE"""),6.0)</f>
        <v>6</v>
      </c>
      <c r="D1007" t="str">
        <f>IFERROR(__xludf.DUMMYFUNCTION("""COMPUTED_VALUE"""),"Emotions")</f>
        <v>Emotions</v>
      </c>
      <c r="E1007" t="str">
        <f>IFERROR(__xludf.DUMMYFUNCTION("""COMPUTED_VALUE"""),"Ufo361")</f>
        <v>Ufo361</v>
      </c>
      <c r="F1007" t="str">
        <f>IFERROR(__xludf.DUMMYFUNCTION("""COMPUTED_VALUE"""),"Rich Rich")</f>
        <v>Rich Rich</v>
      </c>
      <c r="G1007">
        <f>IFERROR(__xludf.DUMMYFUNCTION("""COMPUTED_VALUE"""),0.0)</f>
        <v>0</v>
      </c>
      <c r="H1007" s="5">
        <f>IFERROR(__xludf.DUMMYFUNCTION("""COMPUTED_VALUE"""),0.10138888888832298)</f>
        <v>0.1013888889</v>
      </c>
    </row>
    <row r="1008">
      <c r="A1008" t="str">
        <f>IFERROR(__xludf.DUMMYFUNCTION("""COMPUTED_VALUE"""),"Germany")</f>
        <v>Germany</v>
      </c>
      <c r="B1008" t="str">
        <f>IFERROR(__xludf.DUMMYFUNCTION("""COMPUTED_VALUE"""),"Europe")</f>
        <v>Europe</v>
      </c>
      <c r="C1008">
        <f>IFERROR(__xludf.DUMMYFUNCTION("""COMPUTED_VALUE"""),7.0)</f>
        <v>7</v>
      </c>
      <c r="D1008" t="str">
        <f>IFERROR(__xludf.DUMMYFUNCTION("""COMPUTED_VALUE"""),"Blinding Lights")</f>
        <v>Blinding Lights</v>
      </c>
      <c r="E1008" t="str">
        <f>IFERROR(__xludf.DUMMYFUNCTION("""COMPUTED_VALUE"""),"The Weeknd")</f>
        <v>The Weeknd</v>
      </c>
      <c r="F1008" t="str">
        <f>IFERROR(__xludf.DUMMYFUNCTION("""COMPUTED_VALUE"""),"After Hours")</f>
        <v>After Hours</v>
      </c>
      <c r="G1008">
        <f>IFERROR(__xludf.DUMMYFUNCTION("""COMPUTED_VALUE"""),0.0)</f>
        <v>0</v>
      </c>
      <c r="H1008" s="5">
        <f>IFERROR(__xludf.DUMMYFUNCTION("""COMPUTED_VALUE"""),0.13888888889050577)</f>
        <v>0.1388888889</v>
      </c>
    </row>
    <row r="1009">
      <c r="A1009" t="str">
        <f>IFERROR(__xludf.DUMMYFUNCTION("""COMPUTED_VALUE"""),"Germany")</f>
        <v>Germany</v>
      </c>
      <c r="B1009" t="str">
        <f>IFERROR(__xludf.DUMMYFUNCTION("""COMPUTED_VALUE"""),"Europe")</f>
        <v>Europe</v>
      </c>
      <c r="C1009">
        <f>IFERROR(__xludf.DUMMYFUNCTION("""COMPUTED_VALUE"""),8.0)</f>
        <v>8</v>
      </c>
      <c r="D1009" t="str">
        <f>IFERROR(__xludf.DUMMYFUNCTION("""COMPUTED_VALUE"""),"GOOBA")</f>
        <v>GOOBA</v>
      </c>
      <c r="E1009" t="str">
        <f>IFERROR(__xludf.DUMMYFUNCTION("""COMPUTED_VALUE"""),"6ix9ine")</f>
        <v>6ix9ine</v>
      </c>
      <c r="F1009" t="str">
        <f>IFERROR(__xludf.DUMMYFUNCTION("""COMPUTED_VALUE"""),"GOOBA")</f>
        <v>GOOBA</v>
      </c>
      <c r="G1009">
        <f>IFERROR(__xludf.DUMMYFUNCTION("""COMPUTED_VALUE"""),1.0)</f>
        <v>1</v>
      </c>
      <c r="H1009" s="5">
        <f>IFERROR(__xludf.DUMMYFUNCTION("""COMPUTED_VALUE"""),0.09166666666715173)</f>
        <v>0.09166666667</v>
      </c>
    </row>
    <row r="1010">
      <c r="A1010" t="str">
        <f>IFERROR(__xludf.DUMMYFUNCTION("""COMPUTED_VALUE"""),"Germany")</f>
        <v>Germany</v>
      </c>
      <c r="B1010" t="str">
        <f>IFERROR(__xludf.DUMMYFUNCTION("""COMPUTED_VALUE"""),"Europe")</f>
        <v>Europe</v>
      </c>
      <c r="C1010">
        <f>IFERROR(__xludf.DUMMYFUNCTION("""COMPUTED_VALUE"""),9.0)</f>
        <v>9</v>
      </c>
      <c r="D1010" t="str">
        <f>IFERROR(__xludf.DUMMYFUNCTION("""COMPUTED_VALUE"""),"FAVELA")</f>
        <v>FAVELA</v>
      </c>
      <c r="E1010" t="str">
        <f>IFERROR(__xludf.DUMMYFUNCTION("""COMPUTED_VALUE"""),"Dardan")</f>
        <v>Dardan</v>
      </c>
      <c r="F1010" t="str">
        <f>IFERROR(__xludf.DUMMYFUNCTION("""COMPUTED_VALUE"""),"FAVELA")</f>
        <v>FAVELA</v>
      </c>
      <c r="G1010">
        <f>IFERROR(__xludf.DUMMYFUNCTION("""COMPUTED_VALUE"""),1.0)</f>
        <v>1</v>
      </c>
      <c r="H1010" s="5">
        <f>IFERROR(__xludf.DUMMYFUNCTION("""COMPUTED_VALUE"""),0.11041666666642413)</f>
        <v>0.1104166667</v>
      </c>
    </row>
    <row r="1011">
      <c r="A1011" t="str">
        <f>IFERROR(__xludf.DUMMYFUNCTION("""COMPUTED_VALUE"""),"Germany")</f>
        <v>Germany</v>
      </c>
      <c r="B1011" t="str">
        <f>IFERROR(__xludf.DUMMYFUNCTION("""COMPUTED_VALUE"""),"Europe")</f>
        <v>Europe</v>
      </c>
      <c r="C1011">
        <f>IFERROR(__xludf.DUMMYFUNCTION("""COMPUTED_VALUE"""),10.0)</f>
        <v>10</v>
      </c>
      <c r="D1011" t="str">
        <f>IFERROR(__xludf.DUMMYFUNCTION("""COMPUTED_VALUE"""),"Nicht verdient")</f>
        <v>Nicht verdient</v>
      </c>
      <c r="E1011" t="str">
        <f>IFERROR(__xludf.DUMMYFUNCTION("""COMPUTED_VALUE"""),"Capital Bra, Loredana")</f>
        <v>Capital Bra, Loredana</v>
      </c>
      <c r="F1011" t="str">
        <f>IFERROR(__xludf.DUMMYFUNCTION("""COMPUTED_VALUE"""),"Nicht verdient")</f>
        <v>Nicht verdient</v>
      </c>
      <c r="G1011">
        <f>IFERROR(__xludf.DUMMYFUNCTION("""COMPUTED_VALUE"""),0.0)</f>
        <v>0</v>
      </c>
      <c r="H1011" s="5">
        <f>IFERROR(__xludf.DUMMYFUNCTION("""COMPUTED_VALUE"""),0.12222222222044365)</f>
        <v>0.1222222222</v>
      </c>
    </row>
    <row r="1012">
      <c r="A1012" t="str">
        <f>IFERROR(__xludf.DUMMYFUNCTION("""COMPUTED_VALUE"""),"Germany")</f>
        <v>Germany</v>
      </c>
      <c r="B1012" t="str">
        <f>IFERROR(__xludf.DUMMYFUNCTION("""COMPUTED_VALUE"""),"Europe")</f>
        <v>Europe</v>
      </c>
      <c r="C1012">
        <f>IFERROR(__xludf.DUMMYFUNCTION("""COMPUTED_VALUE"""),11.0)</f>
        <v>11</v>
      </c>
      <c r="D1012" t="str">
        <f>IFERROR(__xludf.DUMMYFUNCTION("""COMPUTED_VALUE"""),"Roses - Imanbek Remix")</f>
        <v>Roses - Imanbek Remix</v>
      </c>
      <c r="E1012" t="str">
        <f>IFERROR(__xludf.DUMMYFUNCTION("""COMPUTED_VALUE"""),"SAINt JHN, Imanbek")</f>
        <v>SAINt JHN, Imanbek</v>
      </c>
      <c r="F1012" t="str">
        <f>IFERROR(__xludf.DUMMYFUNCTION("""COMPUTED_VALUE"""),"Roses (Imanbek Remix)")</f>
        <v>Roses (Imanbek Remix)</v>
      </c>
      <c r="G1012">
        <f>IFERROR(__xludf.DUMMYFUNCTION("""COMPUTED_VALUE"""),1.0)</f>
        <v>1</v>
      </c>
      <c r="H1012" s="5">
        <f>IFERROR(__xludf.DUMMYFUNCTION("""COMPUTED_VALUE"""),0.12222222222044365)</f>
        <v>0.1222222222</v>
      </c>
    </row>
    <row r="1013">
      <c r="A1013" t="str">
        <f>IFERROR(__xludf.DUMMYFUNCTION("""COMPUTED_VALUE"""),"Germany")</f>
        <v>Germany</v>
      </c>
      <c r="B1013" t="str">
        <f>IFERROR(__xludf.DUMMYFUNCTION("""COMPUTED_VALUE"""),"Europe")</f>
        <v>Europe</v>
      </c>
      <c r="C1013">
        <f>IFERROR(__xludf.DUMMYFUNCTION("""COMPUTED_VALUE"""),12.0)</f>
        <v>12</v>
      </c>
      <c r="D1013" t="str">
        <f>IFERROR(__xludf.DUMMYFUNCTION("""COMPUTED_VALUE"""),"Toosie Slide")</f>
        <v>Toosie Slide</v>
      </c>
      <c r="E1013" t="str">
        <f>IFERROR(__xludf.DUMMYFUNCTION("""COMPUTED_VALUE"""),"Drake")</f>
        <v>Drake</v>
      </c>
      <c r="F1013" t="str">
        <f>IFERROR(__xludf.DUMMYFUNCTION("""COMPUTED_VALUE"""),"Dark Lane Demo Tapes")</f>
        <v>Dark Lane Demo Tapes</v>
      </c>
      <c r="G1013">
        <f>IFERROR(__xludf.DUMMYFUNCTION("""COMPUTED_VALUE"""),1.0)</f>
        <v>1</v>
      </c>
      <c r="H1013" s="5">
        <f>IFERROR(__xludf.DUMMYFUNCTION("""COMPUTED_VALUE"""),0.17152777777664596)</f>
        <v>0.1715277778</v>
      </c>
    </row>
    <row r="1014">
      <c r="A1014" t="str">
        <f>IFERROR(__xludf.DUMMYFUNCTION("""COMPUTED_VALUE"""),"Germany")</f>
        <v>Germany</v>
      </c>
      <c r="B1014" t="str">
        <f>IFERROR(__xludf.DUMMYFUNCTION("""COMPUTED_VALUE"""),"Europe")</f>
        <v>Europe</v>
      </c>
      <c r="C1014">
        <f>IFERROR(__xludf.DUMMYFUNCTION("""COMPUTED_VALUE"""),13.0)</f>
        <v>13</v>
      </c>
      <c r="D1014" t="str">
        <f>IFERROR(__xludf.DUMMYFUNCTION("""COMPUTED_VALUE"""),"ily (i love you baby) (feat. Emilee)")</f>
        <v>ily (i love you baby) (feat. Emilee)</v>
      </c>
      <c r="E1014" t="str">
        <f>IFERROR(__xludf.DUMMYFUNCTION("""COMPUTED_VALUE"""),"Surf Mesa, Emilee")</f>
        <v>Surf Mesa, Emilee</v>
      </c>
      <c r="F1014" t="str">
        <f>IFERROR(__xludf.DUMMYFUNCTION("""COMPUTED_VALUE"""),"ily (i love you baby) (feat. Emilee)")</f>
        <v>ily (i love you baby) (feat. Emilee)</v>
      </c>
      <c r="G1014">
        <f>IFERROR(__xludf.DUMMYFUNCTION("""COMPUTED_VALUE"""),0.0)</f>
        <v>0</v>
      </c>
      <c r="H1014" s="5">
        <f>IFERROR(__xludf.DUMMYFUNCTION("""COMPUTED_VALUE"""),0.12222222222044365)</f>
        <v>0.1222222222</v>
      </c>
    </row>
    <row r="1015">
      <c r="A1015" t="str">
        <f>IFERROR(__xludf.DUMMYFUNCTION("""COMPUTED_VALUE"""),"Germany")</f>
        <v>Germany</v>
      </c>
      <c r="B1015" t="str">
        <f>IFERROR(__xludf.DUMMYFUNCTION("""COMPUTED_VALUE"""),"Europe")</f>
        <v>Europe</v>
      </c>
      <c r="C1015">
        <f>IFERROR(__xludf.DUMMYFUNCTION("""COMPUTED_VALUE"""),14.0)</f>
        <v>14</v>
      </c>
      <c r="D1015" t="str">
        <f>IFERROR(__xludf.DUMMYFUNCTION("""COMPUTED_VALUE"""),"GEHT NICH GIBS NICH")</f>
        <v>GEHT NICH GIBS NICH</v>
      </c>
      <c r="E1015" t="str">
        <f>IFERROR(__xludf.DUMMYFUNCTION("""COMPUTED_VALUE"""),"KC Rebell, Summer Cem")</f>
        <v>KC Rebell, Summer Cem</v>
      </c>
      <c r="F1015" t="str">
        <f>IFERROR(__xludf.DUMMYFUNCTION("""COMPUTED_VALUE"""),"GEHT NICH GIBS NICH")</f>
        <v>GEHT NICH GIBS NICH</v>
      </c>
      <c r="G1015">
        <f>IFERROR(__xludf.DUMMYFUNCTION("""COMPUTED_VALUE"""),0.0)</f>
        <v>0</v>
      </c>
      <c r="H1015" s="5">
        <f>IFERROR(__xludf.DUMMYFUNCTION("""COMPUTED_VALUE"""),0.125)</f>
        <v>0.125</v>
      </c>
    </row>
    <row r="1016">
      <c r="A1016" t="str">
        <f>IFERROR(__xludf.DUMMYFUNCTION("""COMPUTED_VALUE"""),"Germany")</f>
        <v>Germany</v>
      </c>
      <c r="B1016" t="str">
        <f>IFERROR(__xludf.DUMMYFUNCTION("""COMPUTED_VALUE"""),"Europe")</f>
        <v>Europe</v>
      </c>
      <c r="C1016">
        <f>IFERROR(__xludf.DUMMYFUNCTION("""COMPUTED_VALUE"""),15.0)</f>
        <v>15</v>
      </c>
      <c r="D1016" t="str">
        <f>IFERROR(__xludf.DUMMYFUNCTION("""COMPUTED_VALUE"""),"Roller")</f>
        <v>Roller</v>
      </c>
      <c r="E1016" t="str">
        <f>IFERROR(__xludf.DUMMYFUNCTION("""COMPUTED_VALUE"""),"Apache 207")</f>
        <v>Apache 207</v>
      </c>
      <c r="F1016" t="str">
        <f>IFERROR(__xludf.DUMMYFUNCTION("""COMPUTED_VALUE"""),"Platte")</f>
        <v>Platte</v>
      </c>
      <c r="G1016">
        <f>IFERROR(__xludf.DUMMYFUNCTION("""COMPUTED_VALUE"""),1.0)</f>
        <v>1</v>
      </c>
      <c r="H1016" s="5">
        <f>IFERROR(__xludf.DUMMYFUNCTION("""COMPUTED_VALUE"""),0.10902777777664596)</f>
        <v>0.1090277778</v>
      </c>
    </row>
    <row r="1017">
      <c r="A1017" t="str">
        <f>IFERROR(__xludf.DUMMYFUNCTION("""COMPUTED_VALUE"""),"Germany")</f>
        <v>Germany</v>
      </c>
      <c r="B1017" t="str">
        <f>IFERROR(__xludf.DUMMYFUNCTION("""COMPUTED_VALUE"""),"Europe")</f>
        <v>Europe</v>
      </c>
      <c r="C1017">
        <f>IFERROR(__xludf.DUMMYFUNCTION("""COMPUTED_VALUE"""),16.0)</f>
        <v>16</v>
      </c>
      <c r="D1017" t="str">
        <f>IFERROR(__xludf.DUMMYFUNCTION("""COMPUTED_VALUE"""),"Late Night")</f>
        <v>Late Night</v>
      </c>
      <c r="E1017" t="str">
        <f>IFERROR(__xludf.DUMMYFUNCTION("""COMPUTED_VALUE"""),"Luciano")</f>
        <v>Luciano</v>
      </c>
      <c r="F1017" t="str">
        <f>IFERROR(__xludf.DUMMYFUNCTION("""COMPUTED_VALUE"""),"Late Night")</f>
        <v>Late Night</v>
      </c>
      <c r="G1017">
        <f>IFERROR(__xludf.DUMMYFUNCTION("""COMPUTED_VALUE"""),0.0)</f>
        <v>0</v>
      </c>
      <c r="H1017" s="5">
        <f>IFERROR(__xludf.DUMMYFUNCTION("""COMPUTED_VALUE"""),0.13888888889050577)</f>
        <v>0.1388888889</v>
      </c>
    </row>
    <row r="1018">
      <c r="A1018" t="str">
        <f>IFERROR(__xludf.DUMMYFUNCTION("""COMPUTED_VALUE"""),"Germany")</f>
        <v>Germany</v>
      </c>
      <c r="B1018" t="str">
        <f>IFERROR(__xludf.DUMMYFUNCTION("""COMPUTED_VALUE"""),"Europe")</f>
        <v>Europe</v>
      </c>
      <c r="C1018">
        <f>IFERROR(__xludf.DUMMYFUNCTION("""COMPUTED_VALUE"""),17.0)</f>
        <v>17</v>
      </c>
      <c r="D1018" t="str">
        <f>IFERROR(__xludf.DUMMYFUNCTION("""COMPUTED_VALUE"""),"Breaking Me")</f>
        <v>Breaking Me</v>
      </c>
      <c r="E1018" t="str">
        <f>IFERROR(__xludf.DUMMYFUNCTION("""COMPUTED_VALUE"""),"Topic, A7S")</f>
        <v>Topic, A7S</v>
      </c>
      <c r="F1018" t="str">
        <f>IFERROR(__xludf.DUMMYFUNCTION("""COMPUTED_VALUE"""),"Breaking Me")</f>
        <v>Breaking Me</v>
      </c>
      <c r="G1018">
        <f>IFERROR(__xludf.DUMMYFUNCTION("""COMPUTED_VALUE"""),0.0)</f>
        <v>0</v>
      </c>
      <c r="H1018" s="5">
        <f>IFERROR(__xludf.DUMMYFUNCTION("""COMPUTED_VALUE"""),0.11527777777882875)</f>
        <v>0.1152777778</v>
      </c>
    </row>
    <row r="1019">
      <c r="A1019" t="str">
        <f>IFERROR(__xludf.DUMMYFUNCTION("""COMPUTED_VALUE"""),"Germany")</f>
        <v>Germany</v>
      </c>
      <c r="B1019" t="str">
        <f>IFERROR(__xludf.DUMMYFUNCTION("""COMPUTED_VALUE"""),"Europe")</f>
        <v>Europe</v>
      </c>
      <c r="C1019">
        <f>IFERROR(__xludf.DUMMYFUNCTION("""COMPUTED_VALUE"""),18.0)</f>
        <v>18</v>
      </c>
      <c r="D1019" t="str">
        <f>IFERROR(__xludf.DUMMYFUNCTION("""COMPUTED_VALUE"""),"Ich würd' lügen")</f>
        <v>Ich würd' lügen</v>
      </c>
      <c r="E1019" t="str">
        <f>IFERROR(__xludf.DUMMYFUNCTION("""COMPUTED_VALUE"""),"KAYEF")</f>
        <v>KAYEF</v>
      </c>
      <c r="F1019" t="str">
        <f>IFERROR(__xludf.DUMMYFUNCTION("""COMPUTED_VALUE"""),"Struggle Is Real")</f>
        <v>Struggle Is Real</v>
      </c>
      <c r="G1019">
        <f>IFERROR(__xludf.DUMMYFUNCTION("""COMPUTED_VALUE"""),0.0)</f>
        <v>0</v>
      </c>
      <c r="H1019" s="5">
        <f>IFERROR(__xludf.DUMMYFUNCTION("""COMPUTED_VALUE"""),0.11319444444598048)</f>
        <v>0.1131944444</v>
      </c>
    </row>
    <row r="1020">
      <c r="A1020" t="str">
        <f>IFERROR(__xludf.DUMMYFUNCTION("""COMPUTED_VALUE"""),"Germany")</f>
        <v>Germany</v>
      </c>
      <c r="B1020" t="str">
        <f>IFERROR(__xludf.DUMMYFUNCTION("""COMPUTED_VALUE"""),"Europe")</f>
        <v>Europe</v>
      </c>
      <c r="C1020">
        <f>IFERROR(__xludf.DUMMYFUNCTION("""COMPUTED_VALUE"""),19.0)</f>
        <v>19</v>
      </c>
      <c r="D1020" t="str">
        <f>IFERROR(__xludf.DUMMYFUNCTION("""COMPUTED_VALUE"""),"Maison")</f>
        <v>Maison</v>
      </c>
      <c r="E1020" t="str">
        <f>IFERROR(__xludf.DUMMYFUNCTION("""COMPUTED_VALUE"""),"Luciano")</f>
        <v>Luciano</v>
      </c>
      <c r="F1020" t="str">
        <f>IFERROR(__xludf.DUMMYFUNCTION("""COMPUTED_VALUE"""),"Maison")</f>
        <v>Maison</v>
      </c>
      <c r="G1020">
        <f>IFERROR(__xludf.DUMMYFUNCTION("""COMPUTED_VALUE"""),0.0)</f>
        <v>0</v>
      </c>
      <c r="H1020" s="5">
        <f>IFERROR(__xludf.DUMMYFUNCTION("""COMPUTED_VALUE"""),0.13402777777810115)</f>
        <v>0.1340277778</v>
      </c>
    </row>
    <row r="1021">
      <c r="A1021" t="str">
        <f>IFERROR(__xludf.DUMMYFUNCTION("""COMPUTED_VALUE"""),"Germany")</f>
        <v>Germany</v>
      </c>
      <c r="B1021" t="str">
        <f>IFERROR(__xludf.DUMMYFUNCTION("""COMPUTED_VALUE"""),"Europe")</f>
        <v>Europe</v>
      </c>
      <c r="C1021">
        <f>IFERROR(__xludf.DUMMYFUNCTION("""COMPUTED_VALUE"""),20.0)</f>
        <v>20</v>
      </c>
      <c r="D1021" t="str">
        <f>IFERROR(__xludf.DUMMYFUNCTION("""COMPUTED_VALUE"""),"WEISSER RAUCH")</f>
        <v>WEISSER RAUCH</v>
      </c>
      <c r="E1021" t="str">
        <f>IFERROR(__xludf.DUMMYFUNCTION("""COMPUTED_VALUE"""),"FOURTY")</f>
        <v>FOURTY</v>
      </c>
      <c r="F1021" t="str">
        <f>IFERROR(__xludf.DUMMYFUNCTION("""COMPUTED_VALUE"""),"WEISSER RAUCH")</f>
        <v>WEISSER RAUCH</v>
      </c>
      <c r="G1021">
        <f>IFERROR(__xludf.DUMMYFUNCTION("""COMPUTED_VALUE"""),0.0)</f>
        <v>0</v>
      </c>
      <c r="H1021" s="5">
        <f>IFERROR(__xludf.DUMMYFUNCTION("""COMPUTED_VALUE"""),0.12638888888977817)</f>
        <v>0.1263888889</v>
      </c>
    </row>
    <row r="1022">
      <c r="A1022" t="str">
        <f>IFERROR(__xludf.DUMMYFUNCTION("""COMPUTED_VALUE"""),"Germany")</f>
        <v>Germany</v>
      </c>
      <c r="B1022" t="str">
        <f>IFERROR(__xludf.DUMMYFUNCTION("""COMPUTED_VALUE"""),"Europe")</f>
        <v>Europe</v>
      </c>
      <c r="C1022">
        <f>IFERROR(__xludf.DUMMYFUNCTION("""COMPUTED_VALUE"""),21.0)</f>
        <v>21</v>
      </c>
      <c r="D1022" t="str">
        <f>IFERROR(__xludf.DUMMYFUNCTION("""COMPUTED_VALUE"""),"Tränen aus Kajal")</f>
        <v>Tränen aus Kajal</v>
      </c>
      <c r="E1022" t="str">
        <f>IFERROR(__xludf.DUMMYFUNCTION("""COMPUTED_VALUE"""),"CÉLINE")</f>
        <v>CÉLINE</v>
      </c>
      <c r="F1022" t="str">
        <f>IFERROR(__xludf.DUMMYFUNCTION("""COMPUTED_VALUE"""),"Tränen aus Kajal")</f>
        <v>Tränen aus Kajal</v>
      </c>
      <c r="G1022">
        <f>IFERROR(__xludf.DUMMYFUNCTION("""COMPUTED_VALUE"""),0.0)</f>
        <v>0</v>
      </c>
      <c r="H1022" s="5">
        <f>IFERROR(__xludf.DUMMYFUNCTION("""COMPUTED_VALUE"""),0.10486111111094942)</f>
        <v>0.1048611111</v>
      </c>
    </row>
    <row r="1023">
      <c r="A1023" t="str">
        <f>IFERROR(__xludf.DUMMYFUNCTION("""COMPUTED_VALUE"""),"Germany")</f>
        <v>Germany</v>
      </c>
      <c r="B1023" t="str">
        <f>IFERROR(__xludf.DUMMYFUNCTION("""COMPUTED_VALUE"""),"Europe")</f>
        <v>Europe</v>
      </c>
      <c r="C1023">
        <f>IFERROR(__xludf.DUMMYFUNCTION("""COMPUTED_VALUE"""),22.0)</f>
        <v>22</v>
      </c>
      <c r="D1023" t="str">
        <f>IFERROR(__xludf.DUMMYFUNCTION("""COMPUTED_VALUE"""),"Never Let Me Down")</f>
        <v>Never Let Me Down</v>
      </c>
      <c r="E1023" t="str">
        <f>IFERROR(__xludf.DUMMYFUNCTION("""COMPUTED_VALUE"""),"VIZE, Tom Gregory")</f>
        <v>VIZE, Tom Gregory</v>
      </c>
      <c r="F1023" t="str">
        <f>IFERROR(__xludf.DUMMYFUNCTION("""COMPUTED_VALUE"""),"Never Let Me Down")</f>
        <v>Never Let Me Down</v>
      </c>
      <c r="G1023">
        <f>IFERROR(__xludf.DUMMYFUNCTION("""COMPUTED_VALUE"""),0.0)</f>
        <v>0</v>
      </c>
      <c r="H1023" s="5">
        <f>IFERROR(__xludf.DUMMYFUNCTION("""COMPUTED_VALUE"""),0.1062500000007276)</f>
        <v>0.10625</v>
      </c>
    </row>
    <row r="1024">
      <c r="A1024" t="str">
        <f>IFERROR(__xludf.DUMMYFUNCTION("""COMPUTED_VALUE"""),"Germany")</f>
        <v>Germany</v>
      </c>
      <c r="B1024" t="str">
        <f>IFERROR(__xludf.DUMMYFUNCTION("""COMPUTED_VALUE"""),"Europe")</f>
        <v>Europe</v>
      </c>
      <c r="C1024">
        <f>IFERROR(__xludf.DUMMYFUNCTION("""COMPUTED_VALUE"""),23.0)</f>
        <v>23</v>
      </c>
      <c r="D1024" t="str">
        <f>IFERROR(__xludf.DUMMYFUNCTION("""COMPUTED_VALUE"""),"90-60-111")</f>
        <v>90-60-111</v>
      </c>
      <c r="E1024" t="str">
        <f>IFERROR(__xludf.DUMMYFUNCTION("""COMPUTED_VALUE"""),"Shirin David")</f>
        <v>Shirin David</v>
      </c>
      <c r="F1024" t="str">
        <f>IFERROR(__xludf.DUMMYFUNCTION("""COMPUTED_VALUE"""),"90-60-111")</f>
        <v>90-60-111</v>
      </c>
      <c r="G1024">
        <f>IFERROR(__xludf.DUMMYFUNCTION("""COMPUTED_VALUE"""),1.0)</f>
        <v>1</v>
      </c>
      <c r="H1024" s="5">
        <f>IFERROR(__xludf.DUMMYFUNCTION("""COMPUTED_VALUE"""),0.09791666666569654)</f>
        <v>0.09791666667</v>
      </c>
    </row>
    <row r="1025">
      <c r="A1025" t="str">
        <f>IFERROR(__xludf.DUMMYFUNCTION("""COMPUTED_VALUE"""),"Germany")</f>
        <v>Germany</v>
      </c>
      <c r="B1025" t="str">
        <f>IFERROR(__xludf.DUMMYFUNCTION("""COMPUTED_VALUE"""),"Europe")</f>
        <v>Europe</v>
      </c>
      <c r="C1025">
        <f>IFERROR(__xludf.DUMMYFUNCTION("""COMPUTED_VALUE"""),24.0)</f>
        <v>24</v>
      </c>
      <c r="D1025" t="str">
        <f>IFERROR(__xludf.DUMMYFUNCTION("""COMPUTED_VALUE"""),"death bed (coffee for your head) (feat. beabadoobee)")</f>
        <v>death bed (coffee for your head) (feat. beabadoobee)</v>
      </c>
      <c r="E1025" t="str">
        <f>IFERROR(__xludf.DUMMYFUNCTION("""COMPUTED_VALUE"""),"Powfu, beabadoobee")</f>
        <v>Powfu, beabadoobee</v>
      </c>
      <c r="F1025" t="str">
        <f>IFERROR(__xludf.DUMMYFUNCTION("""COMPUTED_VALUE"""),"death bed (coffee for your head) (feat. beabadoobee)")</f>
        <v>death bed (coffee for your head) (feat. beabadoobee)</v>
      </c>
      <c r="G1025">
        <f>IFERROR(__xludf.DUMMYFUNCTION("""COMPUTED_VALUE"""),0.0)</f>
        <v>0</v>
      </c>
      <c r="H1025" s="5">
        <f>IFERROR(__xludf.DUMMYFUNCTION("""COMPUTED_VALUE"""),0.12013888888759539)</f>
        <v>0.1201388889</v>
      </c>
    </row>
    <row r="1026">
      <c r="A1026" t="str">
        <f>IFERROR(__xludf.DUMMYFUNCTION("""COMPUTED_VALUE"""),"Germany")</f>
        <v>Germany</v>
      </c>
      <c r="B1026" t="str">
        <f>IFERROR(__xludf.DUMMYFUNCTION("""COMPUTED_VALUE"""),"Europe")</f>
        <v>Europe</v>
      </c>
      <c r="C1026">
        <f>IFERROR(__xludf.DUMMYFUNCTION("""COMPUTED_VALUE"""),25.0)</f>
        <v>25</v>
      </c>
      <c r="D1026" t="str">
        <f>IFERROR(__xludf.DUMMYFUNCTION("""COMPUTED_VALUE"""),"Some Say - Felix Jaehn Remix")</f>
        <v>Some Say - Felix Jaehn Remix</v>
      </c>
      <c r="E1026" t="str">
        <f>IFERROR(__xludf.DUMMYFUNCTION("""COMPUTED_VALUE"""),"Nea, Felix Jaehn")</f>
        <v>Nea, Felix Jaehn</v>
      </c>
      <c r="F1026" t="str">
        <f>IFERROR(__xludf.DUMMYFUNCTION("""COMPUTED_VALUE"""),"Some Say (Felix Jaehn Remix)")</f>
        <v>Some Say (Felix Jaehn Remix)</v>
      </c>
      <c r="G1026">
        <f>IFERROR(__xludf.DUMMYFUNCTION("""COMPUTED_VALUE"""),0.0)</f>
        <v>0</v>
      </c>
      <c r="H1026" s="5">
        <f>IFERROR(__xludf.DUMMYFUNCTION("""COMPUTED_VALUE"""),0.12916666666569654)</f>
        <v>0.1291666667</v>
      </c>
    </row>
    <row r="1027">
      <c r="A1027" t="str">
        <f>IFERROR(__xludf.DUMMYFUNCTION("""COMPUTED_VALUE"""),"Germany")</f>
        <v>Germany</v>
      </c>
      <c r="B1027" t="str">
        <f>IFERROR(__xludf.DUMMYFUNCTION("""COMPUTED_VALUE"""),"Europe")</f>
        <v>Europe</v>
      </c>
      <c r="C1027">
        <f>IFERROR(__xludf.DUMMYFUNCTION("""COMPUTED_VALUE"""),26.0)</f>
        <v>26</v>
      </c>
      <c r="D1027" t="str">
        <f>IFERROR(__xludf.DUMMYFUNCTION("""COMPUTED_VALUE"""),"Kings &amp; Queens")</f>
        <v>Kings &amp; Queens</v>
      </c>
      <c r="E1027" t="str">
        <f>IFERROR(__xludf.DUMMYFUNCTION("""COMPUTED_VALUE"""),"Ava Max")</f>
        <v>Ava Max</v>
      </c>
      <c r="F1027" t="str">
        <f>IFERROR(__xludf.DUMMYFUNCTION("""COMPUTED_VALUE"""),"Kings &amp; Queens")</f>
        <v>Kings &amp; Queens</v>
      </c>
      <c r="G1027">
        <f>IFERROR(__xludf.DUMMYFUNCTION("""COMPUTED_VALUE"""),0.0)</f>
        <v>0</v>
      </c>
      <c r="H1027" s="5">
        <f>IFERROR(__xludf.DUMMYFUNCTION("""COMPUTED_VALUE"""),0.1124999999992724)</f>
        <v>0.1125</v>
      </c>
    </row>
    <row r="1028">
      <c r="A1028" t="str">
        <f>IFERROR(__xludf.DUMMYFUNCTION("""COMPUTED_VALUE"""),"Germany")</f>
        <v>Germany</v>
      </c>
      <c r="B1028" t="str">
        <f>IFERROR(__xludf.DUMMYFUNCTION("""COMPUTED_VALUE"""),"Europe")</f>
        <v>Europe</v>
      </c>
      <c r="C1028">
        <f>IFERROR(__xludf.DUMMYFUNCTION("""COMPUTED_VALUE"""),27.0)</f>
        <v>27</v>
      </c>
      <c r="D1028" t="str">
        <f>IFERROR(__xludf.DUMMYFUNCTION("""COMPUTED_VALUE"""),"Dance Monkey")</f>
        <v>Dance Monkey</v>
      </c>
      <c r="E1028" t="str">
        <f>IFERROR(__xludf.DUMMYFUNCTION("""COMPUTED_VALUE"""),"Tones And I")</f>
        <v>Tones And I</v>
      </c>
      <c r="F1028" t="str">
        <f>IFERROR(__xludf.DUMMYFUNCTION("""COMPUTED_VALUE"""),"Dance Monkey (Stripped Back) / Dance Monkey")</f>
        <v>Dance Monkey (Stripped Back) / Dance Monkey</v>
      </c>
      <c r="G1028">
        <f>IFERROR(__xludf.DUMMYFUNCTION("""COMPUTED_VALUE"""),0.0)</f>
        <v>0</v>
      </c>
      <c r="H1028" s="5">
        <f>IFERROR(__xludf.DUMMYFUNCTION("""COMPUTED_VALUE"""),0.14513888888905058)</f>
        <v>0.1451388889</v>
      </c>
    </row>
    <row r="1029">
      <c r="A1029" t="str">
        <f>IFERROR(__xludf.DUMMYFUNCTION("""COMPUTED_VALUE"""),"Germany")</f>
        <v>Germany</v>
      </c>
      <c r="B1029" t="str">
        <f>IFERROR(__xludf.DUMMYFUNCTION("""COMPUTED_VALUE"""),"Europe")</f>
        <v>Europe</v>
      </c>
      <c r="C1029">
        <f>IFERROR(__xludf.DUMMYFUNCTION("""COMPUTED_VALUE"""),28.0)</f>
        <v>28</v>
      </c>
      <c r="D1029" t="str">
        <f>IFERROR(__xludf.DUMMYFUNCTION("""COMPUTED_VALUE"""),"WIEDER MAL")</f>
        <v>WIEDER MAL</v>
      </c>
      <c r="E1029" t="str">
        <f>IFERROR(__xludf.DUMMYFUNCTION("""COMPUTED_VALUE"""),"FOURTY, Monet192")</f>
        <v>FOURTY, Monet192</v>
      </c>
      <c r="F1029" t="str">
        <f>IFERROR(__xludf.DUMMYFUNCTION("""COMPUTED_VALUE"""),"WIEDER MAL")</f>
        <v>WIEDER MAL</v>
      </c>
      <c r="G1029">
        <f>IFERROR(__xludf.DUMMYFUNCTION("""COMPUTED_VALUE"""),0.0)</f>
        <v>0</v>
      </c>
      <c r="H1029" s="5">
        <f>IFERROR(__xludf.DUMMYFUNCTION("""COMPUTED_VALUE"""),0.12152777777737356)</f>
        <v>0.1215277778</v>
      </c>
    </row>
    <row r="1030">
      <c r="A1030" t="str">
        <f>IFERROR(__xludf.DUMMYFUNCTION("""COMPUTED_VALUE"""),"Germany")</f>
        <v>Germany</v>
      </c>
      <c r="B1030" t="str">
        <f>IFERROR(__xludf.DUMMYFUNCTION("""COMPUTED_VALUE"""),"Europe")</f>
        <v>Europe</v>
      </c>
      <c r="C1030">
        <f>IFERROR(__xludf.DUMMYFUNCTION("""COMPUTED_VALUE"""),29.0)</f>
        <v>29</v>
      </c>
      <c r="D1030" t="str">
        <f>IFERROR(__xludf.DUMMYFUNCTION("""COMPUTED_VALUE"""),"THE SCOTTS")</f>
        <v>THE SCOTTS</v>
      </c>
      <c r="E1030" t="str">
        <f>IFERROR(__xludf.DUMMYFUNCTION("""COMPUTED_VALUE"""),"THE SCOTTS, Travis Scott, Kid Cudi")</f>
        <v>THE SCOTTS, Travis Scott, Kid Cudi</v>
      </c>
      <c r="F1030" t="str">
        <f>IFERROR(__xludf.DUMMYFUNCTION("""COMPUTED_VALUE"""),"THE SCOTTS")</f>
        <v>THE SCOTTS</v>
      </c>
      <c r="G1030">
        <f>IFERROR(__xludf.DUMMYFUNCTION("""COMPUTED_VALUE"""),1.0)</f>
        <v>1</v>
      </c>
      <c r="H1030" s="5">
        <f>IFERROR(__xludf.DUMMYFUNCTION("""COMPUTED_VALUE"""),0.11458333333212067)</f>
        <v>0.1145833333</v>
      </c>
    </row>
    <row r="1031">
      <c r="A1031" t="str">
        <f>IFERROR(__xludf.DUMMYFUNCTION("""COMPUTED_VALUE"""),"Germany")</f>
        <v>Germany</v>
      </c>
      <c r="B1031" t="str">
        <f>IFERROR(__xludf.DUMMYFUNCTION("""COMPUTED_VALUE"""),"Europe")</f>
        <v>Europe</v>
      </c>
      <c r="C1031">
        <f>IFERROR(__xludf.DUMMYFUNCTION("""COMPUTED_VALUE"""),30.0)</f>
        <v>30</v>
      </c>
      <c r="D1031" t="str">
        <f>IFERROR(__xludf.DUMMYFUNCTION("""COMPUTED_VALUE"""),"Rain On Me (with Ariana Grande)")</f>
        <v>Rain On Me (with Ariana Grande)</v>
      </c>
      <c r="E1031" t="str">
        <f>IFERROR(__xludf.DUMMYFUNCTION("""COMPUTED_VALUE"""),"Lady Gaga, Ariana Grande")</f>
        <v>Lady Gaga, Ariana Grande</v>
      </c>
      <c r="F1031" t="str">
        <f>IFERROR(__xludf.DUMMYFUNCTION("""COMPUTED_VALUE"""),"Rain On Me (with Ariana Grande)")</f>
        <v>Rain On Me (with Ariana Grande)</v>
      </c>
      <c r="G1031">
        <f>IFERROR(__xludf.DUMMYFUNCTION("""COMPUTED_VALUE"""),0.0)</f>
        <v>0</v>
      </c>
      <c r="H1031" s="5">
        <f>IFERROR(__xludf.DUMMYFUNCTION("""COMPUTED_VALUE"""),0.12638888888977817)</f>
        <v>0.1263888889</v>
      </c>
    </row>
    <row r="1032">
      <c r="A1032" t="str">
        <f>IFERROR(__xludf.DUMMYFUNCTION("""COMPUTED_VALUE"""),"Germany")</f>
        <v>Germany</v>
      </c>
      <c r="B1032" t="str">
        <f>IFERROR(__xludf.DUMMYFUNCTION("""COMPUTED_VALUE"""),"Europe")</f>
        <v>Europe</v>
      </c>
      <c r="C1032">
        <f>IFERROR(__xludf.DUMMYFUNCTION("""COMPUTED_VALUE"""),31.0)</f>
        <v>31</v>
      </c>
      <c r="D1032" t="str">
        <f>IFERROR(__xludf.DUMMYFUNCTION("""COMPUTED_VALUE"""),"Te Amo Mi Amor")</f>
        <v>Te Amo Mi Amor</v>
      </c>
      <c r="E1032" t="str">
        <f>IFERROR(__xludf.DUMMYFUNCTION("""COMPUTED_VALUE"""),"Sarah Lombardi")</f>
        <v>Sarah Lombardi</v>
      </c>
      <c r="F1032" t="str">
        <f>IFERROR(__xludf.DUMMYFUNCTION("""COMPUTED_VALUE"""),"Te Amo Mi Amor")</f>
        <v>Te Amo Mi Amor</v>
      </c>
      <c r="G1032">
        <f>IFERROR(__xludf.DUMMYFUNCTION("""COMPUTED_VALUE"""),0.0)</f>
        <v>0</v>
      </c>
      <c r="H1032" s="5">
        <f>IFERROR(__xludf.DUMMYFUNCTION("""COMPUTED_VALUE"""),0.12777777777955635)</f>
        <v>0.1277777778</v>
      </c>
    </row>
    <row r="1033">
      <c r="A1033" t="str">
        <f>IFERROR(__xludf.DUMMYFUNCTION("""COMPUTED_VALUE"""),"Germany")</f>
        <v>Germany</v>
      </c>
      <c r="B1033" t="str">
        <f>IFERROR(__xludf.DUMMYFUNCTION("""COMPUTED_VALUE"""),"Europe")</f>
        <v>Europe</v>
      </c>
      <c r="C1033">
        <f>IFERROR(__xludf.DUMMYFUNCTION("""COMPUTED_VALUE"""),32.0)</f>
        <v>32</v>
      </c>
      <c r="D1033" t="str">
        <f>IFERROR(__xludf.DUMMYFUNCTION("""COMPUTED_VALUE"""),"Salt")</f>
        <v>Salt</v>
      </c>
      <c r="E1033" t="str">
        <f>IFERROR(__xludf.DUMMYFUNCTION("""COMPUTED_VALUE"""),"Ava Max")</f>
        <v>Ava Max</v>
      </c>
      <c r="F1033" t="str">
        <f>IFERROR(__xludf.DUMMYFUNCTION("""COMPUTED_VALUE"""),"Salt")</f>
        <v>Salt</v>
      </c>
      <c r="G1033">
        <f>IFERROR(__xludf.DUMMYFUNCTION("""COMPUTED_VALUE"""),0.0)</f>
        <v>0</v>
      </c>
      <c r="H1033" s="5">
        <f>IFERROR(__xludf.DUMMYFUNCTION("""COMPUTED_VALUE"""),0.125)</f>
        <v>0.125</v>
      </c>
    </row>
    <row r="1034">
      <c r="A1034" t="str">
        <f>IFERROR(__xludf.DUMMYFUNCTION("""COMPUTED_VALUE"""),"Germany")</f>
        <v>Germany</v>
      </c>
      <c r="B1034" t="str">
        <f>IFERROR(__xludf.DUMMYFUNCTION("""COMPUTED_VALUE"""),"Europe")</f>
        <v>Europe</v>
      </c>
      <c r="C1034">
        <f>IFERROR(__xludf.DUMMYFUNCTION("""COMPUTED_VALUE"""),33.0)</f>
        <v>33</v>
      </c>
      <c r="D1034" t="str">
        <f>IFERROR(__xludf.DUMMYFUNCTION("""COMPUTED_VALUE"""),"In Your Eyes (feat. Alida)")</f>
        <v>In Your Eyes (feat. Alida)</v>
      </c>
      <c r="E1034" t="str">
        <f>IFERROR(__xludf.DUMMYFUNCTION("""COMPUTED_VALUE"""),"Robin Schulz, Alida")</f>
        <v>Robin Schulz, Alida</v>
      </c>
      <c r="F1034" t="str">
        <f>IFERROR(__xludf.DUMMYFUNCTION("""COMPUTED_VALUE"""),"In Your Eyes (feat. Alida)")</f>
        <v>In Your Eyes (feat. Alida)</v>
      </c>
      <c r="G1034">
        <f>IFERROR(__xludf.DUMMYFUNCTION("""COMPUTED_VALUE"""),0.0)</f>
        <v>0</v>
      </c>
      <c r="H1034" s="5">
        <f>IFERROR(__xludf.DUMMYFUNCTION("""COMPUTED_VALUE"""),0.14444444444598048)</f>
        <v>0.1444444444</v>
      </c>
    </row>
    <row r="1035">
      <c r="A1035" t="str">
        <f>IFERROR(__xludf.DUMMYFUNCTION("""COMPUTED_VALUE"""),"Germany")</f>
        <v>Germany</v>
      </c>
      <c r="B1035" t="str">
        <f>IFERROR(__xludf.DUMMYFUNCTION("""COMPUTED_VALUE"""),"Europe")</f>
        <v>Europe</v>
      </c>
      <c r="C1035">
        <f>IFERROR(__xludf.DUMMYFUNCTION("""COMPUTED_VALUE"""),34.0)</f>
        <v>34</v>
      </c>
      <c r="D1035" t="str">
        <f>IFERROR(__xludf.DUMMYFUNCTION("""COMPUTED_VALUE"""),"MAMACITA")</f>
        <v>MAMACITA</v>
      </c>
      <c r="E1035" t="str">
        <f>IFERROR(__xludf.DUMMYFUNCTION("""COMPUTED_VALUE"""),"Black Eyed Peas, Ozuna, J. Rey Soul")</f>
        <v>Black Eyed Peas, Ozuna, J. Rey Soul</v>
      </c>
      <c r="F1035" t="str">
        <f>IFERROR(__xludf.DUMMYFUNCTION("""COMPUTED_VALUE"""),"MAMACITA")</f>
        <v>MAMACITA</v>
      </c>
      <c r="G1035">
        <f>IFERROR(__xludf.DUMMYFUNCTION("""COMPUTED_VALUE"""),1.0)</f>
        <v>1</v>
      </c>
      <c r="H1035" s="5">
        <f>IFERROR(__xludf.DUMMYFUNCTION("""COMPUTED_VALUE"""),0.17291666666642413)</f>
        <v>0.1729166667</v>
      </c>
    </row>
    <row r="1036">
      <c r="A1036" t="str">
        <f>IFERROR(__xludf.DUMMYFUNCTION("""COMPUTED_VALUE"""),"Germany")</f>
        <v>Germany</v>
      </c>
      <c r="B1036" t="str">
        <f>IFERROR(__xludf.DUMMYFUNCTION("""COMPUTED_VALUE"""),"Europe")</f>
        <v>Europe</v>
      </c>
      <c r="C1036">
        <f>IFERROR(__xludf.DUMMYFUNCTION("""COMPUTED_VALUE"""),35.0)</f>
        <v>35</v>
      </c>
      <c r="D1036" t="str">
        <f>IFERROR(__xludf.DUMMYFUNCTION("""COMPUTED_VALUE"""),"Anders")</f>
        <v>Anders</v>
      </c>
      <c r="E1036" t="str">
        <f>IFERROR(__xludf.DUMMYFUNCTION("""COMPUTED_VALUE"""),"Fero47")</f>
        <v>Fero47</v>
      </c>
      <c r="F1036" t="str">
        <f>IFERROR(__xludf.DUMMYFUNCTION("""COMPUTED_VALUE"""),"Anders")</f>
        <v>Anders</v>
      </c>
      <c r="G1036">
        <f>IFERROR(__xludf.DUMMYFUNCTION("""COMPUTED_VALUE"""),0.0)</f>
        <v>0</v>
      </c>
      <c r="H1036" s="5">
        <f>IFERROR(__xludf.DUMMYFUNCTION("""COMPUTED_VALUE"""),0.12013888888759539)</f>
        <v>0.1201388889</v>
      </c>
    </row>
    <row r="1037">
      <c r="A1037" t="str">
        <f>IFERROR(__xludf.DUMMYFUNCTION("""COMPUTED_VALUE"""),"Germany")</f>
        <v>Germany</v>
      </c>
      <c r="B1037" t="str">
        <f>IFERROR(__xludf.DUMMYFUNCTION("""COMPUTED_VALUE"""),"Europe")</f>
        <v>Europe</v>
      </c>
      <c r="C1037">
        <f>IFERROR(__xludf.DUMMYFUNCTION("""COMPUTED_VALUE"""),36.0)</f>
        <v>36</v>
      </c>
      <c r="D1037" t="str">
        <f>IFERROR(__xludf.DUMMYFUNCTION("""COMPUTED_VALUE"""),"BaeBae")</f>
        <v>BaeBae</v>
      </c>
      <c r="E1037" t="str">
        <f>IFERROR(__xludf.DUMMYFUNCTION("""COMPUTED_VALUE"""),"Samra")</f>
        <v>Samra</v>
      </c>
      <c r="F1037" t="str">
        <f>IFERROR(__xludf.DUMMYFUNCTION("""COMPUTED_VALUE"""),"Jibrail &amp; Iblis")</f>
        <v>Jibrail &amp; Iblis</v>
      </c>
      <c r="G1037">
        <f>IFERROR(__xludf.DUMMYFUNCTION("""COMPUTED_VALUE"""),0.0)</f>
        <v>0</v>
      </c>
      <c r="H1037" s="5">
        <f>IFERROR(__xludf.DUMMYFUNCTION("""COMPUTED_VALUE"""),0.11597222222189885)</f>
        <v>0.1159722222</v>
      </c>
    </row>
    <row r="1038">
      <c r="A1038" t="str">
        <f>IFERROR(__xludf.DUMMYFUNCTION("""COMPUTED_VALUE"""),"Germany")</f>
        <v>Germany</v>
      </c>
      <c r="B1038" t="str">
        <f>IFERROR(__xludf.DUMMYFUNCTION("""COMPUTED_VALUE"""),"Europe")</f>
        <v>Europe</v>
      </c>
      <c r="C1038">
        <f>IFERROR(__xludf.DUMMYFUNCTION("""COMPUTED_VALUE"""),37.0)</f>
        <v>37</v>
      </c>
      <c r="D1038" t="str">
        <f>IFERROR(__xludf.DUMMYFUNCTION("""COMPUTED_VALUE"""),"Supalonely")</f>
        <v>Supalonely</v>
      </c>
      <c r="E1038" t="str">
        <f>IFERROR(__xludf.DUMMYFUNCTION("""COMPUTED_VALUE"""),"BENEE, Gus Dapperton")</f>
        <v>BENEE, Gus Dapperton</v>
      </c>
      <c r="F1038" t="str">
        <f>IFERROR(__xludf.DUMMYFUNCTION("""COMPUTED_VALUE"""),"STELLA &amp; STEVE")</f>
        <v>STELLA &amp; STEVE</v>
      </c>
      <c r="G1038">
        <f>IFERROR(__xludf.DUMMYFUNCTION("""COMPUTED_VALUE"""),1.0)</f>
        <v>1</v>
      </c>
      <c r="H1038" s="5">
        <f>IFERROR(__xludf.DUMMYFUNCTION("""COMPUTED_VALUE"""),0.15486111111022183)</f>
        <v>0.1548611111</v>
      </c>
    </row>
    <row r="1039">
      <c r="A1039" t="str">
        <f>IFERROR(__xludf.DUMMYFUNCTION("""COMPUTED_VALUE"""),"Germany")</f>
        <v>Germany</v>
      </c>
      <c r="B1039" t="str">
        <f>IFERROR(__xludf.DUMMYFUNCTION("""COMPUTED_VALUE"""),"Europe")</f>
        <v>Europe</v>
      </c>
      <c r="C1039">
        <f>IFERROR(__xludf.DUMMYFUNCTION("""COMPUTED_VALUE"""),38.0)</f>
        <v>38</v>
      </c>
      <c r="D1039" t="str">
        <f>IFERROR(__xludf.DUMMYFUNCTION("""COMPUTED_VALUE"""),"Like I Love You")</f>
        <v>Like I Love You</v>
      </c>
      <c r="E1039" t="str">
        <f>IFERROR(__xludf.DUMMYFUNCTION("""COMPUTED_VALUE"""),"Nico Santos, Topic")</f>
        <v>Nico Santos, Topic</v>
      </c>
      <c r="F1039" t="str">
        <f>IFERROR(__xludf.DUMMYFUNCTION("""COMPUTED_VALUE"""),"Nico Santos")</f>
        <v>Nico Santos</v>
      </c>
      <c r="G1039">
        <f>IFERROR(__xludf.DUMMYFUNCTION("""COMPUTED_VALUE"""),0.0)</f>
        <v>0</v>
      </c>
      <c r="H1039" s="5">
        <f>IFERROR(__xludf.DUMMYFUNCTION("""COMPUTED_VALUE"""),0.14097222222335404)</f>
        <v>0.1409722222</v>
      </c>
    </row>
    <row r="1040">
      <c r="A1040" t="str">
        <f>IFERROR(__xludf.DUMMYFUNCTION("""COMPUTED_VALUE"""),"Germany")</f>
        <v>Germany</v>
      </c>
      <c r="B1040" t="str">
        <f>IFERROR(__xludf.DUMMYFUNCTION("""COMPUTED_VALUE"""),"Europe")</f>
        <v>Europe</v>
      </c>
      <c r="C1040">
        <f>IFERROR(__xludf.DUMMYFUNCTION("""COMPUTED_VALUE"""),39.0)</f>
        <v>39</v>
      </c>
      <c r="D1040" t="str">
        <f>IFERROR(__xludf.DUMMYFUNCTION("""COMPUTED_VALUE"""),"Trendsetter")</f>
        <v>Trendsetter</v>
      </c>
      <c r="E1040" t="str">
        <f>IFERROR(__xludf.DUMMYFUNCTION("""COMPUTED_VALUE"""),"Nimo, Rina")</f>
        <v>Nimo, Rina</v>
      </c>
      <c r="F1040" t="str">
        <f>IFERROR(__xludf.DUMMYFUNCTION("""COMPUTED_VALUE"""),"Trendsetter")</f>
        <v>Trendsetter</v>
      </c>
      <c r="G1040">
        <f>IFERROR(__xludf.DUMMYFUNCTION("""COMPUTED_VALUE"""),0.0)</f>
        <v>0</v>
      </c>
      <c r="H1040" s="5">
        <f>IFERROR(__xludf.DUMMYFUNCTION("""COMPUTED_VALUE"""),0.10138888888832298)</f>
        <v>0.1013888889</v>
      </c>
    </row>
    <row r="1041">
      <c r="A1041" t="str">
        <f>IFERROR(__xludf.DUMMYFUNCTION("""COMPUTED_VALUE"""),"Germany")</f>
        <v>Germany</v>
      </c>
      <c r="B1041" t="str">
        <f>IFERROR(__xludf.DUMMYFUNCTION("""COMPUTED_VALUE"""),"Europe")</f>
        <v>Europe</v>
      </c>
      <c r="C1041">
        <f>IFERROR(__xludf.DUMMYFUNCTION("""COMPUTED_VALUE"""),40.0)</f>
        <v>40</v>
      </c>
      <c r="D1041" t="str">
        <f>IFERROR(__xludf.DUMMYFUNCTION("""COMPUTED_VALUE"""),"Modela")</f>
        <v>Modela</v>
      </c>
      <c r="E1041" t="str">
        <f>IFERROR(__xludf.DUMMYFUNCTION("""COMPUTED_VALUE"""),"Ardian Bujupi")</f>
        <v>Ardian Bujupi</v>
      </c>
      <c r="F1041" t="str">
        <f>IFERROR(__xludf.DUMMYFUNCTION("""COMPUTED_VALUE"""),"Modela")</f>
        <v>Modela</v>
      </c>
      <c r="G1041">
        <f>IFERROR(__xludf.DUMMYFUNCTION("""COMPUTED_VALUE"""),0.0)</f>
        <v>0</v>
      </c>
      <c r="H1041" s="5">
        <f>IFERROR(__xludf.DUMMYFUNCTION("""COMPUTED_VALUE"""),0.10694444444379769)</f>
        <v>0.1069444444</v>
      </c>
    </row>
    <row r="1042">
      <c r="A1042" t="str">
        <f>IFERROR(__xludf.DUMMYFUNCTION("""COMPUTED_VALUE"""),"Germany")</f>
        <v>Germany</v>
      </c>
      <c r="B1042" t="str">
        <f>IFERROR(__xludf.DUMMYFUNCTION("""COMPUTED_VALUE"""),"Europe")</f>
        <v>Europe</v>
      </c>
      <c r="C1042">
        <f>IFERROR(__xludf.DUMMYFUNCTION("""COMPUTED_VALUE"""),41.0)</f>
        <v>41</v>
      </c>
      <c r="D1042" t="str">
        <f>IFERROR(__xludf.DUMMYFUNCTION("""COMPUTED_VALUE"""),"H &lt;3 T E L")</f>
        <v>H &lt;3 T E L</v>
      </c>
      <c r="E1042" t="str">
        <f>IFERROR(__xludf.DUMMYFUNCTION("""COMPUTED_VALUE"""),"Dardan, Monet192")</f>
        <v>Dardan, Monet192</v>
      </c>
      <c r="F1042" t="str">
        <f>IFERROR(__xludf.DUMMYFUNCTION("""COMPUTED_VALUE"""),"H &lt;3 T E L")</f>
        <v>H &lt;3 T E L</v>
      </c>
      <c r="G1042">
        <f>IFERROR(__xludf.DUMMYFUNCTION("""COMPUTED_VALUE"""),0.0)</f>
        <v>0</v>
      </c>
      <c r="H1042" s="5">
        <f>IFERROR(__xludf.DUMMYFUNCTION("""COMPUTED_VALUE"""),0.11388888888905058)</f>
        <v>0.1138888889</v>
      </c>
    </row>
    <row r="1043">
      <c r="A1043" t="str">
        <f>IFERROR(__xludf.DUMMYFUNCTION("""COMPUTED_VALUE"""),"Germany")</f>
        <v>Germany</v>
      </c>
      <c r="B1043" t="str">
        <f>IFERROR(__xludf.DUMMYFUNCTION("""COMPUTED_VALUE"""),"Europe")</f>
        <v>Europe</v>
      </c>
      <c r="C1043">
        <f>IFERROR(__xludf.DUMMYFUNCTION("""COMPUTED_VALUE"""),42.0)</f>
        <v>42</v>
      </c>
      <c r="D1043" t="str">
        <f>IFERROR(__xludf.DUMMYFUNCTION("""COMPUTED_VALUE"""),"Namen")</f>
        <v>Namen</v>
      </c>
      <c r="E1043" t="str">
        <f>IFERROR(__xludf.DUMMYFUNCTION("""COMPUTED_VALUE"""),"Kontra K")</f>
        <v>Kontra K</v>
      </c>
      <c r="F1043" t="str">
        <f>IFERROR(__xludf.DUMMYFUNCTION("""COMPUTED_VALUE"""),"Namen")</f>
        <v>Namen</v>
      </c>
      <c r="G1043">
        <f>IFERROR(__xludf.DUMMYFUNCTION("""COMPUTED_VALUE"""),1.0)</f>
        <v>1</v>
      </c>
      <c r="H1043" s="5">
        <f>IFERROR(__xludf.DUMMYFUNCTION("""COMPUTED_VALUE"""),0.1375000000007276)</f>
        <v>0.1375</v>
      </c>
    </row>
    <row r="1044">
      <c r="A1044" t="str">
        <f>IFERROR(__xludf.DUMMYFUNCTION("""COMPUTED_VALUE"""),"Germany")</f>
        <v>Germany</v>
      </c>
      <c r="B1044" t="str">
        <f>IFERROR(__xludf.DUMMYFUNCTION("""COMPUTED_VALUE"""),"Europe")</f>
        <v>Europe</v>
      </c>
      <c r="C1044">
        <f>IFERROR(__xludf.DUMMYFUNCTION("""COMPUTED_VALUE"""),43.0)</f>
        <v>43</v>
      </c>
      <c r="D1044" t="str">
        <f>IFERROR(__xludf.DUMMYFUNCTION("""COMPUTED_VALUE"""),"Conan x Xenia")</f>
        <v>Conan x Xenia</v>
      </c>
      <c r="E1044" t="str">
        <f>IFERROR(__xludf.DUMMYFUNCTION("""COMPUTED_VALUE"""),"Haftbefehl, Shirin David")</f>
        <v>Haftbefehl, Shirin David</v>
      </c>
      <c r="F1044" t="str">
        <f>IFERROR(__xludf.DUMMYFUNCTION("""COMPUTED_VALUE"""),"Conan x Xenia")</f>
        <v>Conan x Xenia</v>
      </c>
      <c r="G1044">
        <f>IFERROR(__xludf.DUMMYFUNCTION("""COMPUTED_VALUE"""),1.0)</f>
        <v>1</v>
      </c>
      <c r="H1044" s="5">
        <f>IFERROR(__xludf.DUMMYFUNCTION("""COMPUTED_VALUE"""),0.13888888889050577)</f>
        <v>0.1388888889</v>
      </c>
    </row>
    <row r="1045">
      <c r="A1045" t="str">
        <f>IFERROR(__xludf.DUMMYFUNCTION("""COMPUTED_VALUE"""),"Germany")</f>
        <v>Germany</v>
      </c>
      <c r="B1045" t="str">
        <f>IFERROR(__xludf.DUMMYFUNCTION("""COMPUTED_VALUE"""),"Europe")</f>
        <v>Europe</v>
      </c>
      <c r="C1045">
        <f>IFERROR(__xludf.DUMMYFUNCTION("""COMPUTED_VALUE"""),44.0)</f>
        <v>44</v>
      </c>
      <c r="D1045" t="str">
        <f>IFERROR(__xludf.DUMMYFUNCTION("""COMPUTED_VALUE"""),"Sehe schwarz")</f>
        <v>Sehe schwarz</v>
      </c>
      <c r="E1045" t="str">
        <f>IFERROR(__xludf.DUMMYFUNCTION("""COMPUTED_VALUE"""),"Ra'is, XATAR")</f>
        <v>Ra'is, XATAR</v>
      </c>
      <c r="F1045" t="str">
        <f>IFERROR(__xludf.DUMMYFUNCTION("""COMPUTED_VALUE"""),"Sehe schwarz")</f>
        <v>Sehe schwarz</v>
      </c>
      <c r="G1045">
        <f>IFERROR(__xludf.DUMMYFUNCTION("""COMPUTED_VALUE"""),1.0)</f>
        <v>1</v>
      </c>
      <c r="H1045" s="5">
        <f>IFERROR(__xludf.DUMMYFUNCTION("""COMPUTED_VALUE"""),0.12986111111240461)</f>
        <v>0.1298611111</v>
      </c>
    </row>
    <row r="1046">
      <c r="A1046" t="str">
        <f>IFERROR(__xludf.DUMMYFUNCTION("""COMPUTED_VALUE"""),"Germany")</f>
        <v>Germany</v>
      </c>
      <c r="B1046" t="str">
        <f>IFERROR(__xludf.DUMMYFUNCTION("""COMPUTED_VALUE"""),"Europe")</f>
        <v>Europe</v>
      </c>
      <c r="C1046">
        <f>IFERROR(__xludf.DUMMYFUNCTION("""COMPUTED_VALUE"""),45.0)</f>
        <v>45</v>
      </c>
      <c r="D1046" t="str">
        <f>IFERROR(__xludf.DUMMYFUNCTION("""COMPUTED_VALUE"""),"Rollercoaster")</f>
        <v>Rollercoaster</v>
      </c>
      <c r="E1046" t="str">
        <f>IFERROR(__xludf.DUMMYFUNCTION("""COMPUTED_VALUE"""),"badmómzjay")</f>
        <v>badmómzjay</v>
      </c>
      <c r="F1046" t="str">
        <f>IFERROR(__xludf.DUMMYFUNCTION("""COMPUTED_VALUE"""),"Rollercoaster")</f>
        <v>Rollercoaster</v>
      </c>
      <c r="G1046">
        <f>IFERROR(__xludf.DUMMYFUNCTION("""COMPUTED_VALUE"""),1.0)</f>
        <v>1</v>
      </c>
      <c r="H1046" s="5">
        <f>IFERROR(__xludf.DUMMYFUNCTION("""COMPUTED_VALUE"""),0.11458333333212067)</f>
        <v>0.1145833333</v>
      </c>
    </row>
    <row r="1047">
      <c r="A1047" t="str">
        <f>IFERROR(__xludf.DUMMYFUNCTION("""COMPUTED_VALUE"""),"Germany")</f>
        <v>Germany</v>
      </c>
      <c r="B1047" t="str">
        <f>IFERROR(__xludf.DUMMYFUNCTION("""COMPUTED_VALUE"""),"Europe")</f>
        <v>Europe</v>
      </c>
      <c r="C1047">
        <f>IFERROR(__xludf.DUMMYFUNCTION("""COMPUTED_VALUE"""),46.0)</f>
        <v>46</v>
      </c>
      <c r="D1047" t="str">
        <f>IFERROR(__xludf.DUMMYFUNCTION("""COMPUTED_VALUE"""),"200 km/h")</f>
        <v>200 km/h</v>
      </c>
      <c r="E1047" t="str">
        <f>IFERROR(__xludf.DUMMYFUNCTION("""COMPUTED_VALUE"""),"Apache 207")</f>
        <v>Apache 207</v>
      </c>
      <c r="F1047" t="str">
        <f>IFERROR(__xludf.DUMMYFUNCTION("""COMPUTED_VALUE"""),"Platte")</f>
        <v>Platte</v>
      </c>
      <c r="G1047">
        <f>IFERROR(__xludf.DUMMYFUNCTION("""COMPUTED_VALUE"""),1.0)</f>
        <v>1</v>
      </c>
      <c r="H1047" s="5">
        <f>IFERROR(__xludf.DUMMYFUNCTION("""COMPUTED_VALUE"""),0.11319444444598048)</f>
        <v>0.1131944444</v>
      </c>
    </row>
    <row r="1048">
      <c r="A1048" t="str">
        <f>IFERROR(__xludf.DUMMYFUNCTION("""COMPUTED_VALUE"""),"Germany")</f>
        <v>Germany</v>
      </c>
      <c r="B1048" t="str">
        <f>IFERROR(__xludf.DUMMYFUNCTION("""COMPUTED_VALUE"""),"Europe")</f>
        <v>Europe</v>
      </c>
      <c r="C1048">
        <f>IFERROR(__xludf.DUMMYFUNCTION("""COMPUTED_VALUE"""),47.0)</f>
        <v>47</v>
      </c>
      <c r="D1048" t="str">
        <f>IFERROR(__xludf.DUMMYFUNCTION("""COMPUTED_VALUE"""),"The Passenger (LaLaLa)")</f>
        <v>The Passenger (LaLaLa)</v>
      </c>
      <c r="E1048" t="str">
        <f>IFERROR(__xludf.DUMMYFUNCTION("""COMPUTED_VALUE"""),"LUM!X, MOKABY &amp; D.T.E, Gabry Ponte")</f>
        <v>LUM!X, MOKABY &amp; D.T.E, Gabry Ponte</v>
      </c>
      <c r="F1048" t="str">
        <f>IFERROR(__xludf.DUMMYFUNCTION("""COMPUTED_VALUE"""),"The Passenger (LaLaLa)")</f>
        <v>The Passenger (LaLaLa)</v>
      </c>
      <c r="G1048">
        <f>IFERROR(__xludf.DUMMYFUNCTION("""COMPUTED_VALUE"""),0.0)</f>
        <v>0</v>
      </c>
      <c r="H1048" s="5">
        <f>IFERROR(__xludf.DUMMYFUNCTION("""COMPUTED_VALUE"""),0.11041666666642413)</f>
        <v>0.1104166667</v>
      </c>
    </row>
    <row r="1049">
      <c r="A1049" t="str">
        <f>IFERROR(__xludf.DUMMYFUNCTION("""COMPUTED_VALUE"""),"Germany")</f>
        <v>Germany</v>
      </c>
      <c r="B1049" t="str">
        <f>IFERROR(__xludf.DUMMYFUNCTION("""COMPUTED_VALUE"""),"Europe")</f>
        <v>Europe</v>
      </c>
      <c r="C1049">
        <f>IFERROR(__xludf.DUMMYFUNCTION("""COMPUTED_VALUE"""),48.0)</f>
        <v>48</v>
      </c>
      <c r="D1049" t="str">
        <f>IFERROR(__xludf.DUMMYFUNCTION("""COMPUTED_VALUE"""),"Rückspiegel")</f>
        <v>Rückspiegel</v>
      </c>
      <c r="E1049" t="str">
        <f>IFERROR(__xludf.DUMMYFUNCTION("""COMPUTED_VALUE"""),"Sinan-G")</f>
        <v>Sinan-G</v>
      </c>
      <c r="F1049" t="str">
        <f>IFERROR(__xludf.DUMMYFUNCTION("""COMPUTED_VALUE"""),"Rückspiegel")</f>
        <v>Rückspiegel</v>
      </c>
      <c r="G1049">
        <f>IFERROR(__xludf.DUMMYFUNCTION("""COMPUTED_VALUE"""),0.0)</f>
        <v>0</v>
      </c>
      <c r="H1049" s="5">
        <f>IFERROR(__xludf.DUMMYFUNCTION("""COMPUTED_VALUE"""),0.1062500000007276)</f>
        <v>0.10625</v>
      </c>
    </row>
    <row r="1050">
      <c r="A1050" t="str">
        <f>IFERROR(__xludf.DUMMYFUNCTION("""COMPUTED_VALUE"""),"Germany")</f>
        <v>Germany</v>
      </c>
      <c r="B1050" t="str">
        <f>IFERROR(__xludf.DUMMYFUNCTION("""COMPUTED_VALUE"""),"Europe")</f>
        <v>Europe</v>
      </c>
      <c r="C1050">
        <f>IFERROR(__xludf.DUMMYFUNCTION("""COMPUTED_VALUE"""),49.0)</f>
        <v>49</v>
      </c>
      <c r="D1050" t="str">
        <f>IFERROR(__xludf.DUMMYFUNCTION("""COMPUTED_VALUE"""),"Stuck with U (with Justin Bieber)")</f>
        <v>Stuck with U (with Justin Bieber)</v>
      </c>
      <c r="E1050" t="str">
        <f>IFERROR(__xludf.DUMMYFUNCTION("""COMPUTED_VALUE"""),"Ariana Grande, Justin Bieber")</f>
        <v>Ariana Grande, Justin Bieber</v>
      </c>
      <c r="F1050" t="str">
        <f>IFERROR(__xludf.DUMMYFUNCTION("""COMPUTED_VALUE"""),"Stuck with U")</f>
        <v>Stuck with U</v>
      </c>
      <c r="G1050">
        <f>IFERROR(__xludf.DUMMYFUNCTION("""COMPUTED_VALUE"""),0.0)</f>
        <v>0</v>
      </c>
      <c r="H1050" s="5">
        <f>IFERROR(__xludf.DUMMYFUNCTION("""COMPUTED_VALUE"""),0.15833333333284827)</f>
        <v>0.1583333333</v>
      </c>
    </row>
    <row r="1051">
      <c r="A1051" t="str">
        <f>IFERROR(__xludf.DUMMYFUNCTION("""COMPUTED_VALUE"""),"Germany")</f>
        <v>Germany</v>
      </c>
      <c r="B1051" t="str">
        <f>IFERROR(__xludf.DUMMYFUNCTION("""COMPUTED_VALUE"""),"Europe")</f>
        <v>Europe</v>
      </c>
      <c r="C1051">
        <f>IFERROR(__xludf.DUMMYFUNCTION("""COMPUTED_VALUE"""),50.0)</f>
        <v>50</v>
      </c>
      <c r="D1051" t="str">
        <f>IFERROR(__xludf.DUMMYFUNCTION("""COMPUTED_VALUE"""),"What's Luv")</f>
        <v>What's Luv</v>
      </c>
      <c r="E1051" t="str">
        <f>IFERROR(__xludf.DUMMYFUNCTION("""COMPUTED_VALUE"""),"Shindy")</f>
        <v>Shindy</v>
      </c>
      <c r="F1051" t="str">
        <f>IFERROR(__xludf.DUMMYFUNCTION("""COMPUTED_VALUE"""),"Byzantinische Rose")</f>
        <v>Byzantinische Rose</v>
      </c>
      <c r="G1051">
        <f>IFERROR(__xludf.DUMMYFUNCTION("""COMPUTED_VALUE"""),1.0)</f>
        <v>1</v>
      </c>
      <c r="H1051" s="5">
        <f>IFERROR(__xludf.DUMMYFUNCTION("""COMPUTED_VALUE"""),0.09236111111022183)</f>
        <v>0.09236111111</v>
      </c>
    </row>
    <row r="1052">
      <c r="A1052" t="str">
        <f>IFERROR(__xludf.DUMMYFUNCTION("""COMPUTED_VALUE"""),"Greece")</f>
        <v>Greece</v>
      </c>
      <c r="B1052" t="str">
        <f>IFERROR(__xludf.DUMMYFUNCTION("""COMPUTED_VALUE"""),"Europe")</f>
        <v>Europe</v>
      </c>
      <c r="C1052">
        <f>IFERROR(__xludf.DUMMYFUNCTION("""COMPUTED_VALUE"""),1.0)</f>
        <v>1</v>
      </c>
      <c r="D1052" t="str">
        <f>IFERROR(__xludf.DUMMYFUNCTION("""COMPUTED_VALUE"""),"Millionaire")</f>
        <v>Millionaire</v>
      </c>
      <c r="E1052" t="str">
        <f>IFERROR(__xludf.DUMMYFUNCTION("""COMPUTED_VALUE"""),"Snik")</f>
        <v>Snik</v>
      </c>
      <c r="F1052" t="str">
        <f>IFERROR(__xludf.DUMMYFUNCTION("""COMPUTED_VALUE"""),"TOPBOY")</f>
        <v>TOPBOY</v>
      </c>
      <c r="G1052">
        <f>IFERROR(__xludf.DUMMYFUNCTION("""COMPUTED_VALUE"""),1.0)</f>
        <v>1</v>
      </c>
      <c r="H1052" s="5">
        <f>IFERROR(__xludf.DUMMYFUNCTION("""COMPUTED_VALUE"""),0.10763888889050577)</f>
        <v>0.1076388889</v>
      </c>
    </row>
    <row r="1053">
      <c r="A1053" t="str">
        <f>IFERROR(__xludf.DUMMYFUNCTION("""COMPUTED_VALUE"""),"Greece")</f>
        <v>Greece</v>
      </c>
      <c r="B1053" t="str">
        <f>IFERROR(__xludf.DUMMYFUNCTION("""COMPUTED_VALUE"""),"Europe")</f>
        <v>Europe</v>
      </c>
      <c r="C1053">
        <f>IFERROR(__xludf.DUMMYFUNCTION("""COMPUTED_VALUE"""),2.0)</f>
        <v>2</v>
      </c>
      <c r="D1053" t="str">
        <f>IFERROR(__xludf.DUMMYFUNCTION("""COMPUTED_VALUE"""),"Why")</f>
        <v>Why</v>
      </c>
      <c r="E1053" t="str">
        <f>IFERROR(__xludf.DUMMYFUNCTION("""COMPUTED_VALUE"""),"Snik")</f>
        <v>Snik</v>
      </c>
      <c r="F1053" t="str">
        <f>IFERROR(__xludf.DUMMYFUNCTION("""COMPUTED_VALUE"""),"TOPBOY")</f>
        <v>TOPBOY</v>
      </c>
      <c r="G1053">
        <f>IFERROR(__xludf.DUMMYFUNCTION("""COMPUTED_VALUE"""),1.0)</f>
        <v>1</v>
      </c>
      <c r="H1053" s="5">
        <f>IFERROR(__xludf.DUMMYFUNCTION("""COMPUTED_VALUE"""),0.15902777777955635)</f>
        <v>0.1590277778</v>
      </c>
    </row>
    <row r="1054">
      <c r="A1054" t="str">
        <f>IFERROR(__xludf.DUMMYFUNCTION("""COMPUTED_VALUE"""),"Greece")</f>
        <v>Greece</v>
      </c>
      <c r="B1054" t="str">
        <f>IFERROR(__xludf.DUMMYFUNCTION("""COMPUTED_VALUE"""),"Europe")</f>
        <v>Europe</v>
      </c>
      <c r="C1054">
        <f>IFERROR(__xludf.DUMMYFUNCTION("""COMPUTED_VALUE"""),3.0)</f>
        <v>3</v>
      </c>
      <c r="D1054" t="str">
        <f>IFERROR(__xludf.DUMMYFUNCTION("""COMPUTED_VALUE"""),"TopBoy")</f>
        <v>TopBoy</v>
      </c>
      <c r="E1054" t="str">
        <f>IFERROR(__xludf.DUMMYFUNCTION("""COMPUTED_VALUE"""),"Snik, Capo Plaza")</f>
        <v>Snik, Capo Plaza</v>
      </c>
      <c r="F1054" t="str">
        <f>IFERROR(__xludf.DUMMYFUNCTION("""COMPUTED_VALUE"""),"TOPBOY")</f>
        <v>TOPBOY</v>
      </c>
      <c r="G1054">
        <f>IFERROR(__xludf.DUMMYFUNCTION("""COMPUTED_VALUE"""),1.0)</f>
        <v>1</v>
      </c>
      <c r="H1054" s="5">
        <f>IFERROR(__xludf.DUMMYFUNCTION("""COMPUTED_VALUE"""),0.10138888888832298)</f>
        <v>0.1013888889</v>
      </c>
    </row>
    <row r="1055">
      <c r="A1055" t="str">
        <f>IFERROR(__xludf.DUMMYFUNCTION("""COMPUTED_VALUE"""),"Greece")</f>
        <v>Greece</v>
      </c>
      <c r="B1055" t="str">
        <f>IFERROR(__xludf.DUMMYFUNCTION("""COMPUTED_VALUE"""),"Europe")</f>
        <v>Europe</v>
      </c>
      <c r="C1055">
        <f>IFERROR(__xludf.DUMMYFUNCTION("""COMPUTED_VALUE"""),4.0)</f>
        <v>4</v>
      </c>
      <c r="D1055" t="str">
        <f>IFERROR(__xludf.DUMMYFUNCTION("""COMPUTED_VALUE"""),"Cubano")</f>
        <v>Cubano</v>
      </c>
      <c r="E1055" t="str">
        <f>IFERROR(__xludf.DUMMYFUNCTION("""COMPUTED_VALUE"""),"Snik")</f>
        <v>Snik</v>
      </c>
      <c r="F1055" t="str">
        <f>IFERROR(__xludf.DUMMYFUNCTION("""COMPUTED_VALUE"""),"TOPBOY")</f>
        <v>TOPBOY</v>
      </c>
      <c r="G1055">
        <f>IFERROR(__xludf.DUMMYFUNCTION("""COMPUTED_VALUE"""),1.0)</f>
        <v>1</v>
      </c>
      <c r="H1055" s="5">
        <f>IFERROR(__xludf.DUMMYFUNCTION("""COMPUTED_VALUE"""),0.11875000000145519)</f>
        <v>0.11875</v>
      </c>
    </row>
    <row r="1056">
      <c r="A1056" t="str">
        <f>IFERROR(__xludf.DUMMYFUNCTION("""COMPUTED_VALUE"""),"Greece")</f>
        <v>Greece</v>
      </c>
      <c r="B1056" t="str">
        <f>IFERROR(__xludf.DUMMYFUNCTION("""COMPUTED_VALUE"""),"Europe")</f>
        <v>Europe</v>
      </c>
      <c r="C1056">
        <f>IFERROR(__xludf.DUMMYFUNCTION("""COMPUTED_VALUE"""),5.0)</f>
        <v>5</v>
      </c>
      <c r="D1056" t="str">
        <f>IFERROR(__xludf.DUMMYFUNCTION("""COMPUTED_VALUE"""),"Oh No")</f>
        <v>Oh No</v>
      </c>
      <c r="E1056" t="str">
        <f>IFERROR(__xludf.DUMMYFUNCTION("""COMPUTED_VALUE"""),"Snik")</f>
        <v>Snik</v>
      </c>
      <c r="F1056" t="str">
        <f>IFERROR(__xludf.DUMMYFUNCTION("""COMPUTED_VALUE"""),"TOPBOY")</f>
        <v>TOPBOY</v>
      </c>
      <c r="G1056">
        <f>IFERROR(__xludf.DUMMYFUNCTION("""COMPUTED_VALUE"""),1.0)</f>
        <v>1</v>
      </c>
      <c r="H1056" s="5">
        <f>IFERROR(__xludf.DUMMYFUNCTION("""COMPUTED_VALUE"""),0.12638888888977817)</f>
        <v>0.1263888889</v>
      </c>
    </row>
    <row r="1057">
      <c r="A1057" t="str">
        <f>IFERROR(__xludf.DUMMYFUNCTION("""COMPUTED_VALUE"""),"Greece")</f>
        <v>Greece</v>
      </c>
      <c r="B1057" t="str">
        <f>IFERROR(__xludf.DUMMYFUNCTION("""COMPUTED_VALUE"""),"Europe")</f>
        <v>Europe</v>
      </c>
      <c r="C1057">
        <f>IFERROR(__xludf.DUMMYFUNCTION("""COMPUTED_VALUE"""),6.0)</f>
        <v>6</v>
      </c>
      <c r="D1057" t="str">
        <f>IFERROR(__xludf.DUMMYFUNCTION("""COMPUTED_VALUE"""),"Online")</f>
        <v>Online</v>
      </c>
      <c r="E1057" t="str">
        <f>IFERROR(__xludf.DUMMYFUNCTION("""COMPUTED_VALUE"""),"Snik")</f>
        <v>Snik</v>
      </c>
      <c r="F1057" t="str">
        <f>IFERROR(__xludf.DUMMYFUNCTION("""COMPUTED_VALUE"""),"TOPBOY")</f>
        <v>TOPBOY</v>
      </c>
      <c r="G1057">
        <f>IFERROR(__xludf.DUMMYFUNCTION("""COMPUTED_VALUE"""),1.0)</f>
        <v>1</v>
      </c>
      <c r="H1057" s="5">
        <f>IFERROR(__xludf.DUMMYFUNCTION("""COMPUTED_VALUE"""),0.1430555555562023)</f>
        <v>0.1430555556</v>
      </c>
    </row>
    <row r="1058">
      <c r="A1058" t="str">
        <f>IFERROR(__xludf.DUMMYFUNCTION("""COMPUTED_VALUE"""),"Greece")</f>
        <v>Greece</v>
      </c>
      <c r="B1058" t="str">
        <f>IFERROR(__xludf.DUMMYFUNCTION("""COMPUTED_VALUE"""),"Europe")</f>
        <v>Europe</v>
      </c>
      <c r="C1058">
        <f>IFERROR(__xludf.DUMMYFUNCTION("""COMPUTED_VALUE"""),7.0)</f>
        <v>7</v>
      </c>
      <c r="D1058" t="str">
        <f>IFERROR(__xludf.DUMMYFUNCTION("""COMPUTED_VALUE"""),"PTSD")</f>
        <v>PTSD</v>
      </c>
      <c r="E1058" t="str">
        <f>IFERROR(__xludf.DUMMYFUNCTION("""COMPUTED_VALUE"""),"Snik")</f>
        <v>Snik</v>
      </c>
      <c r="F1058" t="str">
        <f>IFERROR(__xludf.DUMMYFUNCTION("""COMPUTED_VALUE"""),"TOPBOY")</f>
        <v>TOPBOY</v>
      </c>
      <c r="G1058">
        <f>IFERROR(__xludf.DUMMYFUNCTION("""COMPUTED_VALUE"""),1.0)</f>
        <v>1</v>
      </c>
      <c r="H1058" s="5">
        <f>IFERROR(__xludf.DUMMYFUNCTION("""COMPUTED_VALUE"""),0.12361111111022183)</f>
        <v>0.1236111111</v>
      </c>
    </row>
    <row r="1059">
      <c r="A1059" t="str">
        <f>IFERROR(__xludf.DUMMYFUNCTION("""COMPUTED_VALUE"""),"Greece")</f>
        <v>Greece</v>
      </c>
      <c r="B1059" t="str">
        <f>IFERROR(__xludf.DUMMYFUNCTION("""COMPUTED_VALUE"""),"Europe")</f>
        <v>Europe</v>
      </c>
      <c r="C1059">
        <f>IFERROR(__xludf.DUMMYFUNCTION("""COMPUTED_VALUE"""),8.0)</f>
        <v>8</v>
      </c>
      <c r="D1059" t="str">
        <f>IFERROR(__xludf.DUMMYFUNCTION("""COMPUTED_VALUE"""),"Highway")</f>
        <v>Highway</v>
      </c>
      <c r="E1059" t="str">
        <f>IFERROR(__xludf.DUMMYFUNCTION("""COMPUTED_VALUE"""),"Snik")</f>
        <v>Snik</v>
      </c>
      <c r="F1059" t="str">
        <f>IFERROR(__xludf.DUMMYFUNCTION("""COMPUTED_VALUE"""),"TOPBOY")</f>
        <v>TOPBOY</v>
      </c>
      <c r="G1059">
        <f>IFERROR(__xludf.DUMMYFUNCTION("""COMPUTED_VALUE"""),1.0)</f>
        <v>1</v>
      </c>
      <c r="H1059" s="5">
        <f>IFERROR(__xludf.DUMMYFUNCTION("""COMPUTED_VALUE"""),0.0812499999992724)</f>
        <v>0.08125</v>
      </c>
    </row>
    <row r="1060">
      <c r="A1060" t="str">
        <f>IFERROR(__xludf.DUMMYFUNCTION("""COMPUTED_VALUE"""),"Greece")</f>
        <v>Greece</v>
      </c>
      <c r="B1060" t="str">
        <f>IFERROR(__xludf.DUMMYFUNCTION("""COMPUTED_VALUE"""),"Europe")</f>
        <v>Europe</v>
      </c>
      <c r="C1060">
        <f>IFERROR(__xludf.DUMMYFUNCTION("""COMPUTED_VALUE"""),9.0)</f>
        <v>9</v>
      </c>
      <c r="D1060" t="str">
        <f>IFERROR(__xludf.DUMMYFUNCTION("""COMPUTED_VALUE"""),"Sinefa")</f>
        <v>Sinefa</v>
      </c>
      <c r="E1060" t="str">
        <f>IFERROR(__xludf.DUMMYFUNCTION("""COMPUTED_VALUE"""),"Snik")</f>
        <v>Snik</v>
      </c>
      <c r="F1060" t="str">
        <f>IFERROR(__xludf.DUMMYFUNCTION("""COMPUTED_VALUE"""),"TOPBOY")</f>
        <v>TOPBOY</v>
      </c>
      <c r="G1060">
        <f>IFERROR(__xludf.DUMMYFUNCTION("""COMPUTED_VALUE"""),1.0)</f>
        <v>1</v>
      </c>
      <c r="H1060" s="5">
        <f>IFERROR(__xludf.DUMMYFUNCTION("""COMPUTED_VALUE"""),0.11319444444598048)</f>
        <v>0.1131944444</v>
      </c>
    </row>
    <row r="1061">
      <c r="A1061" t="str">
        <f>IFERROR(__xludf.DUMMYFUNCTION("""COMPUTED_VALUE"""),"Greece")</f>
        <v>Greece</v>
      </c>
      <c r="B1061" t="str">
        <f>IFERROR(__xludf.DUMMYFUNCTION("""COMPUTED_VALUE"""),"Europe")</f>
        <v>Europe</v>
      </c>
      <c r="C1061">
        <f>IFERROR(__xludf.DUMMYFUNCTION("""COMPUTED_VALUE"""),10.0)</f>
        <v>10</v>
      </c>
      <c r="D1061" t="str">
        <f>IFERROR(__xludf.DUMMYFUNCTION("""COMPUTED_VALUE"""),"Rockstar")</f>
        <v>Rockstar</v>
      </c>
      <c r="E1061" t="str">
        <f>IFERROR(__xludf.DUMMYFUNCTION("""COMPUTED_VALUE"""),"Snik")</f>
        <v>Snik</v>
      </c>
      <c r="F1061" t="str">
        <f>IFERROR(__xludf.DUMMYFUNCTION("""COMPUTED_VALUE"""),"TOPBOY")</f>
        <v>TOPBOY</v>
      </c>
      <c r="G1061">
        <f>IFERROR(__xludf.DUMMYFUNCTION("""COMPUTED_VALUE"""),1.0)</f>
        <v>1</v>
      </c>
      <c r="H1061" s="5">
        <f>IFERROR(__xludf.DUMMYFUNCTION("""COMPUTED_VALUE"""),0.09236111111022183)</f>
        <v>0.09236111111</v>
      </c>
    </row>
    <row r="1062">
      <c r="A1062" t="str">
        <f>IFERROR(__xludf.DUMMYFUNCTION("""COMPUTED_VALUE"""),"Greece")</f>
        <v>Greece</v>
      </c>
      <c r="B1062" t="str">
        <f>IFERROR(__xludf.DUMMYFUNCTION("""COMPUTED_VALUE"""),"Europe")</f>
        <v>Europe</v>
      </c>
      <c r="C1062">
        <f>IFERROR(__xludf.DUMMYFUNCTION("""COMPUTED_VALUE"""),11.0)</f>
        <v>11</v>
      </c>
      <c r="D1062" t="str">
        <f>IFERROR(__xludf.DUMMYFUNCTION("""COMPUTED_VALUE"""),"Colpo Grosso")</f>
        <v>Colpo Grosso</v>
      </c>
      <c r="E1062" t="str">
        <f>IFERROR(__xludf.DUMMYFUNCTION("""COMPUTED_VALUE"""),"Snik, Guè Pequeno, Noizy, Capo Plaza")</f>
        <v>Snik, Guè Pequeno, Noizy, Capo Plaza</v>
      </c>
      <c r="F1062" t="str">
        <f>IFERROR(__xludf.DUMMYFUNCTION("""COMPUTED_VALUE"""),"TOPBOY")</f>
        <v>TOPBOY</v>
      </c>
      <c r="G1062">
        <f>IFERROR(__xludf.DUMMYFUNCTION("""COMPUTED_VALUE"""),1.0)</f>
        <v>1</v>
      </c>
      <c r="H1062" s="5">
        <f>IFERROR(__xludf.DUMMYFUNCTION("""COMPUTED_VALUE"""),0.18958333333284827)</f>
        <v>0.1895833333</v>
      </c>
    </row>
    <row r="1063">
      <c r="A1063" t="str">
        <f>IFERROR(__xludf.DUMMYFUNCTION("""COMPUTED_VALUE"""),"Greece")</f>
        <v>Greece</v>
      </c>
      <c r="B1063" t="str">
        <f>IFERROR(__xludf.DUMMYFUNCTION("""COMPUTED_VALUE"""),"Europe")</f>
        <v>Europe</v>
      </c>
      <c r="C1063">
        <f>IFERROR(__xludf.DUMMYFUNCTION("""COMPUTED_VALUE"""),12.0)</f>
        <v>12</v>
      </c>
      <c r="D1063" t="str">
        <f>IFERROR(__xludf.DUMMYFUNCTION("""COMPUTED_VALUE"""),"Drip")</f>
        <v>Drip</v>
      </c>
      <c r="E1063" t="str">
        <f>IFERROR(__xludf.DUMMYFUNCTION("""COMPUTED_VALUE"""),"Snik, Mad Clip")</f>
        <v>Snik, Mad Clip</v>
      </c>
      <c r="F1063" t="str">
        <f>IFERROR(__xludf.DUMMYFUNCTION("""COMPUTED_VALUE"""),"TOPBOY")</f>
        <v>TOPBOY</v>
      </c>
      <c r="G1063">
        <f>IFERROR(__xludf.DUMMYFUNCTION("""COMPUTED_VALUE"""),1.0)</f>
        <v>1</v>
      </c>
      <c r="H1063" s="5">
        <f>IFERROR(__xludf.DUMMYFUNCTION("""COMPUTED_VALUE"""),0.10208333333503106)</f>
        <v>0.1020833333</v>
      </c>
    </row>
    <row r="1064">
      <c r="A1064" t="str">
        <f>IFERROR(__xludf.DUMMYFUNCTION("""COMPUTED_VALUE"""),"Greece")</f>
        <v>Greece</v>
      </c>
      <c r="B1064" t="str">
        <f>IFERROR(__xludf.DUMMYFUNCTION("""COMPUTED_VALUE"""),"Europe")</f>
        <v>Europe</v>
      </c>
      <c r="C1064">
        <f>IFERROR(__xludf.DUMMYFUNCTION("""COMPUTED_VALUE"""),13.0)</f>
        <v>13</v>
      </c>
      <c r="D1064" t="str">
        <f>IFERROR(__xludf.DUMMYFUNCTION("""COMPUTED_VALUE"""),"Medusa")</f>
        <v>Medusa</v>
      </c>
      <c r="E1064" t="str">
        <f>IFERROR(__xludf.DUMMYFUNCTION("""COMPUTED_VALUE"""),"Snik")</f>
        <v>Snik</v>
      </c>
      <c r="F1064" t="str">
        <f>IFERROR(__xludf.DUMMYFUNCTION("""COMPUTED_VALUE"""),"TOPBOY")</f>
        <v>TOPBOY</v>
      </c>
      <c r="G1064">
        <f>IFERROR(__xludf.DUMMYFUNCTION("""COMPUTED_VALUE"""),1.0)</f>
        <v>1</v>
      </c>
      <c r="H1064" s="5">
        <f>IFERROR(__xludf.DUMMYFUNCTION("""COMPUTED_VALUE"""),0.11944444444452529)</f>
        <v>0.1194444444</v>
      </c>
    </row>
    <row r="1065">
      <c r="A1065" t="str">
        <f>IFERROR(__xludf.DUMMYFUNCTION("""COMPUTED_VALUE"""),"Greece")</f>
        <v>Greece</v>
      </c>
      <c r="B1065" t="str">
        <f>IFERROR(__xludf.DUMMYFUNCTION("""COMPUTED_VALUE"""),"Europe")</f>
        <v>Europe</v>
      </c>
      <c r="C1065">
        <f>IFERROR(__xludf.DUMMYFUNCTION("""COMPUTED_VALUE"""),14.0)</f>
        <v>14</v>
      </c>
      <c r="D1065" t="str">
        <f>IFERROR(__xludf.DUMMYFUNCTION("""COMPUTED_VALUE"""),"Kilo")</f>
        <v>Kilo</v>
      </c>
      <c r="E1065" t="str">
        <f>IFERROR(__xludf.DUMMYFUNCTION("""COMPUTED_VALUE"""),"Snik")</f>
        <v>Snik</v>
      </c>
      <c r="F1065" t="str">
        <f>IFERROR(__xludf.DUMMYFUNCTION("""COMPUTED_VALUE"""),"TOPBOY")</f>
        <v>TOPBOY</v>
      </c>
      <c r="G1065">
        <f>IFERROR(__xludf.DUMMYFUNCTION("""COMPUTED_VALUE"""),1.0)</f>
        <v>1</v>
      </c>
      <c r="H1065" s="5">
        <f>IFERROR(__xludf.DUMMYFUNCTION("""COMPUTED_VALUE"""),0.125)</f>
        <v>0.125</v>
      </c>
    </row>
    <row r="1066">
      <c r="A1066" t="str">
        <f>IFERROR(__xludf.DUMMYFUNCTION("""COMPUTED_VALUE"""),"Greece")</f>
        <v>Greece</v>
      </c>
      <c r="B1066" t="str">
        <f>IFERROR(__xludf.DUMMYFUNCTION("""COMPUTED_VALUE"""),"Europe")</f>
        <v>Europe</v>
      </c>
      <c r="C1066">
        <f>IFERROR(__xludf.DUMMYFUNCTION("""COMPUTED_VALUE"""),15.0)</f>
        <v>15</v>
      </c>
      <c r="D1066" t="str">
        <f>IFERROR(__xludf.DUMMYFUNCTION("""COMPUTED_VALUE"""),"THE SCOTTS")</f>
        <v>THE SCOTTS</v>
      </c>
      <c r="E1066" t="str">
        <f>IFERROR(__xludf.DUMMYFUNCTION("""COMPUTED_VALUE"""),"THE SCOTTS, Travis Scott, Kid Cudi")</f>
        <v>THE SCOTTS, Travis Scott, Kid Cudi</v>
      </c>
      <c r="F1066" t="str">
        <f>IFERROR(__xludf.DUMMYFUNCTION("""COMPUTED_VALUE"""),"THE SCOTTS")</f>
        <v>THE SCOTTS</v>
      </c>
      <c r="G1066">
        <f>IFERROR(__xludf.DUMMYFUNCTION("""COMPUTED_VALUE"""),1.0)</f>
        <v>1</v>
      </c>
      <c r="H1066" s="5">
        <f>IFERROR(__xludf.DUMMYFUNCTION("""COMPUTED_VALUE"""),0.11458333333212067)</f>
        <v>0.1145833333</v>
      </c>
    </row>
    <row r="1067">
      <c r="A1067" t="str">
        <f>IFERROR(__xludf.DUMMYFUNCTION("""COMPUTED_VALUE"""),"Greece")</f>
        <v>Greece</v>
      </c>
      <c r="B1067" t="str">
        <f>IFERROR(__xludf.DUMMYFUNCTION("""COMPUTED_VALUE"""),"Europe")</f>
        <v>Europe</v>
      </c>
      <c r="C1067">
        <f>IFERROR(__xludf.DUMMYFUNCTION("""COMPUTED_VALUE"""),16.0)</f>
        <v>16</v>
      </c>
      <c r="D1067" t="str">
        <f>IFERROR(__xludf.DUMMYFUNCTION("""COMPUTED_VALUE"""),"Cruel Summer")</f>
        <v>Cruel Summer</v>
      </c>
      <c r="E1067" t="str">
        <f>IFERROR(__xludf.DUMMYFUNCTION("""COMPUTED_VALUE"""),"DJ Stephan, Mad Clip, iLLEOo")</f>
        <v>DJ Stephan, Mad Clip, iLLEOo</v>
      </c>
      <c r="F1067" t="str">
        <f>IFERROR(__xludf.DUMMYFUNCTION("""COMPUTED_VALUE"""),"Cruel Summer")</f>
        <v>Cruel Summer</v>
      </c>
      <c r="G1067">
        <f>IFERROR(__xludf.DUMMYFUNCTION("""COMPUTED_VALUE"""),1.0)</f>
        <v>1</v>
      </c>
      <c r="H1067" s="5">
        <f>IFERROR(__xludf.DUMMYFUNCTION("""COMPUTED_VALUE"""),0.14722222222189885)</f>
        <v>0.1472222222</v>
      </c>
    </row>
    <row r="1068">
      <c r="A1068" t="str">
        <f>IFERROR(__xludf.DUMMYFUNCTION("""COMPUTED_VALUE"""),"Greece")</f>
        <v>Greece</v>
      </c>
      <c r="B1068" t="str">
        <f>IFERROR(__xludf.DUMMYFUNCTION("""COMPUTED_VALUE"""),"Europe")</f>
        <v>Europe</v>
      </c>
      <c r="C1068">
        <f>IFERROR(__xludf.DUMMYFUNCTION("""COMPUTED_VALUE"""),17.0)</f>
        <v>17</v>
      </c>
      <c r="D1068" t="str">
        <f>IFERROR(__xludf.DUMMYFUNCTION("""COMPUTED_VALUE"""),"GOOBA")</f>
        <v>GOOBA</v>
      </c>
      <c r="E1068" t="str">
        <f>IFERROR(__xludf.DUMMYFUNCTION("""COMPUTED_VALUE"""),"6ix9ine")</f>
        <v>6ix9ine</v>
      </c>
      <c r="F1068" t="str">
        <f>IFERROR(__xludf.DUMMYFUNCTION("""COMPUTED_VALUE"""),"GOOBA")</f>
        <v>GOOBA</v>
      </c>
      <c r="G1068">
        <f>IFERROR(__xludf.DUMMYFUNCTION("""COMPUTED_VALUE"""),1.0)</f>
        <v>1</v>
      </c>
      <c r="H1068" s="5">
        <f>IFERROR(__xludf.DUMMYFUNCTION("""COMPUTED_VALUE"""),0.09166666666715173)</f>
        <v>0.09166666667</v>
      </c>
    </row>
    <row r="1069">
      <c r="A1069" t="str">
        <f>IFERROR(__xludf.DUMMYFUNCTION("""COMPUTED_VALUE"""),"Greece")</f>
        <v>Greece</v>
      </c>
      <c r="B1069" t="str">
        <f>IFERROR(__xludf.DUMMYFUNCTION("""COMPUTED_VALUE"""),"Europe")</f>
        <v>Europe</v>
      </c>
      <c r="C1069">
        <f>IFERROR(__xludf.DUMMYFUNCTION("""COMPUTED_VALUE"""),18.0)</f>
        <v>18</v>
      </c>
      <c r="D1069" t="str">
        <f>IFERROR(__xludf.DUMMYFUNCTION("""COMPUTED_VALUE"""),"Roses - Imanbek Remix")</f>
        <v>Roses - Imanbek Remix</v>
      </c>
      <c r="E1069" t="str">
        <f>IFERROR(__xludf.DUMMYFUNCTION("""COMPUTED_VALUE"""),"SAINt JHN, Imanbek")</f>
        <v>SAINt JHN, Imanbek</v>
      </c>
      <c r="F1069" t="str">
        <f>IFERROR(__xludf.DUMMYFUNCTION("""COMPUTED_VALUE"""),"Roses (Imanbek Remix)")</f>
        <v>Roses (Imanbek Remix)</v>
      </c>
      <c r="G1069">
        <f>IFERROR(__xludf.DUMMYFUNCTION("""COMPUTED_VALUE"""),1.0)</f>
        <v>1</v>
      </c>
      <c r="H1069" s="5">
        <f>IFERROR(__xludf.DUMMYFUNCTION("""COMPUTED_VALUE"""),0.12222222222044365)</f>
        <v>0.1222222222</v>
      </c>
    </row>
    <row r="1070">
      <c r="A1070" t="str">
        <f>IFERROR(__xludf.DUMMYFUNCTION("""COMPUTED_VALUE"""),"Greece")</f>
        <v>Greece</v>
      </c>
      <c r="B1070" t="str">
        <f>IFERROR(__xludf.DUMMYFUNCTION("""COMPUTED_VALUE"""),"Europe")</f>
        <v>Europe</v>
      </c>
      <c r="C1070">
        <f>IFERROR(__xludf.DUMMYFUNCTION("""COMPUTED_VALUE"""),19.0)</f>
        <v>19</v>
      </c>
      <c r="D1070" t="str">
        <f>IFERROR(__xludf.DUMMYFUNCTION("""COMPUTED_VALUE"""),"Woh - Remix")</f>
        <v>Woh - Remix</v>
      </c>
      <c r="E1070" t="str">
        <f>IFERROR(__xludf.DUMMYFUNCTION("""COMPUTED_VALUE"""),"Fy, Light, MC Bin Laden, Mad Clip, Mente Fuerte")</f>
        <v>Fy, Light, MC Bin Laden, Mad Clip, Mente Fuerte</v>
      </c>
      <c r="F1070" t="str">
        <f>IFERROR(__xludf.DUMMYFUNCTION("""COMPUTED_VALUE"""),"Woh (Remix)")</f>
        <v>Woh (Remix)</v>
      </c>
      <c r="G1070">
        <f>IFERROR(__xludf.DUMMYFUNCTION("""COMPUTED_VALUE"""),1.0)</f>
        <v>1</v>
      </c>
      <c r="H1070" s="5">
        <f>IFERROR(__xludf.DUMMYFUNCTION("""COMPUTED_VALUE"""),0.15972222222262644)</f>
        <v>0.1597222222</v>
      </c>
    </row>
    <row r="1071">
      <c r="A1071" t="str">
        <f>IFERROR(__xludf.DUMMYFUNCTION("""COMPUTED_VALUE"""),"Greece")</f>
        <v>Greece</v>
      </c>
      <c r="B1071" t="str">
        <f>IFERROR(__xludf.DUMMYFUNCTION("""COMPUTED_VALUE"""),"Europe")</f>
        <v>Europe</v>
      </c>
      <c r="C1071">
        <f>IFERROR(__xludf.DUMMYFUNCTION("""COMPUTED_VALUE"""),20.0)</f>
        <v>20</v>
      </c>
      <c r="D1071" t="str">
        <f>IFERROR(__xludf.DUMMYFUNCTION("""COMPUTED_VALUE"""),"Rain On Me (with Ariana Grande)")</f>
        <v>Rain On Me (with Ariana Grande)</v>
      </c>
      <c r="E1071" t="str">
        <f>IFERROR(__xludf.DUMMYFUNCTION("""COMPUTED_VALUE"""),"Lady Gaga, Ariana Grande")</f>
        <v>Lady Gaga, Ariana Grande</v>
      </c>
      <c r="F1071" t="str">
        <f>IFERROR(__xludf.DUMMYFUNCTION("""COMPUTED_VALUE"""),"Rain On Me (with Ariana Grande)")</f>
        <v>Rain On Me (with Ariana Grande)</v>
      </c>
      <c r="G1071">
        <f>IFERROR(__xludf.DUMMYFUNCTION("""COMPUTED_VALUE"""),0.0)</f>
        <v>0</v>
      </c>
      <c r="H1071" s="5">
        <f>IFERROR(__xludf.DUMMYFUNCTION("""COMPUTED_VALUE"""),0.12638888888977817)</f>
        <v>0.1263888889</v>
      </c>
    </row>
    <row r="1072">
      <c r="A1072" t="str">
        <f>IFERROR(__xludf.DUMMYFUNCTION("""COMPUTED_VALUE"""),"Greece")</f>
        <v>Greece</v>
      </c>
      <c r="B1072" t="str">
        <f>IFERROR(__xludf.DUMMYFUNCTION("""COMPUTED_VALUE"""),"Europe")</f>
        <v>Europe</v>
      </c>
      <c r="C1072">
        <f>IFERROR(__xludf.DUMMYFUNCTION("""COMPUTED_VALUE"""),21.0)</f>
        <v>21</v>
      </c>
      <c r="D1072" t="str">
        <f>IFERROR(__xludf.DUMMYFUNCTION("""COMPUTED_VALUE"""),"Senorita")</f>
        <v>Senorita</v>
      </c>
      <c r="E1072" t="str">
        <f>IFERROR(__xludf.DUMMYFUNCTION("""COMPUTED_VALUE"""),"Snik, Tamta")</f>
        <v>Snik, Tamta</v>
      </c>
      <c r="F1072" t="str">
        <f>IFERROR(__xludf.DUMMYFUNCTION("""COMPUTED_VALUE"""),"Senorita")</f>
        <v>Senorita</v>
      </c>
      <c r="G1072">
        <f>IFERROR(__xludf.DUMMYFUNCTION("""COMPUTED_VALUE"""),0.0)</f>
        <v>0</v>
      </c>
      <c r="H1072" s="5">
        <f>IFERROR(__xludf.DUMMYFUNCTION("""COMPUTED_VALUE"""),0.12361111111022183)</f>
        <v>0.1236111111</v>
      </c>
    </row>
    <row r="1073">
      <c r="A1073" t="str">
        <f>IFERROR(__xludf.DUMMYFUNCTION("""COMPUTED_VALUE"""),"Greece")</f>
        <v>Greece</v>
      </c>
      <c r="B1073" t="str">
        <f>IFERROR(__xludf.DUMMYFUNCTION("""COMPUTED_VALUE"""),"Europe")</f>
        <v>Europe</v>
      </c>
      <c r="C1073">
        <f>IFERROR(__xludf.DUMMYFUNCTION("""COMPUTED_VALUE"""),22.0)</f>
        <v>22</v>
      </c>
      <c r="D1073" t="str">
        <f>IFERROR(__xludf.DUMMYFUNCTION("""COMPUTED_VALUE"""),"Blinding Lights")</f>
        <v>Blinding Lights</v>
      </c>
      <c r="E1073" t="str">
        <f>IFERROR(__xludf.DUMMYFUNCTION("""COMPUTED_VALUE"""),"The Weeknd")</f>
        <v>The Weeknd</v>
      </c>
      <c r="F1073" t="str">
        <f>IFERROR(__xludf.DUMMYFUNCTION("""COMPUTED_VALUE"""),"After Hours")</f>
        <v>After Hours</v>
      </c>
      <c r="G1073">
        <f>IFERROR(__xludf.DUMMYFUNCTION("""COMPUTED_VALUE"""),0.0)</f>
        <v>0</v>
      </c>
      <c r="H1073" s="5">
        <f>IFERROR(__xludf.DUMMYFUNCTION("""COMPUTED_VALUE"""),0.13888888889050577)</f>
        <v>0.1388888889</v>
      </c>
    </row>
    <row r="1074">
      <c r="A1074" t="str">
        <f>IFERROR(__xludf.DUMMYFUNCTION("""COMPUTED_VALUE"""),"Greece")</f>
        <v>Greece</v>
      </c>
      <c r="B1074" t="str">
        <f>IFERROR(__xludf.DUMMYFUNCTION("""COMPUTED_VALUE"""),"Europe")</f>
        <v>Europe</v>
      </c>
      <c r="C1074">
        <f>IFERROR(__xludf.DUMMYFUNCTION("""COMPUTED_VALUE"""),23.0)</f>
        <v>23</v>
      </c>
      <c r="D1074" t="str">
        <f>IFERROR(__xludf.DUMMYFUNCTION("""COMPUTED_VALUE"""),"ROCKSTAR (feat. Roddy Ricch)")</f>
        <v>ROCKSTAR (feat. Roddy Ricch)</v>
      </c>
      <c r="E1074" t="str">
        <f>IFERROR(__xludf.DUMMYFUNCTION("""COMPUTED_VALUE"""),"DaBaby, Roddy Ricch")</f>
        <v>DaBaby, Roddy Ricch</v>
      </c>
      <c r="F1074" t="str">
        <f>IFERROR(__xludf.DUMMYFUNCTION("""COMPUTED_VALUE"""),"BLAME IT ON BABY")</f>
        <v>BLAME IT ON BABY</v>
      </c>
      <c r="G1074">
        <f>IFERROR(__xludf.DUMMYFUNCTION("""COMPUTED_VALUE"""),1.0)</f>
        <v>1</v>
      </c>
      <c r="H1074" s="5">
        <f>IFERROR(__xludf.DUMMYFUNCTION("""COMPUTED_VALUE"""),0.1256944444430701)</f>
        <v>0.1256944444</v>
      </c>
    </row>
    <row r="1075">
      <c r="A1075" t="str">
        <f>IFERROR(__xludf.DUMMYFUNCTION("""COMPUTED_VALUE"""),"Greece")</f>
        <v>Greece</v>
      </c>
      <c r="B1075" t="str">
        <f>IFERROR(__xludf.DUMMYFUNCTION("""COMPUTED_VALUE"""),"Europe")</f>
        <v>Europe</v>
      </c>
      <c r="C1075">
        <f>IFERROR(__xludf.DUMMYFUNCTION("""COMPUTED_VALUE"""),24.0)</f>
        <v>24</v>
      </c>
      <c r="D1075" t="str">
        <f>IFERROR(__xludf.DUMMYFUNCTION("""COMPUTED_VALUE"""),"Kotera")</f>
        <v>Kotera</v>
      </c>
      <c r="E1075" t="str">
        <f>IFERROR(__xludf.DUMMYFUNCTION("""COMPUTED_VALUE"""),"Mad Clip")</f>
        <v>Mad Clip</v>
      </c>
      <c r="F1075" t="str">
        <f>IFERROR(__xludf.DUMMYFUNCTION("""COMPUTED_VALUE"""),"Kotera")</f>
        <v>Kotera</v>
      </c>
      <c r="G1075">
        <f>IFERROR(__xludf.DUMMYFUNCTION("""COMPUTED_VALUE"""),1.0)</f>
        <v>1</v>
      </c>
      <c r="H1075" s="5">
        <f>IFERROR(__xludf.DUMMYFUNCTION("""COMPUTED_VALUE"""),0.11944444444452529)</f>
        <v>0.1194444444</v>
      </c>
    </row>
    <row r="1076">
      <c r="A1076" t="str">
        <f>IFERROR(__xludf.DUMMYFUNCTION("""COMPUTED_VALUE"""),"Greece")</f>
        <v>Greece</v>
      </c>
      <c r="B1076" t="str">
        <f>IFERROR(__xludf.DUMMYFUNCTION("""COMPUTED_VALUE"""),"Europe")</f>
        <v>Europe</v>
      </c>
      <c r="C1076">
        <f>IFERROR(__xludf.DUMMYFUNCTION("""COMPUTED_VALUE"""),25.0)</f>
        <v>25</v>
      </c>
      <c r="D1076" t="str">
        <f>IFERROR(__xludf.DUMMYFUNCTION("""COMPUTED_VALUE"""),"IG")</f>
        <v>IG</v>
      </c>
      <c r="E1076" t="str">
        <f>IFERROR(__xludf.DUMMYFUNCTION("""COMPUTED_VALUE"""),"Slogan, MG")</f>
        <v>Slogan, MG</v>
      </c>
      <c r="F1076" t="str">
        <f>IFERROR(__xludf.DUMMYFUNCTION("""COMPUTED_VALUE"""),"Big Chunes")</f>
        <v>Big Chunes</v>
      </c>
      <c r="G1076">
        <f>IFERROR(__xludf.DUMMYFUNCTION("""COMPUTED_VALUE"""),1.0)</f>
        <v>1</v>
      </c>
      <c r="H1076" s="5">
        <f>IFERROR(__xludf.DUMMYFUNCTION("""COMPUTED_VALUE"""),0.11041666666642413)</f>
        <v>0.1104166667</v>
      </c>
    </row>
    <row r="1077">
      <c r="A1077" t="str">
        <f>IFERROR(__xludf.DUMMYFUNCTION("""COMPUTED_VALUE"""),"Greece")</f>
        <v>Greece</v>
      </c>
      <c r="B1077" t="str">
        <f>IFERROR(__xludf.DUMMYFUNCTION("""COMPUTED_VALUE"""),"Europe")</f>
        <v>Europe</v>
      </c>
      <c r="C1077">
        <f>IFERROR(__xludf.DUMMYFUNCTION("""COMPUTED_VALUE"""),26.0)</f>
        <v>26</v>
      </c>
      <c r="D1077" t="str">
        <f>IFERROR(__xludf.DUMMYFUNCTION("""COMPUTED_VALUE"""),"BIG MAN")</f>
        <v>BIG MAN</v>
      </c>
      <c r="E1077" t="str">
        <f>IFERROR(__xludf.DUMMYFUNCTION("""COMPUTED_VALUE"""),"Snik")</f>
        <v>Snik</v>
      </c>
      <c r="F1077" t="str">
        <f>IFERROR(__xludf.DUMMYFUNCTION("""COMPUTED_VALUE"""),"BIG MAN")</f>
        <v>BIG MAN</v>
      </c>
      <c r="G1077">
        <f>IFERROR(__xludf.DUMMYFUNCTION("""COMPUTED_VALUE"""),1.0)</f>
        <v>1</v>
      </c>
      <c r="H1077" s="5">
        <f>IFERROR(__xludf.DUMMYFUNCTION("""COMPUTED_VALUE"""),0.1256944444430701)</f>
        <v>0.1256944444</v>
      </c>
    </row>
    <row r="1078">
      <c r="A1078" t="str">
        <f>IFERROR(__xludf.DUMMYFUNCTION("""COMPUTED_VALUE"""),"Greece")</f>
        <v>Greece</v>
      </c>
      <c r="B1078" t="str">
        <f>IFERROR(__xludf.DUMMYFUNCTION("""COMPUTED_VALUE"""),"Europe")</f>
        <v>Europe</v>
      </c>
      <c r="C1078">
        <f>IFERROR(__xludf.DUMMYFUNCTION("""COMPUTED_VALUE"""),27.0)</f>
        <v>27</v>
      </c>
      <c r="D1078" t="str">
        <f>IFERROR(__xludf.DUMMYFUNCTION("""COMPUTED_VALUE"""),"Toosie Slide")</f>
        <v>Toosie Slide</v>
      </c>
      <c r="E1078" t="str">
        <f>IFERROR(__xludf.DUMMYFUNCTION("""COMPUTED_VALUE"""),"Drake")</f>
        <v>Drake</v>
      </c>
      <c r="F1078" t="str">
        <f>IFERROR(__xludf.DUMMYFUNCTION("""COMPUTED_VALUE"""),"Dark Lane Demo Tapes")</f>
        <v>Dark Lane Demo Tapes</v>
      </c>
      <c r="G1078">
        <f>IFERROR(__xludf.DUMMYFUNCTION("""COMPUTED_VALUE"""),1.0)</f>
        <v>1</v>
      </c>
      <c r="H1078" s="5">
        <f>IFERROR(__xludf.DUMMYFUNCTION("""COMPUTED_VALUE"""),0.17152777777664596)</f>
        <v>0.1715277778</v>
      </c>
    </row>
    <row r="1079">
      <c r="A1079" t="str">
        <f>IFERROR(__xludf.DUMMYFUNCTION("""COMPUTED_VALUE"""),"Greece")</f>
        <v>Greece</v>
      </c>
      <c r="B1079" t="str">
        <f>IFERROR(__xludf.DUMMYFUNCTION("""COMPUTED_VALUE"""),"Europe")</f>
        <v>Europe</v>
      </c>
      <c r="C1079">
        <f>IFERROR(__xludf.DUMMYFUNCTION("""COMPUTED_VALUE"""),28.0)</f>
        <v>28</v>
      </c>
      <c r="D1079" t="str">
        <f>IFERROR(__xludf.DUMMYFUNCTION("""COMPUTED_VALUE"""),"Who U")</f>
        <v>Who U</v>
      </c>
      <c r="E1079" t="str">
        <f>IFERROR(__xludf.DUMMYFUNCTION("""COMPUTED_VALUE"""),"MG, iLLEOo")</f>
        <v>MG, iLLEOo</v>
      </c>
      <c r="F1079" t="str">
        <f>IFERROR(__xludf.DUMMYFUNCTION("""COMPUTED_VALUE"""),"Who U")</f>
        <v>Who U</v>
      </c>
      <c r="G1079">
        <f>IFERROR(__xludf.DUMMYFUNCTION("""COMPUTED_VALUE"""),1.0)</f>
        <v>1</v>
      </c>
      <c r="H1079" s="5">
        <f>IFERROR(__xludf.DUMMYFUNCTION("""COMPUTED_VALUE"""),0.1062500000007276)</f>
        <v>0.10625</v>
      </c>
    </row>
    <row r="1080">
      <c r="A1080" t="str">
        <f>IFERROR(__xludf.DUMMYFUNCTION("""COMPUTED_VALUE"""),"Greece")</f>
        <v>Greece</v>
      </c>
      <c r="B1080" t="str">
        <f>IFERROR(__xludf.DUMMYFUNCTION("""COMPUTED_VALUE"""),"Europe")</f>
        <v>Europe</v>
      </c>
      <c r="C1080">
        <f>IFERROR(__xludf.DUMMYFUNCTION("""COMPUTED_VALUE"""),29.0)</f>
        <v>29</v>
      </c>
      <c r="D1080" t="str">
        <f>IFERROR(__xludf.DUMMYFUNCTION("""COMPUTED_VALUE"""),"Eros")</f>
        <v>Eros</v>
      </c>
      <c r="E1080" t="str">
        <f>IFERROR(__xludf.DUMMYFUNCTION("""COMPUTED_VALUE"""),"DJ Stephan, Ypo, Sophia")</f>
        <v>DJ Stephan, Ypo, Sophia</v>
      </c>
      <c r="F1080" t="str">
        <f>IFERROR(__xludf.DUMMYFUNCTION("""COMPUTED_VALUE"""),"Eros")</f>
        <v>Eros</v>
      </c>
      <c r="G1080">
        <f>IFERROR(__xludf.DUMMYFUNCTION("""COMPUTED_VALUE"""),1.0)</f>
        <v>1</v>
      </c>
      <c r="H1080" s="5">
        <f>IFERROR(__xludf.DUMMYFUNCTION("""COMPUTED_VALUE"""),0.12638888888977817)</f>
        <v>0.1263888889</v>
      </c>
    </row>
    <row r="1081">
      <c r="A1081" t="str">
        <f>IFERROR(__xludf.DUMMYFUNCTION("""COMPUTED_VALUE"""),"Greece")</f>
        <v>Greece</v>
      </c>
      <c r="B1081" t="str">
        <f>IFERROR(__xludf.DUMMYFUNCTION("""COMPUTED_VALUE"""),"Europe")</f>
        <v>Europe</v>
      </c>
      <c r="C1081">
        <f>IFERROR(__xludf.DUMMYFUNCTION("""COMPUTED_VALUE"""),30.0)</f>
        <v>30</v>
      </c>
      <c r="D1081" t="str">
        <f>IFERROR(__xludf.DUMMYFUNCTION("""COMPUTED_VALUE"""),"HIGHEST IN THE ROOM")</f>
        <v>HIGHEST IN THE ROOM</v>
      </c>
      <c r="E1081" t="str">
        <f>IFERROR(__xludf.DUMMYFUNCTION("""COMPUTED_VALUE"""),"Travis Scott")</f>
        <v>Travis Scott</v>
      </c>
      <c r="F1081" t="str">
        <f>IFERROR(__xludf.DUMMYFUNCTION("""COMPUTED_VALUE"""),"HIGHEST IN THE ROOM")</f>
        <v>HIGHEST IN THE ROOM</v>
      </c>
      <c r="G1081">
        <f>IFERROR(__xludf.DUMMYFUNCTION("""COMPUTED_VALUE"""),1.0)</f>
        <v>1</v>
      </c>
      <c r="H1081" s="5">
        <f>IFERROR(__xludf.DUMMYFUNCTION("""COMPUTED_VALUE"""),0.12152777777737356)</f>
        <v>0.1215277778</v>
      </c>
    </row>
    <row r="1082">
      <c r="A1082" t="str">
        <f>IFERROR(__xludf.DUMMYFUNCTION("""COMPUTED_VALUE"""),"Greece")</f>
        <v>Greece</v>
      </c>
      <c r="B1082" t="str">
        <f>IFERROR(__xludf.DUMMYFUNCTION("""COMPUTED_VALUE"""),"Europe")</f>
        <v>Europe</v>
      </c>
      <c r="C1082">
        <f>IFERROR(__xludf.DUMMYFUNCTION("""COMPUTED_VALUE"""),31.0)</f>
        <v>31</v>
      </c>
      <c r="D1082" t="str">
        <f>IFERROR(__xludf.DUMMYFUNCTION("""COMPUTED_VALUE"""),"The Box")</f>
        <v>The Box</v>
      </c>
      <c r="E1082" t="str">
        <f>IFERROR(__xludf.DUMMYFUNCTION("""COMPUTED_VALUE"""),"Roddy Ricch")</f>
        <v>Roddy Ricch</v>
      </c>
      <c r="F1082" t="str">
        <f>IFERROR(__xludf.DUMMYFUNCTION("""COMPUTED_VALUE"""),"Please Excuse Me For Being Antisocial")</f>
        <v>Please Excuse Me For Being Antisocial</v>
      </c>
      <c r="G1082">
        <f>IFERROR(__xludf.DUMMYFUNCTION("""COMPUTED_VALUE"""),1.0)</f>
        <v>1</v>
      </c>
      <c r="H1082" s="5">
        <f>IFERROR(__xludf.DUMMYFUNCTION("""COMPUTED_VALUE"""),0.13611111111094942)</f>
        <v>0.1361111111</v>
      </c>
    </row>
    <row r="1083">
      <c r="A1083" t="str">
        <f>IFERROR(__xludf.DUMMYFUNCTION("""COMPUTED_VALUE"""),"Greece")</f>
        <v>Greece</v>
      </c>
      <c r="B1083" t="str">
        <f>IFERROR(__xludf.DUMMYFUNCTION("""COMPUTED_VALUE"""),"Europe")</f>
        <v>Europe</v>
      </c>
      <c r="C1083">
        <f>IFERROR(__xludf.DUMMYFUNCTION("""COMPUTED_VALUE"""),32.0)</f>
        <v>32</v>
      </c>
      <c r="D1083" t="str">
        <f>IFERROR(__xludf.DUMMYFUNCTION("""COMPUTED_VALUE"""),"Slang")</f>
        <v>Slang</v>
      </c>
      <c r="E1083" t="str">
        <f>IFERROR(__xludf.DUMMYFUNCTION("""COMPUTED_VALUE"""),"Light, Billy Sio, Atc Nico")</f>
        <v>Light, Billy Sio, Atc Nico</v>
      </c>
      <c r="F1083" t="str">
        <f>IFERROR(__xludf.DUMMYFUNCTION("""COMPUTED_VALUE"""),"Slang")</f>
        <v>Slang</v>
      </c>
      <c r="G1083">
        <f>IFERROR(__xludf.DUMMYFUNCTION("""COMPUTED_VALUE"""),1.0)</f>
        <v>1</v>
      </c>
      <c r="H1083" s="5">
        <f>IFERROR(__xludf.DUMMYFUNCTION("""COMPUTED_VALUE"""),0.24166666666496894)</f>
        <v>0.2416666667</v>
      </c>
    </row>
    <row r="1084">
      <c r="A1084" t="str">
        <f>IFERROR(__xludf.DUMMYFUNCTION("""COMPUTED_VALUE"""),"Greece")</f>
        <v>Greece</v>
      </c>
      <c r="B1084" t="str">
        <f>IFERROR(__xludf.DUMMYFUNCTION("""COMPUTED_VALUE"""),"Europe")</f>
        <v>Europe</v>
      </c>
      <c r="C1084">
        <f>IFERROR(__xludf.DUMMYFUNCTION("""COMPUTED_VALUE"""),33.0)</f>
        <v>33</v>
      </c>
      <c r="D1084" t="str">
        <f>IFERROR(__xludf.DUMMYFUNCTION("""COMPUTED_VALUE"""),"SICKO MODE")</f>
        <v>SICKO MODE</v>
      </c>
      <c r="E1084" t="str">
        <f>IFERROR(__xludf.DUMMYFUNCTION("""COMPUTED_VALUE"""),"Travis Scott")</f>
        <v>Travis Scott</v>
      </c>
      <c r="F1084" t="str">
        <f>IFERROR(__xludf.DUMMYFUNCTION("""COMPUTED_VALUE"""),"ASTROWORLD")</f>
        <v>ASTROWORLD</v>
      </c>
      <c r="G1084">
        <f>IFERROR(__xludf.DUMMYFUNCTION("""COMPUTED_VALUE"""),1.0)</f>
        <v>1</v>
      </c>
      <c r="H1084" s="5">
        <f>IFERROR(__xludf.DUMMYFUNCTION("""COMPUTED_VALUE"""),0.21666666666715173)</f>
        <v>0.2166666667</v>
      </c>
    </row>
    <row r="1085">
      <c r="A1085" t="str">
        <f>IFERROR(__xludf.DUMMYFUNCTION("""COMPUTED_VALUE"""),"Greece")</f>
        <v>Greece</v>
      </c>
      <c r="B1085" t="str">
        <f>IFERROR(__xludf.DUMMYFUNCTION("""COMPUTED_VALUE"""),"Europe")</f>
        <v>Europe</v>
      </c>
      <c r="C1085">
        <f>IFERROR(__xludf.DUMMYFUNCTION("""COMPUTED_VALUE"""),34.0)</f>
        <v>34</v>
      </c>
      <c r="D1085" t="str">
        <f>IFERROR(__xludf.DUMMYFUNCTION("""COMPUTED_VALUE"""),"Blueberry Faygo")</f>
        <v>Blueberry Faygo</v>
      </c>
      <c r="E1085" t="str">
        <f>IFERROR(__xludf.DUMMYFUNCTION("""COMPUTED_VALUE"""),"Lil Mosey")</f>
        <v>Lil Mosey</v>
      </c>
      <c r="F1085" t="str">
        <f>IFERROR(__xludf.DUMMYFUNCTION("""COMPUTED_VALUE"""),"Certified Hitmaker")</f>
        <v>Certified Hitmaker</v>
      </c>
      <c r="G1085">
        <f>IFERROR(__xludf.DUMMYFUNCTION("""COMPUTED_VALUE"""),1.0)</f>
        <v>1</v>
      </c>
      <c r="H1085" s="5">
        <f>IFERROR(__xludf.DUMMYFUNCTION("""COMPUTED_VALUE"""),0.1124999999992724)</f>
        <v>0.1125</v>
      </c>
    </row>
    <row r="1086">
      <c r="A1086" t="str">
        <f>IFERROR(__xludf.DUMMYFUNCTION("""COMPUTED_VALUE"""),"Greece")</f>
        <v>Greece</v>
      </c>
      <c r="B1086" t="str">
        <f>IFERROR(__xludf.DUMMYFUNCTION("""COMPUTED_VALUE"""),"Europe")</f>
        <v>Europe</v>
      </c>
      <c r="C1086">
        <f>IFERROR(__xludf.DUMMYFUNCTION("""COMPUTED_VALUE"""),35.0)</f>
        <v>35</v>
      </c>
      <c r="D1086" t="str">
        <f>IFERROR(__xludf.DUMMYFUNCTION("""COMPUTED_VALUE"""),"Presidente")</f>
        <v>Presidente</v>
      </c>
      <c r="E1086" t="str">
        <f>IFERROR(__xludf.DUMMYFUNCTION("""COMPUTED_VALUE"""),"Mad Clip")</f>
        <v>Mad Clip</v>
      </c>
      <c r="F1086" t="str">
        <f>IFERROR(__xludf.DUMMYFUNCTION("""COMPUTED_VALUE"""),"Presidente")</f>
        <v>Presidente</v>
      </c>
      <c r="G1086">
        <f>IFERROR(__xludf.DUMMYFUNCTION("""COMPUTED_VALUE"""),1.0)</f>
        <v>1</v>
      </c>
      <c r="H1086" s="5">
        <f>IFERROR(__xludf.DUMMYFUNCTION("""COMPUTED_VALUE"""),0.14513888888905058)</f>
        <v>0.1451388889</v>
      </c>
    </row>
    <row r="1087">
      <c r="A1087" t="str">
        <f>IFERROR(__xludf.DUMMYFUNCTION("""COMPUTED_VALUE"""),"Greece")</f>
        <v>Greece</v>
      </c>
      <c r="B1087" t="str">
        <f>IFERROR(__xludf.DUMMYFUNCTION("""COMPUTED_VALUE"""),"Europe")</f>
        <v>Europe</v>
      </c>
      <c r="C1087">
        <f>IFERROR(__xludf.DUMMYFUNCTION("""COMPUTED_VALUE"""),36.0)</f>
        <v>36</v>
      </c>
      <c r="D1087" t="str">
        <f>IFERROR(__xludf.DUMMYFUNCTION("""COMPUTED_VALUE"""),"Life Is Good (feat. Drake)")</f>
        <v>Life Is Good (feat. Drake)</v>
      </c>
      <c r="E1087" t="str">
        <f>IFERROR(__xludf.DUMMYFUNCTION("""COMPUTED_VALUE"""),"Future, Drake")</f>
        <v>Future, Drake</v>
      </c>
      <c r="F1087" t="str">
        <f>IFERROR(__xludf.DUMMYFUNCTION("""COMPUTED_VALUE"""),"High Off Life")</f>
        <v>High Off Life</v>
      </c>
      <c r="G1087">
        <f>IFERROR(__xludf.DUMMYFUNCTION("""COMPUTED_VALUE"""),1.0)</f>
        <v>1</v>
      </c>
      <c r="H1087" s="5">
        <f>IFERROR(__xludf.DUMMYFUNCTION("""COMPUTED_VALUE"""),0.16458333333503106)</f>
        <v>0.1645833333</v>
      </c>
    </row>
    <row r="1088">
      <c r="A1088" t="str">
        <f>IFERROR(__xludf.DUMMYFUNCTION("""COMPUTED_VALUE"""),"Greece")</f>
        <v>Greece</v>
      </c>
      <c r="B1088" t="str">
        <f>IFERROR(__xludf.DUMMYFUNCTION("""COMPUTED_VALUE"""),"Europe")</f>
        <v>Europe</v>
      </c>
      <c r="C1088">
        <f>IFERROR(__xludf.DUMMYFUNCTION("""COMPUTED_VALUE"""),37.0)</f>
        <v>37</v>
      </c>
      <c r="D1088" t="str">
        <f>IFERROR(__xludf.DUMMYFUNCTION("""COMPUTED_VALUE"""),"goosebumps")</f>
        <v>goosebumps</v>
      </c>
      <c r="E1088" t="str">
        <f>IFERROR(__xludf.DUMMYFUNCTION("""COMPUTED_VALUE"""),"Travis Scott")</f>
        <v>Travis Scott</v>
      </c>
      <c r="F1088" t="str">
        <f>IFERROR(__xludf.DUMMYFUNCTION("""COMPUTED_VALUE"""),"Birds In The Trap Sing McKnight")</f>
        <v>Birds In The Trap Sing McKnight</v>
      </c>
      <c r="G1088">
        <f>IFERROR(__xludf.DUMMYFUNCTION("""COMPUTED_VALUE"""),1.0)</f>
        <v>1</v>
      </c>
      <c r="H1088" s="5">
        <f>IFERROR(__xludf.DUMMYFUNCTION("""COMPUTED_VALUE"""),0.1687500000007276)</f>
        <v>0.16875</v>
      </c>
    </row>
    <row r="1089">
      <c r="A1089" t="str">
        <f>IFERROR(__xludf.DUMMYFUNCTION("""COMPUTED_VALUE"""),"Greece")</f>
        <v>Greece</v>
      </c>
      <c r="B1089" t="str">
        <f>IFERROR(__xludf.DUMMYFUNCTION("""COMPUTED_VALUE"""),"Europe")</f>
        <v>Europe</v>
      </c>
      <c r="C1089">
        <f>IFERROR(__xludf.DUMMYFUNCTION("""COMPUTED_VALUE"""),38.0)</f>
        <v>38</v>
      </c>
      <c r="D1089" t="str">
        <f>IFERROR(__xludf.DUMMYFUNCTION("""COMPUTED_VALUE"""),"Magic")</f>
        <v>Magic</v>
      </c>
      <c r="E1089" t="str">
        <f>IFERROR(__xludf.DUMMYFUNCTION("""COMPUTED_VALUE"""),"Light")</f>
        <v>Light</v>
      </c>
      <c r="F1089" t="str">
        <f>IFERROR(__xludf.DUMMYFUNCTION("""COMPUTED_VALUE"""),"Magic")</f>
        <v>Magic</v>
      </c>
      <c r="G1089">
        <f>IFERROR(__xludf.DUMMYFUNCTION("""COMPUTED_VALUE"""),1.0)</f>
        <v>1</v>
      </c>
      <c r="H1089" s="5">
        <f>IFERROR(__xludf.DUMMYFUNCTION("""COMPUTED_VALUE"""),0.12361111111022183)</f>
        <v>0.1236111111</v>
      </c>
    </row>
    <row r="1090">
      <c r="A1090" t="str">
        <f>IFERROR(__xludf.DUMMYFUNCTION("""COMPUTED_VALUE"""),"Greece")</f>
        <v>Greece</v>
      </c>
      <c r="B1090" t="str">
        <f>IFERROR(__xludf.DUMMYFUNCTION("""COMPUTED_VALUE"""),"Europe")</f>
        <v>Europe</v>
      </c>
      <c r="C1090">
        <f>IFERROR(__xludf.DUMMYFUNCTION("""COMPUTED_VALUE"""),39.0)</f>
        <v>39</v>
      </c>
      <c r="D1090" t="str">
        <f>IFERROR(__xludf.DUMMYFUNCTION("""COMPUTED_VALUE"""),"Caliente")</f>
        <v>Caliente</v>
      </c>
      <c r="E1090" t="str">
        <f>IFERROR(__xludf.DUMMYFUNCTION("""COMPUTED_VALUE"""),"Mente Fuerte, Hawk, Baghdad")</f>
        <v>Mente Fuerte, Hawk, Baghdad</v>
      </c>
      <c r="F1090" t="str">
        <f>IFERROR(__xludf.DUMMYFUNCTION("""COMPUTED_VALUE"""),"Caliente")</f>
        <v>Caliente</v>
      </c>
      <c r="G1090">
        <f>IFERROR(__xludf.DUMMYFUNCTION("""COMPUTED_VALUE"""),1.0)</f>
        <v>1</v>
      </c>
      <c r="H1090" s="5">
        <f>IFERROR(__xludf.DUMMYFUNCTION("""COMPUTED_VALUE"""),0.15416666666715173)</f>
        <v>0.1541666667</v>
      </c>
    </row>
    <row r="1091">
      <c r="A1091" t="str">
        <f>IFERROR(__xludf.DUMMYFUNCTION("""COMPUTED_VALUE"""),"Greece")</f>
        <v>Greece</v>
      </c>
      <c r="B1091" t="str">
        <f>IFERROR(__xludf.DUMMYFUNCTION("""COMPUTED_VALUE"""),"Europe")</f>
        <v>Europe</v>
      </c>
      <c r="C1091">
        <f>IFERROR(__xludf.DUMMYFUNCTION("""COMPUTED_VALUE"""),40.0)</f>
        <v>40</v>
      </c>
      <c r="D1091" t="str">
        <f>IFERROR(__xludf.DUMMYFUNCTION("""COMPUTED_VALUE"""),"WHATS POPPIN")</f>
        <v>WHATS POPPIN</v>
      </c>
      <c r="E1091" t="str">
        <f>IFERROR(__xludf.DUMMYFUNCTION("""COMPUTED_VALUE"""),"Jack Harlow")</f>
        <v>Jack Harlow</v>
      </c>
      <c r="F1091" t="str">
        <f>IFERROR(__xludf.DUMMYFUNCTION("""COMPUTED_VALUE"""),"Sweet Action")</f>
        <v>Sweet Action</v>
      </c>
      <c r="G1091">
        <f>IFERROR(__xludf.DUMMYFUNCTION("""COMPUTED_VALUE"""),1.0)</f>
        <v>1</v>
      </c>
      <c r="H1091" s="5">
        <f>IFERROR(__xludf.DUMMYFUNCTION("""COMPUTED_VALUE"""),0.09652777777955635)</f>
        <v>0.09652777778</v>
      </c>
    </row>
    <row r="1092">
      <c r="A1092" t="str">
        <f>IFERROR(__xludf.DUMMYFUNCTION("""COMPUTED_VALUE"""),"Greece")</f>
        <v>Greece</v>
      </c>
      <c r="B1092" t="str">
        <f>IFERROR(__xludf.DUMMYFUNCTION("""COMPUTED_VALUE"""),"Europe")</f>
        <v>Europe</v>
      </c>
      <c r="C1092">
        <f>IFERROR(__xludf.DUMMYFUNCTION("""COMPUTED_VALUE"""),41.0)</f>
        <v>41</v>
      </c>
      <c r="D1092" t="str">
        <f>IFERROR(__xludf.DUMMYFUNCTION("""COMPUTED_VALUE"""),"GANGSTA")</f>
        <v>GANGSTA</v>
      </c>
      <c r="E1092" t="str">
        <f>IFERROR(__xludf.DUMMYFUNCTION("""COMPUTED_VALUE"""),"Snik, A.M. SNiPER")</f>
        <v>Snik, A.M. SNiPER</v>
      </c>
      <c r="F1092" t="str">
        <f>IFERROR(__xludf.DUMMYFUNCTION("""COMPUTED_VALUE"""),"GANGSTA")</f>
        <v>GANGSTA</v>
      </c>
      <c r="G1092">
        <f>IFERROR(__xludf.DUMMYFUNCTION("""COMPUTED_VALUE"""),1.0)</f>
        <v>1</v>
      </c>
      <c r="H1092" s="5">
        <f>IFERROR(__xludf.DUMMYFUNCTION("""COMPUTED_VALUE"""),0.16111111111240461)</f>
        <v>0.1611111111</v>
      </c>
    </row>
    <row r="1093">
      <c r="A1093" t="str">
        <f>IFERROR(__xludf.DUMMYFUNCTION("""COMPUTED_VALUE"""),"Greece")</f>
        <v>Greece</v>
      </c>
      <c r="B1093" t="str">
        <f>IFERROR(__xludf.DUMMYFUNCTION("""COMPUTED_VALUE"""),"Europe")</f>
        <v>Europe</v>
      </c>
      <c r="C1093">
        <f>IFERROR(__xludf.DUMMYFUNCTION("""COMPUTED_VALUE"""),42.0)</f>
        <v>42</v>
      </c>
      <c r="D1093" t="str">
        <f>IFERROR(__xludf.DUMMYFUNCTION("""COMPUTED_VALUE"""),"Stars")</f>
        <v>Stars</v>
      </c>
      <c r="E1093" t="str">
        <f>IFERROR(__xludf.DUMMYFUNCTION("""COMPUTED_VALUE"""),"TOQUEL, Light")</f>
        <v>TOQUEL, Light</v>
      </c>
      <c r="F1093" t="str">
        <f>IFERROR(__xludf.DUMMYFUNCTION("""COMPUTED_VALUE"""),"777")</f>
        <v>777</v>
      </c>
      <c r="G1093">
        <f>IFERROR(__xludf.DUMMYFUNCTION("""COMPUTED_VALUE"""),1.0)</f>
        <v>1</v>
      </c>
      <c r="H1093" s="5">
        <f>IFERROR(__xludf.DUMMYFUNCTION("""COMPUTED_VALUE"""),0.11597222222189885)</f>
        <v>0.1159722222</v>
      </c>
    </row>
    <row r="1094">
      <c r="A1094" t="str">
        <f>IFERROR(__xludf.DUMMYFUNCTION("""COMPUTED_VALUE"""),"Greece")</f>
        <v>Greece</v>
      </c>
      <c r="B1094" t="str">
        <f>IFERROR(__xludf.DUMMYFUNCTION("""COMPUTED_VALUE"""),"Europe")</f>
        <v>Europe</v>
      </c>
      <c r="C1094">
        <f>IFERROR(__xludf.DUMMYFUNCTION("""COMPUTED_VALUE"""),43.0)</f>
        <v>43</v>
      </c>
      <c r="D1094" t="str">
        <f>IFERROR(__xludf.DUMMYFUNCTION("""COMPUTED_VALUE"""),"Don't Start Now")</f>
        <v>Don't Start Now</v>
      </c>
      <c r="E1094" t="str">
        <f>IFERROR(__xludf.DUMMYFUNCTION("""COMPUTED_VALUE"""),"Dua Lipa")</f>
        <v>Dua Lipa</v>
      </c>
      <c r="F1094" t="str">
        <f>IFERROR(__xludf.DUMMYFUNCTION("""COMPUTED_VALUE"""),"Future Nostalgia")</f>
        <v>Future Nostalgia</v>
      </c>
      <c r="G1094">
        <f>IFERROR(__xludf.DUMMYFUNCTION("""COMPUTED_VALUE"""),0.0)</f>
        <v>0</v>
      </c>
      <c r="H1094" s="5">
        <f>IFERROR(__xludf.DUMMYFUNCTION("""COMPUTED_VALUE"""),0.12708333333284827)</f>
        <v>0.1270833333</v>
      </c>
    </row>
    <row r="1095">
      <c r="A1095" t="str">
        <f>IFERROR(__xludf.DUMMYFUNCTION("""COMPUTED_VALUE"""),"Greece")</f>
        <v>Greece</v>
      </c>
      <c r="B1095" t="str">
        <f>IFERROR(__xludf.DUMMYFUNCTION("""COMPUTED_VALUE"""),"Europe")</f>
        <v>Europe</v>
      </c>
      <c r="C1095">
        <f>IFERROR(__xludf.DUMMYFUNCTION("""COMPUTED_VALUE"""),44.0)</f>
        <v>44</v>
      </c>
      <c r="D1095" t="str">
        <f>IFERROR(__xludf.DUMMYFUNCTION("""COMPUTED_VALUE"""),"Falling")</f>
        <v>Falling</v>
      </c>
      <c r="E1095" t="str">
        <f>IFERROR(__xludf.DUMMYFUNCTION("""COMPUTED_VALUE"""),"Trevor Daniel")</f>
        <v>Trevor Daniel</v>
      </c>
      <c r="F1095" t="str">
        <f>IFERROR(__xludf.DUMMYFUNCTION("""COMPUTED_VALUE"""),"Nicotine")</f>
        <v>Nicotine</v>
      </c>
      <c r="G1095">
        <f>IFERROR(__xludf.DUMMYFUNCTION("""COMPUTED_VALUE"""),0.0)</f>
        <v>0</v>
      </c>
      <c r="H1095" s="5">
        <f>IFERROR(__xludf.DUMMYFUNCTION("""COMPUTED_VALUE"""),0.11041666666642413)</f>
        <v>0.1104166667</v>
      </c>
    </row>
    <row r="1096">
      <c r="A1096" t="str">
        <f>IFERROR(__xludf.DUMMYFUNCTION("""COMPUTED_VALUE"""),"Greece")</f>
        <v>Greece</v>
      </c>
      <c r="B1096" t="str">
        <f>IFERROR(__xludf.DUMMYFUNCTION("""COMPUTED_VALUE"""),"Europe")</f>
        <v>Europe</v>
      </c>
      <c r="C1096">
        <f>IFERROR(__xludf.DUMMYFUNCTION("""COMPUTED_VALUE"""),45.0)</f>
        <v>45</v>
      </c>
      <c r="D1096" t="str">
        <f>IFERROR(__xludf.DUMMYFUNCTION("""COMPUTED_VALUE"""),"In Your Eyes")</f>
        <v>In Your Eyes</v>
      </c>
      <c r="E1096" t="str">
        <f>IFERROR(__xludf.DUMMYFUNCTION("""COMPUTED_VALUE"""),"The Weeknd")</f>
        <v>The Weeknd</v>
      </c>
      <c r="F1096" t="str">
        <f>IFERROR(__xludf.DUMMYFUNCTION("""COMPUTED_VALUE"""),"After Hours")</f>
        <v>After Hours</v>
      </c>
      <c r="G1096">
        <f>IFERROR(__xludf.DUMMYFUNCTION("""COMPUTED_VALUE"""),1.0)</f>
        <v>1</v>
      </c>
      <c r="H1096" s="5">
        <f>IFERROR(__xludf.DUMMYFUNCTION("""COMPUTED_VALUE"""),0.16458333333503106)</f>
        <v>0.1645833333</v>
      </c>
    </row>
    <row r="1097">
      <c r="A1097" t="str">
        <f>IFERROR(__xludf.DUMMYFUNCTION("""COMPUTED_VALUE"""),"Greece")</f>
        <v>Greece</v>
      </c>
      <c r="B1097" t="str">
        <f>IFERROR(__xludf.DUMMYFUNCTION("""COMPUTED_VALUE"""),"Europe")</f>
        <v>Europe</v>
      </c>
      <c r="C1097">
        <f>IFERROR(__xludf.DUMMYFUNCTION("""COMPUTED_VALUE"""),46.0)</f>
        <v>46</v>
      </c>
      <c r="D1097" t="str">
        <f>IFERROR(__xludf.DUMMYFUNCTION("""COMPUTED_VALUE"""),"Cyan")</f>
        <v>Cyan</v>
      </c>
      <c r="E1097" t="str">
        <f>IFERROR(__xludf.DUMMYFUNCTION("""COMPUTED_VALUE"""),"Saske")</f>
        <v>Saske</v>
      </c>
      <c r="F1097" t="str">
        <f>IFERROR(__xludf.DUMMYFUNCTION("""COMPUTED_VALUE"""),"Saskepticism Vol. 1")</f>
        <v>Saskepticism Vol. 1</v>
      </c>
      <c r="G1097">
        <f>IFERROR(__xludf.DUMMYFUNCTION("""COMPUTED_VALUE"""),1.0)</f>
        <v>1</v>
      </c>
      <c r="H1097" s="5">
        <f>IFERROR(__xludf.DUMMYFUNCTION("""COMPUTED_VALUE"""),0.10763888889050577)</f>
        <v>0.1076388889</v>
      </c>
    </row>
    <row r="1098">
      <c r="A1098" t="str">
        <f>IFERROR(__xludf.DUMMYFUNCTION("""COMPUTED_VALUE"""),"Greece")</f>
        <v>Greece</v>
      </c>
      <c r="B1098" t="str">
        <f>IFERROR(__xludf.DUMMYFUNCTION("""COMPUTED_VALUE"""),"Europe")</f>
        <v>Europe</v>
      </c>
      <c r="C1098">
        <f>IFERROR(__xludf.DUMMYFUNCTION("""COMPUTED_VALUE"""),47.0)</f>
        <v>47</v>
      </c>
      <c r="D1098" t="str">
        <f>IFERROR(__xludf.DUMMYFUNCTION("""COMPUTED_VALUE"""),"Break My Heart")</f>
        <v>Break My Heart</v>
      </c>
      <c r="E1098" t="str">
        <f>IFERROR(__xludf.DUMMYFUNCTION("""COMPUTED_VALUE"""),"Dua Lipa")</f>
        <v>Dua Lipa</v>
      </c>
      <c r="F1098" t="str">
        <f>IFERROR(__xludf.DUMMYFUNCTION("""COMPUTED_VALUE"""),"Future Nostalgia")</f>
        <v>Future Nostalgia</v>
      </c>
      <c r="G1098">
        <f>IFERROR(__xludf.DUMMYFUNCTION("""COMPUTED_VALUE"""),0.0)</f>
        <v>0</v>
      </c>
      <c r="H1098" s="5">
        <f>IFERROR(__xludf.DUMMYFUNCTION("""COMPUTED_VALUE"""),0.15347222222044365)</f>
        <v>0.1534722222</v>
      </c>
    </row>
    <row r="1099">
      <c r="A1099" t="str">
        <f>IFERROR(__xludf.DUMMYFUNCTION("""COMPUTED_VALUE"""),"Greece")</f>
        <v>Greece</v>
      </c>
      <c r="B1099" t="str">
        <f>IFERROR(__xludf.DUMMYFUNCTION("""COMPUTED_VALUE"""),"Europe")</f>
        <v>Europe</v>
      </c>
      <c r="C1099">
        <f>IFERROR(__xludf.DUMMYFUNCTION("""COMPUTED_VALUE"""),48.0)</f>
        <v>48</v>
      </c>
      <c r="D1099" t="str">
        <f>IFERROR(__xludf.DUMMYFUNCTION("""COMPUTED_VALUE"""),"Stuck with U (with Justin Bieber)")</f>
        <v>Stuck with U (with Justin Bieber)</v>
      </c>
      <c r="E1099" t="str">
        <f>IFERROR(__xludf.DUMMYFUNCTION("""COMPUTED_VALUE"""),"Ariana Grande, Justin Bieber")</f>
        <v>Ariana Grande, Justin Bieber</v>
      </c>
      <c r="F1099" t="str">
        <f>IFERROR(__xludf.DUMMYFUNCTION("""COMPUTED_VALUE"""),"Stuck with U")</f>
        <v>Stuck with U</v>
      </c>
      <c r="G1099">
        <f>IFERROR(__xludf.DUMMYFUNCTION("""COMPUTED_VALUE"""),0.0)</f>
        <v>0</v>
      </c>
      <c r="H1099" s="5">
        <f>IFERROR(__xludf.DUMMYFUNCTION("""COMPUTED_VALUE"""),0.15833333333284827)</f>
        <v>0.1583333333</v>
      </c>
    </row>
    <row r="1100">
      <c r="A1100" t="str">
        <f>IFERROR(__xludf.DUMMYFUNCTION("""COMPUTED_VALUE"""),"Greece")</f>
        <v>Greece</v>
      </c>
      <c r="B1100" t="str">
        <f>IFERROR(__xludf.DUMMYFUNCTION("""COMPUTED_VALUE"""),"Europe")</f>
        <v>Europe</v>
      </c>
      <c r="C1100">
        <f>IFERROR(__xludf.DUMMYFUNCTION("""COMPUTED_VALUE"""),49.0)</f>
        <v>49</v>
      </c>
      <c r="D1100" t="str">
        <f>IFERROR(__xludf.DUMMYFUNCTION("""COMPUTED_VALUE"""),"Monos Mou")</f>
        <v>Monos Mou</v>
      </c>
      <c r="E1100" t="str">
        <f>IFERROR(__xludf.DUMMYFUNCTION("""COMPUTED_VALUE"""),"Snik")</f>
        <v>Snik</v>
      </c>
      <c r="F1100" t="str">
        <f>IFERROR(__xludf.DUMMYFUNCTION("""COMPUTED_VALUE"""),"Monos Mou")</f>
        <v>Monos Mou</v>
      </c>
      <c r="G1100">
        <f>IFERROR(__xludf.DUMMYFUNCTION("""COMPUTED_VALUE"""),1.0)</f>
        <v>1</v>
      </c>
      <c r="H1100" s="5">
        <f>IFERROR(__xludf.DUMMYFUNCTION("""COMPUTED_VALUE"""),0.16666666666787933)</f>
        <v>0.1666666667</v>
      </c>
    </row>
    <row r="1101">
      <c r="A1101" t="str">
        <f>IFERROR(__xludf.DUMMYFUNCTION("""COMPUTED_VALUE"""),"Greece")</f>
        <v>Greece</v>
      </c>
      <c r="B1101" t="str">
        <f>IFERROR(__xludf.DUMMYFUNCTION("""COMPUTED_VALUE"""),"Europe")</f>
        <v>Europe</v>
      </c>
      <c r="C1101">
        <f>IFERROR(__xludf.DUMMYFUNCTION("""COMPUTED_VALUE"""),50.0)</f>
        <v>50</v>
      </c>
      <c r="D1101" t="str">
        <f>IFERROR(__xludf.DUMMYFUNCTION("""COMPUTED_VALUE"""),"Party Girl")</f>
        <v>Party Girl</v>
      </c>
      <c r="E1101" t="str">
        <f>IFERROR(__xludf.DUMMYFUNCTION("""COMPUTED_VALUE"""),"StaySolidRocky")</f>
        <v>StaySolidRocky</v>
      </c>
      <c r="F1101" t="str">
        <f>IFERROR(__xludf.DUMMYFUNCTION("""COMPUTED_VALUE"""),"Party Girl")</f>
        <v>Party Girl</v>
      </c>
      <c r="G1101">
        <f>IFERROR(__xludf.DUMMYFUNCTION("""COMPUTED_VALUE"""),0.0)</f>
        <v>0</v>
      </c>
      <c r="H1101" s="5">
        <f>IFERROR(__xludf.DUMMYFUNCTION("""COMPUTED_VALUE"""),0.10208333333503106)</f>
        <v>0.1020833333</v>
      </c>
    </row>
    <row r="1102">
      <c r="A1102" t="str">
        <f>IFERROR(__xludf.DUMMYFUNCTION("""COMPUTED_VALUE"""),"Guatemala")</f>
        <v>Guatemala</v>
      </c>
      <c r="B1102" t="str">
        <f>IFERROR(__xludf.DUMMYFUNCTION("""COMPUTED_VALUE"""),"North America")</f>
        <v>North America</v>
      </c>
      <c r="C1102">
        <f>IFERROR(__xludf.DUMMYFUNCTION("""COMPUTED_VALUE"""),1.0)</f>
        <v>1</v>
      </c>
      <c r="D1102" t="str">
        <f>IFERROR(__xludf.DUMMYFUNCTION("""COMPUTED_VALUE"""),"Rojo")</f>
        <v>Rojo</v>
      </c>
      <c r="E1102" t="str">
        <f>IFERROR(__xludf.DUMMYFUNCTION("""COMPUTED_VALUE"""),"J Balvin")</f>
        <v>J Balvin</v>
      </c>
      <c r="F1102" t="str">
        <f>IFERROR(__xludf.DUMMYFUNCTION("""COMPUTED_VALUE"""),"Colores")</f>
        <v>Colores</v>
      </c>
      <c r="G1102">
        <f>IFERROR(__xludf.DUMMYFUNCTION("""COMPUTED_VALUE"""),0.0)</f>
        <v>0</v>
      </c>
      <c r="H1102" s="5">
        <f>IFERROR(__xludf.DUMMYFUNCTION("""COMPUTED_VALUE"""),0.10416666666787933)</f>
        <v>0.1041666667</v>
      </c>
    </row>
    <row r="1103">
      <c r="A1103" t="str">
        <f>IFERROR(__xludf.DUMMYFUNCTION("""COMPUTED_VALUE"""),"Guatemala")</f>
        <v>Guatemala</v>
      </c>
      <c r="B1103" t="str">
        <f>IFERROR(__xludf.DUMMYFUNCTION("""COMPUTED_VALUE"""),"North America")</f>
        <v>North America</v>
      </c>
      <c r="C1103">
        <f>IFERROR(__xludf.DUMMYFUNCTION("""COMPUTED_VALUE"""),2.0)</f>
        <v>2</v>
      </c>
      <c r="D1103" t="str">
        <f>IFERROR(__xludf.DUMMYFUNCTION("""COMPUTED_VALUE"""),"Yo Perreo Sola")</f>
        <v>Yo Perreo Sola</v>
      </c>
      <c r="E1103" t="str">
        <f>IFERROR(__xludf.DUMMYFUNCTION("""COMPUTED_VALUE"""),"Bad Bunny")</f>
        <v>Bad Bunny</v>
      </c>
      <c r="F1103" t="str">
        <f>IFERROR(__xludf.DUMMYFUNCTION("""COMPUTED_VALUE"""),"YHLQMDLG")</f>
        <v>YHLQMDLG</v>
      </c>
      <c r="G1103">
        <f>IFERROR(__xludf.DUMMYFUNCTION("""COMPUTED_VALUE"""),0.0)</f>
        <v>0</v>
      </c>
      <c r="H1103" s="5">
        <f>IFERROR(__xludf.DUMMYFUNCTION("""COMPUTED_VALUE"""),0.11944444444452529)</f>
        <v>0.1194444444</v>
      </c>
    </row>
    <row r="1104">
      <c r="A1104" t="str">
        <f>IFERROR(__xludf.DUMMYFUNCTION("""COMPUTED_VALUE"""),"Guatemala")</f>
        <v>Guatemala</v>
      </c>
      <c r="B1104" t="str">
        <f>IFERROR(__xludf.DUMMYFUNCTION("""COMPUTED_VALUE"""),"North America")</f>
        <v>North America</v>
      </c>
      <c r="C1104">
        <f>IFERROR(__xludf.DUMMYFUNCTION("""COMPUTED_VALUE"""),3.0)</f>
        <v>3</v>
      </c>
      <c r="D1104" t="str">
        <f>IFERROR(__xludf.DUMMYFUNCTION("""COMPUTED_VALUE"""),"Safaera")</f>
        <v>Safaera</v>
      </c>
      <c r="E1104" t="str">
        <f>IFERROR(__xludf.DUMMYFUNCTION("""COMPUTED_VALUE"""),"Bad Bunny, Jowell &amp; Randy, Nengo Flow")</f>
        <v>Bad Bunny, Jowell &amp; Randy, Nengo Flow</v>
      </c>
      <c r="F1104" t="str">
        <f>IFERROR(__xludf.DUMMYFUNCTION("""COMPUTED_VALUE"""),"YHLQMDLG")</f>
        <v>YHLQMDLG</v>
      </c>
      <c r="G1104">
        <f>IFERROR(__xludf.DUMMYFUNCTION("""COMPUTED_VALUE"""),1.0)</f>
        <v>1</v>
      </c>
      <c r="H1104" s="5">
        <f>IFERROR(__xludf.DUMMYFUNCTION("""COMPUTED_VALUE"""),0.20486111110949423)</f>
        <v>0.2048611111</v>
      </c>
    </row>
    <row r="1105">
      <c r="A1105" t="str">
        <f>IFERROR(__xludf.DUMMYFUNCTION("""COMPUTED_VALUE"""),"Guatemala")</f>
        <v>Guatemala</v>
      </c>
      <c r="B1105" t="str">
        <f>IFERROR(__xludf.DUMMYFUNCTION("""COMPUTED_VALUE"""),"North America")</f>
        <v>North America</v>
      </c>
      <c r="C1105">
        <f>IFERROR(__xludf.DUMMYFUNCTION("""COMPUTED_VALUE"""),4.0)</f>
        <v>4</v>
      </c>
      <c r="D1105" t="str">
        <f>IFERROR(__xludf.DUMMYFUNCTION("""COMPUTED_VALUE"""),"Favorito")</f>
        <v>Favorito</v>
      </c>
      <c r="E1105" t="str">
        <f>IFERROR(__xludf.DUMMYFUNCTION("""COMPUTED_VALUE"""),"Camilo")</f>
        <v>Camilo</v>
      </c>
      <c r="F1105" t="str">
        <f>IFERROR(__xludf.DUMMYFUNCTION("""COMPUTED_VALUE"""),"Por Primera Vez")</f>
        <v>Por Primera Vez</v>
      </c>
      <c r="G1105">
        <f>IFERROR(__xludf.DUMMYFUNCTION("""COMPUTED_VALUE"""),0.0)</f>
        <v>0</v>
      </c>
      <c r="H1105" s="5">
        <f>IFERROR(__xludf.DUMMYFUNCTION("""COMPUTED_VALUE"""),0.14513888888905058)</f>
        <v>0.1451388889</v>
      </c>
    </row>
    <row r="1106">
      <c r="A1106" t="str">
        <f>IFERROR(__xludf.DUMMYFUNCTION("""COMPUTED_VALUE"""),"Guatemala")</f>
        <v>Guatemala</v>
      </c>
      <c r="B1106" t="str">
        <f>IFERROR(__xludf.DUMMYFUNCTION("""COMPUTED_VALUE"""),"North America")</f>
        <v>North America</v>
      </c>
      <c r="C1106">
        <f>IFERROR(__xludf.DUMMYFUNCTION("""COMPUTED_VALUE"""),5.0)</f>
        <v>5</v>
      </c>
      <c r="D1106" t="str">
        <f>IFERROR(__xludf.DUMMYFUNCTION("""COMPUTED_VALUE"""),"Tattoo")</f>
        <v>Tattoo</v>
      </c>
      <c r="E1106" t="str">
        <f>IFERROR(__xludf.DUMMYFUNCTION("""COMPUTED_VALUE"""),"Rauw Alejandro")</f>
        <v>Rauw Alejandro</v>
      </c>
      <c r="F1106" t="str">
        <f>IFERROR(__xludf.DUMMYFUNCTION("""COMPUTED_VALUE"""),"Tattoo")</f>
        <v>Tattoo</v>
      </c>
      <c r="G1106">
        <f>IFERROR(__xludf.DUMMYFUNCTION("""COMPUTED_VALUE"""),0.0)</f>
        <v>0</v>
      </c>
      <c r="H1106" s="5">
        <f>IFERROR(__xludf.DUMMYFUNCTION("""COMPUTED_VALUE"""),0.14027777777664596)</f>
        <v>0.1402777778</v>
      </c>
    </row>
    <row r="1107">
      <c r="A1107" t="str">
        <f>IFERROR(__xludf.DUMMYFUNCTION("""COMPUTED_VALUE"""),"Guatemala")</f>
        <v>Guatemala</v>
      </c>
      <c r="B1107" t="str">
        <f>IFERROR(__xludf.DUMMYFUNCTION("""COMPUTED_VALUE"""),"North America")</f>
        <v>North America</v>
      </c>
      <c r="C1107">
        <f>IFERROR(__xludf.DUMMYFUNCTION("""COMPUTED_VALUE"""),6.0)</f>
        <v>6</v>
      </c>
      <c r="D1107" t="str">
        <f>IFERROR(__xludf.DUMMYFUNCTION("""COMPUTED_VALUE"""),"Ignorantes")</f>
        <v>Ignorantes</v>
      </c>
      <c r="E1107" t="str">
        <f>IFERROR(__xludf.DUMMYFUNCTION("""COMPUTED_VALUE"""),"Bad Bunny, Sech")</f>
        <v>Bad Bunny, Sech</v>
      </c>
      <c r="F1107" t="str">
        <f>IFERROR(__xludf.DUMMYFUNCTION("""COMPUTED_VALUE"""),"YHLQMDLG")</f>
        <v>YHLQMDLG</v>
      </c>
      <c r="G1107">
        <f>IFERROR(__xludf.DUMMYFUNCTION("""COMPUTED_VALUE"""),1.0)</f>
        <v>1</v>
      </c>
      <c r="H1107" s="5">
        <f>IFERROR(__xludf.DUMMYFUNCTION("""COMPUTED_VALUE"""),0.14583333333212067)</f>
        <v>0.1458333333</v>
      </c>
    </row>
    <row r="1108">
      <c r="A1108" t="str">
        <f>IFERROR(__xludf.DUMMYFUNCTION("""COMPUTED_VALUE"""),"Guatemala")</f>
        <v>Guatemala</v>
      </c>
      <c r="B1108" t="str">
        <f>IFERROR(__xludf.DUMMYFUNCTION("""COMPUTED_VALUE"""),"North America")</f>
        <v>North America</v>
      </c>
      <c r="C1108">
        <f>IFERROR(__xludf.DUMMYFUNCTION("""COMPUTED_VALUE"""),7.0)</f>
        <v>7</v>
      </c>
      <c r="D1108" t="str">
        <f>IFERROR(__xludf.DUMMYFUNCTION("""COMPUTED_VALUE"""),"Blinding Lights")</f>
        <v>Blinding Lights</v>
      </c>
      <c r="E1108" t="str">
        <f>IFERROR(__xludf.DUMMYFUNCTION("""COMPUTED_VALUE"""),"The Weeknd")</f>
        <v>The Weeknd</v>
      </c>
      <c r="F1108" t="str">
        <f>IFERROR(__xludf.DUMMYFUNCTION("""COMPUTED_VALUE"""),"After Hours")</f>
        <v>After Hours</v>
      </c>
      <c r="G1108">
        <f>IFERROR(__xludf.DUMMYFUNCTION("""COMPUTED_VALUE"""),0.0)</f>
        <v>0</v>
      </c>
      <c r="H1108" s="5">
        <f>IFERROR(__xludf.DUMMYFUNCTION("""COMPUTED_VALUE"""),0.13888888889050577)</f>
        <v>0.1388888889</v>
      </c>
    </row>
    <row r="1109">
      <c r="A1109" t="str">
        <f>IFERROR(__xludf.DUMMYFUNCTION("""COMPUTED_VALUE"""),"Guatemala")</f>
        <v>Guatemala</v>
      </c>
      <c r="B1109" t="str">
        <f>IFERROR(__xludf.DUMMYFUNCTION("""COMPUTED_VALUE"""),"North America")</f>
        <v>North America</v>
      </c>
      <c r="C1109">
        <f>IFERROR(__xludf.DUMMYFUNCTION("""COMPUTED_VALUE"""),8.0)</f>
        <v>8</v>
      </c>
      <c r="D1109" t="str">
        <f>IFERROR(__xludf.DUMMYFUNCTION("""COMPUTED_VALUE"""),"Si Veo a Tu Mamá")</f>
        <v>Si Veo a Tu Mamá</v>
      </c>
      <c r="E1109" t="str">
        <f>IFERROR(__xludf.DUMMYFUNCTION("""COMPUTED_VALUE"""),"Bad Bunny")</f>
        <v>Bad Bunny</v>
      </c>
      <c r="F1109" t="str">
        <f>IFERROR(__xludf.DUMMYFUNCTION("""COMPUTED_VALUE"""),"YHLQMDLG")</f>
        <v>YHLQMDLG</v>
      </c>
      <c r="G1109">
        <f>IFERROR(__xludf.DUMMYFUNCTION("""COMPUTED_VALUE"""),0.0)</f>
        <v>0</v>
      </c>
      <c r="H1109" s="5">
        <f>IFERROR(__xludf.DUMMYFUNCTION("""COMPUTED_VALUE"""),0.11805555555474712)</f>
        <v>0.1180555556</v>
      </c>
    </row>
    <row r="1110">
      <c r="A1110" t="str">
        <f>IFERROR(__xludf.DUMMYFUNCTION("""COMPUTED_VALUE"""),"Guatemala")</f>
        <v>Guatemala</v>
      </c>
      <c r="B1110" t="str">
        <f>IFERROR(__xludf.DUMMYFUNCTION("""COMPUTED_VALUE"""),"North America")</f>
        <v>North America</v>
      </c>
      <c r="C1110">
        <f>IFERROR(__xludf.DUMMYFUNCTION("""COMPUTED_VALUE"""),9.0)</f>
        <v>9</v>
      </c>
      <c r="D1110" t="str">
        <f>IFERROR(__xludf.DUMMYFUNCTION("""COMPUTED_VALUE"""),"Fantasias")</f>
        <v>Fantasias</v>
      </c>
      <c r="E1110" t="str">
        <f>IFERROR(__xludf.DUMMYFUNCTION("""COMPUTED_VALUE"""),"Rauw Alejandro, Farruko")</f>
        <v>Rauw Alejandro, Farruko</v>
      </c>
      <c r="F1110" t="str">
        <f>IFERROR(__xludf.DUMMYFUNCTION("""COMPUTED_VALUE"""),"Fantasias")</f>
        <v>Fantasias</v>
      </c>
      <c r="G1110">
        <f>IFERROR(__xludf.DUMMYFUNCTION("""COMPUTED_VALUE"""),0.0)</f>
        <v>0</v>
      </c>
      <c r="H1110" s="5">
        <f>IFERROR(__xludf.DUMMYFUNCTION("""COMPUTED_VALUE"""),0.1381944444437977)</f>
        <v>0.1381944444</v>
      </c>
    </row>
    <row r="1111">
      <c r="A1111" t="str">
        <f>IFERROR(__xludf.DUMMYFUNCTION("""COMPUTED_VALUE"""),"Guatemala")</f>
        <v>Guatemala</v>
      </c>
      <c r="B1111" t="str">
        <f>IFERROR(__xludf.DUMMYFUNCTION("""COMPUTED_VALUE"""),"North America")</f>
        <v>North America</v>
      </c>
      <c r="C1111">
        <f>IFERROR(__xludf.DUMMYFUNCTION("""COMPUTED_VALUE"""),10.0)</f>
        <v>10</v>
      </c>
      <c r="D1111" t="str">
        <f>IFERROR(__xludf.DUMMYFUNCTION("""COMPUTED_VALUE"""),"Sigues Con El")</f>
        <v>Sigues Con El</v>
      </c>
      <c r="E1111" t="str">
        <f>IFERROR(__xludf.DUMMYFUNCTION("""COMPUTED_VALUE"""),"Dímelo Flow, Arcangel, Sech")</f>
        <v>Dímelo Flow, Arcangel, Sech</v>
      </c>
      <c r="F1111" t="str">
        <f>IFERROR(__xludf.DUMMYFUNCTION("""COMPUTED_VALUE"""),"Sigues Con El")</f>
        <v>Sigues Con El</v>
      </c>
      <c r="G1111">
        <f>IFERROR(__xludf.DUMMYFUNCTION("""COMPUTED_VALUE"""),0.0)</f>
        <v>0</v>
      </c>
      <c r="H1111" s="5">
        <f>IFERROR(__xludf.DUMMYFUNCTION("""COMPUTED_VALUE"""),0.1569444444430701)</f>
        <v>0.1569444444</v>
      </c>
    </row>
    <row r="1112">
      <c r="A1112" t="str">
        <f>IFERROR(__xludf.DUMMYFUNCTION("""COMPUTED_VALUE"""),"Guatemala")</f>
        <v>Guatemala</v>
      </c>
      <c r="B1112" t="str">
        <f>IFERROR(__xludf.DUMMYFUNCTION("""COMPUTED_VALUE"""),"North America")</f>
        <v>North America</v>
      </c>
      <c r="C1112">
        <f>IFERROR(__xludf.DUMMYFUNCTION("""COMPUTED_VALUE"""),11.0)</f>
        <v>11</v>
      </c>
      <c r="D1112" t="str">
        <f>IFERROR(__xludf.DUMMYFUNCTION("""COMPUTED_VALUE"""),"Elegí (feat. Dímelo Flow)")</f>
        <v>Elegí (feat. Dímelo Flow)</v>
      </c>
      <c r="E1112" t="str">
        <f>IFERROR(__xludf.DUMMYFUNCTION("""COMPUTED_VALUE"""),"Rauw Alejandro, Dalex, Lenny Tavárez, Dímelo Flow")</f>
        <v>Rauw Alejandro, Dalex, Lenny Tavárez, Dímelo Flow</v>
      </c>
      <c r="F1112" t="str">
        <f>IFERROR(__xludf.DUMMYFUNCTION("""COMPUTED_VALUE"""),"Elegí (feat. Dímelo Flow)")</f>
        <v>Elegí (feat. Dímelo Flow)</v>
      </c>
      <c r="G1112">
        <f>IFERROR(__xludf.DUMMYFUNCTION("""COMPUTED_VALUE"""),0.0)</f>
        <v>0</v>
      </c>
      <c r="H1112" s="5">
        <f>IFERROR(__xludf.DUMMYFUNCTION("""COMPUTED_VALUE"""),0.13680555555401952)</f>
        <v>0.1368055556</v>
      </c>
    </row>
    <row r="1113">
      <c r="A1113" t="str">
        <f>IFERROR(__xludf.DUMMYFUNCTION("""COMPUTED_VALUE"""),"Guatemala")</f>
        <v>Guatemala</v>
      </c>
      <c r="B1113" t="str">
        <f>IFERROR(__xludf.DUMMYFUNCTION("""COMPUTED_VALUE"""),"North America")</f>
        <v>North America</v>
      </c>
      <c r="C1113">
        <f>IFERROR(__xludf.DUMMYFUNCTION("""COMPUTED_VALUE"""),12.0)</f>
        <v>12</v>
      </c>
      <c r="D1113" t="str">
        <f>IFERROR(__xludf.DUMMYFUNCTION("""COMPUTED_VALUE"""),"Hola - Remix")</f>
        <v>Hola - Remix</v>
      </c>
      <c r="E1113" t="str">
        <f>IFERROR(__xludf.DUMMYFUNCTION("""COMPUTED_VALUE"""),"Dalex, Lenny Tavárez, Chencho Corleone, Juhn, Dímelo Flow")</f>
        <v>Dalex, Lenny Tavárez, Chencho Corleone, Juhn, Dímelo Flow</v>
      </c>
      <c r="F1113" t="str">
        <f>IFERROR(__xludf.DUMMYFUNCTION("""COMPUTED_VALUE"""),"Hola (Remix)")</f>
        <v>Hola (Remix)</v>
      </c>
      <c r="G1113">
        <f>IFERROR(__xludf.DUMMYFUNCTION("""COMPUTED_VALUE"""),0.0)</f>
        <v>0</v>
      </c>
      <c r="H1113" s="5">
        <f>IFERROR(__xludf.DUMMYFUNCTION("""COMPUTED_VALUE"""),0.17291666666642413)</f>
        <v>0.1729166667</v>
      </c>
    </row>
    <row r="1114">
      <c r="A1114" t="str">
        <f>IFERROR(__xludf.DUMMYFUNCTION("""COMPUTED_VALUE"""),"Guatemala")</f>
        <v>Guatemala</v>
      </c>
      <c r="B1114" t="str">
        <f>IFERROR(__xludf.DUMMYFUNCTION("""COMPUTED_VALUE"""),"North America")</f>
        <v>North America</v>
      </c>
      <c r="C1114">
        <f>IFERROR(__xludf.DUMMYFUNCTION("""COMPUTED_VALUE"""),13.0)</f>
        <v>13</v>
      </c>
      <c r="D1114" t="str">
        <f>IFERROR(__xludf.DUMMYFUNCTION("""COMPUTED_VALUE"""),"Tusa")</f>
        <v>Tusa</v>
      </c>
      <c r="E1114" t="str">
        <f>IFERROR(__xludf.DUMMYFUNCTION("""COMPUTED_VALUE"""),"KAROL G, Nicki Minaj")</f>
        <v>KAROL G, Nicki Minaj</v>
      </c>
      <c r="F1114" t="str">
        <f>IFERROR(__xludf.DUMMYFUNCTION("""COMPUTED_VALUE"""),"Tusa")</f>
        <v>Tusa</v>
      </c>
      <c r="G1114">
        <f>IFERROR(__xludf.DUMMYFUNCTION("""COMPUTED_VALUE"""),0.0)</f>
        <v>0</v>
      </c>
      <c r="H1114" s="5">
        <f>IFERROR(__xludf.DUMMYFUNCTION("""COMPUTED_VALUE"""),0.13888888889050577)</f>
        <v>0.1388888889</v>
      </c>
    </row>
    <row r="1115">
      <c r="A1115" t="str">
        <f>IFERROR(__xludf.DUMMYFUNCTION("""COMPUTED_VALUE"""),"Guatemala")</f>
        <v>Guatemala</v>
      </c>
      <c r="B1115" t="str">
        <f>IFERROR(__xludf.DUMMYFUNCTION("""COMPUTED_VALUE"""),"North America")</f>
        <v>North America</v>
      </c>
      <c r="C1115">
        <f>IFERROR(__xludf.DUMMYFUNCTION("""COMPUTED_VALUE"""),14.0)</f>
        <v>14</v>
      </c>
      <c r="D1115" t="str">
        <f>IFERROR(__xludf.DUMMYFUNCTION("""COMPUTED_VALUE"""),"Jangueo")</f>
        <v>Jangueo</v>
      </c>
      <c r="E1115" t="str">
        <f>IFERROR(__xludf.DUMMYFUNCTION("""COMPUTED_VALUE"""),"Alex Rose, Rafa Pabön")</f>
        <v>Alex Rose, Rafa Pabön</v>
      </c>
      <c r="F1115" t="str">
        <f>IFERROR(__xludf.DUMMYFUNCTION("""COMPUTED_VALUE"""),"LOST")</f>
        <v>LOST</v>
      </c>
      <c r="G1115">
        <f>IFERROR(__xludf.DUMMYFUNCTION("""COMPUTED_VALUE"""),0.0)</f>
        <v>0</v>
      </c>
      <c r="H1115" s="5">
        <f>IFERROR(__xludf.DUMMYFUNCTION("""COMPUTED_VALUE"""),0.17986111111167702)</f>
        <v>0.1798611111</v>
      </c>
    </row>
    <row r="1116">
      <c r="A1116" t="str">
        <f>IFERROR(__xludf.DUMMYFUNCTION("""COMPUTED_VALUE"""),"Guatemala")</f>
        <v>Guatemala</v>
      </c>
      <c r="B1116" t="str">
        <f>IFERROR(__xludf.DUMMYFUNCTION("""COMPUTED_VALUE"""),"North America")</f>
        <v>North America</v>
      </c>
      <c r="C1116">
        <f>IFERROR(__xludf.DUMMYFUNCTION("""COMPUTED_VALUE"""),15.0)</f>
        <v>15</v>
      </c>
      <c r="D1116" t="str">
        <f>IFERROR(__xludf.DUMMYFUNCTION("""COMPUTED_VALUE"""),"La Difícil")</f>
        <v>La Difícil</v>
      </c>
      <c r="E1116" t="str">
        <f>IFERROR(__xludf.DUMMYFUNCTION("""COMPUTED_VALUE"""),"Bad Bunny")</f>
        <v>Bad Bunny</v>
      </c>
      <c r="F1116" t="str">
        <f>IFERROR(__xludf.DUMMYFUNCTION("""COMPUTED_VALUE"""),"YHLQMDLG")</f>
        <v>YHLQMDLG</v>
      </c>
      <c r="G1116">
        <f>IFERROR(__xludf.DUMMYFUNCTION("""COMPUTED_VALUE"""),1.0)</f>
        <v>1</v>
      </c>
      <c r="H1116" s="5">
        <f>IFERROR(__xludf.DUMMYFUNCTION("""COMPUTED_VALUE"""),0.11319444444598048)</f>
        <v>0.1131944444</v>
      </c>
    </row>
    <row r="1117">
      <c r="A1117" t="str">
        <f>IFERROR(__xludf.DUMMYFUNCTION("""COMPUTED_VALUE"""),"Guatemala")</f>
        <v>Guatemala</v>
      </c>
      <c r="B1117" t="str">
        <f>IFERROR(__xludf.DUMMYFUNCTION("""COMPUTED_VALUE"""),"North America")</f>
        <v>North America</v>
      </c>
      <c r="C1117">
        <f>IFERROR(__xludf.DUMMYFUNCTION("""COMPUTED_VALUE"""),16.0)</f>
        <v>16</v>
      </c>
      <c r="D1117" t="str">
        <f>IFERROR(__xludf.DUMMYFUNCTION("""COMPUTED_VALUE"""),"Pa' Olvidarme De Ella")</f>
        <v>Pa' Olvidarme De Ella</v>
      </c>
      <c r="E1117" t="str">
        <f>IFERROR(__xludf.DUMMYFUNCTION("""COMPUTED_VALUE"""),"Piso 21, Christian Nodal")</f>
        <v>Piso 21, Christian Nodal</v>
      </c>
      <c r="F1117" t="str">
        <f>IFERROR(__xludf.DUMMYFUNCTION("""COMPUTED_VALUE"""),"Pa' Olvidarme De Ella")</f>
        <v>Pa' Olvidarme De Ella</v>
      </c>
      <c r="G1117">
        <f>IFERROR(__xludf.DUMMYFUNCTION("""COMPUTED_VALUE"""),1.0)</f>
        <v>1</v>
      </c>
      <c r="H1117" s="5">
        <f>IFERROR(__xludf.DUMMYFUNCTION("""COMPUTED_VALUE"""),0.15763888888977817)</f>
        <v>0.1576388889</v>
      </c>
    </row>
    <row r="1118">
      <c r="A1118" t="str">
        <f>IFERROR(__xludf.DUMMYFUNCTION("""COMPUTED_VALUE"""),"Guatemala")</f>
        <v>Guatemala</v>
      </c>
      <c r="B1118" t="str">
        <f>IFERROR(__xludf.DUMMYFUNCTION("""COMPUTED_VALUE"""),"North America")</f>
        <v>North America</v>
      </c>
      <c r="C1118">
        <f>IFERROR(__xludf.DUMMYFUNCTION("""COMPUTED_VALUE"""),17.0)</f>
        <v>17</v>
      </c>
      <c r="D1118" t="str">
        <f>IFERROR(__xludf.DUMMYFUNCTION("""COMPUTED_VALUE"""),"BYE ME FUI")</f>
        <v>BYE ME FUI</v>
      </c>
      <c r="E1118" t="str">
        <f>IFERROR(__xludf.DUMMYFUNCTION("""COMPUTED_VALUE"""),"Bad Bunny")</f>
        <v>Bad Bunny</v>
      </c>
      <c r="F1118" t="str">
        <f>IFERROR(__xludf.DUMMYFUNCTION("""COMPUTED_VALUE"""),"LAS QUE NO IBAN A SALIR")</f>
        <v>LAS QUE NO IBAN A SALIR</v>
      </c>
      <c r="G1118">
        <f>IFERROR(__xludf.DUMMYFUNCTION("""COMPUTED_VALUE"""),1.0)</f>
        <v>1</v>
      </c>
      <c r="H1118" s="5">
        <f>IFERROR(__xludf.DUMMYFUNCTION("""COMPUTED_VALUE"""),0.12361111111022183)</f>
        <v>0.1236111111</v>
      </c>
    </row>
    <row r="1119">
      <c r="A1119" t="str">
        <f>IFERROR(__xludf.DUMMYFUNCTION("""COMPUTED_VALUE"""),"Guatemala")</f>
        <v>Guatemala</v>
      </c>
      <c r="B1119" t="str">
        <f>IFERROR(__xludf.DUMMYFUNCTION("""COMPUTED_VALUE"""),"North America")</f>
        <v>North America</v>
      </c>
      <c r="C1119">
        <f>IFERROR(__xludf.DUMMYFUNCTION("""COMPUTED_VALUE"""),18.0)</f>
        <v>18</v>
      </c>
      <c r="D1119" t="str">
        <f>IFERROR(__xludf.DUMMYFUNCTION("""COMPUTED_VALUE"""),"Vete")</f>
        <v>Vete</v>
      </c>
      <c r="E1119" t="str">
        <f>IFERROR(__xludf.DUMMYFUNCTION("""COMPUTED_VALUE"""),"Bad Bunny")</f>
        <v>Bad Bunny</v>
      </c>
      <c r="F1119" t="str">
        <f>IFERROR(__xludf.DUMMYFUNCTION("""COMPUTED_VALUE"""),"YHLQMDLG")</f>
        <v>YHLQMDLG</v>
      </c>
      <c r="G1119">
        <f>IFERROR(__xludf.DUMMYFUNCTION("""COMPUTED_VALUE"""),1.0)</f>
        <v>1</v>
      </c>
      <c r="H1119" s="5">
        <f>IFERROR(__xludf.DUMMYFUNCTION("""COMPUTED_VALUE"""),0.13333333333503106)</f>
        <v>0.1333333333</v>
      </c>
    </row>
    <row r="1120">
      <c r="A1120" t="str">
        <f>IFERROR(__xludf.DUMMYFUNCTION("""COMPUTED_VALUE"""),"Guatemala")</f>
        <v>Guatemala</v>
      </c>
      <c r="B1120" t="str">
        <f>IFERROR(__xludf.DUMMYFUNCTION("""COMPUTED_VALUE"""),"North America")</f>
        <v>North America</v>
      </c>
      <c r="C1120">
        <f>IFERROR(__xludf.DUMMYFUNCTION("""COMPUTED_VALUE"""),19.0)</f>
        <v>19</v>
      </c>
      <c r="D1120" t="str">
        <f>IFERROR(__xludf.DUMMYFUNCTION("""COMPUTED_VALUE"""),"LA CANCIÓN")</f>
        <v>LA CANCIÓN</v>
      </c>
      <c r="E1120" t="str">
        <f>IFERROR(__xludf.DUMMYFUNCTION("""COMPUTED_VALUE"""),"J Balvin, Bad Bunny")</f>
        <v>J Balvin, Bad Bunny</v>
      </c>
      <c r="F1120" t="str">
        <f>IFERROR(__xludf.DUMMYFUNCTION("""COMPUTED_VALUE"""),"OASIS")</f>
        <v>OASIS</v>
      </c>
      <c r="G1120">
        <f>IFERROR(__xludf.DUMMYFUNCTION("""COMPUTED_VALUE"""),0.0)</f>
        <v>0</v>
      </c>
      <c r="H1120" s="5">
        <f>IFERROR(__xludf.DUMMYFUNCTION("""COMPUTED_VALUE"""),0.16805555555401952)</f>
        <v>0.1680555556</v>
      </c>
    </row>
    <row r="1121">
      <c r="A1121" t="str">
        <f>IFERROR(__xludf.DUMMYFUNCTION("""COMPUTED_VALUE"""),"Guatemala")</f>
        <v>Guatemala</v>
      </c>
      <c r="B1121" t="str">
        <f>IFERROR(__xludf.DUMMYFUNCTION("""COMPUTED_VALUE"""),"North America")</f>
        <v>North America</v>
      </c>
      <c r="C1121">
        <f>IFERROR(__xludf.DUMMYFUNCTION("""COMPUTED_VALUE"""),20.0)</f>
        <v>20</v>
      </c>
      <c r="D1121" t="str">
        <f>IFERROR(__xludf.DUMMYFUNCTION("""COMPUTED_VALUE"""),"Diosa")</f>
        <v>Diosa</v>
      </c>
      <c r="E1121" t="str">
        <f>IFERROR(__xludf.DUMMYFUNCTION("""COMPUTED_VALUE"""),"Myke Towers")</f>
        <v>Myke Towers</v>
      </c>
      <c r="F1121" t="str">
        <f>IFERROR(__xludf.DUMMYFUNCTION("""COMPUTED_VALUE"""),"Easy Money Baby")</f>
        <v>Easy Money Baby</v>
      </c>
      <c r="G1121">
        <f>IFERROR(__xludf.DUMMYFUNCTION("""COMPUTED_VALUE"""),1.0)</f>
        <v>1</v>
      </c>
      <c r="H1121" s="5">
        <f>IFERROR(__xludf.DUMMYFUNCTION("""COMPUTED_VALUE"""),0.14861111111167702)</f>
        <v>0.1486111111</v>
      </c>
    </row>
    <row r="1122">
      <c r="A1122" t="str">
        <f>IFERROR(__xludf.DUMMYFUNCTION("""COMPUTED_VALUE"""),"Guatemala")</f>
        <v>Guatemala</v>
      </c>
      <c r="B1122" t="str">
        <f>IFERROR(__xludf.DUMMYFUNCTION("""COMPUTED_VALUE"""),"North America")</f>
        <v>North America</v>
      </c>
      <c r="C1122">
        <f>IFERROR(__xludf.DUMMYFUNCTION("""COMPUTED_VALUE"""),21.0)</f>
        <v>21</v>
      </c>
      <c r="D1122" t="str">
        <f>IFERROR(__xludf.DUMMYFUNCTION("""COMPUTED_VALUE"""),"Morado")</f>
        <v>Morado</v>
      </c>
      <c r="E1122" t="str">
        <f>IFERROR(__xludf.DUMMYFUNCTION("""COMPUTED_VALUE"""),"J Balvin")</f>
        <v>J Balvin</v>
      </c>
      <c r="F1122" t="str">
        <f>IFERROR(__xludf.DUMMYFUNCTION("""COMPUTED_VALUE"""),"Colores")</f>
        <v>Colores</v>
      </c>
      <c r="G1122">
        <f>IFERROR(__xludf.DUMMYFUNCTION("""COMPUTED_VALUE"""),0.0)</f>
        <v>0</v>
      </c>
      <c r="H1122" s="5">
        <f>IFERROR(__xludf.DUMMYFUNCTION("""COMPUTED_VALUE"""),0.13888888889050577)</f>
        <v>0.1388888889</v>
      </c>
    </row>
    <row r="1123">
      <c r="A1123" t="str">
        <f>IFERROR(__xludf.DUMMYFUNCTION("""COMPUTED_VALUE"""),"Guatemala")</f>
        <v>Guatemala</v>
      </c>
      <c r="B1123" t="str">
        <f>IFERROR(__xludf.DUMMYFUNCTION("""COMPUTED_VALUE"""),"North America")</f>
        <v>North America</v>
      </c>
      <c r="C1123">
        <f>IFERROR(__xludf.DUMMYFUNCTION("""COMPUTED_VALUE"""),22.0)</f>
        <v>22</v>
      </c>
      <c r="D1123" t="str">
        <f>IFERROR(__xludf.DUMMYFUNCTION("""COMPUTED_VALUE"""),"No Me Conoce - Remix")</f>
        <v>No Me Conoce - Remix</v>
      </c>
      <c r="E1123" t="str">
        <f>IFERROR(__xludf.DUMMYFUNCTION("""COMPUTED_VALUE"""),"Jhay Cortez, J Balvin, Bad Bunny")</f>
        <v>Jhay Cortez, J Balvin, Bad Bunny</v>
      </c>
      <c r="F1123" t="str">
        <f>IFERROR(__xludf.DUMMYFUNCTION("""COMPUTED_VALUE"""),"Famouz")</f>
        <v>Famouz</v>
      </c>
      <c r="G1123">
        <f>IFERROR(__xludf.DUMMYFUNCTION("""COMPUTED_VALUE"""),0.0)</f>
        <v>0</v>
      </c>
      <c r="H1123" s="5">
        <f>IFERROR(__xludf.DUMMYFUNCTION("""COMPUTED_VALUE"""),0.21458333333430346)</f>
        <v>0.2145833333</v>
      </c>
    </row>
    <row r="1124">
      <c r="A1124" t="str">
        <f>IFERROR(__xludf.DUMMYFUNCTION("""COMPUTED_VALUE"""),"Guatemala")</f>
        <v>Guatemala</v>
      </c>
      <c r="B1124" t="str">
        <f>IFERROR(__xludf.DUMMYFUNCTION("""COMPUTED_VALUE"""),"North America")</f>
        <v>North America</v>
      </c>
      <c r="C1124">
        <f>IFERROR(__xludf.DUMMYFUNCTION("""COMPUTED_VALUE"""),23.0)</f>
        <v>23</v>
      </c>
      <c r="D1124" t="str">
        <f>IFERROR(__xludf.DUMMYFUNCTION("""COMPUTED_VALUE"""),"La Santa")</f>
        <v>La Santa</v>
      </c>
      <c r="E1124" t="str">
        <f>IFERROR(__xludf.DUMMYFUNCTION("""COMPUTED_VALUE"""),"Bad Bunny, Daddy Yankee")</f>
        <v>Bad Bunny, Daddy Yankee</v>
      </c>
      <c r="F1124" t="str">
        <f>IFERROR(__xludf.DUMMYFUNCTION("""COMPUTED_VALUE"""),"YHLQMDLG")</f>
        <v>YHLQMDLG</v>
      </c>
      <c r="G1124">
        <f>IFERROR(__xludf.DUMMYFUNCTION("""COMPUTED_VALUE"""),1.0)</f>
        <v>1</v>
      </c>
      <c r="H1124" s="5">
        <f>IFERROR(__xludf.DUMMYFUNCTION("""COMPUTED_VALUE"""),0.1430555555562023)</f>
        <v>0.1430555556</v>
      </c>
    </row>
    <row r="1125">
      <c r="A1125" t="str">
        <f>IFERROR(__xludf.DUMMYFUNCTION("""COMPUTED_VALUE"""),"Guatemala")</f>
        <v>Guatemala</v>
      </c>
      <c r="B1125" t="str">
        <f>IFERROR(__xludf.DUMMYFUNCTION("""COMPUTED_VALUE"""),"North America")</f>
        <v>North America</v>
      </c>
      <c r="C1125">
        <f>IFERROR(__xludf.DUMMYFUNCTION("""COMPUTED_VALUE"""),24.0)</f>
        <v>24</v>
      </c>
      <c r="D1125" t="str">
        <f>IFERROR(__xludf.DUMMYFUNCTION("""COMPUTED_VALUE"""),"CANCIÓN CON YANDEL")</f>
        <v>CANCIÓN CON YANDEL</v>
      </c>
      <c r="E1125" t="str">
        <f>IFERROR(__xludf.DUMMYFUNCTION("""COMPUTED_VALUE"""),"Yandel, Bad Bunny")</f>
        <v>Yandel, Bad Bunny</v>
      </c>
      <c r="F1125" t="str">
        <f>IFERROR(__xludf.DUMMYFUNCTION("""COMPUTED_VALUE"""),"LAS QUE NO IBAN A SALIR")</f>
        <v>LAS QUE NO IBAN A SALIR</v>
      </c>
      <c r="G1125">
        <f>IFERROR(__xludf.DUMMYFUNCTION("""COMPUTED_VALUE"""),1.0)</f>
        <v>1</v>
      </c>
      <c r="H1125" s="5">
        <f>IFERROR(__xludf.DUMMYFUNCTION("""COMPUTED_VALUE"""),0.14513888888905058)</f>
        <v>0.1451388889</v>
      </c>
    </row>
    <row r="1126">
      <c r="A1126" t="str">
        <f>IFERROR(__xludf.DUMMYFUNCTION("""COMPUTED_VALUE"""),"Guatemala")</f>
        <v>Guatemala</v>
      </c>
      <c r="B1126" t="str">
        <f>IFERROR(__xludf.DUMMYFUNCTION("""COMPUTED_VALUE"""),"North America")</f>
        <v>North America</v>
      </c>
      <c r="C1126">
        <f>IFERROR(__xludf.DUMMYFUNCTION("""COMPUTED_VALUE"""),25.0)</f>
        <v>25</v>
      </c>
      <c r="D1126" t="str">
        <f>IFERROR(__xludf.DUMMYFUNCTION("""COMPUTED_VALUE"""),"PORFA")</f>
        <v>PORFA</v>
      </c>
      <c r="E1126" t="str">
        <f>IFERROR(__xludf.DUMMYFUNCTION("""COMPUTED_VALUE"""),"Feid, Justin Quiles")</f>
        <v>Feid, Justin Quiles</v>
      </c>
      <c r="F1126" t="str">
        <f>IFERROR(__xludf.DUMMYFUNCTION("""COMPUTED_VALUE"""),"FERXXO (VOL 1: M.O.R)")</f>
        <v>FERXXO (VOL 1: M.O.R)</v>
      </c>
      <c r="G1126">
        <f>IFERROR(__xludf.DUMMYFUNCTION("""COMPUTED_VALUE"""),0.0)</f>
        <v>0</v>
      </c>
      <c r="H1126" s="5">
        <f>IFERROR(__xludf.DUMMYFUNCTION("""COMPUTED_VALUE"""),0.16111111111240461)</f>
        <v>0.1611111111</v>
      </c>
    </row>
    <row r="1127">
      <c r="A1127" t="str">
        <f>IFERROR(__xludf.DUMMYFUNCTION("""COMPUTED_VALUE"""),"Guatemala")</f>
        <v>Guatemala</v>
      </c>
      <c r="B1127" t="str">
        <f>IFERROR(__xludf.DUMMYFUNCTION("""COMPUTED_VALUE"""),"North America")</f>
        <v>North America</v>
      </c>
      <c r="C1127">
        <f>IFERROR(__xludf.DUMMYFUNCTION("""COMPUTED_VALUE"""),26.0)</f>
        <v>26</v>
      </c>
      <c r="D1127" t="str">
        <f>IFERROR(__xludf.DUMMYFUNCTION("""COMPUTED_VALUE"""),"CÓMO SE SIENTE - Remix")</f>
        <v>CÓMO SE SIENTE - Remix</v>
      </c>
      <c r="E1127" t="str">
        <f>IFERROR(__xludf.DUMMYFUNCTION("""COMPUTED_VALUE"""),"Jhay Cortez, Bad Bunny")</f>
        <v>Jhay Cortez, Bad Bunny</v>
      </c>
      <c r="F1127" t="str">
        <f>IFERROR(__xludf.DUMMYFUNCTION("""COMPUTED_VALUE"""),"CÓMO SE SIENTE (Remix)")</f>
        <v>CÓMO SE SIENTE (Remix)</v>
      </c>
      <c r="G1127">
        <f>IFERROR(__xludf.DUMMYFUNCTION("""COMPUTED_VALUE"""),1.0)</f>
        <v>1</v>
      </c>
      <c r="H1127" s="5">
        <f>IFERROR(__xludf.DUMMYFUNCTION("""COMPUTED_VALUE"""),0.15763888888977817)</f>
        <v>0.1576388889</v>
      </c>
    </row>
    <row r="1128">
      <c r="A1128" t="str">
        <f>IFERROR(__xludf.DUMMYFUNCTION("""COMPUTED_VALUE"""),"Guatemala")</f>
        <v>Guatemala</v>
      </c>
      <c r="B1128" t="str">
        <f>IFERROR(__xludf.DUMMYFUNCTION("""COMPUTED_VALUE"""),"North America")</f>
        <v>North America</v>
      </c>
      <c r="C1128">
        <f>IFERROR(__xludf.DUMMYFUNCTION("""COMPUTED_VALUE"""),27.0)</f>
        <v>27</v>
      </c>
      <c r="D1128" t="str">
        <f>IFERROR(__xludf.DUMMYFUNCTION("""COMPUTED_VALUE"""),"Qué Maldición")</f>
        <v>Qué Maldición</v>
      </c>
      <c r="E1128" t="str">
        <f>IFERROR(__xludf.DUMMYFUNCTION("""COMPUTED_VALUE"""),"Banda MS de Sergio Lizárraga, Snoop Dogg")</f>
        <v>Banda MS de Sergio Lizárraga, Snoop Dogg</v>
      </c>
      <c r="F1128" t="str">
        <f>IFERROR(__xludf.DUMMYFUNCTION("""COMPUTED_VALUE"""),"Qué Maldición")</f>
        <v>Qué Maldición</v>
      </c>
      <c r="G1128">
        <f>IFERROR(__xludf.DUMMYFUNCTION("""COMPUTED_VALUE"""),0.0)</f>
        <v>0</v>
      </c>
      <c r="H1128" s="5">
        <f>IFERROR(__xludf.DUMMYFUNCTION("""COMPUTED_VALUE"""),0.14097222222335404)</f>
        <v>0.1409722222</v>
      </c>
    </row>
    <row r="1129">
      <c r="A1129" t="str">
        <f>IFERROR(__xludf.DUMMYFUNCTION("""COMPUTED_VALUE"""),"Guatemala")</f>
        <v>Guatemala</v>
      </c>
      <c r="B1129" t="str">
        <f>IFERROR(__xludf.DUMMYFUNCTION("""COMPUTED_VALUE"""),"North America")</f>
        <v>North America</v>
      </c>
      <c r="C1129">
        <f>IFERROR(__xludf.DUMMYFUNCTION("""COMPUTED_VALUE"""),28.0)</f>
        <v>28</v>
      </c>
      <c r="D1129" t="str">
        <f>IFERROR(__xludf.DUMMYFUNCTION("""COMPUTED_VALUE"""),"Sigues Con El - Remix")</f>
        <v>Sigues Con El - Remix</v>
      </c>
      <c r="E1129" t="str">
        <f>IFERROR(__xludf.DUMMYFUNCTION("""COMPUTED_VALUE"""),"Arcangel, Sech, Romeo Santos")</f>
        <v>Arcangel, Sech, Romeo Santos</v>
      </c>
      <c r="F1129" t="str">
        <f>IFERROR(__xludf.DUMMYFUNCTION("""COMPUTED_VALUE"""),"Sigues Con El (Remix)")</f>
        <v>Sigues Con El (Remix)</v>
      </c>
      <c r="G1129">
        <f>IFERROR(__xludf.DUMMYFUNCTION("""COMPUTED_VALUE"""),0.0)</f>
        <v>0</v>
      </c>
      <c r="H1129" s="5">
        <f>IFERROR(__xludf.DUMMYFUNCTION("""COMPUTED_VALUE"""),0.1312499999985448)</f>
        <v>0.13125</v>
      </c>
    </row>
    <row r="1130">
      <c r="A1130" t="str">
        <f>IFERROR(__xludf.DUMMYFUNCTION("""COMPUTED_VALUE"""),"Guatemala")</f>
        <v>Guatemala</v>
      </c>
      <c r="B1130" t="str">
        <f>IFERROR(__xludf.DUMMYFUNCTION("""COMPUTED_VALUE"""),"North America")</f>
        <v>North America</v>
      </c>
      <c r="C1130">
        <f>IFERROR(__xludf.DUMMYFUNCTION("""COMPUTED_VALUE"""),29.0)</f>
        <v>29</v>
      </c>
      <c r="D1130" t="str">
        <f>IFERROR(__xludf.DUMMYFUNCTION("""COMPUTED_VALUE"""),"Rain On Me (with Ariana Grande)")</f>
        <v>Rain On Me (with Ariana Grande)</v>
      </c>
      <c r="E1130" t="str">
        <f>IFERROR(__xludf.DUMMYFUNCTION("""COMPUTED_VALUE"""),"Lady Gaga, Ariana Grande")</f>
        <v>Lady Gaga, Ariana Grande</v>
      </c>
      <c r="F1130" t="str">
        <f>IFERROR(__xludf.DUMMYFUNCTION("""COMPUTED_VALUE"""),"Rain On Me (with Ariana Grande)")</f>
        <v>Rain On Me (with Ariana Grande)</v>
      </c>
      <c r="G1130">
        <f>IFERROR(__xludf.DUMMYFUNCTION("""COMPUTED_VALUE"""),0.0)</f>
        <v>0</v>
      </c>
      <c r="H1130" s="5">
        <f>IFERROR(__xludf.DUMMYFUNCTION("""COMPUTED_VALUE"""),0.12638888888977817)</f>
        <v>0.1263888889</v>
      </c>
    </row>
    <row r="1131">
      <c r="A1131" t="str">
        <f>IFERROR(__xludf.DUMMYFUNCTION("""COMPUTED_VALUE"""),"Guatemala")</f>
        <v>Guatemala</v>
      </c>
      <c r="B1131" t="str">
        <f>IFERROR(__xludf.DUMMYFUNCTION("""COMPUTED_VALUE"""),"North America")</f>
        <v>North America</v>
      </c>
      <c r="C1131">
        <f>IFERROR(__xludf.DUMMYFUNCTION("""COMPUTED_VALUE"""),30.0)</f>
        <v>30</v>
      </c>
      <c r="D1131" t="str">
        <f>IFERROR(__xludf.DUMMYFUNCTION("""COMPUTED_VALUE"""),"Amarillo")</f>
        <v>Amarillo</v>
      </c>
      <c r="E1131" t="str">
        <f>IFERROR(__xludf.DUMMYFUNCTION("""COMPUTED_VALUE"""),"J Balvin")</f>
        <v>J Balvin</v>
      </c>
      <c r="F1131" t="str">
        <f>IFERROR(__xludf.DUMMYFUNCTION("""COMPUTED_VALUE"""),"Colores")</f>
        <v>Colores</v>
      </c>
      <c r="G1131">
        <f>IFERROR(__xludf.DUMMYFUNCTION("""COMPUTED_VALUE"""),0.0)</f>
        <v>0</v>
      </c>
      <c r="H1131" s="5">
        <f>IFERROR(__xludf.DUMMYFUNCTION("""COMPUTED_VALUE"""),0.10902777777664596)</f>
        <v>0.1090277778</v>
      </c>
    </row>
    <row r="1132">
      <c r="A1132" t="str">
        <f>IFERROR(__xludf.DUMMYFUNCTION("""COMPUTED_VALUE"""),"Guatemala")</f>
        <v>Guatemala</v>
      </c>
      <c r="B1132" t="str">
        <f>IFERROR(__xludf.DUMMYFUNCTION("""COMPUTED_VALUE"""),"North America")</f>
        <v>North America</v>
      </c>
      <c r="C1132">
        <f>IFERROR(__xludf.DUMMYFUNCTION("""COMPUTED_VALUE"""),31.0)</f>
        <v>31</v>
      </c>
      <c r="D1132" t="str">
        <f>IFERROR(__xludf.DUMMYFUNCTION("""COMPUTED_VALUE"""),"Don't Start Now")</f>
        <v>Don't Start Now</v>
      </c>
      <c r="E1132" t="str">
        <f>IFERROR(__xludf.DUMMYFUNCTION("""COMPUTED_VALUE"""),"Dua Lipa")</f>
        <v>Dua Lipa</v>
      </c>
      <c r="F1132" t="str">
        <f>IFERROR(__xludf.DUMMYFUNCTION("""COMPUTED_VALUE"""),"Future Nostalgia")</f>
        <v>Future Nostalgia</v>
      </c>
      <c r="G1132">
        <f>IFERROR(__xludf.DUMMYFUNCTION("""COMPUTED_VALUE"""),0.0)</f>
        <v>0</v>
      </c>
      <c r="H1132" s="5">
        <f>IFERROR(__xludf.DUMMYFUNCTION("""COMPUTED_VALUE"""),0.12708333333284827)</f>
        <v>0.1270833333</v>
      </c>
    </row>
    <row r="1133">
      <c r="A1133" t="str">
        <f>IFERROR(__xludf.DUMMYFUNCTION("""COMPUTED_VALUE"""),"Guatemala")</f>
        <v>Guatemala</v>
      </c>
      <c r="B1133" t="str">
        <f>IFERROR(__xludf.DUMMYFUNCTION("""COMPUTED_VALUE"""),"North America")</f>
        <v>North America</v>
      </c>
      <c r="C1133">
        <f>IFERROR(__xludf.DUMMYFUNCTION("""COMPUTED_VALUE"""),32.0)</f>
        <v>32</v>
      </c>
      <c r="D1133" t="str">
        <f>IFERROR(__xludf.DUMMYFUNCTION("""COMPUTED_VALUE"""),"Dance Monkey")</f>
        <v>Dance Monkey</v>
      </c>
      <c r="E1133" t="str">
        <f>IFERROR(__xludf.DUMMYFUNCTION("""COMPUTED_VALUE"""),"Tones And I")</f>
        <v>Tones And I</v>
      </c>
      <c r="F1133" t="str">
        <f>IFERROR(__xludf.DUMMYFUNCTION("""COMPUTED_VALUE"""),"Dance Monkey (Stripped Back) / Dance Monkey")</f>
        <v>Dance Monkey (Stripped Back) / Dance Monkey</v>
      </c>
      <c r="G1133">
        <f>IFERROR(__xludf.DUMMYFUNCTION("""COMPUTED_VALUE"""),0.0)</f>
        <v>0</v>
      </c>
      <c r="H1133" s="5">
        <f>IFERROR(__xludf.DUMMYFUNCTION("""COMPUTED_VALUE"""),0.14513888888905058)</f>
        <v>0.1451388889</v>
      </c>
    </row>
    <row r="1134">
      <c r="A1134" t="str">
        <f>IFERROR(__xludf.DUMMYFUNCTION("""COMPUTED_VALUE"""),"Guatemala")</f>
        <v>Guatemala</v>
      </c>
      <c r="B1134" t="str">
        <f>IFERROR(__xludf.DUMMYFUNCTION("""COMPUTED_VALUE"""),"North America")</f>
        <v>North America</v>
      </c>
      <c r="C1134">
        <f>IFERROR(__xludf.DUMMYFUNCTION("""COMPUTED_VALUE"""),33.0)</f>
        <v>33</v>
      </c>
      <c r="D1134" t="str">
        <f>IFERROR(__xludf.DUMMYFUNCTION("""COMPUTED_VALUE"""),"Callaita")</f>
        <v>Callaita</v>
      </c>
      <c r="E1134" t="str">
        <f>IFERROR(__xludf.DUMMYFUNCTION("""COMPUTED_VALUE"""),"Bad Bunny, Tainy")</f>
        <v>Bad Bunny, Tainy</v>
      </c>
      <c r="F1134" t="str">
        <f>IFERROR(__xludf.DUMMYFUNCTION("""COMPUTED_VALUE"""),"Callaita")</f>
        <v>Callaita</v>
      </c>
      <c r="G1134">
        <f>IFERROR(__xludf.DUMMYFUNCTION("""COMPUTED_VALUE"""),1.0)</f>
        <v>1</v>
      </c>
      <c r="H1134" s="5">
        <f>IFERROR(__xludf.DUMMYFUNCTION("""COMPUTED_VALUE"""),0.17361111110949423)</f>
        <v>0.1736111111</v>
      </c>
    </row>
    <row r="1135">
      <c r="A1135" t="str">
        <f>IFERROR(__xludf.DUMMYFUNCTION("""COMPUTED_VALUE"""),"Guatemala")</f>
        <v>Guatemala</v>
      </c>
      <c r="B1135" t="str">
        <f>IFERROR(__xludf.DUMMYFUNCTION("""COMPUTED_VALUE"""),"North America")</f>
        <v>North America</v>
      </c>
      <c r="C1135">
        <f>IFERROR(__xludf.DUMMYFUNCTION("""COMPUTED_VALUE"""),34.0)</f>
        <v>34</v>
      </c>
      <c r="D1135" t="str">
        <f>IFERROR(__xludf.DUMMYFUNCTION("""COMPUTED_VALUE"""),"death bed (coffee for your head) (feat. beabadoobee)")</f>
        <v>death bed (coffee for your head) (feat. beabadoobee)</v>
      </c>
      <c r="E1135" t="str">
        <f>IFERROR(__xludf.DUMMYFUNCTION("""COMPUTED_VALUE"""),"Powfu, beabadoobee")</f>
        <v>Powfu, beabadoobee</v>
      </c>
      <c r="F1135" t="str">
        <f>IFERROR(__xludf.DUMMYFUNCTION("""COMPUTED_VALUE"""),"death bed (coffee for your head) (feat. beabadoobee)")</f>
        <v>death bed (coffee for your head) (feat. beabadoobee)</v>
      </c>
      <c r="G1135">
        <f>IFERROR(__xludf.DUMMYFUNCTION("""COMPUTED_VALUE"""),0.0)</f>
        <v>0</v>
      </c>
      <c r="H1135" s="5">
        <f>IFERROR(__xludf.DUMMYFUNCTION("""COMPUTED_VALUE"""),0.12013888888759539)</f>
        <v>0.1201388889</v>
      </c>
    </row>
    <row r="1136">
      <c r="A1136" t="str">
        <f>IFERROR(__xludf.DUMMYFUNCTION("""COMPUTED_VALUE"""),"Guatemala")</f>
        <v>Guatemala</v>
      </c>
      <c r="B1136" t="str">
        <f>IFERROR(__xludf.DUMMYFUNCTION("""COMPUTED_VALUE"""),"North America")</f>
        <v>North America</v>
      </c>
      <c r="C1136">
        <f>IFERROR(__xludf.DUMMYFUNCTION("""COMPUTED_VALUE"""),35.0)</f>
        <v>35</v>
      </c>
      <c r="D1136" t="str">
        <f>IFERROR(__xludf.DUMMYFUNCTION("""COMPUTED_VALUE"""),"Relación")</f>
        <v>Relación</v>
      </c>
      <c r="E1136" t="str">
        <f>IFERROR(__xludf.DUMMYFUNCTION("""COMPUTED_VALUE"""),"Sech")</f>
        <v>Sech</v>
      </c>
      <c r="F1136" t="str">
        <f>IFERROR(__xludf.DUMMYFUNCTION("""COMPUTED_VALUE"""),"1 of 1")</f>
        <v>1 of 1</v>
      </c>
      <c r="G1136">
        <f>IFERROR(__xludf.DUMMYFUNCTION("""COMPUTED_VALUE"""),0.0)</f>
        <v>0</v>
      </c>
      <c r="H1136" s="5">
        <f>IFERROR(__xludf.DUMMYFUNCTION("""COMPUTED_VALUE"""),0.12777777777955635)</f>
        <v>0.1277777778</v>
      </c>
    </row>
    <row r="1137">
      <c r="A1137" t="str">
        <f>IFERROR(__xludf.DUMMYFUNCTION("""COMPUTED_VALUE"""),"Guatemala")</f>
        <v>Guatemala</v>
      </c>
      <c r="B1137" t="str">
        <f>IFERROR(__xludf.DUMMYFUNCTION("""COMPUTED_VALUE"""),"North America")</f>
        <v>North America</v>
      </c>
      <c r="C1137">
        <f>IFERROR(__xludf.DUMMYFUNCTION("""COMPUTED_VALUE"""),36.0)</f>
        <v>36</v>
      </c>
      <c r="D1137" t="str">
        <f>IFERROR(__xludf.DUMMYFUNCTION("""COMPUTED_VALUE"""),"Azul")</f>
        <v>Azul</v>
      </c>
      <c r="E1137" t="str">
        <f>IFERROR(__xludf.DUMMYFUNCTION("""COMPUTED_VALUE"""),"J Balvin")</f>
        <v>J Balvin</v>
      </c>
      <c r="F1137" t="str">
        <f>IFERROR(__xludf.DUMMYFUNCTION("""COMPUTED_VALUE"""),"Colores")</f>
        <v>Colores</v>
      </c>
      <c r="G1137">
        <f>IFERROR(__xludf.DUMMYFUNCTION("""COMPUTED_VALUE"""),0.0)</f>
        <v>0</v>
      </c>
      <c r="H1137" s="5">
        <f>IFERROR(__xludf.DUMMYFUNCTION("""COMPUTED_VALUE"""),0.14236111110949423)</f>
        <v>0.1423611111</v>
      </c>
    </row>
    <row r="1138">
      <c r="A1138" t="str">
        <f>IFERROR(__xludf.DUMMYFUNCTION("""COMPUTED_VALUE"""),"Guatemala")</f>
        <v>Guatemala</v>
      </c>
      <c r="B1138" t="str">
        <f>IFERROR(__xludf.DUMMYFUNCTION("""COMPUTED_VALUE"""),"North America")</f>
        <v>North America</v>
      </c>
      <c r="C1138">
        <f>IFERROR(__xludf.DUMMYFUNCTION("""COMPUTED_VALUE"""),37.0)</f>
        <v>37</v>
      </c>
      <c r="D1138" t="str">
        <f>IFERROR(__xludf.DUMMYFUNCTION("""COMPUTED_VALUE"""),"PA' ROMPERLA")</f>
        <v>PA' ROMPERLA</v>
      </c>
      <c r="E1138" t="str">
        <f>IFERROR(__xludf.DUMMYFUNCTION("""COMPUTED_VALUE"""),"Bad Bunny, Don Omar")</f>
        <v>Bad Bunny, Don Omar</v>
      </c>
      <c r="F1138" t="str">
        <f>IFERROR(__xludf.DUMMYFUNCTION("""COMPUTED_VALUE"""),"LAS QUE NO IBAN A SALIR")</f>
        <v>LAS QUE NO IBAN A SALIR</v>
      </c>
      <c r="G1138">
        <f>IFERROR(__xludf.DUMMYFUNCTION("""COMPUTED_VALUE"""),1.0)</f>
        <v>1</v>
      </c>
      <c r="H1138" s="5">
        <f>IFERROR(__xludf.DUMMYFUNCTION("""COMPUTED_VALUE"""),0.13472222222117125)</f>
        <v>0.1347222222</v>
      </c>
    </row>
    <row r="1139">
      <c r="A1139" t="str">
        <f>IFERROR(__xludf.DUMMYFUNCTION("""COMPUTED_VALUE"""),"Guatemala")</f>
        <v>Guatemala</v>
      </c>
      <c r="B1139" t="str">
        <f>IFERROR(__xludf.DUMMYFUNCTION("""COMPUTED_VALUE"""),"North America")</f>
        <v>North America</v>
      </c>
      <c r="C1139">
        <f>IFERROR(__xludf.DUMMYFUNCTION("""COMPUTED_VALUE"""),38.0)</f>
        <v>38</v>
      </c>
      <c r="D1139" t="str">
        <f>IFERROR(__xludf.DUMMYFUNCTION("""COMPUTED_VALUE"""),"Adicto (with Anuel AA &amp; Ozuna)")</f>
        <v>Adicto (with Anuel AA &amp; Ozuna)</v>
      </c>
      <c r="E1139" t="str">
        <f>IFERROR(__xludf.DUMMYFUNCTION("""COMPUTED_VALUE"""),"Tainy, Anuel AA, Ozuna")</f>
        <v>Tainy, Anuel AA, Ozuna</v>
      </c>
      <c r="F1139" t="str">
        <f>IFERROR(__xludf.DUMMYFUNCTION("""COMPUTED_VALUE"""),"Adicto (with Anuel AA &amp; Ozuna)")</f>
        <v>Adicto (with Anuel AA &amp; Ozuna)</v>
      </c>
      <c r="G1139">
        <f>IFERROR(__xludf.DUMMYFUNCTION("""COMPUTED_VALUE"""),0.0)</f>
        <v>0</v>
      </c>
      <c r="H1139" s="5">
        <f>IFERROR(__xludf.DUMMYFUNCTION("""COMPUTED_VALUE"""),0.1875)</f>
        <v>0.1875</v>
      </c>
    </row>
    <row r="1140">
      <c r="A1140" t="str">
        <f>IFERROR(__xludf.DUMMYFUNCTION("""COMPUTED_VALUE"""),"Guatemala")</f>
        <v>Guatemala</v>
      </c>
      <c r="B1140" t="str">
        <f>IFERROR(__xludf.DUMMYFUNCTION("""COMPUTED_VALUE"""),"North America")</f>
        <v>North America</v>
      </c>
      <c r="C1140">
        <f>IFERROR(__xludf.DUMMYFUNCTION("""COMPUTED_VALUE"""),39.0)</f>
        <v>39</v>
      </c>
      <c r="D1140" t="str">
        <f>IFERROR(__xludf.DUMMYFUNCTION("""COMPUTED_VALUE"""),"Quiéreme Mientras Se Pueda")</f>
        <v>Quiéreme Mientras Se Pueda</v>
      </c>
      <c r="E1140" t="str">
        <f>IFERROR(__xludf.DUMMYFUNCTION("""COMPUTED_VALUE"""),"Manuel Turizo")</f>
        <v>Manuel Turizo</v>
      </c>
      <c r="F1140" t="str">
        <f>IFERROR(__xludf.DUMMYFUNCTION("""COMPUTED_VALUE"""),"Quiéreme Mientras Se Pueda")</f>
        <v>Quiéreme Mientras Se Pueda</v>
      </c>
      <c r="G1140">
        <f>IFERROR(__xludf.DUMMYFUNCTION("""COMPUTED_VALUE"""),0.0)</f>
        <v>0</v>
      </c>
      <c r="H1140" s="5">
        <f>IFERROR(__xludf.DUMMYFUNCTION("""COMPUTED_VALUE"""),0.13263888888832298)</f>
        <v>0.1326388889</v>
      </c>
    </row>
    <row r="1141">
      <c r="A1141" t="str">
        <f>IFERROR(__xludf.DUMMYFUNCTION("""COMPUTED_VALUE"""),"Guatemala")</f>
        <v>Guatemala</v>
      </c>
      <c r="B1141" t="str">
        <f>IFERROR(__xludf.DUMMYFUNCTION("""COMPUTED_VALUE"""),"North America")</f>
        <v>North America</v>
      </c>
      <c r="C1141">
        <f>IFERROR(__xludf.DUMMYFUNCTION("""COMPUTED_VALUE"""),40.0)</f>
        <v>40</v>
      </c>
      <c r="D1141" t="str">
        <f>IFERROR(__xludf.DUMMYFUNCTION("""COMPUTED_VALUE"""),"Bajo La Mesa")</f>
        <v>Bajo La Mesa</v>
      </c>
      <c r="E1141" t="str">
        <f>IFERROR(__xludf.DUMMYFUNCTION("""COMPUTED_VALUE"""),"Morat, Sebastian Yatra")</f>
        <v>Morat, Sebastian Yatra</v>
      </c>
      <c r="F1141" t="str">
        <f>IFERROR(__xludf.DUMMYFUNCTION("""COMPUTED_VALUE"""),"Bajo La Mesa")</f>
        <v>Bajo La Mesa</v>
      </c>
      <c r="G1141">
        <f>IFERROR(__xludf.DUMMYFUNCTION("""COMPUTED_VALUE"""),0.0)</f>
        <v>0</v>
      </c>
      <c r="H1141" s="5">
        <f>IFERROR(__xludf.DUMMYFUNCTION("""COMPUTED_VALUE"""),0.10902777777664596)</f>
        <v>0.1090277778</v>
      </c>
    </row>
    <row r="1142">
      <c r="A1142" t="str">
        <f>IFERROR(__xludf.DUMMYFUNCTION("""COMPUTED_VALUE"""),"Guatemala")</f>
        <v>Guatemala</v>
      </c>
      <c r="B1142" t="str">
        <f>IFERROR(__xludf.DUMMYFUNCTION("""COMPUTED_VALUE"""),"North America")</f>
        <v>North America</v>
      </c>
      <c r="C1142">
        <f>IFERROR(__xludf.DUMMYFUNCTION("""COMPUTED_VALUE"""),41.0)</f>
        <v>41</v>
      </c>
      <c r="D1142" t="str">
        <f>IFERROR(__xludf.DUMMYFUNCTION("""COMPUTED_VALUE"""),"Por Primera Vez")</f>
        <v>Por Primera Vez</v>
      </c>
      <c r="E1142" t="str">
        <f>IFERROR(__xludf.DUMMYFUNCTION("""COMPUTED_VALUE"""),"Camilo, Evaluna Montaner")</f>
        <v>Camilo, Evaluna Montaner</v>
      </c>
      <c r="F1142" t="str">
        <f>IFERROR(__xludf.DUMMYFUNCTION("""COMPUTED_VALUE"""),"Por Primera Vez")</f>
        <v>Por Primera Vez</v>
      </c>
      <c r="G1142">
        <f>IFERROR(__xludf.DUMMYFUNCTION("""COMPUTED_VALUE"""),0.0)</f>
        <v>0</v>
      </c>
      <c r="H1142" s="5">
        <f>IFERROR(__xludf.DUMMYFUNCTION("""COMPUTED_VALUE"""),0.12638888888977817)</f>
        <v>0.1263888889</v>
      </c>
    </row>
    <row r="1143">
      <c r="A1143" t="str">
        <f>IFERROR(__xludf.DUMMYFUNCTION("""COMPUTED_VALUE"""),"Guatemala")</f>
        <v>Guatemala</v>
      </c>
      <c r="B1143" t="str">
        <f>IFERROR(__xludf.DUMMYFUNCTION("""COMPUTED_VALUE"""),"North America")</f>
        <v>North America</v>
      </c>
      <c r="C1143">
        <f>IFERROR(__xludf.DUMMYFUNCTION("""COMPUTED_VALUE"""),42.0)</f>
        <v>42</v>
      </c>
      <c r="D1143" t="str">
        <f>IFERROR(__xludf.DUMMYFUNCTION("""COMPUTED_VALUE"""),"Se Me Olvidó")</f>
        <v>Se Me Olvidó</v>
      </c>
      <c r="E1143" t="str">
        <f>IFERROR(__xludf.DUMMYFUNCTION("""COMPUTED_VALUE"""),"Christian Nodal")</f>
        <v>Christian Nodal</v>
      </c>
      <c r="F1143" t="str">
        <f>IFERROR(__xludf.DUMMYFUNCTION("""COMPUTED_VALUE"""),"Se Me Olvidó")</f>
        <v>Se Me Olvidó</v>
      </c>
      <c r="G1143">
        <f>IFERROR(__xludf.DUMMYFUNCTION("""COMPUTED_VALUE"""),0.0)</f>
        <v>0</v>
      </c>
      <c r="H1143" s="5">
        <f>IFERROR(__xludf.DUMMYFUNCTION("""COMPUTED_VALUE"""),0.11041666666642413)</f>
        <v>0.1104166667</v>
      </c>
    </row>
    <row r="1144">
      <c r="A1144" t="str">
        <f>IFERROR(__xludf.DUMMYFUNCTION("""COMPUTED_VALUE"""),"Guatemala")</f>
        <v>Guatemala</v>
      </c>
      <c r="B1144" t="str">
        <f>IFERROR(__xludf.DUMMYFUNCTION("""COMPUTED_VALUE"""),"North America")</f>
        <v>North America</v>
      </c>
      <c r="C1144">
        <f>IFERROR(__xludf.DUMMYFUNCTION("""COMPUTED_VALUE"""),43.0)</f>
        <v>43</v>
      </c>
      <c r="D1144" t="str">
        <f>IFERROR(__xludf.DUMMYFUNCTION("""COMPUTED_VALUE"""),"Tutu")</f>
        <v>Tutu</v>
      </c>
      <c r="E1144" t="str">
        <f>IFERROR(__xludf.DUMMYFUNCTION("""COMPUTED_VALUE"""),"Camilo, Pedro Capó")</f>
        <v>Camilo, Pedro Capó</v>
      </c>
      <c r="F1144" t="str">
        <f>IFERROR(__xludf.DUMMYFUNCTION("""COMPUTED_VALUE"""),"Por Primera Vez")</f>
        <v>Por Primera Vez</v>
      </c>
      <c r="G1144">
        <f>IFERROR(__xludf.DUMMYFUNCTION("""COMPUTED_VALUE"""),0.0)</f>
        <v>0</v>
      </c>
      <c r="H1144" s="5">
        <f>IFERROR(__xludf.DUMMYFUNCTION("""COMPUTED_VALUE"""),0.1243055555569299)</f>
        <v>0.1243055556</v>
      </c>
    </row>
    <row r="1145">
      <c r="A1145" t="str">
        <f>IFERROR(__xludf.DUMMYFUNCTION("""COMPUTED_VALUE"""),"Guatemala")</f>
        <v>Guatemala</v>
      </c>
      <c r="B1145" t="str">
        <f>IFERROR(__xludf.DUMMYFUNCTION("""COMPUTED_VALUE"""),"North America")</f>
        <v>North America</v>
      </c>
      <c r="C1145">
        <f>IFERROR(__xludf.DUMMYFUNCTION("""COMPUTED_VALUE"""),44.0)</f>
        <v>44</v>
      </c>
      <c r="D1145" t="str">
        <f>IFERROR(__xludf.DUMMYFUNCTION("""COMPUTED_VALUE"""),"BAD CON NICKY")</f>
        <v>BAD CON NICKY</v>
      </c>
      <c r="E1145" t="str">
        <f>IFERROR(__xludf.DUMMYFUNCTION("""COMPUTED_VALUE"""),"Bad Bunny, Nicky Jam")</f>
        <v>Bad Bunny, Nicky Jam</v>
      </c>
      <c r="F1145" t="str">
        <f>IFERROR(__xludf.DUMMYFUNCTION("""COMPUTED_VALUE"""),"LAS QUE NO IBAN A SALIR")</f>
        <v>LAS QUE NO IBAN A SALIR</v>
      </c>
      <c r="G1145">
        <f>IFERROR(__xludf.DUMMYFUNCTION("""COMPUTED_VALUE"""),1.0)</f>
        <v>1</v>
      </c>
      <c r="H1145" s="5">
        <f>IFERROR(__xludf.DUMMYFUNCTION("""COMPUTED_VALUE"""),0.14027777777664596)</f>
        <v>0.1402777778</v>
      </c>
    </row>
    <row r="1146">
      <c r="A1146" t="str">
        <f>IFERROR(__xludf.DUMMYFUNCTION("""COMPUTED_VALUE"""),"Guatemala")</f>
        <v>Guatemala</v>
      </c>
      <c r="B1146" t="str">
        <f>IFERROR(__xludf.DUMMYFUNCTION("""COMPUTED_VALUE"""),"North America")</f>
        <v>North America</v>
      </c>
      <c r="C1146">
        <f>IFERROR(__xludf.DUMMYFUNCTION("""COMPUTED_VALUE"""),45.0)</f>
        <v>45</v>
      </c>
      <c r="D1146" t="str">
        <f>IFERROR(__xludf.DUMMYFUNCTION("""COMPUTED_VALUE"""),"MÁS DE UNA CITA")</f>
        <v>MÁS DE UNA CITA</v>
      </c>
      <c r="E1146" t="str">
        <f>IFERROR(__xludf.DUMMYFUNCTION("""COMPUTED_VALUE"""),"Bad Bunny, Zion &amp; Lennox")</f>
        <v>Bad Bunny, Zion &amp; Lennox</v>
      </c>
      <c r="F1146" t="str">
        <f>IFERROR(__xludf.DUMMYFUNCTION("""COMPUTED_VALUE"""),"LAS QUE NO IBAN A SALIR")</f>
        <v>LAS QUE NO IBAN A SALIR</v>
      </c>
      <c r="G1146">
        <f>IFERROR(__xludf.DUMMYFUNCTION("""COMPUTED_VALUE"""),1.0)</f>
        <v>1</v>
      </c>
      <c r="H1146" s="5">
        <f>IFERROR(__xludf.DUMMYFUNCTION("""COMPUTED_VALUE"""),0.12708333333284827)</f>
        <v>0.1270833333</v>
      </c>
    </row>
    <row r="1147">
      <c r="A1147" t="str">
        <f>IFERROR(__xludf.DUMMYFUNCTION("""COMPUTED_VALUE"""),"Guatemala")</f>
        <v>Guatemala</v>
      </c>
      <c r="B1147" t="str">
        <f>IFERROR(__xludf.DUMMYFUNCTION("""COMPUTED_VALUE"""),"North America")</f>
        <v>North America</v>
      </c>
      <c r="C1147">
        <f>IFERROR(__xludf.DUMMYFUNCTION("""COMPUTED_VALUE"""),46.0)</f>
        <v>46</v>
      </c>
      <c r="D1147" t="str">
        <f>IFERROR(__xludf.DUMMYFUNCTION("""COMPUTED_VALUE"""),"Si Te Vas")</f>
        <v>Si Te Vas</v>
      </c>
      <c r="E1147" t="str">
        <f>IFERROR(__xludf.DUMMYFUNCTION("""COMPUTED_VALUE"""),"Sech, Ozuna")</f>
        <v>Sech, Ozuna</v>
      </c>
      <c r="F1147" t="str">
        <f>IFERROR(__xludf.DUMMYFUNCTION("""COMPUTED_VALUE"""),"1 of 1")</f>
        <v>1 of 1</v>
      </c>
      <c r="G1147">
        <f>IFERROR(__xludf.DUMMYFUNCTION("""COMPUTED_VALUE"""),0.0)</f>
        <v>0</v>
      </c>
      <c r="H1147" s="5">
        <f>IFERROR(__xludf.DUMMYFUNCTION("""COMPUTED_VALUE"""),0.14166666666642413)</f>
        <v>0.1416666667</v>
      </c>
    </row>
    <row r="1148">
      <c r="A1148" t="str">
        <f>IFERROR(__xludf.DUMMYFUNCTION("""COMPUTED_VALUE"""),"Guatemala")</f>
        <v>Guatemala</v>
      </c>
      <c r="B1148" t="str">
        <f>IFERROR(__xludf.DUMMYFUNCTION("""COMPUTED_VALUE"""),"North America")</f>
        <v>North America</v>
      </c>
      <c r="C1148">
        <f>IFERROR(__xludf.DUMMYFUNCTION("""COMPUTED_VALUE"""),47.0)</f>
        <v>47</v>
      </c>
      <c r="D1148" t="str">
        <f>IFERROR(__xludf.DUMMYFUNCTION("""COMPUTED_VALUE"""),"El Efecto - Remix")</f>
        <v>El Efecto - Remix</v>
      </c>
      <c r="E1148" t="str">
        <f>IFERROR(__xludf.DUMMYFUNCTION("""COMPUTED_VALUE"""),"Rauw Alejandro, Chencho Corleone, KEVVO, Bryant Myers, Lyanno, Dalex")</f>
        <v>Rauw Alejandro, Chencho Corleone, KEVVO, Bryant Myers, Lyanno, Dalex</v>
      </c>
      <c r="F1148" t="str">
        <f>IFERROR(__xludf.DUMMYFUNCTION("""COMPUTED_VALUE"""),"El Efecto (Remix)")</f>
        <v>El Efecto (Remix)</v>
      </c>
      <c r="G1148">
        <f>IFERROR(__xludf.DUMMYFUNCTION("""COMPUTED_VALUE"""),1.0)</f>
        <v>1</v>
      </c>
      <c r="H1148" s="5">
        <f>IFERROR(__xludf.DUMMYFUNCTION("""COMPUTED_VALUE"""),0.2006944444437977)</f>
        <v>0.2006944444</v>
      </c>
    </row>
    <row r="1149">
      <c r="A1149" t="str">
        <f>IFERROR(__xludf.DUMMYFUNCTION("""COMPUTED_VALUE"""),"Guatemala")</f>
        <v>Guatemala</v>
      </c>
      <c r="B1149" t="str">
        <f>IFERROR(__xludf.DUMMYFUNCTION("""COMPUTED_VALUE"""),"North America")</f>
        <v>North America</v>
      </c>
      <c r="C1149">
        <f>IFERROR(__xludf.DUMMYFUNCTION("""COMPUTED_VALUE"""),48.0)</f>
        <v>48</v>
      </c>
      <c r="D1149" t="str">
        <f>IFERROR(__xludf.DUMMYFUNCTION("""COMPUTED_VALUE"""),"China")</f>
        <v>China</v>
      </c>
      <c r="E1149" t="str">
        <f>IFERROR(__xludf.DUMMYFUNCTION("""COMPUTED_VALUE"""),"Anuel AA, Daddy Yankee, KAROL G, J Balvin, Ozuna")</f>
        <v>Anuel AA, Daddy Yankee, KAROL G, J Balvin, Ozuna</v>
      </c>
      <c r="F1149" t="str">
        <f>IFERROR(__xludf.DUMMYFUNCTION("""COMPUTED_VALUE"""),"China")</f>
        <v>China</v>
      </c>
      <c r="G1149">
        <f>IFERROR(__xludf.DUMMYFUNCTION("""COMPUTED_VALUE"""),0.0)</f>
        <v>0</v>
      </c>
      <c r="H1149" s="5">
        <f>IFERROR(__xludf.DUMMYFUNCTION("""COMPUTED_VALUE"""),0.20902777777882875)</f>
        <v>0.2090277778</v>
      </c>
    </row>
    <row r="1150">
      <c r="A1150" t="str">
        <f>IFERROR(__xludf.DUMMYFUNCTION("""COMPUTED_VALUE"""),"Guatemala")</f>
        <v>Guatemala</v>
      </c>
      <c r="B1150" t="str">
        <f>IFERROR(__xludf.DUMMYFUNCTION("""COMPUTED_VALUE"""),"North America")</f>
        <v>North America</v>
      </c>
      <c r="C1150">
        <f>IFERROR(__xludf.DUMMYFUNCTION("""COMPUTED_VALUE"""),49.0)</f>
        <v>49</v>
      </c>
      <c r="D1150" t="str">
        <f>IFERROR(__xludf.DUMMYFUNCTION("""COMPUTED_VALUE"""),"A Tu Merced")</f>
        <v>A Tu Merced</v>
      </c>
      <c r="E1150" t="str">
        <f>IFERROR(__xludf.DUMMYFUNCTION("""COMPUTED_VALUE"""),"Bad Bunny")</f>
        <v>Bad Bunny</v>
      </c>
      <c r="F1150" t="str">
        <f>IFERROR(__xludf.DUMMYFUNCTION("""COMPUTED_VALUE"""),"YHLQMDLG")</f>
        <v>YHLQMDLG</v>
      </c>
      <c r="G1150">
        <f>IFERROR(__xludf.DUMMYFUNCTION("""COMPUTED_VALUE"""),0.0)</f>
        <v>0</v>
      </c>
      <c r="H1150" s="5">
        <f>IFERROR(__xludf.DUMMYFUNCTION("""COMPUTED_VALUE"""),0.12152777777737356)</f>
        <v>0.1215277778</v>
      </c>
    </row>
    <row r="1151">
      <c r="A1151" t="str">
        <f>IFERROR(__xludf.DUMMYFUNCTION("""COMPUTED_VALUE"""),"Guatemala")</f>
        <v>Guatemala</v>
      </c>
      <c r="B1151" t="str">
        <f>IFERROR(__xludf.DUMMYFUNCTION("""COMPUTED_VALUE"""),"North America")</f>
        <v>North America</v>
      </c>
      <c r="C1151">
        <f>IFERROR(__xludf.DUMMYFUNCTION("""COMPUTED_VALUE"""),50.0)</f>
        <v>50</v>
      </c>
      <c r="D1151" t="str">
        <f>IFERROR(__xludf.DUMMYFUNCTION("""COMPUTED_VALUE"""),"El Efecto")</f>
        <v>El Efecto</v>
      </c>
      <c r="E1151" t="str">
        <f>IFERROR(__xludf.DUMMYFUNCTION("""COMPUTED_VALUE"""),"Rauw Alejandro, Chencho Corleone")</f>
        <v>Rauw Alejandro, Chencho Corleone</v>
      </c>
      <c r="F1151" t="str">
        <f>IFERROR(__xludf.DUMMYFUNCTION("""COMPUTED_VALUE"""),"El Efecto")</f>
        <v>El Efecto</v>
      </c>
      <c r="G1151">
        <f>IFERROR(__xludf.DUMMYFUNCTION("""COMPUTED_VALUE"""),0.0)</f>
        <v>0</v>
      </c>
      <c r="H1151" s="5">
        <f>IFERROR(__xludf.DUMMYFUNCTION("""COMPUTED_VALUE"""),0.1506944444445253)</f>
        <v>0.1506944444</v>
      </c>
    </row>
    <row r="1152">
      <c r="A1152" t="str">
        <f>IFERROR(__xludf.DUMMYFUNCTION("""COMPUTED_VALUE"""),"Honduras")</f>
        <v>Honduras</v>
      </c>
      <c r="B1152" t="str">
        <f>IFERROR(__xludf.DUMMYFUNCTION("""COMPUTED_VALUE"""),"North America")</f>
        <v>North America</v>
      </c>
      <c r="C1152">
        <f>IFERROR(__xludf.DUMMYFUNCTION("""COMPUTED_VALUE"""),1.0)</f>
        <v>1</v>
      </c>
      <c r="D1152" t="str">
        <f>IFERROR(__xludf.DUMMYFUNCTION("""COMPUTED_VALUE"""),"Safaera")</f>
        <v>Safaera</v>
      </c>
      <c r="E1152" t="str">
        <f>IFERROR(__xludf.DUMMYFUNCTION("""COMPUTED_VALUE"""),"Bad Bunny, Jowell &amp; Randy, Nengo Flow")</f>
        <v>Bad Bunny, Jowell &amp; Randy, Nengo Flow</v>
      </c>
      <c r="F1152" t="str">
        <f>IFERROR(__xludf.DUMMYFUNCTION("""COMPUTED_VALUE"""),"YHLQMDLG")</f>
        <v>YHLQMDLG</v>
      </c>
      <c r="G1152">
        <f>IFERROR(__xludf.DUMMYFUNCTION("""COMPUTED_VALUE"""),1.0)</f>
        <v>1</v>
      </c>
      <c r="H1152" s="5">
        <f>IFERROR(__xludf.DUMMYFUNCTION("""COMPUTED_VALUE"""),0.20486111110949423)</f>
        <v>0.2048611111</v>
      </c>
    </row>
    <row r="1153">
      <c r="A1153" t="str">
        <f>IFERROR(__xludf.DUMMYFUNCTION("""COMPUTED_VALUE"""),"Honduras")</f>
        <v>Honduras</v>
      </c>
      <c r="B1153" t="str">
        <f>IFERROR(__xludf.DUMMYFUNCTION("""COMPUTED_VALUE"""),"North America")</f>
        <v>North America</v>
      </c>
      <c r="C1153">
        <f>IFERROR(__xludf.DUMMYFUNCTION("""COMPUTED_VALUE"""),2.0)</f>
        <v>2</v>
      </c>
      <c r="D1153" t="str">
        <f>IFERROR(__xludf.DUMMYFUNCTION("""COMPUTED_VALUE"""),"Yo Perreo Sola")</f>
        <v>Yo Perreo Sola</v>
      </c>
      <c r="E1153" t="str">
        <f>IFERROR(__xludf.DUMMYFUNCTION("""COMPUTED_VALUE"""),"Bad Bunny")</f>
        <v>Bad Bunny</v>
      </c>
      <c r="F1153" t="str">
        <f>IFERROR(__xludf.DUMMYFUNCTION("""COMPUTED_VALUE"""),"YHLQMDLG")</f>
        <v>YHLQMDLG</v>
      </c>
      <c r="G1153">
        <f>IFERROR(__xludf.DUMMYFUNCTION("""COMPUTED_VALUE"""),0.0)</f>
        <v>0</v>
      </c>
      <c r="H1153" s="5">
        <f>IFERROR(__xludf.DUMMYFUNCTION("""COMPUTED_VALUE"""),0.11944444444452529)</f>
        <v>0.1194444444</v>
      </c>
    </row>
    <row r="1154">
      <c r="A1154" t="str">
        <f>IFERROR(__xludf.DUMMYFUNCTION("""COMPUTED_VALUE"""),"Honduras")</f>
        <v>Honduras</v>
      </c>
      <c r="B1154" t="str">
        <f>IFERROR(__xludf.DUMMYFUNCTION("""COMPUTED_VALUE"""),"North America")</f>
        <v>North America</v>
      </c>
      <c r="C1154">
        <f>IFERROR(__xludf.DUMMYFUNCTION("""COMPUTED_VALUE"""),3.0)</f>
        <v>3</v>
      </c>
      <c r="D1154" t="str">
        <f>IFERROR(__xludf.DUMMYFUNCTION("""COMPUTED_VALUE"""),"Rojo")</f>
        <v>Rojo</v>
      </c>
      <c r="E1154" t="str">
        <f>IFERROR(__xludf.DUMMYFUNCTION("""COMPUTED_VALUE"""),"J Balvin")</f>
        <v>J Balvin</v>
      </c>
      <c r="F1154" t="str">
        <f>IFERROR(__xludf.DUMMYFUNCTION("""COMPUTED_VALUE"""),"Colores")</f>
        <v>Colores</v>
      </c>
      <c r="G1154">
        <f>IFERROR(__xludf.DUMMYFUNCTION("""COMPUTED_VALUE"""),0.0)</f>
        <v>0</v>
      </c>
      <c r="H1154" s="5">
        <f>IFERROR(__xludf.DUMMYFUNCTION("""COMPUTED_VALUE"""),0.10416666666787933)</f>
        <v>0.1041666667</v>
      </c>
    </row>
    <row r="1155">
      <c r="A1155" t="str">
        <f>IFERROR(__xludf.DUMMYFUNCTION("""COMPUTED_VALUE"""),"Honduras")</f>
        <v>Honduras</v>
      </c>
      <c r="B1155" t="str">
        <f>IFERROR(__xludf.DUMMYFUNCTION("""COMPUTED_VALUE"""),"North America")</f>
        <v>North America</v>
      </c>
      <c r="C1155">
        <f>IFERROR(__xludf.DUMMYFUNCTION("""COMPUTED_VALUE"""),4.0)</f>
        <v>4</v>
      </c>
      <c r="D1155" t="str">
        <f>IFERROR(__xludf.DUMMYFUNCTION("""COMPUTED_VALUE"""),"CÓMO SE SIENTE - Remix")</f>
        <v>CÓMO SE SIENTE - Remix</v>
      </c>
      <c r="E1155" t="str">
        <f>IFERROR(__xludf.DUMMYFUNCTION("""COMPUTED_VALUE"""),"Jhay Cortez, Bad Bunny")</f>
        <v>Jhay Cortez, Bad Bunny</v>
      </c>
      <c r="F1155" t="str">
        <f>IFERROR(__xludf.DUMMYFUNCTION("""COMPUTED_VALUE"""),"CÓMO SE SIENTE (Remix)")</f>
        <v>CÓMO SE SIENTE (Remix)</v>
      </c>
      <c r="G1155">
        <f>IFERROR(__xludf.DUMMYFUNCTION("""COMPUTED_VALUE"""),1.0)</f>
        <v>1</v>
      </c>
      <c r="H1155" s="5">
        <f>IFERROR(__xludf.DUMMYFUNCTION("""COMPUTED_VALUE"""),0.15763888888977817)</f>
        <v>0.1576388889</v>
      </c>
    </row>
    <row r="1156">
      <c r="A1156" t="str">
        <f>IFERROR(__xludf.DUMMYFUNCTION("""COMPUTED_VALUE"""),"Honduras")</f>
        <v>Honduras</v>
      </c>
      <c r="B1156" t="str">
        <f>IFERROR(__xludf.DUMMYFUNCTION("""COMPUTED_VALUE"""),"North America")</f>
        <v>North America</v>
      </c>
      <c r="C1156">
        <f>IFERROR(__xludf.DUMMYFUNCTION("""COMPUTED_VALUE"""),5.0)</f>
        <v>5</v>
      </c>
      <c r="D1156" t="str">
        <f>IFERROR(__xludf.DUMMYFUNCTION("""COMPUTED_VALUE"""),"Ignorantes")</f>
        <v>Ignorantes</v>
      </c>
      <c r="E1156" t="str">
        <f>IFERROR(__xludf.DUMMYFUNCTION("""COMPUTED_VALUE"""),"Bad Bunny, Sech")</f>
        <v>Bad Bunny, Sech</v>
      </c>
      <c r="F1156" t="str">
        <f>IFERROR(__xludf.DUMMYFUNCTION("""COMPUTED_VALUE"""),"YHLQMDLG")</f>
        <v>YHLQMDLG</v>
      </c>
      <c r="G1156">
        <f>IFERROR(__xludf.DUMMYFUNCTION("""COMPUTED_VALUE"""),1.0)</f>
        <v>1</v>
      </c>
      <c r="H1156" s="5">
        <f>IFERROR(__xludf.DUMMYFUNCTION("""COMPUTED_VALUE"""),0.14583333333212067)</f>
        <v>0.1458333333</v>
      </c>
    </row>
    <row r="1157">
      <c r="A1157" t="str">
        <f>IFERROR(__xludf.DUMMYFUNCTION("""COMPUTED_VALUE"""),"Honduras")</f>
        <v>Honduras</v>
      </c>
      <c r="B1157" t="str">
        <f>IFERROR(__xludf.DUMMYFUNCTION("""COMPUTED_VALUE"""),"North America")</f>
        <v>North America</v>
      </c>
      <c r="C1157">
        <f>IFERROR(__xludf.DUMMYFUNCTION("""COMPUTED_VALUE"""),6.0)</f>
        <v>6</v>
      </c>
      <c r="D1157" t="str">
        <f>IFERROR(__xludf.DUMMYFUNCTION("""COMPUTED_VALUE"""),"BYE ME FUI")</f>
        <v>BYE ME FUI</v>
      </c>
      <c r="E1157" t="str">
        <f>IFERROR(__xludf.DUMMYFUNCTION("""COMPUTED_VALUE"""),"Bad Bunny")</f>
        <v>Bad Bunny</v>
      </c>
      <c r="F1157" t="str">
        <f>IFERROR(__xludf.DUMMYFUNCTION("""COMPUTED_VALUE"""),"LAS QUE NO IBAN A SALIR")</f>
        <v>LAS QUE NO IBAN A SALIR</v>
      </c>
      <c r="G1157">
        <f>IFERROR(__xludf.DUMMYFUNCTION("""COMPUTED_VALUE"""),1.0)</f>
        <v>1</v>
      </c>
      <c r="H1157" s="5">
        <f>IFERROR(__xludf.DUMMYFUNCTION("""COMPUTED_VALUE"""),0.12361111111022183)</f>
        <v>0.1236111111</v>
      </c>
    </row>
    <row r="1158">
      <c r="A1158" t="str">
        <f>IFERROR(__xludf.DUMMYFUNCTION("""COMPUTED_VALUE"""),"Honduras")</f>
        <v>Honduras</v>
      </c>
      <c r="B1158" t="str">
        <f>IFERROR(__xludf.DUMMYFUNCTION("""COMPUTED_VALUE"""),"North America")</f>
        <v>North America</v>
      </c>
      <c r="C1158">
        <f>IFERROR(__xludf.DUMMYFUNCTION("""COMPUTED_VALUE"""),7.0)</f>
        <v>7</v>
      </c>
      <c r="D1158" t="str">
        <f>IFERROR(__xludf.DUMMYFUNCTION("""COMPUTED_VALUE"""),"Si Veo a Tu Mamá")</f>
        <v>Si Veo a Tu Mamá</v>
      </c>
      <c r="E1158" t="str">
        <f>IFERROR(__xludf.DUMMYFUNCTION("""COMPUTED_VALUE"""),"Bad Bunny")</f>
        <v>Bad Bunny</v>
      </c>
      <c r="F1158" t="str">
        <f>IFERROR(__xludf.DUMMYFUNCTION("""COMPUTED_VALUE"""),"YHLQMDLG")</f>
        <v>YHLQMDLG</v>
      </c>
      <c r="G1158">
        <f>IFERROR(__xludf.DUMMYFUNCTION("""COMPUTED_VALUE"""),0.0)</f>
        <v>0</v>
      </c>
      <c r="H1158" s="5">
        <f>IFERROR(__xludf.DUMMYFUNCTION("""COMPUTED_VALUE"""),0.11805555555474712)</f>
        <v>0.1180555556</v>
      </c>
    </row>
    <row r="1159">
      <c r="A1159" t="str">
        <f>IFERROR(__xludf.DUMMYFUNCTION("""COMPUTED_VALUE"""),"Honduras")</f>
        <v>Honduras</v>
      </c>
      <c r="B1159" t="str">
        <f>IFERROR(__xludf.DUMMYFUNCTION("""COMPUTED_VALUE"""),"North America")</f>
        <v>North America</v>
      </c>
      <c r="C1159">
        <f>IFERROR(__xludf.DUMMYFUNCTION("""COMPUTED_VALUE"""),8.0)</f>
        <v>8</v>
      </c>
      <c r="D1159" t="str">
        <f>IFERROR(__xludf.DUMMYFUNCTION("""COMPUTED_VALUE"""),"Favorito")</f>
        <v>Favorito</v>
      </c>
      <c r="E1159" t="str">
        <f>IFERROR(__xludf.DUMMYFUNCTION("""COMPUTED_VALUE"""),"Camilo")</f>
        <v>Camilo</v>
      </c>
      <c r="F1159" t="str">
        <f>IFERROR(__xludf.DUMMYFUNCTION("""COMPUTED_VALUE"""),"Por Primera Vez")</f>
        <v>Por Primera Vez</v>
      </c>
      <c r="G1159">
        <f>IFERROR(__xludf.DUMMYFUNCTION("""COMPUTED_VALUE"""),0.0)</f>
        <v>0</v>
      </c>
      <c r="H1159" s="5">
        <f>IFERROR(__xludf.DUMMYFUNCTION("""COMPUTED_VALUE"""),0.14513888888905058)</f>
        <v>0.1451388889</v>
      </c>
    </row>
    <row r="1160">
      <c r="A1160" t="str">
        <f>IFERROR(__xludf.DUMMYFUNCTION("""COMPUTED_VALUE"""),"Honduras")</f>
        <v>Honduras</v>
      </c>
      <c r="B1160" t="str">
        <f>IFERROR(__xludf.DUMMYFUNCTION("""COMPUTED_VALUE"""),"North America")</f>
        <v>North America</v>
      </c>
      <c r="C1160">
        <f>IFERROR(__xludf.DUMMYFUNCTION("""COMPUTED_VALUE"""),9.0)</f>
        <v>9</v>
      </c>
      <c r="D1160" t="str">
        <f>IFERROR(__xludf.DUMMYFUNCTION("""COMPUTED_VALUE"""),"Blinding Lights")</f>
        <v>Blinding Lights</v>
      </c>
      <c r="E1160" t="str">
        <f>IFERROR(__xludf.DUMMYFUNCTION("""COMPUTED_VALUE"""),"The Weeknd")</f>
        <v>The Weeknd</v>
      </c>
      <c r="F1160" t="str">
        <f>IFERROR(__xludf.DUMMYFUNCTION("""COMPUTED_VALUE"""),"After Hours")</f>
        <v>After Hours</v>
      </c>
      <c r="G1160">
        <f>IFERROR(__xludf.DUMMYFUNCTION("""COMPUTED_VALUE"""),0.0)</f>
        <v>0</v>
      </c>
      <c r="H1160" s="5">
        <f>IFERROR(__xludf.DUMMYFUNCTION("""COMPUTED_VALUE"""),0.13888888889050577)</f>
        <v>0.1388888889</v>
      </c>
    </row>
    <row r="1161">
      <c r="A1161" t="str">
        <f>IFERROR(__xludf.DUMMYFUNCTION("""COMPUTED_VALUE"""),"Honduras")</f>
        <v>Honduras</v>
      </c>
      <c r="B1161" t="str">
        <f>IFERROR(__xludf.DUMMYFUNCTION("""COMPUTED_VALUE"""),"North America")</f>
        <v>North America</v>
      </c>
      <c r="C1161">
        <f>IFERROR(__xludf.DUMMYFUNCTION("""COMPUTED_VALUE"""),10.0)</f>
        <v>10</v>
      </c>
      <c r="D1161" t="str">
        <f>IFERROR(__xludf.DUMMYFUNCTION("""COMPUTED_VALUE"""),"La Santa")</f>
        <v>La Santa</v>
      </c>
      <c r="E1161" t="str">
        <f>IFERROR(__xludf.DUMMYFUNCTION("""COMPUTED_VALUE"""),"Bad Bunny, Daddy Yankee")</f>
        <v>Bad Bunny, Daddy Yankee</v>
      </c>
      <c r="F1161" t="str">
        <f>IFERROR(__xludf.DUMMYFUNCTION("""COMPUTED_VALUE"""),"YHLQMDLG")</f>
        <v>YHLQMDLG</v>
      </c>
      <c r="G1161">
        <f>IFERROR(__xludf.DUMMYFUNCTION("""COMPUTED_VALUE"""),1.0)</f>
        <v>1</v>
      </c>
      <c r="H1161" s="5">
        <f>IFERROR(__xludf.DUMMYFUNCTION("""COMPUTED_VALUE"""),0.1430555555562023)</f>
        <v>0.1430555556</v>
      </c>
    </row>
    <row r="1162">
      <c r="A1162" t="str">
        <f>IFERROR(__xludf.DUMMYFUNCTION("""COMPUTED_VALUE"""),"Honduras")</f>
        <v>Honduras</v>
      </c>
      <c r="B1162" t="str">
        <f>IFERROR(__xludf.DUMMYFUNCTION("""COMPUTED_VALUE"""),"North America")</f>
        <v>North America</v>
      </c>
      <c r="C1162">
        <f>IFERROR(__xludf.DUMMYFUNCTION("""COMPUTED_VALUE"""),11.0)</f>
        <v>11</v>
      </c>
      <c r="D1162" t="str">
        <f>IFERROR(__xludf.DUMMYFUNCTION("""COMPUTED_VALUE"""),"La Difícil")</f>
        <v>La Difícil</v>
      </c>
      <c r="E1162" t="str">
        <f>IFERROR(__xludf.DUMMYFUNCTION("""COMPUTED_VALUE"""),"Bad Bunny")</f>
        <v>Bad Bunny</v>
      </c>
      <c r="F1162" t="str">
        <f>IFERROR(__xludf.DUMMYFUNCTION("""COMPUTED_VALUE"""),"YHLQMDLG")</f>
        <v>YHLQMDLG</v>
      </c>
      <c r="G1162">
        <f>IFERROR(__xludf.DUMMYFUNCTION("""COMPUTED_VALUE"""),1.0)</f>
        <v>1</v>
      </c>
      <c r="H1162" s="5">
        <f>IFERROR(__xludf.DUMMYFUNCTION("""COMPUTED_VALUE"""),0.11319444444598048)</f>
        <v>0.1131944444</v>
      </c>
    </row>
    <row r="1163">
      <c r="A1163" t="str">
        <f>IFERROR(__xludf.DUMMYFUNCTION("""COMPUTED_VALUE"""),"Honduras")</f>
        <v>Honduras</v>
      </c>
      <c r="B1163" t="str">
        <f>IFERROR(__xludf.DUMMYFUNCTION("""COMPUTED_VALUE"""),"North America")</f>
        <v>North America</v>
      </c>
      <c r="C1163">
        <f>IFERROR(__xludf.DUMMYFUNCTION("""COMPUTED_VALUE"""),12.0)</f>
        <v>12</v>
      </c>
      <c r="D1163" t="str">
        <f>IFERROR(__xludf.DUMMYFUNCTION("""COMPUTED_VALUE"""),"Tattoo")</f>
        <v>Tattoo</v>
      </c>
      <c r="E1163" t="str">
        <f>IFERROR(__xludf.DUMMYFUNCTION("""COMPUTED_VALUE"""),"Rauw Alejandro")</f>
        <v>Rauw Alejandro</v>
      </c>
      <c r="F1163" t="str">
        <f>IFERROR(__xludf.DUMMYFUNCTION("""COMPUTED_VALUE"""),"Tattoo")</f>
        <v>Tattoo</v>
      </c>
      <c r="G1163">
        <f>IFERROR(__xludf.DUMMYFUNCTION("""COMPUTED_VALUE"""),0.0)</f>
        <v>0</v>
      </c>
      <c r="H1163" s="5">
        <f>IFERROR(__xludf.DUMMYFUNCTION("""COMPUTED_VALUE"""),0.14027777777664596)</f>
        <v>0.1402777778</v>
      </c>
    </row>
    <row r="1164">
      <c r="A1164" t="str">
        <f>IFERROR(__xludf.DUMMYFUNCTION("""COMPUTED_VALUE"""),"Honduras")</f>
        <v>Honduras</v>
      </c>
      <c r="B1164" t="str">
        <f>IFERROR(__xludf.DUMMYFUNCTION("""COMPUTED_VALUE"""),"North America")</f>
        <v>North America</v>
      </c>
      <c r="C1164">
        <f>IFERROR(__xludf.DUMMYFUNCTION("""COMPUTED_VALUE"""),13.0)</f>
        <v>13</v>
      </c>
      <c r="D1164" t="str">
        <f>IFERROR(__xludf.DUMMYFUNCTION("""COMPUTED_VALUE"""),"CANCIÓN CON YANDEL")</f>
        <v>CANCIÓN CON YANDEL</v>
      </c>
      <c r="E1164" t="str">
        <f>IFERROR(__xludf.DUMMYFUNCTION("""COMPUTED_VALUE"""),"Yandel, Bad Bunny")</f>
        <v>Yandel, Bad Bunny</v>
      </c>
      <c r="F1164" t="str">
        <f>IFERROR(__xludf.DUMMYFUNCTION("""COMPUTED_VALUE"""),"LAS QUE NO IBAN A SALIR")</f>
        <v>LAS QUE NO IBAN A SALIR</v>
      </c>
      <c r="G1164">
        <f>IFERROR(__xludf.DUMMYFUNCTION("""COMPUTED_VALUE"""),1.0)</f>
        <v>1</v>
      </c>
      <c r="H1164" s="5">
        <f>IFERROR(__xludf.DUMMYFUNCTION("""COMPUTED_VALUE"""),0.14513888888905058)</f>
        <v>0.1451388889</v>
      </c>
    </row>
    <row r="1165">
      <c r="A1165" t="str">
        <f>IFERROR(__xludf.DUMMYFUNCTION("""COMPUTED_VALUE"""),"Honduras")</f>
        <v>Honduras</v>
      </c>
      <c r="B1165" t="str">
        <f>IFERROR(__xludf.DUMMYFUNCTION("""COMPUTED_VALUE"""),"North America")</f>
        <v>North America</v>
      </c>
      <c r="C1165">
        <f>IFERROR(__xludf.DUMMYFUNCTION("""COMPUTED_VALUE"""),14.0)</f>
        <v>14</v>
      </c>
      <c r="D1165" t="str">
        <f>IFERROR(__xludf.DUMMYFUNCTION("""COMPUTED_VALUE"""),"Vete")</f>
        <v>Vete</v>
      </c>
      <c r="E1165" t="str">
        <f>IFERROR(__xludf.DUMMYFUNCTION("""COMPUTED_VALUE"""),"Bad Bunny")</f>
        <v>Bad Bunny</v>
      </c>
      <c r="F1165" t="str">
        <f>IFERROR(__xludf.DUMMYFUNCTION("""COMPUTED_VALUE"""),"YHLQMDLG")</f>
        <v>YHLQMDLG</v>
      </c>
      <c r="G1165">
        <f>IFERROR(__xludf.DUMMYFUNCTION("""COMPUTED_VALUE"""),1.0)</f>
        <v>1</v>
      </c>
      <c r="H1165" s="5">
        <f>IFERROR(__xludf.DUMMYFUNCTION("""COMPUTED_VALUE"""),0.13333333333503106)</f>
        <v>0.1333333333</v>
      </c>
    </row>
    <row r="1166">
      <c r="A1166" t="str">
        <f>IFERROR(__xludf.DUMMYFUNCTION("""COMPUTED_VALUE"""),"Honduras")</f>
        <v>Honduras</v>
      </c>
      <c r="B1166" t="str">
        <f>IFERROR(__xludf.DUMMYFUNCTION("""COMPUTED_VALUE"""),"North America")</f>
        <v>North America</v>
      </c>
      <c r="C1166">
        <f>IFERROR(__xludf.DUMMYFUNCTION("""COMPUTED_VALUE"""),15.0)</f>
        <v>15</v>
      </c>
      <c r="D1166" t="str">
        <f>IFERROR(__xludf.DUMMYFUNCTION("""COMPUTED_VALUE"""),"Diosa")</f>
        <v>Diosa</v>
      </c>
      <c r="E1166" t="str">
        <f>IFERROR(__xludf.DUMMYFUNCTION("""COMPUTED_VALUE"""),"Myke Towers")</f>
        <v>Myke Towers</v>
      </c>
      <c r="F1166" t="str">
        <f>IFERROR(__xludf.DUMMYFUNCTION("""COMPUTED_VALUE"""),"Easy Money Baby")</f>
        <v>Easy Money Baby</v>
      </c>
      <c r="G1166">
        <f>IFERROR(__xludf.DUMMYFUNCTION("""COMPUTED_VALUE"""),1.0)</f>
        <v>1</v>
      </c>
      <c r="H1166" s="5">
        <f>IFERROR(__xludf.DUMMYFUNCTION("""COMPUTED_VALUE"""),0.14861111111167702)</f>
        <v>0.1486111111</v>
      </c>
    </row>
    <row r="1167">
      <c r="A1167" t="str">
        <f>IFERROR(__xludf.DUMMYFUNCTION("""COMPUTED_VALUE"""),"Honduras")</f>
        <v>Honduras</v>
      </c>
      <c r="B1167" t="str">
        <f>IFERROR(__xludf.DUMMYFUNCTION("""COMPUTED_VALUE"""),"North America")</f>
        <v>North America</v>
      </c>
      <c r="C1167">
        <f>IFERROR(__xludf.DUMMYFUNCTION("""COMPUTED_VALUE"""),16.0)</f>
        <v>16</v>
      </c>
      <c r="D1167" t="str">
        <f>IFERROR(__xludf.DUMMYFUNCTION("""COMPUTED_VALUE"""),"Hola - Remix")</f>
        <v>Hola - Remix</v>
      </c>
      <c r="E1167" t="str">
        <f>IFERROR(__xludf.DUMMYFUNCTION("""COMPUTED_VALUE"""),"Dalex, Lenny Tavárez, Chencho Corleone, Juhn, Dímelo Flow")</f>
        <v>Dalex, Lenny Tavárez, Chencho Corleone, Juhn, Dímelo Flow</v>
      </c>
      <c r="F1167" t="str">
        <f>IFERROR(__xludf.DUMMYFUNCTION("""COMPUTED_VALUE"""),"Hola (Remix)")</f>
        <v>Hola (Remix)</v>
      </c>
      <c r="G1167">
        <f>IFERROR(__xludf.DUMMYFUNCTION("""COMPUTED_VALUE"""),0.0)</f>
        <v>0</v>
      </c>
      <c r="H1167" s="5">
        <f>IFERROR(__xludf.DUMMYFUNCTION("""COMPUTED_VALUE"""),0.17291666666642413)</f>
        <v>0.1729166667</v>
      </c>
    </row>
    <row r="1168">
      <c r="A1168" t="str">
        <f>IFERROR(__xludf.DUMMYFUNCTION("""COMPUTED_VALUE"""),"Honduras")</f>
        <v>Honduras</v>
      </c>
      <c r="B1168" t="str">
        <f>IFERROR(__xludf.DUMMYFUNCTION("""COMPUTED_VALUE"""),"North America")</f>
        <v>North America</v>
      </c>
      <c r="C1168">
        <f>IFERROR(__xludf.DUMMYFUNCTION("""COMPUTED_VALUE"""),17.0)</f>
        <v>17</v>
      </c>
      <c r="D1168" t="str">
        <f>IFERROR(__xludf.DUMMYFUNCTION("""COMPUTED_VALUE"""),"LA CANCIÓN")</f>
        <v>LA CANCIÓN</v>
      </c>
      <c r="E1168" t="str">
        <f>IFERROR(__xludf.DUMMYFUNCTION("""COMPUTED_VALUE"""),"J Balvin, Bad Bunny")</f>
        <v>J Balvin, Bad Bunny</v>
      </c>
      <c r="F1168" t="str">
        <f>IFERROR(__xludf.DUMMYFUNCTION("""COMPUTED_VALUE"""),"OASIS")</f>
        <v>OASIS</v>
      </c>
      <c r="G1168">
        <f>IFERROR(__xludf.DUMMYFUNCTION("""COMPUTED_VALUE"""),0.0)</f>
        <v>0</v>
      </c>
      <c r="H1168" s="5">
        <f>IFERROR(__xludf.DUMMYFUNCTION("""COMPUTED_VALUE"""),0.16805555555401952)</f>
        <v>0.1680555556</v>
      </c>
    </row>
    <row r="1169">
      <c r="A1169" t="str">
        <f>IFERROR(__xludf.DUMMYFUNCTION("""COMPUTED_VALUE"""),"Honduras")</f>
        <v>Honduras</v>
      </c>
      <c r="B1169" t="str">
        <f>IFERROR(__xludf.DUMMYFUNCTION("""COMPUTED_VALUE"""),"North America")</f>
        <v>North America</v>
      </c>
      <c r="C1169">
        <f>IFERROR(__xludf.DUMMYFUNCTION("""COMPUTED_VALUE"""),18.0)</f>
        <v>18</v>
      </c>
      <c r="D1169" t="str">
        <f>IFERROR(__xludf.DUMMYFUNCTION("""COMPUTED_VALUE"""),"Tusa")</f>
        <v>Tusa</v>
      </c>
      <c r="E1169" t="str">
        <f>IFERROR(__xludf.DUMMYFUNCTION("""COMPUTED_VALUE"""),"KAROL G, Nicki Minaj")</f>
        <v>KAROL G, Nicki Minaj</v>
      </c>
      <c r="F1169" t="str">
        <f>IFERROR(__xludf.DUMMYFUNCTION("""COMPUTED_VALUE"""),"Tusa")</f>
        <v>Tusa</v>
      </c>
      <c r="G1169">
        <f>IFERROR(__xludf.DUMMYFUNCTION("""COMPUTED_VALUE"""),0.0)</f>
        <v>0</v>
      </c>
      <c r="H1169" s="5">
        <f>IFERROR(__xludf.DUMMYFUNCTION("""COMPUTED_VALUE"""),0.13888888889050577)</f>
        <v>0.1388888889</v>
      </c>
    </row>
    <row r="1170">
      <c r="A1170" t="str">
        <f>IFERROR(__xludf.DUMMYFUNCTION("""COMPUTED_VALUE"""),"Honduras")</f>
        <v>Honduras</v>
      </c>
      <c r="B1170" t="str">
        <f>IFERROR(__xludf.DUMMYFUNCTION("""COMPUTED_VALUE"""),"North America")</f>
        <v>North America</v>
      </c>
      <c r="C1170">
        <f>IFERROR(__xludf.DUMMYFUNCTION("""COMPUTED_VALUE"""),19.0)</f>
        <v>19</v>
      </c>
      <c r="D1170" t="str">
        <f>IFERROR(__xludf.DUMMYFUNCTION("""COMPUTED_VALUE"""),"Sigues Con El")</f>
        <v>Sigues Con El</v>
      </c>
      <c r="E1170" t="str">
        <f>IFERROR(__xludf.DUMMYFUNCTION("""COMPUTED_VALUE"""),"Dímelo Flow, Arcangel, Sech")</f>
        <v>Dímelo Flow, Arcangel, Sech</v>
      </c>
      <c r="F1170" t="str">
        <f>IFERROR(__xludf.DUMMYFUNCTION("""COMPUTED_VALUE"""),"Sigues Con El")</f>
        <v>Sigues Con El</v>
      </c>
      <c r="G1170">
        <f>IFERROR(__xludf.DUMMYFUNCTION("""COMPUTED_VALUE"""),0.0)</f>
        <v>0</v>
      </c>
      <c r="H1170" s="5">
        <f>IFERROR(__xludf.DUMMYFUNCTION("""COMPUTED_VALUE"""),0.1569444444430701)</f>
        <v>0.1569444444</v>
      </c>
    </row>
    <row r="1171">
      <c r="A1171" t="str">
        <f>IFERROR(__xludf.DUMMYFUNCTION("""COMPUTED_VALUE"""),"Honduras")</f>
        <v>Honduras</v>
      </c>
      <c r="B1171" t="str">
        <f>IFERROR(__xludf.DUMMYFUNCTION("""COMPUTED_VALUE"""),"North America")</f>
        <v>North America</v>
      </c>
      <c r="C1171">
        <f>IFERROR(__xludf.DUMMYFUNCTION("""COMPUTED_VALUE"""),20.0)</f>
        <v>20</v>
      </c>
      <c r="D1171" t="str">
        <f>IFERROR(__xludf.DUMMYFUNCTION("""COMPUTED_VALUE"""),"A Tu Merced")</f>
        <v>A Tu Merced</v>
      </c>
      <c r="E1171" t="str">
        <f>IFERROR(__xludf.DUMMYFUNCTION("""COMPUTED_VALUE"""),"Bad Bunny")</f>
        <v>Bad Bunny</v>
      </c>
      <c r="F1171" t="str">
        <f>IFERROR(__xludf.DUMMYFUNCTION("""COMPUTED_VALUE"""),"YHLQMDLG")</f>
        <v>YHLQMDLG</v>
      </c>
      <c r="G1171">
        <f>IFERROR(__xludf.DUMMYFUNCTION("""COMPUTED_VALUE"""),0.0)</f>
        <v>0</v>
      </c>
      <c r="H1171" s="5">
        <f>IFERROR(__xludf.DUMMYFUNCTION("""COMPUTED_VALUE"""),0.12152777777737356)</f>
        <v>0.1215277778</v>
      </c>
    </row>
    <row r="1172">
      <c r="A1172" t="str">
        <f>IFERROR(__xludf.DUMMYFUNCTION("""COMPUTED_VALUE"""),"Honduras")</f>
        <v>Honduras</v>
      </c>
      <c r="B1172" t="str">
        <f>IFERROR(__xludf.DUMMYFUNCTION("""COMPUTED_VALUE"""),"North America")</f>
        <v>North America</v>
      </c>
      <c r="C1172">
        <f>IFERROR(__xludf.DUMMYFUNCTION("""COMPUTED_VALUE"""),21.0)</f>
        <v>21</v>
      </c>
      <c r="D1172" t="str">
        <f>IFERROR(__xludf.DUMMYFUNCTION("""COMPUTED_VALUE"""),"No Me Conoce - Remix")</f>
        <v>No Me Conoce - Remix</v>
      </c>
      <c r="E1172" t="str">
        <f>IFERROR(__xludf.DUMMYFUNCTION("""COMPUTED_VALUE"""),"Jhay Cortez, J Balvin, Bad Bunny")</f>
        <v>Jhay Cortez, J Balvin, Bad Bunny</v>
      </c>
      <c r="F1172" t="str">
        <f>IFERROR(__xludf.DUMMYFUNCTION("""COMPUTED_VALUE"""),"Famouz")</f>
        <v>Famouz</v>
      </c>
      <c r="G1172">
        <f>IFERROR(__xludf.DUMMYFUNCTION("""COMPUTED_VALUE"""),0.0)</f>
        <v>0</v>
      </c>
      <c r="H1172" s="5">
        <f>IFERROR(__xludf.DUMMYFUNCTION("""COMPUTED_VALUE"""),0.21458333333430346)</f>
        <v>0.2145833333</v>
      </c>
    </row>
    <row r="1173">
      <c r="A1173" t="str">
        <f>IFERROR(__xludf.DUMMYFUNCTION("""COMPUTED_VALUE"""),"Honduras")</f>
        <v>Honduras</v>
      </c>
      <c r="B1173" t="str">
        <f>IFERROR(__xludf.DUMMYFUNCTION("""COMPUTED_VALUE"""),"North America")</f>
        <v>North America</v>
      </c>
      <c r="C1173">
        <f>IFERROR(__xludf.DUMMYFUNCTION("""COMPUTED_VALUE"""),22.0)</f>
        <v>22</v>
      </c>
      <c r="D1173" t="str">
        <f>IFERROR(__xludf.DUMMYFUNCTION("""COMPUTED_VALUE"""),"Rain On Me (with Ariana Grande)")</f>
        <v>Rain On Me (with Ariana Grande)</v>
      </c>
      <c r="E1173" t="str">
        <f>IFERROR(__xludf.DUMMYFUNCTION("""COMPUTED_VALUE"""),"Lady Gaga, Ariana Grande")</f>
        <v>Lady Gaga, Ariana Grande</v>
      </c>
      <c r="F1173" t="str">
        <f>IFERROR(__xludf.DUMMYFUNCTION("""COMPUTED_VALUE"""),"Rain On Me (with Ariana Grande)")</f>
        <v>Rain On Me (with Ariana Grande)</v>
      </c>
      <c r="G1173">
        <f>IFERROR(__xludf.DUMMYFUNCTION("""COMPUTED_VALUE"""),0.0)</f>
        <v>0</v>
      </c>
      <c r="H1173" s="5">
        <f>IFERROR(__xludf.DUMMYFUNCTION("""COMPUTED_VALUE"""),0.12638888888977817)</f>
        <v>0.1263888889</v>
      </c>
    </row>
    <row r="1174">
      <c r="A1174" t="str">
        <f>IFERROR(__xludf.DUMMYFUNCTION("""COMPUTED_VALUE"""),"Honduras")</f>
        <v>Honduras</v>
      </c>
      <c r="B1174" t="str">
        <f>IFERROR(__xludf.DUMMYFUNCTION("""COMPUTED_VALUE"""),"North America")</f>
        <v>North America</v>
      </c>
      <c r="C1174">
        <f>IFERROR(__xludf.DUMMYFUNCTION("""COMPUTED_VALUE"""),23.0)</f>
        <v>23</v>
      </c>
      <c r="D1174" t="str">
        <f>IFERROR(__xludf.DUMMYFUNCTION("""COMPUTED_VALUE"""),"Elegí (feat. Dímelo Flow)")</f>
        <v>Elegí (feat. Dímelo Flow)</v>
      </c>
      <c r="E1174" t="str">
        <f>IFERROR(__xludf.DUMMYFUNCTION("""COMPUTED_VALUE"""),"Rauw Alejandro, Dalex, Lenny Tavárez, Dímelo Flow")</f>
        <v>Rauw Alejandro, Dalex, Lenny Tavárez, Dímelo Flow</v>
      </c>
      <c r="F1174" t="str">
        <f>IFERROR(__xludf.DUMMYFUNCTION("""COMPUTED_VALUE"""),"Elegí (feat. Dímelo Flow)")</f>
        <v>Elegí (feat. Dímelo Flow)</v>
      </c>
      <c r="G1174">
        <f>IFERROR(__xludf.DUMMYFUNCTION("""COMPUTED_VALUE"""),0.0)</f>
        <v>0</v>
      </c>
      <c r="H1174" s="5">
        <f>IFERROR(__xludf.DUMMYFUNCTION("""COMPUTED_VALUE"""),0.13680555555401952)</f>
        <v>0.1368055556</v>
      </c>
    </row>
    <row r="1175">
      <c r="A1175" t="str">
        <f>IFERROR(__xludf.DUMMYFUNCTION("""COMPUTED_VALUE"""),"Honduras")</f>
        <v>Honduras</v>
      </c>
      <c r="B1175" t="str">
        <f>IFERROR(__xludf.DUMMYFUNCTION("""COMPUTED_VALUE"""),"North America")</f>
        <v>North America</v>
      </c>
      <c r="C1175">
        <f>IFERROR(__xludf.DUMMYFUNCTION("""COMPUTED_VALUE"""),24.0)</f>
        <v>24</v>
      </c>
      <c r="D1175" t="str">
        <f>IFERROR(__xludf.DUMMYFUNCTION("""COMPUTED_VALUE"""),"BAD CON NICKY")</f>
        <v>BAD CON NICKY</v>
      </c>
      <c r="E1175" t="str">
        <f>IFERROR(__xludf.DUMMYFUNCTION("""COMPUTED_VALUE"""),"Bad Bunny, Nicky Jam")</f>
        <v>Bad Bunny, Nicky Jam</v>
      </c>
      <c r="F1175" t="str">
        <f>IFERROR(__xludf.DUMMYFUNCTION("""COMPUTED_VALUE"""),"LAS QUE NO IBAN A SALIR")</f>
        <v>LAS QUE NO IBAN A SALIR</v>
      </c>
      <c r="G1175">
        <f>IFERROR(__xludf.DUMMYFUNCTION("""COMPUTED_VALUE"""),1.0)</f>
        <v>1</v>
      </c>
      <c r="H1175" s="5">
        <f>IFERROR(__xludf.DUMMYFUNCTION("""COMPUTED_VALUE"""),0.14027777777664596)</f>
        <v>0.1402777778</v>
      </c>
    </row>
    <row r="1176">
      <c r="A1176" t="str">
        <f>IFERROR(__xludf.DUMMYFUNCTION("""COMPUTED_VALUE"""),"Honduras")</f>
        <v>Honduras</v>
      </c>
      <c r="B1176" t="str">
        <f>IFERROR(__xludf.DUMMYFUNCTION("""COMPUTED_VALUE"""),"North America")</f>
        <v>North America</v>
      </c>
      <c r="C1176">
        <f>IFERROR(__xludf.DUMMYFUNCTION("""COMPUTED_VALUE"""),25.0)</f>
        <v>25</v>
      </c>
      <c r="D1176" t="str">
        <f>IFERROR(__xludf.DUMMYFUNCTION("""COMPUTED_VALUE"""),"Morado")</f>
        <v>Morado</v>
      </c>
      <c r="E1176" t="str">
        <f>IFERROR(__xludf.DUMMYFUNCTION("""COMPUTED_VALUE"""),"J Balvin")</f>
        <v>J Balvin</v>
      </c>
      <c r="F1176" t="str">
        <f>IFERROR(__xludf.DUMMYFUNCTION("""COMPUTED_VALUE"""),"Colores")</f>
        <v>Colores</v>
      </c>
      <c r="G1176">
        <f>IFERROR(__xludf.DUMMYFUNCTION("""COMPUTED_VALUE"""),0.0)</f>
        <v>0</v>
      </c>
      <c r="H1176" s="5">
        <f>IFERROR(__xludf.DUMMYFUNCTION("""COMPUTED_VALUE"""),0.13888888889050577)</f>
        <v>0.1388888889</v>
      </c>
    </row>
    <row r="1177">
      <c r="A1177" t="str">
        <f>IFERROR(__xludf.DUMMYFUNCTION("""COMPUTED_VALUE"""),"Honduras")</f>
        <v>Honduras</v>
      </c>
      <c r="B1177" t="str">
        <f>IFERROR(__xludf.DUMMYFUNCTION("""COMPUTED_VALUE"""),"North America")</f>
        <v>North America</v>
      </c>
      <c r="C1177">
        <f>IFERROR(__xludf.DUMMYFUNCTION("""COMPUTED_VALUE"""),26.0)</f>
        <v>26</v>
      </c>
      <c r="D1177" t="str">
        <f>IFERROR(__xludf.DUMMYFUNCTION("""COMPUTED_VALUE"""),"Fantasias")</f>
        <v>Fantasias</v>
      </c>
      <c r="E1177" t="str">
        <f>IFERROR(__xludf.DUMMYFUNCTION("""COMPUTED_VALUE"""),"Rauw Alejandro, Farruko")</f>
        <v>Rauw Alejandro, Farruko</v>
      </c>
      <c r="F1177" t="str">
        <f>IFERROR(__xludf.DUMMYFUNCTION("""COMPUTED_VALUE"""),"Fantasias")</f>
        <v>Fantasias</v>
      </c>
      <c r="G1177">
        <f>IFERROR(__xludf.DUMMYFUNCTION("""COMPUTED_VALUE"""),0.0)</f>
        <v>0</v>
      </c>
      <c r="H1177" s="5">
        <f>IFERROR(__xludf.DUMMYFUNCTION("""COMPUTED_VALUE"""),0.1381944444437977)</f>
        <v>0.1381944444</v>
      </c>
    </row>
    <row r="1178">
      <c r="A1178" t="str">
        <f>IFERROR(__xludf.DUMMYFUNCTION("""COMPUTED_VALUE"""),"Honduras")</f>
        <v>Honduras</v>
      </c>
      <c r="B1178" t="str">
        <f>IFERROR(__xludf.DUMMYFUNCTION("""COMPUTED_VALUE"""),"North America")</f>
        <v>North America</v>
      </c>
      <c r="C1178">
        <f>IFERROR(__xludf.DUMMYFUNCTION("""COMPUTED_VALUE"""),27.0)</f>
        <v>27</v>
      </c>
      <c r="D1178" t="str">
        <f>IFERROR(__xludf.DUMMYFUNCTION("""COMPUTED_VALUE"""),"PA' ROMPERLA")</f>
        <v>PA' ROMPERLA</v>
      </c>
      <c r="E1178" t="str">
        <f>IFERROR(__xludf.DUMMYFUNCTION("""COMPUTED_VALUE"""),"Bad Bunny, Don Omar")</f>
        <v>Bad Bunny, Don Omar</v>
      </c>
      <c r="F1178" t="str">
        <f>IFERROR(__xludf.DUMMYFUNCTION("""COMPUTED_VALUE"""),"LAS QUE NO IBAN A SALIR")</f>
        <v>LAS QUE NO IBAN A SALIR</v>
      </c>
      <c r="G1178">
        <f>IFERROR(__xludf.DUMMYFUNCTION("""COMPUTED_VALUE"""),1.0)</f>
        <v>1</v>
      </c>
      <c r="H1178" s="5">
        <f>IFERROR(__xludf.DUMMYFUNCTION("""COMPUTED_VALUE"""),0.13472222222117125)</f>
        <v>0.1347222222</v>
      </c>
    </row>
    <row r="1179">
      <c r="A1179" t="str">
        <f>IFERROR(__xludf.DUMMYFUNCTION("""COMPUTED_VALUE"""),"Honduras")</f>
        <v>Honduras</v>
      </c>
      <c r="B1179" t="str">
        <f>IFERROR(__xludf.DUMMYFUNCTION("""COMPUTED_VALUE"""),"North America")</f>
        <v>North America</v>
      </c>
      <c r="C1179">
        <f>IFERROR(__xludf.DUMMYFUNCTION("""COMPUTED_VALUE"""),28.0)</f>
        <v>28</v>
      </c>
      <c r="D1179" t="str">
        <f>IFERROR(__xludf.DUMMYFUNCTION("""COMPUTED_VALUE"""),"MÁS DE UNA CITA")</f>
        <v>MÁS DE UNA CITA</v>
      </c>
      <c r="E1179" t="str">
        <f>IFERROR(__xludf.DUMMYFUNCTION("""COMPUTED_VALUE"""),"Bad Bunny, Zion &amp; Lennox")</f>
        <v>Bad Bunny, Zion &amp; Lennox</v>
      </c>
      <c r="F1179" t="str">
        <f>IFERROR(__xludf.DUMMYFUNCTION("""COMPUTED_VALUE"""),"LAS QUE NO IBAN A SALIR")</f>
        <v>LAS QUE NO IBAN A SALIR</v>
      </c>
      <c r="G1179">
        <f>IFERROR(__xludf.DUMMYFUNCTION("""COMPUTED_VALUE"""),1.0)</f>
        <v>1</v>
      </c>
      <c r="H1179" s="5">
        <f>IFERROR(__xludf.DUMMYFUNCTION("""COMPUTED_VALUE"""),0.12708333333284827)</f>
        <v>0.1270833333</v>
      </c>
    </row>
    <row r="1180">
      <c r="A1180" t="str">
        <f>IFERROR(__xludf.DUMMYFUNCTION("""COMPUTED_VALUE"""),"Honduras")</f>
        <v>Honduras</v>
      </c>
      <c r="B1180" t="str">
        <f>IFERROR(__xludf.DUMMYFUNCTION("""COMPUTED_VALUE"""),"North America")</f>
        <v>North America</v>
      </c>
      <c r="C1180">
        <f>IFERROR(__xludf.DUMMYFUNCTION("""COMPUTED_VALUE"""),29.0)</f>
        <v>29</v>
      </c>
      <c r="D1180" t="str">
        <f>IFERROR(__xludf.DUMMYFUNCTION("""COMPUTED_VALUE"""),"Relación")</f>
        <v>Relación</v>
      </c>
      <c r="E1180" t="str">
        <f>IFERROR(__xludf.DUMMYFUNCTION("""COMPUTED_VALUE"""),"Sech")</f>
        <v>Sech</v>
      </c>
      <c r="F1180" t="str">
        <f>IFERROR(__xludf.DUMMYFUNCTION("""COMPUTED_VALUE"""),"1 of 1")</f>
        <v>1 of 1</v>
      </c>
      <c r="G1180">
        <f>IFERROR(__xludf.DUMMYFUNCTION("""COMPUTED_VALUE"""),0.0)</f>
        <v>0</v>
      </c>
      <c r="H1180" s="5">
        <f>IFERROR(__xludf.DUMMYFUNCTION("""COMPUTED_VALUE"""),0.12777777777955635)</f>
        <v>0.1277777778</v>
      </c>
    </row>
    <row r="1181">
      <c r="A1181" t="str">
        <f>IFERROR(__xludf.DUMMYFUNCTION("""COMPUTED_VALUE"""),"Honduras")</f>
        <v>Honduras</v>
      </c>
      <c r="B1181" t="str">
        <f>IFERROR(__xludf.DUMMYFUNCTION("""COMPUTED_VALUE"""),"North America")</f>
        <v>North America</v>
      </c>
      <c r="C1181">
        <f>IFERROR(__xludf.DUMMYFUNCTION("""COMPUTED_VALUE"""),30.0)</f>
        <v>30</v>
      </c>
      <c r="D1181" t="str">
        <f>IFERROR(__xludf.DUMMYFUNCTION("""COMPUTED_VALUE"""),"Don't Start Now")</f>
        <v>Don't Start Now</v>
      </c>
      <c r="E1181" t="str">
        <f>IFERROR(__xludf.DUMMYFUNCTION("""COMPUTED_VALUE"""),"Dua Lipa")</f>
        <v>Dua Lipa</v>
      </c>
      <c r="F1181" t="str">
        <f>IFERROR(__xludf.DUMMYFUNCTION("""COMPUTED_VALUE"""),"Future Nostalgia")</f>
        <v>Future Nostalgia</v>
      </c>
      <c r="G1181">
        <f>IFERROR(__xludf.DUMMYFUNCTION("""COMPUTED_VALUE"""),0.0)</f>
        <v>0</v>
      </c>
      <c r="H1181" s="5">
        <f>IFERROR(__xludf.DUMMYFUNCTION("""COMPUTED_VALUE"""),0.12708333333284827)</f>
        <v>0.1270833333</v>
      </c>
    </row>
    <row r="1182">
      <c r="A1182" t="str">
        <f>IFERROR(__xludf.DUMMYFUNCTION("""COMPUTED_VALUE"""),"Honduras")</f>
        <v>Honduras</v>
      </c>
      <c r="B1182" t="str">
        <f>IFERROR(__xludf.DUMMYFUNCTION("""COMPUTED_VALUE"""),"North America")</f>
        <v>North America</v>
      </c>
      <c r="C1182">
        <f>IFERROR(__xludf.DUMMYFUNCTION("""COMPUTED_VALUE"""),31.0)</f>
        <v>31</v>
      </c>
      <c r="D1182" t="str">
        <f>IFERROR(__xludf.DUMMYFUNCTION("""COMPUTED_VALUE"""),"Amarillo")</f>
        <v>Amarillo</v>
      </c>
      <c r="E1182" t="str">
        <f>IFERROR(__xludf.DUMMYFUNCTION("""COMPUTED_VALUE"""),"J Balvin")</f>
        <v>J Balvin</v>
      </c>
      <c r="F1182" t="str">
        <f>IFERROR(__xludf.DUMMYFUNCTION("""COMPUTED_VALUE"""),"Colores")</f>
        <v>Colores</v>
      </c>
      <c r="G1182">
        <f>IFERROR(__xludf.DUMMYFUNCTION("""COMPUTED_VALUE"""),0.0)</f>
        <v>0</v>
      </c>
      <c r="H1182" s="5">
        <f>IFERROR(__xludf.DUMMYFUNCTION("""COMPUTED_VALUE"""),0.10902777777664596)</f>
        <v>0.1090277778</v>
      </c>
    </row>
    <row r="1183">
      <c r="A1183" t="str">
        <f>IFERROR(__xludf.DUMMYFUNCTION("""COMPUTED_VALUE"""),"Honduras")</f>
        <v>Honduras</v>
      </c>
      <c r="B1183" t="str">
        <f>IFERROR(__xludf.DUMMYFUNCTION("""COMPUTED_VALUE"""),"North America")</f>
        <v>North America</v>
      </c>
      <c r="C1183">
        <f>IFERROR(__xludf.DUMMYFUNCTION("""COMPUTED_VALUE"""),32.0)</f>
        <v>32</v>
      </c>
      <c r="D1183" t="str">
        <f>IFERROR(__xludf.DUMMYFUNCTION("""COMPUTED_VALUE"""),"Pa' Olvidarme De Ella")</f>
        <v>Pa' Olvidarme De Ella</v>
      </c>
      <c r="E1183" t="str">
        <f>IFERROR(__xludf.DUMMYFUNCTION("""COMPUTED_VALUE"""),"Piso 21, Christian Nodal")</f>
        <v>Piso 21, Christian Nodal</v>
      </c>
      <c r="F1183" t="str">
        <f>IFERROR(__xludf.DUMMYFUNCTION("""COMPUTED_VALUE"""),"Pa' Olvidarme De Ella")</f>
        <v>Pa' Olvidarme De Ella</v>
      </c>
      <c r="G1183">
        <f>IFERROR(__xludf.DUMMYFUNCTION("""COMPUTED_VALUE"""),1.0)</f>
        <v>1</v>
      </c>
      <c r="H1183" s="5">
        <f>IFERROR(__xludf.DUMMYFUNCTION("""COMPUTED_VALUE"""),0.15763888888977817)</f>
        <v>0.1576388889</v>
      </c>
    </row>
    <row r="1184">
      <c r="A1184" t="str">
        <f>IFERROR(__xludf.DUMMYFUNCTION("""COMPUTED_VALUE"""),"Honduras")</f>
        <v>Honduras</v>
      </c>
      <c r="B1184" t="str">
        <f>IFERROR(__xludf.DUMMYFUNCTION("""COMPUTED_VALUE"""),"North America")</f>
        <v>North America</v>
      </c>
      <c r="C1184">
        <f>IFERROR(__xludf.DUMMYFUNCTION("""COMPUTED_VALUE"""),33.0)</f>
        <v>33</v>
      </c>
      <c r="D1184" t="str">
        <f>IFERROR(__xludf.DUMMYFUNCTION("""COMPUTED_VALUE"""),"PORFA")</f>
        <v>PORFA</v>
      </c>
      <c r="E1184" t="str">
        <f>IFERROR(__xludf.DUMMYFUNCTION("""COMPUTED_VALUE"""),"Feid, Justin Quiles")</f>
        <v>Feid, Justin Quiles</v>
      </c>
      <c r="F1184" t="str">
        <f>IFERROR(__xludf.DUMMYFUNCTION("""COMPUTED_VALUE"""),"FERXXO (VOL 1: M.O.R)")</f>
        <v>FERXXO (VOL 1: M.O.R)</v>
      </c>
      <c r="G1184">
        <f>IFERROR(__xludf.DUMMYFUNCTION("""COMPUTED_VALUE"""),0.0)</f>
        <v>0</v>
      </c>
      <c r="H1184" s="5">
        <f>IFERROR(__xludf.DUMMYFUNCTION("""COMPUTED_VALUE"""),0.16111111111240461)</f>
        <v>0.1611111111</v>
      </c>
    </row>
    <row r="1185">
      <c r="A1185" t="str">
        <f>IFERROR(__xludf.DUMMYFUNCTION("""COMPUTED_VALUE"""),"Honduras")</f>
        <v>Honduras</v>
      </c>
      <c r="B1185" t="str">
        <f>IFERROR(__xludf.DUMMYFUNCTION("""COMPUTED_VALUE"""),"North America")</f>
        <v>North America</v>
      </c>
      <c r="C1185">
        <f>IFERROR(__xludf.DUMMYFUNCTION("""COMPUTED_VALUE"""),34.0)</f>
        <v>34</v>
      </c>
      <c r="D1185" t="str">
        <f>IFERROR(__xludf.DUMMYFUNCTION("""COMPUTED_VALUE"""),"Callaita")</f>
        <v>Callaita</v>
      </c>
      <c r="E1185" t="str">
        <f>IFERROR(__xludf.DUMMYFUNCTION("""COMPUTED_VALUE"""),"Bad Bunny, Tainy")</f>
        <v>Bad Bunny, Tainy</v>
      </c>
      <c r="F1185" t="str">
        <f>IFERROR(__xludf.DUMMYFUNCTION("""COMPUTED_VALUE"""),"Callaita")</f>
        <v>Callaita</v>
      </c>
      <c r="G1185">
        <f>IFERROR(__xludf.DUMMYFUNCTION("""COMPUTED_VALUE"""),1.0)</f>
        <v>1</v>
      </c>
      <c r="H1185" s="5">
        <f>IFERROR(__xludf.DUMMYFUNCTION("""COMPUTED_VALUE"""),0.17361111110949423)</f>
        <v>0.1736111111</v>
      </c>
    </row>
    <row r="1186">
      <c r="A1186" t="str">
        <f>IFERROR(__xludf.DUMMYFUNCTION("""COMPUTED_VALUE"""),"Honduras")</f>
        <v>Honduras</v>
      </c>
      <c r="B1186" t="str">
        <f>IFERROR(__xludf.DUMMYFUNCTION("""COMPUTED_VALUE"""),"North America")</f>
        <v>North America</v>
      </c>
      <c r="C1186">
        <f>IFERROR(__xludf.DUMMYFUNCTION("""COMPUTED_VALUE"""),35.0)</f>
        <v>35</v>
      </c>
      <c r="D1186" t="str">
        <f>IFERROR(__xludf.DUMMYFUNCTION("""COMPUTED_VALUE"""),"Dance Monkey")</f>
        <v>Dance Monkey</v>
      </c>
      <c r="E1186" t="str">
        <f>IFERROR(__xludf.DUMMYFUNCTION("""COMPUTED_VALUE"""),"Tones And I")</f>
        <v>Tones And I</v>
      </c>
      <c r="F1186" t="str">
        <f>IFERROR(__xludf.DUMMYFUNCTION("""COMPUTED_VALUE"""),"Dance Monkey (Stripped Back) / Dance Monkey")</f>
        <v>Dance Monkey (Stripped Back) / Dance Monkey</v>
      </c>
      <c r="G1186">
        <f>IFERROR(__xludf.DUMMYFUNCTION("""COMPUTED_VALUE"""),0.0)</f>
        <v>0</v>
      </c>
      <c r="H1186" s="5">
        <f>IFERROR(__xludf.DUMMYFUNCTION("""COMPUTED_VALUE"""),0.14513888888905058)</f>
        <v>0.1451388889</v>
      </c>
    </row>
    <row r="1187">
      <c r="A1187" t="str">
        <f>IFERROR(__xludf.DUMMYFUNCTION("""COMPUTED_VALUE"""),"Honduras")</f>
        <v>Honduras</v>
      </c>
      <c r="B1187" t="str">
        <f>IFERROR(__xludf.DUMMYFUNCTION("""COMPUTED_VALUE"""),"North America")</f>
        <v>North America</v>
      </c>
      <c r="C1187">
        <f>IFERROR(__xludf.DUMMYFUNCTION("""COMPUTED_VALUE"""),36.0)</f>
        <v>36</v>
      </c>
      <c r="D1187" t="str">
        <f>IFERROR(__xludf.DUMMYFUNCTION("""COMPUTED_VALUE"""),"Jangueo")</f>
        <v>Jangueo</v>
      </c>
      <c r="E1187" t="str">
        <f>IFERROR(__xludf.DUMMYFUNCTION("""COMPUTED_VALUE"""),"Alex Rose, Rafa Pabön")</f>
        <v>Alex Rose, Rafa Pabön</v>
      </c>
      <c r="F1187" t="str">
        <f>IFERROR(__xludf.DUMMYFUNCTION("""COMPUTED_VALUE"""),"LOST")</f>
        <v>LOST</v>
      </c>
      <c r="G1187">
        <f>IFERROR(__xludf.DUMMYFUNCTION("""COMPUTED_VALUE"""),0.0)</f>
        <v>0</v>
      </c>
      <c r="H1187" s="5">
        <f>IFERROR(__xludf.DUMMYFUNCTION("""COMPUTED_VALUE"""),0.17986111111167702)</f>
        <v>0.1798611111</v>
      </c>
    </row>
    <row r="1188">
      <c r="A1188" t="str">
        <f>IFERROR(__xludf.DUMMYFUNCTION("""COMPUTED_VALUE"""),"Honduras")</f>
        <v>Honduras</v>
      </c>
      <c r="B1188" t="str">
        <f>IFERROR(__xludf.DUMMYFUNCTION("""COMPUTED_VALUE"""),"North America")</f>
        <v>North America</v>
      </c>
      <c r="C1188">
        <f>IFERROR(__xludf.DUMMYFUNCTION("""COMPUTED_VALUE"""),37.0)</f>
        <v>37</v>
      </c>
      <c r="D1188" t="str">
        <f>IFERROR(__xludf.DUMMYFUNCTION("""COMPUTED_VALUE"""),"BENDICIONES")</f>
        <v>BENDICIONES</v>
      </c>
      <c r="E1188" t="str">
        <f>IFERROR(__xludf.DUMMYFUNCTION("""COMPUTED_VALUE"""),"Bad Bunny")</f>
        <v>Bad Bunny</v>
      </c>
      <c r="F1188" t="str">
        <f>IFERROR(__xludf.DUMMYFUNCTION("""COMPUTED_VALUE"""),"LAS QUE NO IBAN A SALIR")</f>
        <v>LAS QUE NO IBAN A SALIR</v>
      </c>
      <c r="G1188">
        <f>IFERROR(__xludf.DUMMYFUNCTION("""COMPUTED_VALUE"""),0.0)</f>
        <v>0</v>
      </c>
      <c r="H1188" s="5">
        <f>IFERROR(__xludf.DUMMYFUNCTION("""COMPUTED_VALUE"""),0.10763888889050577)</f>
        <v>0.1076388889</v>
      </c>
    </row>
    <row r="1189">
      <c r="A1189" t="str">
        <f>IFERROR(__xludf.DUMMYFUNCTION("""COMPUTED_VALUE"""),"Honduras")</f>
        <v>Honduras</v>
      </c>
      <c r="B1189" t="str">
        <f>IFERROR(__xludf.DUMMYFUNCTION("""COMPUTED_VALUE"""),"North America")</f>
        <v>North America</v>
      </c>
      <c r="C1189">
        <f>IFERROR(__xludf.DUMMYFUNCTION("""COMPUTED_VALUE"""),38.0)</f>
        <v>38</v>
      </c>
      <c r="D1189" t="str">
        <f>IFERROR(__xludf.DUMMYFUNCTION("""COMPUTED_VALUE"""),"El Efecto - Remix")</f>
        <v>El Efecto - Remix</v>
      </c>
      <c r="E1189" t="str">
        <f>IFERROR(__xludf.DUMMYFUNCTION("""COMPUTED_VALUE"""),"Rauw Alejandro, Chencho Corleone, KEVVO, Bryant Myers, Lyanno, Dalex")</f>
        <v>Rauw Alejandro, Chencho Corleone, KEVVO, Bryant Myers, Lyanno, Dalex</v>
      </c>
      <c r="F1189" t="str">
        <f>IFERROR(__xludf.DUMMYFUNCTION("""COMPUTED_VALUE"""),"El Efecto (Remix)")</f>
        <v>El Efecto (Remix)</v>
      </c>
      <c r="G1189">
        <f>IFERROR(__xludf.DUMMYFUNCTION("""COMPUTED_VALUE"""),1.0)</f>
        <v>1</v>
      </c>
      <c r="H1189" s="5">
        <f>IFERROR(__xludf.DUMMYFUNCTION("""COMPUTED_VALUE"""),0.2006944444437977)</f>
        <v>0.2006944444</v>
      </c>
    </row>
    <row r="1190">
      <c r="A1190" t="str">
        <f>IFERROR(__xludf.DUMMYFUNCTION("""COMPUTED_VALUE"""),"Honduras")</f>
        <v>Honduras</v>
      </c>
      <c r="B1190" t="str">
        <f>IFERROR(__xludf.DUMMYFUNCTION("""COMPUTED_VALUE"""),"North America")</f>
        <v>North America</v>
      </c>
      <c r="C1190">
        <f>IFERROR(__xludf.DUMMYFUNCTION("""COMPUTED_VALUE"""),39.0)</f>
        <v>39</v>
      </c>
      <c r="D1190" t="str">
        <f>IFERROR(__xludf.DUMMYFUNCTION("""COMPUTED_VALUE"""),"Bajo La Mesa")</f>
        <v>Bajo La Mesa</v>
      </c>
      <c r="E1190" t="str">
        <f>IFERROR(__xludf.DUMMYFUNCTION("""COMPUTED_VALUE"""),"Morat, Sebastian Yatra")</f>
        <v>Morat, Sebastian Yatra</v>
      </c>
      <c r="F1190" t="str">
        <f>IFERROR(__xludf.DUMMYFUNCTION("""COMPUTED_VALUE"""),"Bajo La Mesa")</f>
        <v>Bajo La Mesa</v>
      </c>
      <c r="G1190">
        <f>IFERROR(__xludf.DUMMYFUNCTION("""COMPUTED_VALUE"""),0.0)</f>
        <v>0</v>
      </c>
      <c r="H1190" s="5">
        <f>IFERROR(__xludf.DUMMYFUNCTION("""COMPUTED_VALUE"""),0.10902777777664596)</f>
        <v>0.1090277778</v>
      </c>
    </row>
    <row r="1191">
      <c r="A1191" t="str">
        <f>IFERROR(__xludf.DUMMYFUNCTION("""COMPUTED_VALUE"""),"Honduras")</f>
        <v>Honduras</v>
      </c>
      <c r="B1191" t="str">
        <f>IFERROR(__xludf.DUMMYFUNCTION("""COMPUTED_VALUE"""),"North America")</f>
        <v>North America</v>
      </c>
      <c r="C1191">
        <f>IFERROR(__xludf.DUMMYFUNCTION("""COMPUTED_VALUE"""),40.0)</f>
        <v>40</v>
      </c>
      <c r="D1191" t="str">
        <f>IFERROR(__xludf.DUMMYFUNCTION("""COMPUTED_VALUE"""),"Adicto (with Anuel AA &amp; Ozuna)")</f>
        <v>Adicto (with Anuel AA &amp; Ozuna)</v>
      </c>
      <c r="E1191" t="str">
        <f>IFERROR(__xludf.DUMMYFUNCTION("""COMPUTED_VALUE"""),"Tainy, Anuel AA, Ozuna")</f>
        <v>Tainy, Anuel AA, Ozuna</v>
      </c>
      <c r="F1191" t="str">
        <f>IFERROR(__xludf.DUMMYFUNCTION("""COMPUTED_VALUE"""),"Adicto (with Anuel AA &amp; Ozuna)")</f>
        <v>Adicto (with Anuel AA &amp; Ozuna)</v>
      </c>
      <c r="G1191">
        <f>IFERROR(__xludf.DUMMYFUNCTION("""COMPUTED_VALUE"""),0.0)</f>
        <v>0</v>
      </c>
      <c r="H1191" s="5">
        <f>IFERROR(__xludf.DUMMYFUNCTION("""COMPUTED_VALUE"""),0.1875)</f>
        <v>0.1875</v>
      </c>
    </row>
    <row r="1192">
      <c r="A1192" t="str">
        <f>IFERROR(__xludf.DUMMYFUNCTION("""COMPUTED_VALUE"""),"Honduras")</f>
        <v>Honduras</v>
      </c>
      <c r="B1192" t="str">
        <f>IFERROR(__xludf.DUMMYFUNCTION("""COMPUTED_VALUE"""),"North America")</f>
        <v>North America</v>
      </c>
      <c r="C1192">
        <f>IFERROR(__xludf.DUMMYFUNCTION("""COMPUTED_VALUE"""),41.0)</f>
        <v>41</v>
      </c>
      <c r="D1192" t="str">
        <f>IFERROR(__xludf.DUMMYFUNCTION("""COMPUTED_VALUE"""),"death bed (coffee for your head) (feat. beabadoobee)")</f>
        <v>death bed (coffee for your head) (feat. beabadoobee)</v>
      </c>
      <c r="E1192" t="str">
        <f>IFERROR(__xludf.DUMMYFUNCTION("""COMPUTED_VALUE"""),"Powfu, beabadoobee")</f>
        <v>Powfu, beabadoobee</v>
      </c>
      <c r="F1192" t="str">
        <f>IFERROR(__xludf.DUMMYFUNCTION("""COMPUTED_VALUE"""),"death bed (coffee for your head) (feat. beabadoobee)")</f>
        <v>death bed (coffee for your head) (feat. beabadoobee)</v>
      </c>
      <c r="G1192">
        <f>IFERROR(__xludf.DUMMYFUNCTION("""COMPUTED_VALUE"""),0.0)</f>
        <v>0</v>
      </c>
      <c r="H1192" s="5">
        <f>IFERROR(__xludf.DUMMYFUNCTION("""COMPUTED_VALUE"""),0.12013888888759539)</f>
        <v>0.1201388889</v>
      </c>
    </row>
    <row r="1193">
      <c r="A1193" t="str">
        <f>IFERROR(__xludf.DUMMYFUNCTION("""COMPUTED_VALUE"""),"Honduras")</f>
        <v>Honduras</v>
      </c>
      <c r="B1193" t="str">
        <f>IFERROR(__xludf.DUMMYFUNCTION("""COMPUTED_VALUE"""),"North America")</f>
        <v>North America</v>
      </c>
      <c r="C1193">
        <f>IFERROR(__xludf.DUMMYFUNCTION("""COMPUTED_VALUE"""),42.0)</f>
        <v>42</v>
      </c>
      <c r="D1193" t="str">
        <f>IFERROR(__xludf.DUMMYFUNCTION("""COMPUTED_VALUE"""),"Bellaquita - Remix")</f>
        <v>Bellaquita - Remix</v>
      </c>
      <c r="E1193" t="str">
        <f>IFERROR(__xludf.DUMMYFUNCTION("""COMPUTED_VALUE"""),"Dalex, Lenny Tavárez, Anitta, Natti Natasha, Farruko, Justin Quiles")</f>
        <v>Dalex, Lenny Tavárez, Anitta, Natti Natasha, Farruko, Justin Quiles</v>
      </c>
      <c r="F1193" t="str">
        <f>IFERROR(__xludf.DUMMYFUNCTION("""COMPUTED_VALUE"""),"Modo Avión")</f>
        <v>Modo Avión</v>
      </c>
      <c r="G1193">
        <f>IFERROR(__xludf.DUMMYFUNCTION("""COMPUTED_VALUE"""),1.0)</f>
        <v>1</v>
      </c>
      <c r="H1193" s="5">
        <f>IFERROR(__xludf.DUMMYFUNCTION("""COMPUTED_VALUE"""),0.21111111111167702)</f>
        <v>0.2111111111</v>
      </c>
    </row>
    <row r="1194">
      <c r="A1194" t="str">
        <f>IFERROR(__xludf.DUMMYFUNCTION("""COMPUTED_VALUE"""),"Honduras")</f>
        <v>Honduras</v>
      </c>
      <c r="B1194" t="str">
        <f>IFERROR(__xludf.DUMMYFUNCTION("""COMPUTED_VALUE"""),"North America")</f>
        <v>North America</v>
      </c>
      <c r="C1194">
        <f>IFERROR(__xludf.DUMMYFUNCTION("""COMPUTED_VALUE"""),43.0)</f>
        <v>43</v>
      </c>
      <c r="D1194" t="str">
        <f>IFERROR(__xludf.DUMMYFUNCTION("""COMPUTED_VALUE"""),"Azul")</f>
        <v>Azul</v>
      </c>
      <c r="E1194" t="str">
        <f>IFERROR(__xludf.DUMMYFUNCTION("""COMPUTED_VALUE"""),"J Balvin")</f>
        <v>J Balvin</v>
      </c>
      <c r="F1194" t="str">
        <f>IFERROR(__xludf.DUMMYFUNCTION("""COMPUTED_VALUE"""),"Colores")</f>
        <v>Colores</v>
      </c>
      <c r="G1194">
        <f>IFERROR(__xludf.DUMMYFUNCTION("""COMPUTED_VALUE"""),0.0)</f>
        <v>0</v>
      </c>
      <c r="H1194" s="5">
        <f>IFERROR(__xludf.DUMMYFUNCTION("""COMPUTED_VALUE"""),0.14236111110949423)</f>
        <v>0.1423611111</v>
      </c>
    </row>
    <row r="1195">
      <c r="A1195" t="str">
        <f>IFERROR(__xludf.DUMMYFUNCTION("""COMPUTED_VALUE"""),"Honduras")</f>
        <v>Honduras</v>
      </c>
      <c r="B1195" t="str">
        <f>IFERROR(__xludf.DUMMYFUNCTION("""COMPUTED_VALUE"""),"North America")</f>
        <v>North America</v>
      </c>
      <c r="C1195">
        <f>IFERROR(__xludf.DUMMYFUNCTION("""COMPUTED_VALUE"""),44.0)</f>
        <v>44</v>
      </c>
      <c r="D1195" t="str">
        <f>IFERROR(__xludf.DUMMYFUNCTION("""COMPUTED_VALUE"""),"Toosie Slide")</f>
        <v>Toosie Slide</v>
      </c>
      <c r="E1195" t="str">
        <f>IFERROR(__xludf.DUMMYFUNCTION("""COMPUTED_VALUE"""),"Drake")</f>
        <v>Drake</v>
      </c>
      <c r="F1195" t="str">
        <f>IFERROR(__xludf.DUMMYFUNCTION("""COMPUTED_VALUE"""),"Dark Lane Demo Tapes")</f>
        <v>Dark Lane Demo Tapes</v>
      </c>
      <c r="G1195">
        <f>IFERROR(__xludf.DUMMYFUNCTION("""COMPUTED_VALUE"""),1.0)</f>
        <v>1</v>
      </c>
      <c r="H1195" s="5">
        <f>IFERROR(__xludf.DUMMYFUNCTION("""COMPUTED_VALUE"""),0.17152777777664596)</f>
        <v>0.1715277778</v>
      </c>
    </row>
    <row r="1196">
      <c r="A1196" t="str">
        <f>IFERROR(__xludf.DUMMYFUNCTION("""COMPUTED_VALUE"""),"Honduras")</f>
        <v>Honduras</v>
      </c>
      <c r="B1196" t="str">
        <f>IFERROR(__xludf.DUMMYFUNCTION("""COMPUTED_VALUE"""),"North America")</f>
        <v>North America</v>
      </c>
      <c r="C1196">
        <f>IFERROR(__xludf.DUMMYFUNCTION("""COMPUTED_VALUE"""),45.0)</f>
        <v>45</v>
      </c>
      <c r="D1196" t="str">
        <f>IFERROR(__xludf.DUMMYFUNCTION("""COMPUTED_VALUE"""),"Qué Maldición")</f>
        <v>Qué Maldición</v>
      </c>
      <c r="E1196" t="str">
        <f>IFERROR(__xludf.DUMMYFUNCTION("""COMPUTED_VALUE"""),"Banda MS de Sergio Lizárraga, Snoop Dogg")</f>
        <v>Banda MS de Sergio Lizárraga, Snoop Dogg</v>
      </c>
      <c r="F1196" t="str">
        <f>IFERROR(__xludf.DUMMYFUNCTION("""COMPUTED_VALUE"""),"Qué Maldición")</f>
        <v>Qué Maldición</v>
      </c>
      <c r="G1196">
        <f>IFERROR(__xludf.DUMMYFUNCTION("""COMPUTED_VALUE"""),0.0)</f>
        <v>0</v>
      </c>
      <c r="H1196" s="5">
        <f>IFERROR(__xludf.DUMMYFUNCTION("""COMPUTED_VALUE"""),0.14097222222335404)</f>
        <v>0.1409722222</v>
      </c>
    </row>
    <row r="1197">
      <c r="A1197" t="str">
        <f>IFERROR(__xludf.DUMMYFUNCTION("""COMPUTED_VALUE"""),"Honduras")</f>
        <v>Honduras</v>
      </c>
      <c r="B1197" t="str">
        <f>IFERROR(__xludf.DUMMYFUNCTION("""COMPUTED_VALUE"""),"North America")</f>
        <v>North America</v>
      </c>
      <c r="C1197">
        <f>IFERROR(__xludf.DUMMYFUNCTION("""COMPUTED_VALUE"""),46.0)</f>
        <v>46</v>
      </c>
      <c r="D1197" t="str">
        <f>IFERROR(__xludf.DUMMYFUNCTION("""COMPUTED_VALUE"""),"Sigues Con El - Remix")</f>
        <v>Sigues Con El - Remix</v>
      </c>
      <c r="E1197" t="str">
        <f>IFERROR(__xludf.DUMMYFUNCTION("""COMPUTED_VALUE"""),"Arcangel, Sech, Romeo Santos")</f>
        <v>Arcangel, Sech, Romeo Santos</v>
      </c>
      <c r="F1197" t="str">
        <f>IFERROR(__xludf.DUMMYFUNCTION("""COMPUTED_VALUE"""),"Sigues Con El (Remix)")</f>
        <v>Sigues Con El (Remix)</v>
      </c>
      <c r="G1197">
        <f>IFERROR(__xludf.DUMMYFUNCTION("""COMPUTED_VALUE"""),0.0)</f>
        <v>0</v>
      </c>
      <c r="H1197" s="5">
        <f>IFERROR(__xludf.DUMMYFUNCTION("""COMPUTED_VALUE"""),0.1312499999985448)</f>
        <v>0.13125</v>
      </c>
    </row>
    <row r="1198">
      <c r="A1198" t="str">
        <f>IFERROR(__xludf.DUMMYFUNCTION("""COMPUTED_VALUE"""),"Honduras")</f>
        <v>Honduras</v>
      </c>
      <c r="B1198" t="str">
        <f>IFERROR(__xludf.DUMMYFUNCTION("""COMPUTED_VALUE"""),"North America")</f>
        <v>North America</v>
      </c>
      <c r="C1198">
        <f>IFERROR(__xludf.DUMMYFUNCTION("""COMPUTED_VALUE"""),47.0)</f>
        <v>47</v>
      </c>
      <c r="D1198" t="str">
        <f>IFERROR(__xludf.DUMMYFUNCTION("""COMPUTED_VALUE"""),"Si Te Vas")</f>
        <v>Si Te Vas</v>
      </c>
      <c r="E1198" t="str">
        <f>IFERROR(__xludf.DUMMYFUNCTION("""COMPUTED_VALUE"""),"Sech, Ozuna")</f>
        <v>Sech, Ozuna</v>
      </c>
      <c r="F1198" t="str">
        <f>IFERROR(__xludf.DUMMYFUNCTION("""COMPUTED_VALUE"""),"1 of 1")</f>
        <v>1 of 1</v>
      </c>
      <c r="G1198">
        <f>IFERROR(__xludf.DUMMYFUNCTION("""COMPUTED_VALUE"""),0.0)</f>
        <v>0</v>
      </c>
      <c r="H1198" s="5">
        <f>IFERROR(__xludf.DUMMYFUNCTION("""COMPUTED_VALUE"""),0.14166666666642413)</f>
        <v>0.1416666667</v>
      </c>
    </row>
    <row r="1199">
      <c r="A1199" t="str">
        <f>IFERROR(__xludf.DUMMYFUNCTION("""COMPUTED_VALUE"""),"Honduras")</f>
        <v>Honduras</v>
      </c>
      <c r="B1199" t="str">
        <f>IFERROR(__xludf.DUMMYFUNCTION("""COMPUTED_VALUE"""),"North America")</f>
        <v>North America</v>
      </c>
      <c r="C1199">
        <f>IFERROR(__xludf.DUMMYFUNCTION("""COMPUTED_VALUE"""),48.0)</f>
        <v>48</v>
      </c>
      <c r="D1199" t="str">
        <f>IFERROR(__xludf.DUMMYFUNCTION("""COMPUTED_VALUE"""),"Confía")</f>
        <v>Confía</v>
      </c>
      <c r="E1199" t="str">
        <f>IFERROR(__xludf.DUMMYFUNCTION("""COMPUTED_VALUE"""),"Sech, Daddy Yankee")</f>
        <v>Sech, Daddy Yankee</v>
      </c>
      <c r="F1199" t="str">
        <f>IFERROR(__xludf.DUMMYFUNCTION("""COMPUTED_VALUE"""),"1 of 1")</f>
        <v>1 of 1</v>
      </c>
      <c r="G1199">
        <f>IFERROR(__xludf.DUMMYFUNCTION("""COMPUTED_VALUE"""),0.0)</f>
        <v>0</v>
      </c>
      <c r="H1199" s="5">
        <f>IFERROR(__xludf.DUMMYFUNCTION("""COMPUTED_VALUE"""),0.14027777777664596)</f>
        <v>0.1402777778</v>
      </c>
    </row>
    <row r="1200">
      <c r="A1200" t="str">
        <f>IFERROR(__xludf.DUMMYFUNCTION("""COMPUTED_VALUE"""),"Honduras")</f>
        <v>Honduras</v>
      </c>
      <c r="B1200" t="str">
        <f>IFERROR(__xludf.DUMMYFUNCTION("""COMPUTED_VALUE"""),"North America")</f>
        <v>North America</v>
      </c>
      <c r="C1200">
        <f>IFERROR(__xludf.DUMMYFUNCTION("""COMPUTED_VALUE"""),49.0)</f>
        <v>49</v>
      </c>
      <c r="D1200" t="str">
        <f>IFERROR(__xludf.DUMMYFUNCTION("""COMPUTED_VALUE"""),"Infeliz")</f>
        <v>Infeliz</v>
      </c>
      <c r="E1200" t="str">
        <f>IFERROR(__xludf.DUMMYFUNCTION("""COMPUTED_VALUE"""),"Arcangel, Bad Bunny")</f>
        <v>Arcangel, Bad Bunny</v>
      </c>
      <c r="F1200" t="str">
        <f>IFERROR(__xludf.DUMMYFUNCTION("""COMPUTED_VALUE"""),"Historias de un Capricornio")</f>
        <v>Historias de un Capricornio</v>
      </c>
      <c r="G1200">
        <f>IFERROR(__xludf.DUMMYFUNCTION("""COMPUTED_VALUE"""),0.0)</f>
        <v>0</v>
      </c>
      <c r="H1200" s="5">
        <f>IFERROR(__xludf.DUMMYFUNCTION("""COMPUTED_VALUE"""),0.15347222222044365)</f>
        <v>0.1534722222</v>
      </c>
    </row>
    <row r="1201">
      <c r="A1201" t="str">
        <f>IFERROR(__xludf.DUMMYFUNCTION("""COMPUTED_VALUE"""),"Honduras")</f>
        <v>Honduras</v>
      </c>
      <c r="B1201" t="str">
        <f>IFERROR(__xludf.DUMMYFUNCTION("""COMPUTED_VALUE"""),"North America")</f>
        <v>North America</v>
      </c>
      <c r="C1201">
        <f>IFERROR(__xludf.DUMMYFUNCTION("""COMPUTED_VALUE"""),50.0)</f>
        <v>50</v>
      </c>
      <c r="D1201" t="str">
        <f>IFERROR(__xludf.DUMMYFUNCTION("""COMPUTED_VALUE"""),"Pero Ya No")</f>
        <v>Pero Ya No</v>
      </c>
      <c r="E1201" t="str">
        <f>IFERROR(__xludf.DUMMYFUNCTION("""COMPUTED_VALUE"""),"Bad Bunny")</f>
        <v>Bad Bunny</v>
      </c>
      <c r="F1201" t="str">
        <f>IFERROR(__xludf.DUMMYFUNCTION("""COMPUTED_VALUE"""),"YHLQMDLG")</f>
        <v>YHLQMDLG</v>
      </c>
      <c r="G1201">
        <f>IFERROR(__xludf.DUMMYFUNCTION("""COMPUTED_VALUE"""),0.0)</f>
        <v>0</v>
      </c>
      <c r="H1201" s="5">
        <f>IFERROR(__xludf.DUMMYFUNCTION("""COMPUTED_VALUE"""),0.11111111110949423)</f>
        <v>0.1111111111</v>
      </c>
    </row>
    <row r="1202">
      <c r="A1202" t="str">
        <f>IFERROR(__xludf.DUMMYFUNCTION("""COMPUTED_VALUE"""),"Hong Kong")</f>
        <v>Hong Kong</v>
      </c>
      <c r="B1202" t="str">
        <f>IFERROR(__xludf.DUMMYFUNCTION("""COMPUTED_VALUE"""),"Asia")</f>
        <v>Asia</v>
      </c>
      <c r="C1202">
        <f>IFERROR(__xludf.DUMMYFUNCTION("""COMPUTED_VALUE"""),1.0)</f>
        <v>1</v>
      </c>
      <c r="D1202" t="str">
        <f>IFERROR(__xludf.DUMMYFUNCTION("""COMPUTED_VALUE"""),"Flossin'")</f>
        <v>Flossin'</v>
      </c>
      <c r="E1202" t="str">
        <f>IFERROR(__xludf.DUMMYFUNCTION("""COMPUTED_VALUE"""),"Big Loso")</f>
        <v>Big Loso</v>
      </c>
      <c r="F1202" t="str">
        <f>IFERROR(__xludf.DUMMYFUNCTION("""COMPUTED_VALUE"""),"Flossin'")</f>
        <v>Flossin'</v>
      </c>
      <c r="G1202">
        <f>IFERROR(__xludf.DUMMYFUNCTION("""COMPUTED_VALUE"""),1.0)</f>
        <v>1</v>
      </c>
      <c r="H1202" s="5">
        <f>IFERROR(__xludf.DUMMYFUNCTION("""COMPUTED_VALUE"""),0.08263888888905058)</f>
        <v>0.08263888889</v>
      </c>
    </row>
    <row r="1203">
      <c r="A1203" t="str">
        <f>IFERROR(__xludf.DUMMYFUNCTION("""COMPUTED_VALUE"""),"Hong Kong")</f>
        <v>Hong Kong</v>
      </c>
      <c r="B1203" t="str">
        <f>IFERROR(__xludf.DUMMYFUNCTION("""COMPUTED_VALUE"""),"Asia")</f>
        <v>Asia</v>
      </c>
      <c r="C1203">
        <f>IFERROR(__xludf.DUMMYFUNCTION("""COMPUTED_VALUE"""),2.0)</f>
        <v>2</v>
      </c>
      <c r="D1203" t="str">
        <f>IFERROR(__xludf.DUMMYFUNCTION("""COMPUTED_VALUE"""),"Y Ahora (feat. Alex Rose, Nengo Flow, Randy Nota Loka &amp; Dalex)")</f>
        <v>Y Ahora (feat. Alex Rose, Nengo Flow, Randy Nota Loka &amp; Dalex)</v>
      </c>
      <c r="E1203" t="str">
        <f>IFERROR(__xludf.DUMMYFUNCTION("""COMPUTED_VALUE"""),"DNA, Alex Rose, Nengo Flow, Randy Nota Loka, Dalex")</f>
        <v>DNA, Alex Rose, Nengo Flow, Randy Nota Loka, Dalex</v>
      </c>
      <c r="F1203" t="str">
        <f>IFERROR(__xludf.DUMMYFUNCTION("""COMPUTED_VALUE"""),"Y Ahora (feat. Alex Rose, Nengo Flow, Randy Nota Loka &amp; Dalex)")</f>
        <v>Y Ahora (feat. Alex Rose, Nengo Flow, Randy Nota Loka &amp; Dalex)</v>
      </c>
      <c r="G1203">
        <f>IFERROR(__xludf.DUMMYFUNCTION("""COMPUTED_VALUE"""),1.0)</f>
        <v>1</v>
      </c>
      <c r="H1203" s="5">
        <f>IFERROR(__xludf.DUMMYFUNCTION("""COMPUTED_VALUE"""),0.22013888888977817)</f>
        <v>0.2201388889</v>
      </c>
    </row>
    <row r="1204">
      <c r="A1204" t="str">
        <f>IFERROR(__xludf.DUMMYFUNCTION("""COMPUTED_VALUE"""),"Hong Kong")</f>
        <v>Hong Kong</v>
      </c>
      <c r="B1204" t="str">
        <f>IFERROR(__xludf.DUMMYFUNCTION("""COMPUTED_VALUE"""),"Asia")</f>
        <v>Asia</v>
      </c>
      <c r="C1204">
        <f>IFERROR(__xludf.DUMMYFUNCTION("""COMPUTED_VALUE"""),3.0)</f>
        <v>3</v>
      </c>
      <c r="D1204" t="str">
        <f>IFERROR(__xludf.DUMMYFUNCTION("""COMPUTED_VALUE"""),"X Celos")</f>
        <v>X Celos</v>
      </c>
      <c r="E1204" t="str">
        <f>IFERROR(__xludf.DUMMYFUNCTION("""COMPUTED_VALUE"""),"Damián V")</f>
        <v>Damián V</v>
      </c>
      <c r="F1204" t="str">
        <f>IFERROR(__xludf.DUMMYFUNCTION("""COMPUTED_VALUE"""),"X Celos")</f>
        <v>X Celos</v>
      </c>
      <c r="G1204">
        <f>IFERROR(__xludf.DUMMYFUNCTION("""COMPUTED_VALUE"""),0.0)</f>
        <v>0</v>
      </c>
      <c r="H1204" s="5">
        <f>IFERROR(__xludf.DUMMYFUNCTION("""COMPUTED_VALUE"""),0.10208333333503106)</f>
        <v>0.1020833333</v>
      </c>
    </row>
    <row r="1205">
      <c r="A1205" t="str">
        <f>IFERROR(__xludf.DUMMYFUNCTION("""COMPUTED_VALUE"""),"Hong Kong")</f>
        <v>Hong Kong</v>
      </c>
      <c r="B1205" t="str">
        <f>IFERROR(__xludf.DUMMYFUNCTION("""COMPUTED_VALUE"""),"Asia")</f>
        <v>Asia</v>
      </c>
      <c r="C1205">
        <f>IFERROR(__xludf.DUMMYFUNCTION("""COMPUTED_VALUE"""),4.0)</f>
        <v>4</v>
      </c>
      <c r="D1205" t="str">
        <f>IFERROR(__xludf.DUMMYFUNCTION("""COMPUTED_VALUE"""),"Guaya Pared (feat. J-King y Maximan)")</f>
        <v>Guaya Pared (feat. J-King y Maximan)</v>
      </c>
      <c r="E1205" t="str">
        <f>IFERROR(__xludf.DUMMYFUNCTION("""COMPUTED_VALUE"""),"DNA, J-King, Maximan")</f>
        <v>DNA, J-King, Maximan</v>
      </c>
      <c r="F1205" t="str">
        <f>IFERROR(__xludf.DUMMYFUNCTION("""COMPUTED_VALUE"""),"Guaya Pared (feat. J-King &amp; Maximan)")</f>
        <v>Guaya Pared (feat. J-King &amp; Maximan)</v>
      </c>
      <c r="G1205">
        <f>IFERROR(__xludf.DUMMYFUNCTION("""COMPUTED_VALUE"""),1.0)</f>
        <v>1</v>
      </c>
      <c r="H1205" s="5">
        <f>IFERROR(__xludf.DUMMYFUNCTION("""COMPUTED_VALUE"""),0.1437499999992724)</f>
        <v>0.14375</v>
      </c>
    </row>
    <row r="1206">
      <c r="A1206" t="str">
        <f>IFERROR(__xludf.DUMMYFUNCTION("""COMPUTED_VALUE"""),"Hong Kong")</f>
        <v>Hong Kong</v>
      </c>
      <c r="B1206" t="str">
        <f>IFERROR(__xludf.DUMMYFUNCTION("""COMPUTED_VALUE"""),"Asia")</f>
        <v>Asia</v>
      </c>
      <c r="C1206">
        <f>IFERROR(__xludf.DUMMYFUNCTION("""COMPUTED_VALUE"""),5.0)</f>
        <v>5</v>
      </c>
      <c r="D1206" t="str">
        <f>IFERROR(__xludf.DUMMYFUNCTION("""COMPUTED_VALUE"""),"Loveless")</f>
        <v>Loveless</v>
      </c>
      <c r="E1206" t="str">
        <f>IFERROR(__xludf.DUMMYFUNCTION("""COMPUTED_VALUE"""),"YNW Jordan, Kolé, Young Fay")</f>
        <v>YNW Jordan, Kolé, Young Fay</v>
      </c>
      <c r="F1206" t="str">
        <f>IFERROR(__xludf.DUMMYFUNCTION("""COMPUTED_VALUE"""),"Loveless")</f>
        <v>Loveless</v>
      </c>
      <c r="G1206">
        <f>IFERROR(__xludf.DUMMYFUNCTION("""COMPUTED_VALUE"""),1.0)</f>
        <v>1</v>
      </c>
      <c r="H1206" s="5">
        <f>IFERROR(__xludf.DUMMYFUNCTION("""COMPUTED_VALUE"""),0.12152777777737356)</f>
        <v>0.1215277778</v>
      </c>
    </row>
    <row r="1207">
      <c r="A1207" t="str">
        <f>IFERROR(__xludf.DUMMYFUNCTION("""COMPUTED_VALUE"""),"Hong Kong")</f>
        <v>Hong Kong</v>
      </c>
      <c r="B1207" t="str">
        <f>IFERROR(__xludf.DUMMYFUNCTION("""COMPUTED_VALUE"""),"Asia")</f>
        <v>Asia</v>
      </c>
      <c r="C1207">
        <f>IFERROR(__xludf.DUMMYFUNCTION("""COMPUTED_VALUE"""),6.0)</f>
        <v>6</v>
      </c>
      <c r="D1207" t="str">
        <f>IFERROR(__xludf.DUMMYFUNCTION("""COMPUTED_VALUE"""),"Static Interruptions")</f>
        <v>Static Interruptions</v>
      </c>
      <c r="E1207" t="str">
        <f>IFERROR(__xludf.DUMMYFUNCTION("""COMPUTED_VALUE"""),"Floating in Space - Project")</f>
        <v>Floating in Space - Project</v>
      </c>
      <c r="F1207" t="str">
        <f>IFERROR(__xludf.DUMMYFUNCTION("""COMPUTED_VALUE"""),"Static Interruptions")</f>
        <v>Static Interruptions</v>
      </c>
      <c r="G1207">
        <f>IFERROR(__xludf.DUMMYFUNCTION("""COMPUTED_VALUE"""),0.0)</f>
        <v>0</v>
      </c>
      <c r="H1207" s="5">
        <f>IFERROR(__xludf.DUMMYFUNCTION("""COMPUTED_VALUE"""),0.24236111111167702)</f>
        <v>0.2423611111</v>
      </c>
    </row>
    <row r="1208">
      <c r="A1208" t="str">
        <f>IFERROR(__xludf.DUMMYFUNCTION("""COMPUTED_VALUE"""),"Hong Kong")</f>
        <v>Hong Kong</v>
      </c>
      <c r="B1208" t="str">
        <f>IFERROR(__xludf.DUMMYFUNCTION("""COMPUTED_VALUE"""),"Asia")</f>
        <v>Asia</v>
      </c>
      <c r="C1208">
        <f>IFERROR(__xludf.DUMMYFUNCTION("""COMPUTED_VALUE"""),7.0)</f>
        <v>7</v>
      </c>
      <c r="D1208" t="str">
        <f>IFERROR(__xludf.DUMMYFUNCTION("""COMPUTED_VALUE"""),"Soak up the Drip")</f>
        <v>Soak up the Drip</v>
      </c>
      <c r="E1208" t="str">
        <f>IFERROR(__xludf.DUMMYFUNCTION("""COMPUTED_VALUE"""),"PBE PLUTO")</f>
        <v>PBE PLUTO</v>
      </c>
      <c r="F1208" t="str">
        <f>IFERROR(__xludf.DUMMYFUNCTION("""COMPUTED_VALUE"""),"Soak up the Drip")</f>
        <v>Soak up the Drip</v>
      </c>
      <c r="G1208">
        <f>IFERROR(__xludf.DUMMYFUNCTION("""COMPUTED_VALUE"""),1.0)</f>
        <v>1</v>
      </c>
      <c r="H1208" s="5">
        <f>IFERROR(__xludf.DUMMYFUNCTION("""COMPUTED_VALUE"""),0.13333333333503106)</f>
        <v>0.1333333333</v>
      </c>
    </row>
    <row r="1209">
      <c r="A1209" t="str">
        <f>IFERROR(__xludf.DUMMYFUNCTION("""COMPUTED_VALUE"""),"Hong Kong")</f>
        <v>Hong Kong</v>
      </c>
      <c r="B1209" t="str">
        <f>IFERROR(__xludf.DUMMYFUNCTION("""COMPUTED_VALUE"""),"Asia")</f>
        <v>Asia</v>
      </c>
      <c r="C1209">
        <f>IFERROR(__xludf.DUMMYFUNCTION("""COMPUTED_VALUE"""),8.0)</f>
        <v>8</v>
      </c>
      <c r="D1209" t="str">
        <f>IFERROR(__xludf.DUMMYFUNCTION("""COMPUTED_VALUE"""),"Lento y Sensual")</f>
        <v>Lento y Sensual</v>
      </c>
      <c r="E1209" t="str">
        <f>IFERROR(__xludf.DUMMYFUNCTION("""COMPUTED_VALUE"""),"Jt el Utility")</f>
        <v>Jt el Utility</v>
      </c>
      <c r="F1209" t="str">
        <f>IFERROR(__xludf.DUMMYFUNCTION("""COMPUTED_VALUE"""),"Lento y Sensual")</f>
        <v>Lento y Sensual</v>
      </c>
      <c r="G1209">
        <f>IFERROR(__xludf.DUMMYFUNCTION("""COMPUTED_VALUE"""),0.0)</f>
        <v>0</v>
      </c>
      <c r="H1209" s="5">
        <f>IFERROR(__xludf.DUMMYFUNCTION("""COMPUTED_VALUE"""),0.11875000000145519)</f>
        <v>0.11875</v>
      </c>
    </row>
    <row r="1210">
      <c r="A1210" t="str">
        <f>IFERROR(__xludf.DUMMYFUNCTION("""COMPUTED_VALUE"""),"Hong Kong")</f>
        <v>Hong Kong</v>
      </c>
      <c r="B1210" t="str">
        <f>IFERROR(__xludf.DUMMYFUNCTION("""COMPUTED_VALUE"""),"Asia")</f>
        <v>Asia</v>
      </c>
      <c r="C1210">
        <f>IFERROR(__xludf.DUMMYFUNCTION("""COMPUTED_VALUE"""),9.0)</f>
        <v>9</v>
      </c>
      <c r="D1210" t="str">
        <f>IFERROR(__xludf.DUMMYFUNCTION("""COMPUTED_VALUE"""),"Booty")</f>
        <v>Booty</v>
      </c>
      <c r="E1210" t="str">
        <f>IFERROR(__xludf.DUMMYFUNCTION("""COMPUTED_VALUE"""),"Windy Guai")</f>
        <v>Windy Guai</v>
      </c>
      <c r="F1210" t="str">
        <f>IFERROR(__xludf.DUMMYFUNCTION("""COMPUTED_VALUE"""),"Booty")</f>
        <v>Booty</v>
      </c>
      <c r="G1210">
        <f>IFERROR(__xludf.DUMMYFUNCTION("""COMPUTED_VALUE"""),0.0)</f>
        <v>0</v>
      </c>
      <c r="H1210" s="5">
        <f>IFERROR(__xludf.DUMMYFUNCTION("""COMPUTED_VALUE"""),0.1312499999985448)</f>
        <v>0.13125</v>
      </c>
    </row>
    <row r="1211">
      <c r="A1211" t="str">
        <f>IFERROR(__xludf.DUMMYFUNCTION("""COMPUTED_VALUE"""),"Hong Kong")</f>
        <v>Hong Kong</v>
      </c>
      <c r="B1211" t="str">
        <f>IFERROR(__xludf.DUMMYFUNCTION("""COMPUTED_VALUE"""),"Asia")</f>
        <v>Asia</v>
      </c>
      <c r="C1211">
        <f>IFERROR(__xludf.DUMMYFUNCTION("""COMPUTED_VALUE"""),10.0)</f>
        <v>10</v>
      </c>
      <c r="D1211" t="str">
        <f>IFERROR(__xludf.DUMMYFUNCTION("""COMPUTED_VALUE"""),"Piano Sonata No. 8 in C Minor, Op. 13, ""Pathétique"": II. Adagio cantabile")</f>
        <v>Piano Sonata No. 8 in C Minor, Op. 13, "Pathétique": II. Adagio cantabile</v>
      </c>
      <c r="E1211" t="str">
        <f>IFERROR(__xludf.DUMMYFUNCTION("""COMPUTED_VALUE"""),"Shunji Itani")</f>
        <v>Shunji Itani</v>
      </c>
      <c r="F1211" t="str">
        <f>IFERROR(__xludf.DUMMYFUNCTION("""COMPUTED_VALUE"""),"Beethoveniana Nr.1")</f>
        <v>Beethoveniana Nr.1</v>
      </c>
      <c r="G1211">
        <f>IFERROR(__xludf.DUMMYFUNCTION("""COMPUTED_VALUE"""),0.0)</f>
        <v>0</v>
      </c>
      <c r="H1211" s="5">
        <f>IFERROR(__xludf.DUMMYFUNCTION("""COMPUTED_VALUE"""),0.18611111111022183)</f>
        <v>0.1861111111</v>
      </c>
    </row>
    <row r="1212">
      <c r="A1212" t="str">
        <f>IFERROR(__xludf.DUMMYFUNCTION("""COMPUTED_VALUE"""),"Hong Kong")</f>
        <v>Hong Kong</v>
      </c>
      <c r="B1212" t="str">
        <f>IFERROR(__xludf.DUMMYFUNCTION("""COMPUTED_VALUE"""),"Asia")</f>
        <v>Asia</v>
      </c>
      <c r="C1212">
        <f>IFERROR(__xludf.DUMMYFUNCTION("""COMPUTED_VALUE"""),11.0)</f>
        <v>11</v>
      </c>
      <c r="D1212" t="str">
        <f>IFERROR(__xludf.DUMMYFUNCTION("""COMPUTED_VALUE"""),"Tanha Nazar")</f>
        <v>Tanha Nazar</v>
      </c>
      <c r="E1212" t="str">
        <f>IFERROR(__xludf.DUMMYFUNCTION("""COMPUTED_VALUE"""),"Sirvan Khosravi")</f>
        <v>Sirvan Khosravi</v>
      </c>
      <c r="F1212" t="str">
        <f>IFERROR(__xludf.DUMMYFUNCTION("""COMPUTED_VALUE"""),"Tanha Nazar")</f>
        <v>Tanha Nazar</v>
      </c>
      <c r="G1212">
        <f>IFERROR(__xludf.DUMMYFUNCTION("""COMPUTED_VALUE"""),0.0)</f>
        <v>0</v>
      </c>
      <c r="H1212" s="5">
        <f>IFERROR(__xludf.DUMMYFUNCTION("""COMPUTED_VALUE"""),0.16319444444525288)</f>
        <v>0.1631944444</v>
      </c>
    </row>
    <row r="1213">
      <c r="A1213" t="str">
        <f>IFERROR(__xludf.DUMMYFUNCTION("""COMPUTED_VALUE"""),"Hong Kong")</f>
        <v>Hong Kong</v>
      </c>
      <c r="B1213" t="str">
        <f>IFERROR(__xludf.DUMMYFUNCTION("""COMPUTED_VALUE"""),"Asia")</f>
        <v>Asia</v>
      </c>
      <c r="C1213">
        <f>IFERROR(__xludf.DUMMYFUNCTION("""COMPUTED_VALUE"""),12.0)</f>
        <v>12</v>
      </c>
      <c r="D1213" t="str">
        <f>IFERROR(__xludf.DUMMYFUNCTION("""COMPUTED_VALUE"""),"Emotional")</f>
        <v>Emotional</v>
      </c>
      <c r="E1213" t="str">
        <f>IFERROR(__xludf.DUMMYFUNCTION("""COMPUTED_VALUE"""),"MariKuroso, Olivier Decrouille")</f>
        <v>MariKuroso, Olivier Decrouille</v>
      </c>
      <c r="F1213" t="str">
        <f>IFERROR(__xludf.DUMMYFUNCTION("""COMPUTED_VALUE"""),"JOY")</f>
        <v>JOY</v>
      </c>
      <c r="G1213">
        <f>IFERROR(__xludf.DUMMYFUNCTION("""COMPUTED_VALUE"""),0.0)</f>
        <v>0</v>
      </c>
      <c r="H1213" s="5">
        <f>IFERROR(__xludf.DUMMYFUNCTION("""COMPUTED_VALUE"""),0.19583333333503106)</f>
        <v>0.1958333333</v>
      </c>
    </row>
    <row r="1214">
      <c r="A1214" t="str">
        <f>IFERROR(__xludf.DUMMYFUNCTION("""COMPUTED_VALUE"""),"Hong Kong")</f>
        <v>Hong Kong</v>
      </c>
      <c r="B1214" t="str">
        <f>IFERROR(__xludf.DUMMYFUNCTION("""COMPUTED_VALUE"""),"Asia")</f>
        <v>Asia</v>
      </c>
      <c r="C1214">
        <f>IFERROR(__xludf.DUMMYFUNCTION("""COMPUTED_VALUE"""),13.0)</f>
        <v>13</v>
      </c>
      <c r="D1214" t="str">
        <f>IFERROR(__xludf.DUMMYFUNCTION("""COMPUTED_VALUE"""),"Yesteday")</f>
        <v>Yesteday</v>
      </c>
      <c r="E1214" t="str">
        <f>IFERROR(__xludf.DUMMYFUNCTION("""COMPUTED_VALUE"""),"Thee JAE")</f>
        <v>Thee JAE</v>
      </c>
      <c r="F1214" t="str">
        <f>IFERROR(__xludf.DUMMYFUNCTION("""COMPUTED_VALUE"""),"Yesteday")</f>
        <v>Yesteday</v>
      </c>
      <c r="G1214">
        <f>IFERROR(__xludf.DUMMYFUNCTION("""COMPUTED_VALUE"""),1.0)</f>
        <v>1</v>
      </c>
      <c r="H1214" s="5">
        <f>IFERROR(__xludf.DUMMYFUNCTION("""COMPUTED_VALUE"""),0.17708333333212067)</f>
        <v>0.1770833333</v>
      </c>
    </row>
    <row r="1215">
      <c r="A1215" t="str">
        <f>IFERROR(__xludf.DUMMYFUNCTION("""COMPUTED_VALUE"""),"Hong Kong")</f>
        <v>Hong Kong</v>
      </c>
      <c r="B1215" t="str">
        <f>IFERROR(__xludf.DUMMYFUNCTION("""COMPUTED_VALUE"""),"Asia")</f>
        <v>Asia</v>
      </c>
      <c r="C1215">
        <f>IFERROR(__xludf.DUMMYFUNCTION("""COMPUTED_VALUE"""),14.0)</f>
        <v>14</v>
      </c>
      <c r="D1215" t="str">
        <f>IFERROR(__xludf.DUMMYFUNCTION("""COMPUTED_VALUE"""),"GoGo Shred (feat. Ernie C, Johnny Hiland, Jordan Ziff, Johnny Blade &amp; Oskar Cartaya)")</f>
        <v>GoGo Shred (feat. Ernie C, Johnny Hiland, Jordan Ziff, Johnny Blade &amp; Oskar Cartaya)</v>
      </c>
      <c r="E1215" t="str">
        <f>IFERROR(__xludf.DUMMYFUNCTION("""COMPUTED_VALUE"""),"Mike Mostert &amp; The GoGo Tuner Family, Ernie C, Johnny Blade, Johnny Hiland, Jordan Ziff, Oskar Cartaya")</f>
        <v>Mike Mostert &amp; The GoGo Tuner Family, Ernie C, Johnny Blade, Johnny Hiland, Jordan Ziff, Oskar Cartaya</v>
      </c>
      <c r="F1215" t="str">
        <f>IFERROR(__xludf.DUMMYFUNCTION("""COMPUTED_VALUE"""),"Mike Mostert &amp; The GoGo Tuner Family")</f>
        <v>Mike Mostert &amp; The GoGo Tuner Family</v>
      </c>
      <c r="G1215">
        <f>IFERROR(__xludf.DUMMYFUNCTION("""COMPUTED_VALUE"""),0.0)</f>
        <v>0</v>
      </c>
      <c r="H1215" s="5">
        <f>IFERROR(__xludf.DUMMYFUNCTION("""COMPUTED_VALUE"""),0.19236111111240461)</f>
        <v>0.1923611111</v>
      </c>
    </row>
    <row r="1216">
      <c r="A1216" t="str">
        <f>IFERROR(__xludf.DUMMYFUNCTION("""COMPUTED_VALUE"""),"Hong Kong")</f>
        <v>Hong Kong</v>
      </c>
      <c r="B1216" t="str">
        <f>IFERROR(__xludf.DUMMYFUNCTION("""COMPUTED_VALUE"""),"Asia")</f>
        <v>Asia</v>
      </c>
      <c r="C1216">
        <f>IFERROR(__xludf.DUMMYFUNCTION("""COMPUTED_VALUE"""),15.0)</f>
        <v>15</v>
      </c>
      <c r="D1216" t="str">
        <f>IFERROR(__xludf.DUMMYFUNCTION("""COMPUTED_VALUE"""),"Escape LA")</f>
        <v>Escape LA</v>
      </c>
      <c r="E1216" t="str">
        <f>IFERROR(__xludf.DUMMYFUNCTION("""COMPUTED_VALUE"""),"Friday Santana")</f>
        <v>Friday Santana</v>
      </c>
      <c r="F1216" t="str">
        <f>IFERROR(__xludf.DUMMYFUNCTION("""COMPUTED_VALUE"""),"Escape LA")</f>
        <v>Escape LA</v>
      </c>
      <c r="G1216">
        <f>IFERROR(__xludf.DUMMYFUNCTION("""COMPUTED_VALUE"""),1.0)</f>
        <v>1</v>
      </c>
      <c r="H1216" s="5">
        <f>IFERROR(__xludf.DUMMYFUNCTION("""COMPUTED_VALUE"""),0.14583333333212067)</f>
        <v>0.1458333333</v>
      </c>
    </row>
    <row r="1217">
      <c r="A1217" t="str">
        <f>IFERROR(__xludf.DUMMYFUNCTION("""COMPUTED_VALUE"""),"Hong Kong")</f>
        <v>Hong Kong</v>
      </c>
      <c r="B1217" t="str">
        <f>IFERROR(__xludf.DUMMYFUNCTION("""COMPUTED_VALUE"""),"Asia")</f>
        <v>Asia</v>
      </c>
      <c r="C1217">
        <f>IFERROR(__xludf.DUMMYFUNCTION("""COMPUTED_VALUE"""),16.0)</f>
        <v>16</v>
      </c>
      <c r="D1217" t="str">
        <f>IFERROR(__xludf.DUMMYFUNCTION("""COMPUTED_VALUE"""),"Rainfall")</f>
        <v>Rainfall</v>
      </c>
      <c r="E1217" t="str">
        <f>IFERROR(__xludf.DUMMYFUNCTION("""COMPUTED_VALUE"""),"Prince Bishop F")</f>
        <v>Prince Bishop F</v>
      </c>
      <c r="F1217" t="str">
        <f>IFERROR(__xludf.DUMMYFUNCTION("""COMPUTED_VALUE"""),"Rainfall")</f>
        <v>Rainfall</v>
      </c>
      <c r="G1217">
        <f>IFERROR(__xludf.DUMMYFUNCTION("""COMPUTED_VALUE"""),0.0)</f>
        <v>0</v>
      </c>
      <c r="H1217" s="5">
        <f>IFERROR(__xludf.DUMMYFUNCTION("""COMPUTED_VALUE"""),0.1569444444430701)</f>
        <v>0.1569444444</v>
      </c>
    </row>
    <row r="1218">
      <c r="A1218" t="str">
        <f>IFERROR(__xludf.DUMMYFUNCTION("""COMPUTED_VALUE"""),"Hong Kong")</f>
        <v>Hong Kong</v>
      </c>
      <c r="B1218" t="str">
        <f>IFERROR(__xludf.DUMMYFUNCTION("""COMPUTED_VALUE"""),"Asia")</f>
        <v>Asia</v>
      </c>
      <c r="C1218">
        <f>IFERROR(__xludf.DUMMYFUNCTION("""COMPUTED_VALUE"""),17.0)</f>
        <v>17</v>
      </c>
      <c r="D1218" t="str">
        <f>IFERROR(__xludf.DUMMYFUNCTION("""COMPUTED_VALUE"""),"This Side")</f>
        <v>This Side</v>
      </c>
      <c r="E1218" t="str">
        <f>IFERROR(__xludf.DUMMYFUNCTION("""COMPUTED_VALUE"""),"Phantom Caine")</f>
        <v>Phantom Caine</v>
      </c>
      <c r="F1218" t="str">
        <f>IFERROR(__xludf.DUMMYFUNCTION("""COMPUTED_VALUE"""),"Crying in Autotune")</f>
        <v>Crying in Autotune</v>
      </c>
      <c r="G1218">
        <f>IFERROR(__xludf.DUMMYFUNCTION("""COMPUTED_VALUE"""),1.0)</f>
        <v>1</v>
      </c>
      <c r="H1218" s="5">
        <f>IFERROR(__xludf.DUMMYFUNCTION("""COMPUTED_VALUE"""),0.12013888888759539)</f>
        <v>0.1201388889</v>
      </c>
    </row>
    <row r="1219">
      <c r="A1219" t="str">
        <f>IFERROR(__xludf.DUMMYFUNCTION("""COMPUTED_VALUE"""),"Hong Kong")</f>
        <v>Hong Kong</v>
      </c>
      <c r="B1219" t="str">
        <f>IFERROR(__xludf.DUMMYFUNCTION("""COMPUTED_VALUE"""),"Asia")</f>
        <v>Asia</v>
      </c>
      <c r="C1219">
        <f>IFERROR(__xludf.DUMMYFUNCTION("""COMPUTED_VALUE"""),18.0)</f>
        <v>18</v>
      </c>
      <c r="D1219" t="str">
        <f>IFERROR(__xludf.DUMMYFUNCTION("""COMPUTED_VALUE"""),"Your Occlusion Unbound")</f>
        <v>Your Occlusion Unbound</v>
      </c>
      <c r="E1219" t="str">
        <f>IFERROR(__xludf.DUMMYFUNCTION("""COMPUTED_VALUE"""),"From Under Concrete Kings")</f>
        <v>From Under Concrete Kings</v>
      </c>
      <c r="F1219" t="str">
        <f>IFERROR(__xludf.DUMMYFUNCTION("""COMPUTED_VALUE"""),"From Under Concrete Kings")</f>
        <v>From Under Concrete Kings</v>
      </c>
      <c r="G1219">
        <f>IFERROR(__xludf.DUMMYFUNCTION("""COMPUTED_VALUE"""),1.0)</f>
        <v>1</v>
      </c>
      <c r="H1219" s="5">
        <f>IFERROR(__xludf.DUMMYFUNCTION("""COMPUTED_VALUE"""),0.18888888888977817)</f>
        <v>0.1888888889</v>
      </c>
    </row>
    <row r="1220">
      <c r="A1220" t="str">
        <f>IFERROR(__xludf.DUMMYFUNCTION("""COMPUTED_VALUE"""),"Hong Kong")</f>
        <v>Hong Kong</v>
      </c>
      <c r="B1220" t="str">
        <f>IFERROR(__xludf.DUMMYFUNCTION("""COMPUTED_VALUE"""),"Asia")</f>
        <v>Asia</v>
      </c>
      <c r="C1220">
        <f>IFERROR(__xludf.DUMMYFUNCTION("""COMPUTED_VALUE"""),19.0)</f>
        <v>19</v>
      </c>
      <c r="D1220" t="str">
        <f>IFERROR(__xludf.DUMMYFUNCTION("""COMPUTED_VALUE"""),"Luna")</f>
        <v>Luna</v>
      </c>
      <c r="E1220" t="str">
        <f>IFERROR(__xludf.DUMMYFUNCTION("""COMPUTED_VALUE"""),"Dennis Fernando, Leonardo La Croix")</f>
        <v>Dennis Fernando, Leonardo La Croix</v>
      </c>
      <c r="F1220" t="str">
        <f>IFERROR(__xludf.DUMMYFUNCTION("""COMPUTED_VALUE"""),"Luna")</f>
        <v>Luna</v>
      </c>
      <c r="G1220">
        <f>IFERROR(__xludf.DUMMYFUNCTION("""COMPUTED_VALUE"""),0.0)</f>
        <v>0</v>
      </c>
      <c r="H1220" s="5">
        <f>IFERROR(__xludf.DUMMYFUNCTION("""COMPUTED_VALUE"""),0.1381944444437977)</f>
        <v>0.1381944444</v>
      </c>
    </row>
    <row r="1221">
      <c r="A1221" t="str">
        <f>IFERROR(__xludf.DUMMYFUNCTION("""COMPUTED_VALUE"""),"Hong Kong")</f>
        <v>Hong Kong</v>
      </c>
      <c r="B1221" t="str">
        <f>IFERROR(__xludf.DUMMYFUNCTION("""COMPUTED_VALUE"""),"Asia")</f>
        <v>Asia</v>
      </c>
      <c r="C1221">
        <f>IFERROR(__xludf.DUMMYFUNCTION("""COMPUTED_VALUE"""),20.0)</f>
        <v>20</v>
      </c>
      <c r="D1221" t="str">
        <f>IFERROR(__xludf.DUMMYFUNCTION("""COMPUTED_VALUE"""),"Destroyer")</f>
        <v>Destroyer</v>
      </c>
      <c r="E1221" t="str">
        <f>IFERROR(__xludf.DUMMYFUNCTION("""COMPUTED_VALUE"""),"From Under Concrete Kings")</f>
        <v>From Under Concrete Kings</v>
      </c>
      <c r="F1221" t="str">
        <f>IFERROR(__xludf.DUMMYFUNCTION("""COMPUTED_VALUE"""),"Modus Exodus")</f>
        <v>Modus Exodus</v>
      </c>
      <c r="G1221">
        <f>IFERROR(__xludf.DUMMYFUNCTION("""COMPUTED_VALUE"""),0.0)</f>
        <v>0</v>
      </c>
      <c r="H1221" s="5">
        <f>IFERROR(__xludf.DUMMYFUNCTION("""COMPUTED_VALUE"""),0.1743055555562023)</f>
        <v>0.1743055556</v>
      </c>
    </row>
    <row r="1222">
      <c r="A1222" t="str">
        <f>IFERROR(__xludf.DUMMYFUNCTION("""COMPUTED_VALUE"""),"Hong Kong")</f>
        <v>Hong Kong</v>
      </c>
      <c r="B1222" t="str">
        <f>IFERROR(__xludf.DUMMYFUNCTION("""COMPUTED_VALUE"""),"Asia")</f>
        <v>Asia</v>
      </c>
      <c r="C1222">
        <f>IFERROR(__xludf.DUMMYFUNCTION("""COMPUTED_VALUE"""),21.0)</f>
        <v>21</v>
      </c>
      <c r="D1222" t="str">
        <f>IFERROR(__xludf.DUMMYFUNCTION("""COMPUTED_VALUE"""),"Sweet Night")</f>
        <v>Sweet Night</v>
      </c>
      <c r="E1222" t="str">
        <f>IFERROR(__xludf.DUMMYFUNCTION("""COMPUTED_VALUE"""),"V")</f>
        <v>V</v>
      </c>
      <c r="F1222" t="str">
        <f>IFERROR(__xludf.DUMMYFUNCTION("""COMPUTED_VALUE"""),"ITAEWON CLASS (Original Television Soundtrack) Pt. 12")</f>
        <v>ITAEWON CLASS (Original Television Soundtrack) Pt. 12</v>
      </c>
      <c r="G1222">
        <f>IFERROR(__xludf.DUMMYFUNCTION("""COMPUTED_VALUE"""),0.0)</f>
        <v>0</v>
      </c>
      <c r="H1222" s="5">
        <f>IFERROR(__xludf.DUMMYFUNCTION("""COMPUTED_VALUE"""),0.14861111111167702)</f>
        <v>0.1486111111</v>
      </c>
    </row>
    <row r="1223">
      <c r="A1223" t="str">
        <f>IFERROR(__xludf.DUMMYFUNCTION("""COMPUTED_VALUE"""),"Hong Kong")</f>
        <v>Hong Kong</v>
      </c>
      <c r="B1223" t="str">
        <f>IFERROR(__xludf.DUMMYFUNCTION("""COMPUTED_VALUE"""),"Asia")</f>
        <v>Asia</v>
      </c>
      <c r="C1223">
        <f>IFERROR(__xludf.DUMMYFUNCTION("""COMPUTED_VALUE"""),22.0)</f>
        <v>22</v>
      </c>
      <c r="D1223" t="str">
        <f>IFERROR(__xludf.DUMMYFUNCTION("""COMPUTED_VALUE"""),"Rain On Me (with Ariana Grande)")</f>
        <v>Rain On Me (with Ariana Grande)</v>
      </c>
      <c r="E1223" t="str">
        <f>IFERROR(__xludf.DUMMYFUNCTION("""COMPUTED_VALUE"""),"Lady Gaga, Ariana Grande")</f>
        <v>Lady Gaga, Ariana Grande</v>
      </c>
      <c r="F1223" t="str">
        <f>IFERROR(__xludf.DUMMYFUNCTION("""COMPUTED_VALUE"""),"Rain On Me (with Ariana Grande)")</f>
        <v>Rain On Me (with Ariana Grande)</v>
      </c>
      <c r="G1223">
        <f>IFERROR(__xludf.DUMMYFUNCTION("""COMPUTED_VALUE"""),0.0)</f>
        <v>0</v>
      </c>
      <c r="H1223" s="5">
        <f>IFERROR(__xludf.DUMMYFUNCTION("""COMPUTED_VALUE"""),0.12638888888977817)</f>
        <v>0.1263888889</v>
      </c>
    </row>
    <row r="1224">
      <c r="A1224" t="str">
        <f>IFERROR(__xludf.DUMMYFUNCTION("""COMPUTED_VALUE"""),"Hong Kong")</f>
        <v>Hong Kong</v>
      </c>
      <c r="B1224" t="str">
        <f>IFERROR(__xludf.DUMMYFUNCTION("""COMPUTED_VALUE"""),"Asia")</f>
        <v>Asia</v>
      </c>
      <c r="C1224">
        <f>IFERROR(__xludf.DUMMYFUNCTION("""COMPUTED_VALUE"""),23.0)</f>
        <v>23</v>
      </c>
      <c r="D1224" t="str">
        <f>IFERROR(__xludf.DUMMYFUNCTION("""COMPUTED_VALUE"""),"Advienne que pourra")</f>
        <v>Advienne que pourra</v>
      </c>
      <c r="E1224" t="str">
        <f>IFERROR(__xludf.DUMMYFUNCTION("""COMPUTED_VALUE"""),"Keyzs-Sean Sparsfa")</f>
        <v>Keyzs-Sean Sparsfa</v>
      </c>
      <c r="F1224" t="str">
        <f>IFERROR(__xludf.DUMMYFUNCTION("""COMPUTED_VALUE"""),"16.20 (Phoenix)")</f>
        <v>16.20 (Phoenix)</v>
      </c>
      <c r="G1224">
        <f>IFERROR(__xludf.DUMMYFUNCTION("""COMPUTED_VALUE"""),1.0)</f>
        <v>1</v>
      </c>
      <c r="H1224" s="5">
        <f>IFERROR(__xludf.DUMMYFUNCTION("""COMPUTED_VALUE"""),0.13611111111094942)</f>
        <v>0.1361111111</v>
      </c>
    </row>
    <row r="1225">
      <c r="A1225" t="str">
        <f>IFERROR(__xludf.DUMMYFUNCTION("""COMPUTED_VALUE"""),"Hong Kong")</f>
        <v>Hong Kong</v>
      </c>
      <c r="B1225" t="str">
        <f>IFERROR(__xludf.DUMMYFUNCTION("""COMPUTED_VALUE"""),"Asia")</f>
        <v>Asia</v>
      </c>
      <c r="C1225">
        <f>IFERROR(__xludf.DUMMYFUNCTION("""COMPUTED_VALUE"""),24.0)</f>
        <v>24</v>
      </c>
      <c r="D1225" t="str">
        <f>IFERROR(__xludf.DUMMYFUNCTION("""COMPUTED_VALUE"""),"Ex")</f>
        <v>Ex</v>
      </c>
      <c r="E1225" t="str">
        <f>IFERROR(__xludf.DUMMYFUNCTION("""COMPUTED_VALUE"""),"Buunkin")</f>
        <v>Buunkin</v>
      </c>
      <c r="F1225" t="str">
        <f>IFERROR(__xludf.DUMMYFUNCTION("""COMPUTED_VALUE"""),"W-UU")</f>
        <v>W-UU</v>
      </c>
      <c r="G1225">
        <f>IFERROR(__xludf.DUMMYFUNCTION("""COMPUTED_VALUE"""),1.0)</f>
        <v>1</v>
      </c>
      <c r="H1225" s="5">
        <f>IFERROR(__xludf.DUMMYFUNCTION("""COMPUTED_VALUE"""),0.0944444444430701)</f>
        <v>0.09444444444</v>
      </c>
    </row>
    <row r="1226">
      <c r="A1226" t="str">
        <f>IFERROR(__xludf.DUMMYFUNCTION("""COMPUTED_VALUE"""),"Hong Kong")</f>
        <v>Hong Kong</v>
      </c>
      <c r="B1226" t="str">
        <f>IFERROR(__xludf.DUMMYFUNCTION("""COMPUTED_VALUE"""),"Asia")</f>
        <v>Asia</v>
      </c>
      <c r="C1226">
        <f>IFERROR(__xludf.DUMMYFUNCTION("""COMPUTED_VALUE"""),25.0)</f>
        <v>25</v>
      </c>
      <c r="D1226" t="str">
        <f>IFERROR(__xludf.DUMMYFUNCTION("""COMPUTED_VALUE"""),"Quimica")</f>
        <v>Quimica</v>
      </c>
      <c r="E1226" t="str">
        <f>IFERROR(__xludf.DUMMYFUNCTION("""COMPUTED_VALUE"""),"Bogart Bonales")</f>
        <v>Bogart Bonales</v>
      </c>
      <c r="F1226" t="str">
        <f>IFERROR(__xludf.DUMMYFUNCTION("""COMPUTED_VALUE"""),"Quimica")</f>
        <v>Quimica</v>
      </c>
      <c r="G1226">
        <f>IFERROR(__xludf.DUMMYFUNCTION("""COMPUTED_VALUE"""),0.0)</f>
        <v>0</v>
      </c>
      <c r="H1226" s="5">
        <f>IFERROR(__xludf.DUMMYFUNCTION("""COMPUTED_VALUE"""),0.11875000000145519)</f>
        <v>0.11875</v>
      </c>
    </row>
    <row r="1227">
      <c r="A1227" t="str">
        <f>IFERROR(__xludf.DUMMYFUNCTION("""COMPUTED_VALUE"""),"Hong Kong")</f>
        <v>Hong Kong</v>
      </c>
      <c r="B1227" t="str">
        <f>IFERROR(__xludf.DUMMYFUNCTION("""COMPUTED_VALUE"""),"Asia")</f>
        <v>Asia</v>
      </c>
      <c r="C1227">
        <f>IFERROR(__xludf.DUMMYFUNCTION("""COMPUTED_VALUE"""),26.0)</f>
        <v>26</v>
      </c>
      <c r="D1227" t="str">
        <f>IFERROR(__xludf.DUMMYFUNCTION("""COMPUTED_VALUE"""),"Snakecrusher")</f>
        <v>Snakecrusher</v>
      </c>
      <c r="E1227" t="str">
        <f>IFERROR(__xludf.DUMMYFUNCTION("""COMPUTED_VALUE"""),"From Under Concrete Kings")</f>
        <v>From Under Concrete Kings</v>
      </c>
      <c r="F1227" t="str">
        <f>IFERROR(__xludf.DUMMYFUNCTION("""COMPUTED_VALUE"""),"Modus Exodus")</f>
        <v>Modus Exodus</v>
      </c>
      <c r="G1227">
        <f>IFERROR(__xludf.DUMMYFUNCTION("""COMPUTED_VALUE"""),1.0)</f>
        <v>1</v>
      </c>
      <c r="H1227" s="5">
        <f>IFERROR(__xludf.DUMMYFUNCTION("""COMPUTED_VALUE"""),0.1937499999985448)</f>
        <v>0.19375</v>
      </c>
    </row>
    <row r="1228">
      <c r="A1228" t="str">
        <f>IFERROR(__xludf.DUMMYFUNCTION("""COMPUTED_VALUE"""),"Hong Kong")</f>
        <v>Hong Kong</v>
      </c>
      <c r="B1228" t="str">
        <f>IFERROR(__xludf.DUMMYFUNCTION("""COMPUTED_VALUE"""),"Asia")</f>
        <v>Asia</v>
      </c>
      <c r="C1228">
        <f>IFERROR(__xludf.DUMMYFUNCTION("""COMPUTED_VALUE"""),27.0)</f>
        <v>27</v>
      </c>
      <c r="D1228" t="str">
        <f>IFERROR(__xludf.DUMMYFUNCTION("""COMPUTED_VALUE"""),"Anywhere")</f>
        <v>Anywhere</v>
      </c>
      <c r="E1228" t="str">
        <f>IFERROR(__xludf.DUMMYFUNCTION("""COMPUTED_VALUE"""),"Torito")</f>
        <v>Torito</v>
      </c>
      <c r="F1228" t="str">
        <f>IFERROR(__xludf.DUMMYFUNCTION("""COMPUTED_VALUE"""),"Anywhere")</f>
        <v>Anywhere</v>
      </c>
      <c r="G1228">
        <f>IFERROR(__xludf.DUMMYFUNCTION("""COMPUTED_VALUE"""),1.0)</f>
        <v>1</v>
      </c>
      <c r="H1228" s="5">
        <f>IFERROR(__xludf.DUMMYFUNCTION("""COMPUTED_VALUE"""),0.13611111111094942)</f>
        <v>0.1361111111</v>
      </c>
    </row>
    <row r="1229">
      <c r="A1229" t="str">
        <f>IFERROR(__xludf.DUMMYFUNCTION("""COMPUTED_VALUE"""),"Hong Kong")</f>
        <v>Hong Kong</v>
      </c>
      <c r="B1229" t="str">
        <f>IFERROR(__xludf.DUMMYFUNCTION("""COMPUTED_VALUE"""),"Asia")</f>
        <v>Asia</v>
      </c>
      <c r="C1229">
        <f>IFERROR(__xludf.DUMMYFUNCTION("""COMPUTED_VALUE"""),28.0)</f>
        <v>28</v>
      </c>
      <c r="D1229" t="str">
        <f>IFERROR(__xludf.DUMMYFUNCTION("""COMPUTED_VALUE"""),"The Feeling")</f>
        <v>The Feeling</v>
      </c>
      <c r="E1229" t="str">
        <f>IFERROR(__xludf.DUMMYFUNCTION("""COMPUTED_VALUE"""),"ED LIIT")</f>
        <v>ED LIIT</v>
      </c>
      <c r="F1229" t="str">
        <f>IFERROR(__xludf.DUMMYFUNCTION("""COMPUTED_VALUE"""),"The Feeling")</f>
        <v>The Feeling</v>
      </c>
      <c r="G1229">
        <f>IFERROR(__xludf.DUMMYFUNCTION("""COMPUTED_VALUE"""),0.0)</f>
        <v>0</v>
      </c>
      <c r="H1229" s="5">
        <f>IFERROR(__xludf.DUMMYFUNCTION("""COMPUTED_VALUE"""),0.11041666666642413)</f>
        <v>0.1104166667</v>
      </c>
    </row>
    <row r="1230">
      <c r="A1230" t="str">
        <f>IFERROR(__xludf.DUMMYFUNCTION("""COMPUTED_VALUE"""),"Hong Kong")</f>
        <v>Hong Kong</v>
      </c>
      <c r="B1230" t="str">
        <f>IFERROR(__xludf.DUMMYFUNCTION("""COMPUTED_VALUE"""),"Asia")</f>
        <v>Asia</v>
      </c>
      <c r="C1230">
        <f>IFERROR(__xludf.DUMMYFUNCTION("""COMPUTED_VALUE"""),29.0)</f>
        <v>29</v>
      </c>
      <c r="D1230" t="str">
        <f>IFERROR(__xludf.DUMMYFUNCTION("""COMPUTED_VALUE"""),"Runaway / Higher")</f>
        <v>Runaway / Higher</v>
      </c>
      <c r="E1230" t="str">
        <f>IFERROR(__xludf.DUMMYFUNCTION("""COMPUTED_VALUE"""),"Phantom Caine")</f>
        <v>Phantom Caine</v>
      </c>
      <c r="F1230" t="str">
        <f>IFERROR(__xludf.DUMMYFUNCTION("""COMPUTED_VALUE"""),"Crying in Autotune")</f>
        <v>Crying in Autotune</v>
      </c>
      <c r="G1230">
        <f>IFERROR(__xludf.DUMMYFUNCTION("""COMPUTED_VALUE"""),0.0)</f>
        <v>0</v>
      </c>
      <c r="H1230" s="5">
        <f>IFERROR(__xludf.DUMMYFUNCTION("""COMPUTED_VALUE"""),0.16805555555401952)</f>
        <v>0.1680555556</v>
      </c>
    </row>
    <row r="1231">
      <c r="A1231" t="str">
        <f>IFERROR(__xludf.DUMMYFUNCTION("""COMPUTED_VALUE"""),"Hong Kong")</f>
        <v>Hong Kong</v>
      </c>
      <c r="B1231" t="str">
        <f>IFERROR(__xludf.DUMMYFUNCTION("""COMPUTED_VALUE"""),"Asia")</f>
        <v>Asia</v>
      </c>
      <c r="C1231">
        <f>IFERROR(__xludf.DUMMYFUNCTION("""COMPUTED_VALUE"""),30.0)</f>
        <v>30</v>
      </c>
      <c r="D1231" t="str">
        <f>IFERROR(__xludf.DUMMYFUNCTION("""COMPUTED_VALUE"""),"Party Friends")</f>
        <v>Party Friends</v>
      </c>
      <c r="E1231" t="str">
        <f>IFERROR(__xludf.DUMMYFUNCTION("""COMPUTED_VALUE"""),"Kiian")</f>
        <v>Kiian</v>
      </c>
      <c r="F1231" t="str">
        <f>IFERROR(__xludf.DUMMYFUNCTION("""COMPUTED_VALUE"""),"Party Friends")</f>
        <v>Party Friends</v>
      </c>
      <c r="G1231">
        <f>IFERROR(__xludf.DUMMYFUNCTION("""COMPUTED_VALUE"""),0.0)</f>
        <v>0</v>
      </c>
      <c r="H1231" s="5">
        <f>IFERROR(__xludf.DUMMYFUNCTION("""COMPUTED_VALUE"""),0.11597222222189885)</f>
        <v>0.1159722222</v>
      </c>
    </row>
    <row r="1232">
      <c r="A1232" t="str">
        <f>IFERROR(__xludf.DUMMYFUNCTION("""COMPUTED_VALUE"""),"Hong Kong")</f>
        <v>Hong Kong</v>
      </c>
      <c r="B1232" t="str">
        <f>IFERROR(__xludf.DUMMYFUNCTION("""COMPUTED_VALUE"""),"Asia")</f>
        <v>Asia</v>
      </c>
      <c r="C1232">
        <f>IFERROR(__xludf.DUMMYFUNCTION("""COMPUTED_VALUE"""),31.0)</f>
        <v>31</v>
      </c>
      <c r="D1232" t="str">
        <f>IFERROR(__xludf.DUMMYFUNCTION("""COMPUTED_VALUE"""),"Heart Attack")</f>
        <v>Heart Attack</v>
      </c>
      <c r="E1232" t="str">
        <f>IFERROR(__xludf.DUMMYFUNCTION("""COMPUTED_VALUE"""),"FAO&gt;dino")</f>
        <v>FAO&gt;dino</v>
      </c>
      <c r="F1232" t="str">
        <f>IFERROR(__xludf.DUMMYFUNCTION("""COMPUTED_VALUE"""),"Heart Attack")</f>
        <v>Heart Attack</v>
      </c>
      <c r="G1232">
        <f>IFERROR(__xludf.DUMMYFUNCTION("""COMPUTED_VALUE"""),1.0)</f>
        <v>1</v>
      </c>
      <c r="H1232" s="5">
        <f>IFERROR(__xludf.DUMMYFUNCTION("""COMPUTED_VALUE"""),0.1687500000007276)</f>
        <v>0.16875</v>
      </c>
    </row>
    <row r="1233">
      <c r="A1233" t="str">
        <f>IFERROR(__xludf.DUMMYFUNCTION("""COMPUTED_VALUE"""),"Hong Kong")</f>
        <v>Hong Kong</v>
      </c>
      <c r="B1233" t="str">
        <f>IFERROR(__xludf.DUMMYFUNCTION("""COMPUTED_VALUE"""),"Asia")</f>
        <v>Asia</v>
      </c>
      <c r="C1233">
        <f>IFERROR(__xludf.DUMMYFUNCTION("""COMPUTED_VALUE"""),32.0)</f>
        <v>32</v>
      </c>
      <c r="D1233" t="str">
        <f>IFERROR(__xludf.DUMMYFUNCTION("""COMPUTED_VALUE"""),"P.Y.T")</f>
        <v>P.Y.T</v>
      </c>
      <c r="E1233" t="str">
        <f>IFERROR(__xludf.DUMMYFUNCTION("""COMPUTED_VALUE"""),"TG, Young Invent")</f>
        <v>TG, Young Invent</v>
      </c>
      <c r="F1233" t="str">
        <f>IFERROR(__xludf.DUMMYFUNCTION("""COMPUTED_VALUE"""),"Old Habits Never Die 2")</f>
        <v>Old Habits Never Die 2</v>
      </c>
      <c r="G1233">
        <f>IFERROR(__xludf.DUMMYFUNCTION("""COMPUTED_VALUE"""),1.0)</f>
        <v>1</v>
      </c>
      <c r="H1233" s="5">
        <f>IFERROR(__xludf.DUMMYFUNCTION("""COMPUTED_VALUE"""),0.11527777777882875)</f>
        <v>0.1152777778</v>
      </c>
    </row>
    <row r="1234">
      <c r="A1234" t="str">
        <f>IFERROR(__xludf.DUMMYFUNCTION("""COMPUTED_VALUE"""),"Hong Kong")</f>
        <v>Hong Kong</v>
      </c>
      <c r="B1234" t="str">
        <f>IFERROR(__xludf.DUMMYFUNCTION("""COMPUTED_VALUE"""),"Asia")</f>
        <v>Asia</v>
      </c>
      <c r="C1234">
        <f>IFERROR(__xludf.DUMMYFUNCTION("""COMPUTED_VALUE"""),33.0)</f>
        <v>33</v>
      </c>
      <c r="D1234" t="str">
        <f>IFERROR(__xludf.DUMMYFUNCTION("""COMPUTED_VALUE"""),"Rockstar")</f>
        <v>Rockstar</v>
      </c>
      <c r="E1234" t="str">
        <f>IFERROR(__xludf.DUMMYFUNCTION("""COMPUTED_VALUE"""),"K Beezy")</f>
        <v>K Beezy</v>
      </c>
      <c r="F1234" t="str">
        <f>IFERROR(__xludf.DUMMYFUNCTION("""COMPUTED_VALUE"""),"Rockstar")</f>
        <v>Rockstar</v>
      </c>
      <c r="G1234">
        <f>IFERROR(__xludf.DUMMYFUNCTION("""COMPUTED_VALUE"""),1.0)</f>
        <v>1</v>
      </c>
      <c r="H1234" s="5">
        <f>IFERROR(__xludf.DUMMYFUNCTION("""COMPUTED_VALUE"""),0.08888888888759539)</f>
        <v>0.08888888889</v>
      </c>
    </row>
    <row r="1235">
      <c r="A1235" t="str">
        <f>IFERROR(__xludf.DUMMYFUNCTION("""COMPUTED_VALUE"""),"Hong Kong")</f>
        <v>Hong Kong</v>
      </c>
      <c r="B1235" t="str">
        <f>IFERROR(__xludf.DUMMYFUNCTION("""COMPUTED_VALUE"""),"Asia")</f>
        <v>Asia</v>
      </c>
      <c r="C1235">
        <f>IFERROR(__xludf.DUMMYFUNCTION("""COMPUTED_VALUE"""),34.0)</f>
        <v>34</v>
      </c>
      <c r="D1235" t="str">
        <f>IFERROR(__xludf.DUMMYFUNCTION("""COMPUTED_VALUE"""),"Call on Me")</f>
        <v>Call on Me</v>
      </c>
      <c r="E1235" t="str">
        <f>IFERROR(__xludf.DUMMYFUNCTION("""COMPUTED_VALUE"""),"James Worthy, Sonna")</f>
        <v>James Worthy, Sonna</v>
      </c>
      <c r="F1235" t="str">
        <f>IFERROR(__xludf.DUMMYFUNCTION("""COMPUTED_VALUE"""),"Blu Leisure")</f>
        <v>Blu Leisure</v>
      </c>
      <c r="G1235">
        <f>IFERROR(__xludf.DUMMYFUNCTION("""COMPUTED_VALUE"""),1.0)</f>
        <v>1</v>
      </c>
      <c r="H1235" s="5">
        <f>IFERROR(__xludf.DUMMYFUNCTION("""COMPUTED_VALUE"""),0.14791666666496894)</f>
        <v>0.1479166667</v>
      </c>
    </row>
    <row r="1236">
      <c r="A1236" t="str">
        <f>IFERROR(__xludf.DUMMYFUNCTION("""COMPUTED_VALUE"""),"Hong Kong")</f>
        <v>Hong Kong</v>
      </c>
      <c r="B1236" t="str">
        <f>IFERROR(__xludf.DUMMYFUNCTION("""COMPUTED_VALUE"""),"Asia")</f>
        <v>Asia</v>
      </c>
      <c r="C1236">
        <f>IFERROR(__xludf.DUMMYFUNCTION("""COMPUTED_VALUE"""),35.0)</f>
        <v>35</v>
      </c>
      <c r="D1236" t="str">
        <f>IFERROR(__xludf.DUMMYFUNCTION("""COMPUTED_VALUE"""),"The Kites")</f>
        <v>The Kites</v>
      </c>
      <c r="E1236" t="str">
        <f>IFERROR(__xludf.DUMMYFUNCTION("""COMPUTED_VALUE"""),"Luca Natale")</f>
        <v>Luca Natale</v>
      </c>
      <c r="F1236" t="str">
        <f>IFERROR(__xludf.DUMMYFUNCTION("""COMPUTED_VALUE"""),"The Kites")</f>
        <v>The Kites</v>
      </c>
      <c r="G1236">
        <f>IFERROR(__xludf.DUMMYFUNCTION("""COMPUTED_VALUE"""),0.0)</f>
        <v>0</v>
      </c>
      <c r="H1236" s="5">
        <f>IFERROR(__xludf.DUMMYFUNCTION("""COMPUTED_VALUE"""),0.1381944444437977)</f>
        <v>0.1381944444</v>
      </c>
    </row>
    <row r="1237">
      <c r="A1237" t="str">
        <f>IFERROR(__xludf.DUMMYFUNCTION("""COMPUTED_VALUE"""),"Hong Kong")</f>
        <v>Hong Kong</v>
      </c>
      <c r="B1237" t="str">
        <f>IFERROR(__xludf.DUMMYFUNCTION("""COMPUTED_VALUE"""),"Asia")</f>
        <v>Asia</v>
      </c>
      <c r="C1237">
        <f>IFERROR(__xludf.DUMMYFUNCTION("""COMPUTED_VALUE"""),36.0)</f>
        <v>36</v>
      </c>
      <c r="D1237" t="str">
        <f>IFERROR(__xludf.DUMMYFUNCTION("""COMPUTED_VALUE"""),"Dying Inside")</f>
        <v>Dying Inside</v>
      </c>
      <c r="E1237" t="str">
        <f>IFERROR(__xludf.DUMMYFUNCTION("""COMPUTED_VALUE"""),"Zoee8")</f>
        <v>Zoee8</v>
      </c>
      <c r="F1237" t="str">
        <f>IFERROR(__xludf.DUMMYFUNCTION("""COMPUTED_VALUE"""),"Dying Inside")</f>
        <v>Dying Inside</v>
      </c>
      <c r="G1237">
        <f>IFERROR(__xludf.DUMMYFUNCTION("""COMPUTED_VALUE"""),1.0)</f>
        <v>1</v>
      </c>
      <c r="H1237" s="5">
        <f>IFERROR(__xludf.DUMMYFUNCTION("""COMPUTED_VALUE"""),0.09652777777955635)</f>
        <v>0.09652777778</v>
      </c>
    </row>
    <row r="1238">
      <c r="A1238" t="str">
        <f>IFERROR(__xludf.DUMMYFUNCTION("""COMPUTED_VALUE"""),"Hong Kong")</f>
        <v>Hong Kong</v>
      </c>
      <c r="B1238" t="str">
        <f>IFERROR(__xludf.DUMMYFUNCTION("""COMPUTED_VALUE"""),"Asia")</f>
        <v>Asia</v>
      </c>
      <c r="C1238">
        <f>IFERROR(__xludf.DUMMYFUNCTION("""COMPUTED_VALUE"""),37.0)</f>
        <v>37</v>
      </c>
      <c r="D1238" t="str">
        <f>IFERROR(__xludf.DUMMYFUNCTION("""COMPUTED_VALUE"""),"Super Mario Bros (Main Theme)")</f>
        <v>Super Mario Bros (Main Theme)</v>
      </c>
      <c r="E1238" t="str">
        <f>IFERROR(__xludf.DUMMYFUNCTION("""COMPUTED_VALUE"""),"Luca Natale")</f>
        <v>Luca Natale</v>
      </c>
      <c r="F1238" t="str">
        <f>IFERROR(__xludf.DUMMYFUNCTION("""COMPUTED_VALUE"""),"Super Mario Bros (Main Theme)")</f>
        <v>Super Mario Bros (Main Theme)</v>
      </c>
      <c r="G1238">
        <f>IFERROR(__xludf.DUMMYFUNCTION("""COMPUTED_VALUE"""),0.0)</f>
        <v>0</v>
      </c>
      <c r="H1238" s="5">
        <f>IFERROR(__xludf.DUMMYFUNCTION("""COMPUTED_VALUE"""),0.07708333333357587)</f>
        <v>0.07708333333</v>
      </c>
    </row>
    <row r="1239">
      <c r="A1239" t="str">
        <f>IFERROR(__xludf.DUMMYFUNCTION("""COMPUTED_VALUE"""),"Hong Kong")</f>
        <v>Hong Kong</v>
      </c>
      <c r="B1239" t="str">
        <f>IFERROR(__xludf.DUMMYFUNCTION("""COMPUTED_VALUE"""),"Asia")</f>
        <v>Asia</v>
      </c>
      <c r="C1239">
        <f>IFERROR(__xludf.DUMMYFUNCTION("""COMPUTED_VALUE"""),38.0)</f>
        <v>38</v>
      </c>
      <c r="D1239" t="str">
        <f>IFERROR(__xludf.DUMMYFUNCTION("""COMPUTED_VALUE"""),"Presiento")</f>
        <v>Presiento</v>
      </c>
      <c r="E1239" t="str">
        <f>IFERROR(__xludf.DUMMYFUNCTION("""COMPUTED_VALUE"""),"Los Necesarios")</f>
        <v>Los Necesarios</v>
      </c>
      <c r="F1239" t="str">
        <f>IFERROR(__xludf.DUMMYFUNCTION("""COMPUTED_VALUE"""),"Presiento")</f>
        <v>Presiento</v>
      </c>
      <c r="G1239">
        <f>IFERROR(__xludf.DUMMYFUNCTION("""COMPUTED_VALUE"""),0.0)</f>
        <v>0</v>
      </c>
      <c r="H1239" s="5">
        <f>IFERROR(__xludf.DUMMYFUNCTION("""COMPUTED_VALUE"""),0.15763888888977817)</f>
        <v>0.1576388889</v>
      </c>
    </row>
    <row r="1240">
      <c r="A1240" t="str">
        <f>IFERROR(__xludf.DUMMYFUNCTION("""COMPUTED_VALUE"""),"Hong Kong")</f>
        <v>Hong Kong</v>
      </c>
      <c r="B1240" t="str">
        <f>IFERROR(__xludf.DUMMYFUNCTION("""COMPUTED_VALUE"""),"Asia")</f>
        <v>Asia</v>
      </c>
      <c r="C1240">
        <f>IFERROR(__xludf.DUMMYFUNCTION("""COMPUTED_VALUE"""),39.0)</f>
        <v>39</v>
      </c>
      <c r="D1240" t="str">
        <f>IFERROR(__xludf.DUMMYFUNCTION("""COMPUTED_VALUE"""),"Your Time")</f>
        <v>Your Time</v>
      </c>
      <c r="E1240" t="str">
        <f>IFERROR(__xludf.DUMMYFUNCTION("""COMPUTED_VALUE"""),"DeAnna Stealth")</f>
        <v>DeAnna Stealth</v>
      </c>
      <c r="F1240" t="str">
        <f>IFERROR(__xludf.DUMMYFUNCTION("""COMPUTED_VALUE"""),"Your Time")</f>
        <v>Your Time</v>
      </c>
      <c r="G1240">
        <f>IFERROR(__xludf.DUMMYFUNCTION("""COMPUTED_VALUE"""),0.0)</f>
        <v>0</v>
      </c>
      <c r="H1240" s="5">
        <f>IFERROR(__xludf.DUMMYFUNCTION("""COMPUTED_VALUE"""),0.1312499999985448)</f>
        <v>0.13125</v>
      </c>
    </row>
    <row r="1241">
      <c r="A1241" t="str">
        <f>IFERROR(__xludf.DUMMYFUNCTION("""COMPUTED_VALUE"""),"Hong Kong")</f>
        <v>Hong Kong</v>
      </c>
      <c r="B1241" t="str">
        <f>IFERROR(__xludf.DUMMYFUNCTION("""COMPUTED_VALUE"""),"Asia")</f>
        <v>Asia</v>
      </c>
      <c r="C1241">
        <f>IFERROR(__xludf.DUMMYFUNCTION("""COMPUTED_VALUE"""),40.0)</f>
        <v>40</v>
      </c>
      <c r="D1241" t="str">
        <f>IFERROR(__xludf.DUMMYFUNCTION("""COMPUTED_VALUE"""),"銀河修理員")</f>
        <v>銀河修理員</v>
      </c>
      <c r="E1241" t="str">
        <f>IFERROR(__xludf.DUMMYFUNCTION("""COMPUTED_VALUE"""),"Dear Jane")</f>
        <v>Dear Jane</v>
      </c>
      <c r="F1241" t="str">
        <f>IFERROR(__xludf.DUMMYFUNCTION("""COMPUTED_VALUE"""),"銀河修理員")</f>
        <v>銀河修理員</v>
      </c>
      <c r="G1241">
        <f>IFERROR(__xludf.DUMMYFUNCTION("""COMPUTED_VALUE"""),0.0)</f>
        <v>0</v>
      </c>
      <c r="H1241" s="5">
        <f>IFERROR(__xludf.DUMMYFUNCTION("""COMPUTED_VALUE"""),0.16111111111240461)</f>
        <v>0.1611111111</v>
      </c>
    </row>
    <row r="1242">
      <c r="A1242" t="str">
        <f>IFERROR(__xludf.DUMMYFUNCTION("""COMPUTED_VALUE"""),"Hong Kong")</f>
        <v>Hong Kong</v>
      </c>
      <c r="B1242" t="str">
        <f>IFERROR(__xludf.DUMMYFUNCTION("""COMPUTED_VALUE"""),"Asia")</f>
        <v>Asia</v>
      </c>
      <c r="C1242">
        <f>IFERROR(__xludf.DUMMYFUNCTION("""COMPUTED_VALUE"""),41.0)</f>
        <v>41</v>
      </c>
      <c r="D1242" t="str">
        <f>IFERROR(__xludf.DUMMYFUNCTION("""COMPUTED_VALUE"""),"Press Play")</f>
        <v>Press Play</v>
      </c>
      <c r="E1242" t="str">
        <f>IFERROR(__xludf.DUMMYFUNCTION("""COMPUTED_VALUE"""),"JSnake, Nelis Joustra, Ray Bryan")</f>
        <v>JSnake, Nelis Joustra, Ray Bryan</v>
      </c>
      <c r="F1242" t="str">
        <f>IFERROR(__xludf.DUMMYFUNCTION("""COMPUTED_VALUE"""),"Press Play")</f>
        <v>Press Play</v>
      </c>
      <c r="G1242">
        <f>IFERROR(__xludf.DUMMYFUNCTION("""COMPUTED_VALUE"""),1.0)</f>
        <v>1</v>
      </c>
      <c r="H1242" s="5">
        <f>IFERROR(__xludf.DUMMYFUNCTION("""COMPUTED_VALUE"""),0.12847222222262644)</f>
        <v>0.1284722222</v>
      </c>
    </row>
    <row r="1243">
      <c r="A1243" t="str">
        <f>IFERROR(__xludf.DUMMYFUNCTION("""COMPUTED_VALUE"""),"Hong Kong")</f>
        <v>Hong Kong</v>
      </c>
      <c r="B1243" t="str">
        <f>IFERROR(__xludf.DUMMYFUNCTION("""COMPUTED_VALUE"""),"Asia")</f>
        <v>Asia</v>
      </c>
      <c r="C1243">
        <f>IFERROR(__xludf.DUMMYFUNCTION("""COMPUTED_VALUE"""),42.0)</f>
        <v>42</v>
      </c>
      <c r="D1243" t="str">
        <f>IFERROR(__xludf.DUMMYFUNCTION("""COMPUTED_VALUE"""),"Stuck with U (with Justin Bieber)")</f>
        <v>Stuck with U (with Justin Bieber)</v>
      </c>
      <c r="E1243" t="str">
        <f>IFERROR(__xludf.DUMMYFUNCTION("""COMPUTED_VALUE"""),"Ariana Grande, Justin Bieber")</f>
        <v>Ariana Grande, Justin Bieber</v>
      </c>
      <c r="F1243" t="str">
        <f>IFERROR(__xludf.DUMMYFUNCTION("""COMPUTED_VALUE"""),"Stuck with U")</f>
        <v>Stuck with U</v>
      </c>
      <c r="G1243">
        <f>IFERROR(__xludf.DUMMYFUNCTION("""COMPUTED_VALUE"""),0.0)</f>
        <v>0</v>
      </c>
      <c r="H1243" s="5">
        <f>IFERROR(__xludf.DUMMYFUNCTION("""COMPUTED_VALUE"""),0.15833333333284827)</f>
        <v>0.1583333333</v>
      </c>
    </row>
    <row r="1244">
      <c r="A1244" t="str">
        <f>IFERROR(__xludf.DUMMYFUNCTION("""COMPUTED_VALUE"""),"Hong Kong")</f>
        <v>Hong Kong</v>
      </c>
      <c r="B1244" t="str">
        <f>IFERROR(__xludf.DUMMYFUNCTION("""COMPUTED_VALUE"""),"Asia")</f>
        <v>Asia</v>
      </c>
      <c r="C1244">
        <f>IFERROR(__xludf.DUMMYFUNCTION("""COMPUTED_VALUE"""),43.0)</f>
        <v>43</v>
      </c>
      <c r="D1244" t="str">
        <f>IFERROR(__xludf.DUMMYFUNCTION("""COMPUTED_VALUE"""),"Se acabó")</f>
        <v>Se acabó</v>
      </c>
      <c r="E1244" t="str">
        <f>IFERROR(__xludf.DUMMYFUNCTION("""COMPUTED_VALUE"""),"Molina Molina")</f>
        <v>Molina Molina</v>
      </c>
      <c r="F1244" t="str">
        <f>IFERROR(__xludf.DUMMYFUNCTION("""COMPUTED_VALUE"""),"Se acabó")</f>
        <v>Se acabó</v>
      </c>
      <c r="G1244">
        <f>IFERROR(__xludf.DUMMYFUNCTION("""COMPUTED_VALUE"""),0.0)</f>
        <v>0</v>
      </c>
      <c r="H1244" s="5">
        <f>IFERROR(__xludf.DUMMYFUNCTION("""COMPUTED_VALUE"""),0.12638888888977817)</f>
        <v>0.1263888889</v>
      </c>
    </row>
    <row r="1245">
      <c r="A1245" t="str">
        <f>IFERROR(__xludf.DUMMYFUNCTION("""COMPUTED_VALUE"""),"Hong Kong")</f>
        <v>Hong Kong</v>
      </c>
      <c r="B1245" t="str">
        <f>IFERROR(__xludf.DUMMYFUNCTION("""COMPUTED_VALUE"""),"Asia")</f>
        <v>Asia</v>
      </c>
      <c r="C1245">
        <f>IFERROR(__xludf.DUMMYFUNCTION("""COMPUTED_VALUE"""),44.0)</f>
        <v>44</v>
      </c>
      <c r="D1245" t="str">
        <f>IFERROR(__xludf.DUMMYFUNCTION("""COMPUTED_VALUE"""),"Tik Tik Tok")</f>
        <v>Tik Tik Tok</v>
      </c>
      <c r="E1245" t="str">
        <f>IFERROR(__xludf.DUMMYFUNCTION("""COMPUTED_VALUE"""),"Marli Space")</f>
        <v>Marli Space</v>
      </c>
      <c r="F1245" t="str">
        <f>IFERROR(__xludf.DUMMYFUNCTION("""COMPUTED_VALUE"""),"Tik Tik Tok")</f>
        <v>Tik Tik Tok</v>
      </c>
      <c r="G1245">
        <f>IFERROR(__xludf.DUMMYFUNCTION("""COMPUTED_VALUE"""),0.0)</f>
        <v>0</v>
      </c>
      <c r="H1245" s="5">
        <f>IFERROR(__xludf.DUMMYFUNCTION("""COMPUTED_VALUE"""),0.11666666666496894)</f>
        <v>0.1166666667</v>
      </c>
    </row>
    <row r="1246">
      <c r="A1246" t="str">
        <f>IFERROR(__xludf.DUMMYFUNCTION("""COMPUTED_VALUE"""),"Hong Kong")</f>
        <v>Hong Kong</v>
      </c>
      <c r="B1246" t="str">
        <f>IFERROR(__xludf.DUMMYFUNCTION("""COMPUTED_VALUE"""),"Asia")</f>
        <v>Asia</v>
      </c>
      <c r="C1246">
        <f>IFERROR(__xludf.DUMMYFUNCTION("""COMPUTED_VALUE"""),45.0)</f>
        <v>45</v>
      </c>
      <c r="D1246" t="str">
        <f>IFERROR(__xludf.DUMMYFUNCTION("""COMPUTED_VALUE"""),"All Night")</f>
        <v>All Night</v>
      </c>
      <c r="E1246" t="str">
        <f>IFERROR(__xludf.DUMMYFUNCTION("""COMPUTED_VALUE"""),"Mukaybin Mukayze")</f>
        <v>Mukaybin Mukayze</v>
      </c>
      <c r="F1246" t="str">
        <f>IFERROR(__xludf.DUMMYFUNCTION("""COMPUTED_VALUE"""),"All Night")</f>
        <v>All Night</v>
      </c>
      <c r="G1246">
        <f>IFERROR(__xludf.DUMMYFUNCTION("""COMPUTED_VALUE"""),0.0)</f>
        <v>0</v>
      </c>
      <c r="H1246" s="5">
        <f>IFERROR(__xludf.DUMMYFUNCTION("""COMPUTED_VALUE"""),0.12152777777737356)</f>
        <v>0.1215277778</v>
      </c>
    </row>
    <row r="1247">
      <c r="A1247" t="str">
        <f>IFERROR(__xludf.DUMMYFUNCTION("""COMPUTED_VALUE"""),"Hong Kong")</f>
        <v>Hong Kong</v>
      </c>
      <c r="B1247" t="str">
        <f>IFERROR(__xludf.DUMMYFUNCTION("""COMPUTED_VALUE"""),"Asia")</f>
        <v>Asia</v>
      </c>
      <c r="C1247">
        <f>IFERROR(__xludf.DUMMYFUNCTION("""COMPUTED_VALUE"""),46.0)</f>
        <v>46</v>
      </c>
      <c r="D1247" t="str">
        <f>IFERROR(__xludf.DUMMYFUNCTION("""COMPUTED_VALUE"""),"想見你想見你想見你(電視劇""想見你""片尾曲)")</f>
        <v>想見你想見你想見你(電視劇"想見你"片尾曲)</v>
      </c>
      <c r="E1247" t="str">
        <f>IFERROR(__xludf.DUMMYFUNCTION("""COMPUTED_VALUE"""),"831")</f>
        <v>831</v>
      </c>
      <c r="F1247" t="str">
        <f>IFERROR(__xludf.DUMMYFUNCTION("""COMPUTED_VALUE"""),"想見你想見你想見你(電視劇""想見你""片尾曲)")</f>
        <v>想見你想見你想見你(電視劇"想見你"片尾曲)</v>
      </c>
      <c r="G1247">
        <f>IFERROR(__xludf.DUMMYFUNCTION("""COMPUTED_VALUE"""),0.0)</f>
        <v>0</v>
      </c>
      <c r="H1247" s="5">
        <f>IFERROR(__xludf.DUMMYFUNCTION("""COMPUTED_VALUE"""),0.16597222222117125)</f>
        <v>0.1659722222</v>
      </c>
    </row>
    <row r="1248">
      <c r="A1248" t="str">
        <f>IFERROR(__xludf.DUMMYFUNCTION("""COMPUTED_VALUE"""),"Hong Kong")</f>
        <v>Hong Kong</v>
      </c>
      <c r="B1248" t="str">
        <f>IFERROR(__xludf.DUMMYFUNCTION("""COMPUTED_VALUE"""),"Asia")</f>
        <v>Asia</v>
      </c>
      <c r="C1248">
        <f>IFERROR(__xludf.DUMMYFUNCTION("""COMPUTED_VALUE"""),47.0)</f>
        <v>47</v>
      </c>
      <c r="D1248" t="str">
        <f>IFERROR(__xludf.DUMMYFUNCTION("""COMPUTED_VALUE"""),"eight(Prod.&amp;Feat. SUGA of BTS)")</f>
        <v>eight(Prod.&amp;Feat. SUGA of BTS)</v>
      </c>
      <c r="E1248" t="str">
        <f>IFERROR(__xludf.DUMMYFUNCTION("""COMPUTED_VALUE"""),"IU, SUGA")</f>
        <v>IU, SUGA</v>
      </c>
      <c r="F1248" t="str">
        <f>IFERROR(__xludf.DUMMYFUNCTION("""COMPUTED_VALUE"""),"eight")</f>
        <v>eight</v>
      </c>
      <c r="G1248">
        <f>IFERROR(__xludf.DUMMYFUNCTION("""COMPUTED_VALUE"""),0.0)</f>
        <v>0</v>
      </c>
      <c r="H1248" s="5">
        <f>IFERROR(__xludf.DUMMYFUNCTION("""COMPUTED_VALUE"""),0.11597222222189885)</f>
        <v>0.1159722222</v>
      </c>
    </row>
    <row r="1249">
      <c r="A1249" t="str">
        <f>IFERROR(__xludf.DUMMYFUNCTION("""COMPUTED_VALUE"""),"Hong Kong")</f>
        <v>Hong Kong</v>
      </c>
      <c r="B1249" t="str">
        <f>IFERROR(__xludf.DUMMYFUNCTION("""COMPUTED_VALUE"""),"Asia")</f>
        <v>Asia</v>
      </c>
      <c r="C1249">
        <f>IFERROR(__xludf.DUMMYFUNCTION("""COMPUTED_VALUE"""),48.0)</f>
        <v>48</v>
      </c>
      <c r="D1249" t="str">
        <f>IFERROR(__xludf.DUMMYFUNCTION("""COMPUTED_VALUE"""),"Be Kind (with Halsey)")</f>
        <v>Be Kind (with Halsey)</v>
      </c>
      <c r="E1249" t="str">
        <f>IFERROR(__xludf.DUMMYFUNCTION("""COMPUTED_VALUE"""),"Marshmello, Halsey")</f>
        <v>Marshmello, Halsey</v>
      </c>
      <c r="F1249" t="str">
        <f>IFERROR(__xludf.DUMMYFUNCTION("""COMPUTED_VALUE"""),"Be Kind (with Halsey)")</f>
        <v>Be Kind (with Halsey)</v>
      </c>
      <c r="G1249">
        <f>IFERROR(__xludf.DUMMYFUNCTION("""COMPUTED_VALUE"""),0.0)</f>
        <v>0</v>
      </c>
      <c r="H1249" s="5">
        <f>IFERROR(__xludf.DUMMYFUNCTION("""COMPUTED_VALUE"""),0.11944444444452529)</f>
        <v>0.1194444444</v>
      </c>
    </row>
    <row r="1250">
      <c r="A1250" t="str">
        <f>IFERROR(__xludf.DUMMYFUNCTION("""COMPUTED_VALUE"""),"Hong Kong")</f>
        <v>Hong Kong</v>
      </c>
      <c r="B1250" t="str">
        <f>IFERROR(__xludf.DUMMYFUNCTION("""COMPUTED_VALUE"""),"Asia")</f>
        <v>Asia</v>
      </c>
      <c r="C1250">
        <f>IFERROR(__xludf.DUMMYFUNCTION("""COMPUTED_VALUE"""),49.0)</f>
        <v>49</v>
      </c>
      <c r="D1250" t="str">
        <f>IFERROR(__xludf.DUMMYFUNCTION("""COMPUTED_VALUE"""),"呼吸有害")</f>
        <v>呼吸有害</v>
      </c>
      <c r="E1250" t="str">
        <f>IFERROR(__xludf.DUMMYFUNCTION("""COMPUTED_VALUE"""),"Karen Mok")</f>
        <v>Karen Mok</v>
      </c>
      <c r="F1250" t="str">
        <f>IFERROR(__xludf.DUMMYFUNCTION("""COMPUTED_VALUE"""),"呼吸有害")</f>
        <v>呼吸有害</v>
      </c>
      <c r="G1250">
        <f>IFERROR(__xludf.DUMMYFUNCTION("""COMPUTED_VALUE"""),0.0)</f>
        <v>0</v>
      </c>
      <c r="H1250" s="5">
        <f>IFERROR(__xludf.DUMMYFUNCTION("""COMPUTED_VALUE"""),0.13333333333503106)</f>
        <v>0.1333333333</v>
      </c>
    </row>
    <row r="1251">
      <c r="A1251" t="str">
        <f>IFERROR(__xludf.DUMMYFUNCTION("""COMPUTED_VALUE"""),"Hong Kong")</f>
        <v>Hong Kong</v>
      </c>
      <c r="B1251" t="str">
        <f>IFERROR(__xludf.DUMMYFUNCTION("""COMPUTED_VALUE"""),"Asia")</f>
        <v>Asia</v>
      </c>
      <c r="C1251">
        <f>IFERROR(__xludf.DUMMYFUNCTION("""COMPUTED_VALUE"""),50.0)</f>
        <v>50</v>
      </c>
      <c r="D1251" t="str">
        <f>IFERROR(__xludf.DUMMYFUNCTION("""COMPUTED_VALUE"""),"Piano")</f>
        <v>Piano</v>
      </c>
      <c r="E1251" t="str">
        <f>IFERROR(__xludf.DUMMYFUNCTION("""COMPUTED_VALUE"""),"Nova")</f>
        <v>Nova</v>
      </c>
      <c r="F1251" t="str">
        <f>IFERROR(__xludf.DUMMYFUNCTION("""COMPUTED_VALUE"""),"Piano")</f>
        <v>Piano</v>
      </c>
      <c r="G1251">
        <f>IFERROR(__xludf.DUMMYFUNCTION("""COMPUTED_VALUE"""),1.0)</f>
        <v>1</v>
      </c>
      <c r="H1251" s="5">
        <f>IFERROR(__xludf.DUMMYFUNCTION("""COMPUTED_VALUE"""),0.12013888888759539)</f>
        <v>0.1201388889</v>
      </c>
    </row>
    <row r="1252">
      <c r="A1252" t="str">
        <f>IFERROR(__xludf.DUMMYFUNCTION("""COMPUTED_VALUE"""),"Hungary")</f>
        <v>Hungary</v>
      </c>
      <c r="B1252" t="str">
        <f>IFERROR(__xludf.DUMMYFUNCTION("""COMPUTED_VALUE"""),"Europe")</f>
        <v>Europe</v>
      </c>
      <c r="C1252">
        <f>IFERROR(__xludf.DUMMYFUNCTION("""COMPUTED_VALUE"""),1.0)</f>
        <v>1</v>
      </c>
      <c r="D1252" t="str">
        <f>IFERROR(__xludf.DUMMYFUNCTION("""COMPUTED_VALUE"""),"Roses - Imanbek Remix")</f>
        <v>Roses - Imanbek Remix</v>
      </c>
      <c r="E1252" t="str">
        <f>IFERROR(__xludf.DUMMYFUNCTION("""COMPUTED_VALUE"""),"SAINt JHN, Imanbek")</f>
        <v>SAINt JHN, Imanbek</v>
      </c>
      <c r="F1252" t="str">
        <f>IFERROR(__xludf.DUMMYFUNCTION("""COMPUTED_VALUE"""),"Roses (Imanbek Remix)")</f>
        <v>Roses (Imanbek Remix)</v>
      </c>
      <c r="G1252">
        <f>IFERROR(__xludf.DUMMYFUNCTION("""COMPUTED_VALUE"""),1.0)</f>
        <v>1</v>
      </c>
      <c r="H1252" s="5">
        <f>IFERROR(__xludf.DUMMYFUNCTION("""COMPUTED_VALUE"""),0.12222222222044365)</f>
        <v>0.1222222222</v>
      </c>
    </row>
    <row r="1253">
      <c r="A1253" t="str">
        <f>IFERROR(__xludf.DUMMYFUNCTION("""COMPUTED_VALUE"""),"Hungary")</f>
        <v>Hungary</v>
      </c>
      <c r="B1253" t="str">
        <f>IFERROR(__xludf.DUMMYFUNCTION("""COMPUTED_VALUE"""),"Europe")</f>
        <v>Europe</v>
      </c>
      <c r="C1253">
        <f>IFERROR(__xludf.DUMMYFUNCTION("""COMPUTED_VALUE"""),2.0)</f>
        <v>2</v>
      </c>
      <c r="D1253" t="str">
        <f>IFERROR(__xludf.DUMMYFUNCTION("""COMPUTED_VALUE"""),"Blinding Lights")</f>
        <v>Blinding Lights</v>
      </c>
      <c r="E1253" t="str">
        <f>IFERROR(__xludf.DUMMYFUNCTION("""COMPUTED_VALUE"""),"The Weeknd")</f>
        <v>The Weeknd</v>
      </c>
      <c r="F1253" t="str">
        <f>IFERROR(__xludf.DUMMYFUNCTION("""COMPUTED_VALUE"""),"After Hours")</f>
        <v>After Hours</v>
      </c>
      <c r="G1253">
        <f>IFERROR(__xludf.DUMMYFUNCTION("""COMPUTED_VALUE"""),0.0)</f>
        <v>0</v>
      </c>
      <c r="H1253" s="5">
        <f>IFERROR(__xludf.DUMMYFUNCTION("""COMPUTED_VALUE"""),0.13888888889050577)</f>
        <v>0.1388888889</v>
      </c>
    </row>
    <row r="1254">
      <c r="A1254" t="str">
        <f>IFERROR(__xludf.DUMMYFUNCTION("""COMPUTED_VALUE"""),"Hungary")</f>
        <v>Hungary</v>
      </c>
      <c r="B1254" t="str">
        <f>IFERROR(__xludf.DUMMYFUNCTION("""COMPUTED_VALUE"""),"Europe")</f>
        <v>Europe</v>
      </c>
      <c r="C1254">
        <f>IFERROR(__xludf.DUMMYFUNCTION("""COMPUTED_VALUE"""),3.0)</f>
        <v>3</v>
      </c>
      <c r="D1254" t="str">
        <f>IFERROR(__xludf.DUMMYFUNCTION("""COMPUTED_VALUE"""),"GOOBA")</f>
        <v>GOOBA</v>
      </c>
      <c r="E1254" t="str">
        <f>IFERROR(__xludf.DUMMYFUNCTION("""COMPUTED_VALUE"""),"6ix9ine")</f>
        <v>6ix9ine</v>
      </c>
      <c r="F1254" t="str">
        <f>IFERROR(__xludf.DUMMYFUNCTION("""COMPUTED_VALUE"""),"GOOBA")</f>
        <v>GOOBA</v>
      </c>
      <c r="G1254">
        <f>IFERROR(__xludf.DUMMYFUNCTION("""COMPUTED_VALUE"""),1.0)</f>
        <v>1</v>
      </c>
      <c r="H1254" s="5">
        <f>IFERROR(__xludf.DUMMYFUNCTION("""COMPUTED_VALUE"""),0.09166666666715173)</f>
        <v>0.09166666667</v>
      </c>
    </row>
    <row r="1255">
      <c r="A1255" t="str">
        <f>IFERROR(__xludf.DUMMYFUNCTION("""COMPUTED_VALUE"""),"Hungary")</f>
        <v>Hungary</v>
      </c>
      <c r="B1255" t="str">
        <f>IFERROR(__xludf.DUMMYFUNCTION("""COMPUTED_VALUE"""),"Europe")</f>
        <v>Europe</v>
      </c>
      <c r="C1255">
        <f>IFERROR(__xludf.DUMMYFUNCTION("""COMPUTED_VALUE"""),4.0)</f>
        <v>4</v>
      </c>
      <c r="D1255" t="str">
        <f>IFERROR(__xludf.DUMMYFUNCTION("""COMPUTED_VALUE"""),"Breaking Me")</f>
        <v>Breaking Me</v>
      </c>
      <c r="E1255" t="str">
        <f>IFERROR(__xludf.DUMMYFUNCTION("""COMPUTED_VALUE"""),"Topic, A7S")</f>
        <v>Topic, A7S</v>
      </c>
      <c r="F1255" t="str">
        <f>IFERROR(__xludf.DUMMYFUNCTION("""COMPUTED_VALUE"""),"Breaking Me")</f>
        <v>Breaking Me</v>
      </c>
      <c r="G1255">
        <f>IFERROR(__xludf.DUMMYFUNCTION("""COMPUTED_VALUE"""),0.0)</f>
        <v>0</v>
      </c>
      <c r="H1255" s="5">
        <f>IFERROR(__xludf.DUMMYFUNCTION("""COMPUTED_VALUE"""),0.11527777777882875)</f>
        <v>0.1152777778</v>
      </c>
    </row>
    <row r="1256">
      <c r="A1256" t="str">
        <f>IFERROR(__xludf.DUMMYFUNCTION("""COMPUTED_VALUE"""),"Hungary")</f>
        <v>Hungary</v>
      </c>
      <c r="B1256" t="str">
        <f>IFERROR(__xludf.DUMMYFUNCTION("""COMPUTED_VALUE"""),"Europe")</f>
        <v>Europe</v>
      </c>
      <c r="C1256">
        <f>IFERROR(__xludf.DUMMYFUNCTION("""COMPUTED_VALUE"""),5.0)</f>
        <v>5</v>
      </c>
      <c r="D1256" t="str">
        <f>IFERROR(__xludf.DUMMYFUNCTION("""COMPUTED_VALUE"""),"ROCKSTAR (feat. Roddy Ricch)")</f>
        <v>ROCKSTAR (feat. Roddy Ricch)</v>
      </c>
      <c r="E1256" t="str">
        <f>IFERROR(__xludf.DUMMYFUNCTION("""COMPUTED_VALUE"""),"DaBaby, Roddy Ricch")</f>
        <v>DaBaby, Roddy Ricch</v>
      </c>
      <c r="F1256" t="str">
        <f>IFERROR(__xludf.DUMMYFUNCTION("""COMPUTED_VALUE"""),"BLAME IT ON BABY")</f>
        <v>BLAME IT ON BABY</v>
      </c>
      <c r="G1256">
        <f>IFERROR(__xludf.DUMMYFUNCTION("""COMPUTED_VALUE"""),1.0)</f>
        <v>1</v>
      </c>
      <c r="H1256" s="5">
        <f>IFERROR(__xludf.DUMMYFUNCTION("""COMPUTED_VALUE"""),0.1256944444430701)</f>
        <v>0.1256944444</v>
      </c>
    </row>
    <row r="1257">
      <c r="A1257" t="str">
        <f>IFERROR(__xludf.DUMMYFUNCTION("""COMPUTED_VALUE"""),"Hungary")</f>
        <v>Hungary</v>
      </c>
      <c r="B1257" t="str">
        <f>IFERROR(__xludf.DUMMYFUNCTION("""COMPUTED_VALUE"""),"Europe")</f>
        <v>Europe</v>
      </c>
      <c r="C1257">
        <f>IFERROR(__xludf.DUMMYFUNCTION("""COMPUTED_VALUE"""),6.0)</f>
        <v>6</v>
      </c>
      <c r="D1257" t="str">
        <f>IFERROR(__xludf.DUMMYFUNCTION("""COMPUTED_VALUE"""),"Rain On Me (with Ariana Grande)")</f>
        <v>Rain On Me (with Ariana Grande)</v>
      </c>
      <c r="E1257" t="str">
        <f>IFERROR(__xludf.DUMMYFUNCTION("""COMPUTED_VALUE"""),"Lady Gaga, Ariana Grande")</f>
        <v>Lady Gaga, Ariana Grande</v>
      </c>
      <c r="F1257" t="str">
        <f>IFERROR(__xludf.DUMMYFUNCTION("""COMPUTED_VALUE"""),"Rain On Me (with Ariana Grande)")</f>
        <v>Rain On Me (with Ariana Grande)</v>
      </c>
      <c r="G1257">
        <f>IFERROR(__xludf.DUMMYFUNCTION("""COMPUTED_VALUE"""),0.0)</f>
        <v>0</v>
      </c>
      <c r="H1257" s="5">
        <f>IFERROR(__xludf.DUMMYFUNCTION("""COMPUTED_VALUE"""),0.12638888888977817)</f>
        <v>0.1263888889</v>
      </c>
    </row>
    <row r="1258">
      <c r="A1258" t="str">
        <f>IFERROR(__xludf.DUMMYFUNCTION("""COMPUTED_VALUE"""),"Hungary")</f>
        <v>Hungary</v>
      </c>
      <c r="B1258" t="str">
        <f>IFERROR(__xludf.DUMMYFUNCTION("""COMPUTED_VALUE"""),"Europe")</f>
        <v>Europe</v>
      </c>
      <c r="C1258">
        <f>IFERROR(__xludf.DUMMYFUNCTION("""COMPUTED_VALUE"""),7.0)</f>
        <v>7</v>
      </c>
      <c r="D1258" t="str">
        <f>IFERROR(__xludf.DUMMYFUNCTION("""COMPUTED_VALUE"""),"THE SCOTTS")</f>
        <v>THE SCOTTS</v>
      </c>
      <c r="E1258" t="str">
        <f>IFERROR(__xludf.DUMMYFUNCTION("""COMPUTED_VALUE"""),"THE SCOTTS, Travis Scott, Kid Cudi")</f>
        <v>THE SCOTTS, Travis Scott, Kid Cudi</v>
      </c>
      <c r="F1258" t="str">
        <f>IFERROR(__xludf.DUMMYFUNCTION("""COMPUTED_VALUE"""),"THE SCOTTS")</f>
        <v>THE SCOTTS</v>
      </c>
      <c r="G1258">
        <f>IFERROR(__xludf.DUMMYFUNCTION("""COMPUTED_VALUE"""),1.0)</f>
        <v>1</v>
      </c>
      <c r="H1258" s="5">
        <f>IFERROR(__xludf.DUMMYFUNCTION("""COMPUTED_VALUE"""),0.11458333333212067)</f>
        <v>0.1145833333</v>
      </c>
    </row>
    <row r="1259">
      <c r="A1259" t="str">
        <f>IFERROR(__xludf.DUMMYFUNCTION("""COMPUTED_VALUE"""),"Hungary")</f>
        <v>Hungary</v>
      </c>
      <c r="B1259" t="str">
        <f>IFERROR(__xludf.DUMMYFUNCTION("""COMPUTED_VALUE"""),"Europe")</f>
        <v>Europe</v>
      </c>
      <c r="C1259">
        <f>IFERROR(__xludf.DUMMYFUNCTION("""COMPUTED_VALUE"""),8.0)</f>
        <v>8</v>
      </c>
      <c r="D1259" t="str">
        <f>IFERROR(__xludf.DUMMYFUNCTION("""COMPUTED_VALUE"""),"Dance Monkey")</f>
        <v>Dance Monkey</v>
      </c>
      <c r="E1259" t="str">
        <f>IFERROR(__xludf.DUMMYFUNCTION("""COMPUTED_VALUE"""),"Tones And I")</f>
        <v>Tones And I</v>
      </c>
      <c r="F1259" t="str">
        <f>IFERROR(__xludf.DUMMYFUNCTION("""COMPUTED_VALUE"""),"Dance Monkey (Stripped Back) / Dance Monkey")</f>
        <v>Dance Monkey (Stripped Back) / Dance Monkey</v>
      </c>
      <c r="G1259">
        <f>IFERROR(__xludf.DUMMYFUNCTION("""COMPUTED_VALUE"""),0.0)</f>
        <v>0</v>
      </c>
      <c r="H1259" s="5">
        <f>IFERROR(__xludf.DUMMYFUNCTION("""COMPUTED_VALUE"""),0.14513888888905058)</f>
        <v>0.1451388889</v>
      </c>
    </row>
    <row r="1260">
      <c r="A1260" t="str">
        <f>IFERROR(__xludf.DUMMYFUNCTION("""COMPUTED_VALUE"""),"Hungary")</f>
        <v>Hungary</v>
      </c>
      <c r="B1260" t="str">
        <f>IFERROR(__xludf.DUMMYFUNCTION("""COMPUTED_VALUE"""),"Europe")</f>
        <v>Europe</v>
      </c>
      <c r="C1260">
        <f>IFERROR(__xludf.DUMMYFUNCTION("""COMPUTED_VALUE"""),9.0)</f>
        <v>9</v>
      </c>
      <c r="D1260" t="str">
        <f>IFERROR(__xludf.DUMMYFUNCTION("""COMPUTED_VALUE"""),"Don't Start Now")</f>
        <v>Don't Start Now</v>
      </c>
      <c r="E1260" t="str">
        <f>IFERROR(__xludf.DUMMYFUNCTION("""COMPUTED_VALUE"""),"Dua Lipa")</f>
        <v>Dua Lipa</v>
      </c>
      <c r="F1260" t="str">
        <f>IFERROR(__xludf.DUMMYFUNCTION("""COMPUTED_VALUE"""),"Future Nostalgia")</f>
        <v>Future Nostalgia</v>
      </c>
      <c r="G1260">
        <f>IFERROR(__xludf.DUMMYFUNCTION("""COMPUTED_VALUE"""),0.0)</f>
        <v>0</v>
      </c>
      <c r="H1260" s="5">
        <f>IFERROR(__xludf.DUMMYFUNCTION("""COMPUTED_VALUE"""),0.12708333333284827)</f>
        <v>0.1270833333</v>
      </c>
    </row>
    <row r="1261">
      <c r="A1261" t="str">
        <f>IFERROR(__xludf.DUMMYFUNCTION("""COMPUTED_VALUE"""),"Hungary")</f>
        <v>Hungary</v>
      </c>
      <c r="B1261" t="str">
        <f>IFERROR(__xludf.DUMMYFUNCTION("""COMPUTED_VALUE"""),"Europe")</f>
        <v>Europe</v>
      </c>
      <c r="C1261">
        <f>IFERROR(__xludf.DUMMYFUNCTION("""COMPUTED_VALUE"""),10.0)</f>
        <v>10</v>
      </c>
      <c r="D1261" t="str">
        <f>IFERROR(__xludf.DUMMYFUNCTION("""COMPUTED_VALUE"""),"Toosie Slide")</f>
        <v>Toosie Slide</v>
      </c>
      <c r="E1261" t="str">
        <f>IFERROR(__xludf.DUMMYFUNCTION("""COMPUTED_VALUE"""),"Drake")</f>
        <v>Drake</v>
      </c>
      <c r="F1261" t="str">
        <f>IFERROR(__xludf.DUMMYFUNCTION("""COMPUTED_VALUE"""),"Dark Lane Demo Tapes")</f>
        <v>Dark Lane Demo Tapes</v>
      </c>
      <c r="G1261">
        <f>IFERROR(__xludf.DUMMYFUNCTION("""COMPUTED_VALUE"""),1.0)</f>
        <v>1</v>
      </c>
      <c r="H1261" s="5">
        <f>IFERROR(__xludf.DUMMYFUNCTION("""COMPUTED_VALUE"""),0.17152777777664596)</f>
        <v>0.1715277778</v>
      </c>
    </row>
    <row r="1262">
      <c r="A1262" t="str">
        <f>IFERROR(__xludf.DUMMYFUNCTION("""COMPUTED_VALUE"""),"Hungary")</f>
        <v>Hungary</v>
      </c>
      <c r="B1262" t="str">
        <f>IFERROR(__xludf.DUMMYFUNCTION("""COMPUTED_VALUE"""),"Europe")</f>
        <v>Europe</v>
      </c>
      <c r="C1262">
        <f>IFERROR(__xludf.DUMMYFUNCTION("""COMPUTED_VALUE"""),11.0)</f>
        <v>11</v>
      </c>
      <c r="D1262" t="str">
        <f>IFERROR(__xludf.DUMMYFUNCTION("""COMPUTED_VALUE"""),"The Box")</f>
        <v>The Box</v>
      </c>
      <c r="E1262" t="str">
        <f>IFERROR(__xludf.DUMMYFUNCTION("""COMPUTED_VALUE"""),"Roddy Ricch")</f>
        <v>Roddy Ricch</v>
      </c>
      <c r="F1262" t="str">
        <f>IFERROR(__xludf.DUMMYFUNCTION("""COMPUTED_VALUE"""),"Please Excuse Me For Being Antisocial")</f>
        <v>Please Excuse Me For Being Antisocial</v>
      </c>
      <c r="G1262">
        <f>IFERROR(__xludf.DUMMYFUNCTION("""COMPUTED_VALUE"""),1.0)</f>
        <v>1</v>
      </c>
      <c r="H1262" s="5">
        <f>IFERROR(__xludf.DUMMYFUNCTION("""COMPUTED_VALUE"""),0.13611111111094942)</f>
        <v>0.1361111111</v>
      </c>
    </row>
    <row r="1263">
      <c r="A1263" t="str">
        <f>IFERROR(__xludf.DUMMYFUNCTION("""COMPUTED_VALUE"""),"Hungary")</f>
        <v>Hungary</v>
      </c>
      <c r="B1263" t="str">
        <f>IFERROR(__xludf.DUMMYFUNCTION("""COMPUTED_VALUE"""),"Europe")</f>
        <v>Europe</v>
      </c>
      <c r="C1263">
        <f>IFERROR(__xludf.DUMMYFUNCTION("""COMPUTED_VALUE"""),12.0)</f>
        <v>12</v>
      </c>
      <c r="D1263" t="str">
        <f>IFERROR(__xludf.DUMMYFUNCTION("""COMPUTED_VALUE"""),"Blueberry Faygo")</f>
        <v>Blueberry Faygo</v>
      </c>
      <c r="E1263" t="str">
        <f>IFERROR(__xludf.DUMMYFUNCTION("""COMPUTED_VALUE"""),"Lil Mosey")</f>
        <v>Lil Mosey</v>
      </c>
      <c r="F1263" t="str">
        <f>IFERROR(__xludf.DUMMYFUNCTION("""COMPUTED_VALUE"""),"Certified Hitmaker")</f>
        <v>Certified Hitmaker</v>
      </c>
      <c r="G1263">
        <f>IFERROR(__xludf.DUMMYFUNCTION("""COMPUTED_VALUE"""),1.0)</f>
        <v>1</v>
      </c>
      <c r="H1263" s="5">
        <f>IFERROR(__xludf.DUMMYFUNCTION("""COMPUTED_VALUE"""),0.1124999999992724)</f>
        <v>0.1125</v>
      </c>
    </row>
    <row r="1264">
      <c r="A1264" t="str">
        <f>IFERROR(__xludf.DUMMYFUNCTION("""COMPUTED_VALUE"""),"Hungary")</f>
        <v>Hungary</v>
      </c>
      <c r="B1264" t="str">
        <f>IFERROR(__xludf.DUMMYFUNCTION("""COMPUTED_VALUE"""),"Europe")</f>
        <v>Europe</v>
      </c>
      <c r="C1264">
        <f>IFERROR(__xludf.DUMMYFUNCTION("""COMPUTED_VALUE"""),13.0)</f>
        <v>13</v>
      </c>
      <c r="D1264" t="str">
        <f>IFERROR(__xludf.DUMMYFUNCTION("""COMPUTED_VALUE"""),"Break My Heart")</f>
        <v>Break My Heart</v>
      </c>
      <c r="E1264" t="str">
        <f>IFERROR(__xludf.DUMMYFUNCTION("""COMPUTED_VALUE"""),"Dua Lipa")</f>
        <v>Dua Lipa</v>
      </c>
      <c r="F1264" t="str">
        <f>IFERROR(__xludf.DUMMYFUNCTION("""COMPUTED_VALUE"""),"Future Nostalgia")</f>
        <v>Future Nostalgia</v>
      </c>
      <c r="G1264">
        <f>IFERROR(__xludf.DUMMYFUNCTION("""COMPUTED_VALUE"""),0.0)</f>
        <v>0</v>
      </c>
      <c r="H1264" s="5">
        <f>IFERROR(__xludf.DUMMYFUNCTION("""COMPUTED_VALUE"""),0.15347222222044365)</f>
        <v>0.1534722222</v>
      </c>
    </row>
    <row r="1265">
      <c r="A1265" t="str">
        <f>IFERROR(__xludf.DUMMYFUNCTION("""COMPUTED_VALUE"""),"Hungary")</f>
        <v>Hungary</v>
      </c>
      <c r="B1265" t="str">
        <f>IFERROR(__xludf.DUMMYFUNCTION("""COMPUTED_VALUE"""),"Europe")</f>
        <v>Europe</v>
      </c>
      <c r="C1265">
        <f>IFERROR(__xludf.DUMMYFUNCTION("""COMPUTED_VALUE"""),14.0)</f>
        <v>14</v>
      </c>
      <c r="D1265" t="str">
        <f>IFERROR(__xludf.DUMMYFUNCTION("""COMPUTED_VALUE"""),"Falling")</f>
        <v>Falling</v>
      </c>
      <c r="E1265" t="str">
        <f>IFERROR(__xludf.DUMMYFUNCTION("""COMPUTED_VALUE"""),"Trevor Daniel")</f>
        <v>Trevor Daniel</v>
      </c>
      <c r="F1265" t="str">
        <f>IFERROR(__xludf.DUMMYFUNCTION("""COMPUTED_VALUE"""),"Nicotine")</f>
        <v>Nicotine</v>
      </c>
      <c r="G1265">
        <f>IFERROR(__xludf.DUMMYFUNCTION("""COMPUTED_VALUE"""),0.0)</f>
        <v>0</v>
      </c>
      <c r="H1265" s="5">
        <f>IFERROR(__xludf.DUMMYFUNCTION("""COMPUTED_VALUE"""),0.11041666666642413)</f>
        <v>0.1104166667</v>
      </c>
    </row>
    <row r="1266">
      <c r="A1266" t="str">
        <f>IFERROR(__xludf.DUMMYFUNCTION("""COMPUTED_VALUE"""),"Hungary")</f>
        <v>Hungary</v>
      </c>
      <c r="B1266" t="str">
        <f>IFERROR(__xludf.DUMMYFUNCTION("""COMPUTED_VALUE"""),"Europe")</f>
        <v>Europe</v>
      </c>
      <c r="C1266">
        <f>IFERROR(__xludf.DUMMYFUNCTION("""COMPUTED_VALUE"""),15.0)</f>
        <v>15</v>
      </c>
      <c r="D1266" t="str">
        <f>IFERROR(__xludf.DUMMYFUNCTION("""COMPUTED_VALUE"""),"Olyan Ő")</f>
        <v>Olyan Ő</v>
      </c>
      <c r="E1266" t="str">
        <f>IFERROR(__xludf.DUMMYFUNCTION("""COMPUTED_VALUE"""),"Bagossy Brothers Company")</f>
        <v>Bagossy Brothers Company</v>
      </c>
      <c r="F1266" t="str">
        <f>IFERROR(__xludf.DUMMYFUNCTION("""COMPUTED_VALUE"""),"Veled Utazom")</f>
        <v>Veled Utazom</v>
      </c>
      <c r="G1266">
        <f>IFERROR(__xludf.DUMMYFUNCTION("""COMPUTED_VALUE"""),0.0)</f>
        <v>0</v>
      </c>
      <c r="H1266" s="5">
        <f>IFERROR(__xludf.DUMMYFUNCTION("""COMPUTED_VALUE"""),0.1569444444430701)</f>
        <v>0.1569444444</v>
      </c>
    </row>
    <row r="1267">
      <c r="A1267" t="str">
        <f>IFERROR(__xludf.DUMMYFUNCTION("""COMPUTED_VALUE"""),"Hungary")</f>
        <v>Hungary</v>
      </c>
      <c r="B1267" t="str">
        <f>IFERROR(__xludf.DUMMYFUNCTION("""COMPUTED_VALUE"""),"Europe")</f>
        <v>Europe</v>
      </c>
      <c r="C1267">
        <f>IFERROR(__xludf.DUMMYFUNCTION("""COMPUTED_VALUE"""),16.0)</f>
        <v>16</v>
      </c>
      <c r="D1267" t="str">
        <f>IFERROR(__xludf.DUMMYFUNCTION("""COMPUTED_VALUE"""),"Ride It")</f>
        <v>Ride It</v>
      </c>
      <c r="E1267" t="str">
        <f>IFERROR(__xludf.DUMMYFUNCTION("""COMPUTED_VALUE"""),"Regard")</f>
        <v>Regard</v>
      </c>
      <c r="F1267" t="str">
        <f>IFERROR(__xludf.DUMMYFUNCTION("""COMPUTED_VALUE"""),"Ride It")</f>
        <v>Ride It</v>
      </c>
      <c r="G1267">
        <f>IFERROR(__xludf.DUMMYFUNCTION("""COMPUTED_VALUE"""),0.0)</f>
        <v>0</v>
      </c>
      <c r="H1267" s="5">
        <f>IFERROR(__xludf.DUMMYFUNCTION("""COMPUTED_VALUE"""),0.10902777777664596)</f>
        <v>0.1090277778</v>
      </c>
    </row>
    <row r="1268">
      <c r="A1268" t="str">
        <f>IFERROR(__xludf.DUMMYFUNCTION("""COMPUTED_VALUE"""),"Hungary")</f>
        <v>Hungary</v>
      </c>
      <c r="B1268" t="str">
        <f>IFERROR(__xludf.DUMMYFUNCTION("""COMPUTED_VALUE"""),"Europe")</f>
        <v>Europe</v>
      </c>
      <c r="C1268">
        <f>IFERROR(__xludf.DUMMYFUNCTION("""COMPUTED_VALUE"""),17.0)</f>
        <v>17</v>
      </c>
      <c r="D1268" t="str">
        <f>IFERROR(__xludf.DUMMYFUNCTION("""COMPUTED_VALUE"""),"Boss Bitch")</f>
        <v>Boss Bitch</v>
      </c>
      <c r="E1268" t="str">
        <f>IFERROR(__xludf.DUMMYFUNCTION("""COMPUTED_VALUE"""),"Doja Cat")</f>
        <v>Doja Cat</v>
      </c>
      <c r="F1268" t="str">
        <f>IFERROR(__xludf.DUMMYFUNCTION("""COMPUTED_VALUE"""),"Boss Bitch")</f>
        <v>Boss Bitch</v>
      </c>
      <c r="G1268">
        <f>IFERROR(__xludf.DUMMYFUNCTION("""COMPUTED_VALUE"""),0.0)</f>
        <v>0</v>
      </c>
      <c r="H1268" s="5">
        <f>IFERROR(__xludf.DUMMYFUNCTION("""COMPUTED_VALUE"""),0.0930555555569299)</f>
        <v>0.09305555556</v>
      </c>
    </row>
    <row r="1269">
      <c r="A1269" t="str">
        <f>IFERROR(__xludf.DUMMYFUNCTION("""COMPUTED_VALUE"""),"Hungary")</f>
        <v>Hungary</v>
      </c>
      <c r="B1269" t="str">
        <f>IFERROR(__xludf.DUMMYFUNCTION("""COMPUTED_VALUE"""),"Europe")</f>
        <v>Europe</v>
      </c>
      <c r="C1269">
        <f>IFERROR(__xludf.DUMMYFUNCTION("""COMPUTED_VALUE"""),18.0)</f>
        <v>18</v>
      </c>
      <c r="D1269" t="str">
        <f>IFERROR(__xludf.DUMMYFUNCTION("""COMPUTED_VALUE"""),"death bed (coffee for your head) (feat. beabadoobee)")</f>
        <v>death bed (coffee for your head) (feat. beabadoobee)</v>
      </c>
      <c r="E1269" t="str">
        <f>IFERROR(__xludf.DUMMYFUNCTION("""COMPUTED_VALUE"""),"Powfu, beabadoobee")</f>
        <v>Powfu, beabadoobee</v>
      </c>
      <c r="F1269" t="str">
        <f>IFERROR(__xludf.DUMMYFUNCTION("""COMPUTED_VALUE"""),"death bed (coffee for your head) (feat. beabadoobee)")</f>
        <v>death bed (coffee for your head) (feat. beabadoobee)</v>
      </c>
      <c r="G1269">
        <f>IFERROR(__xludf.DUMMYFUNCTION("""COMPUTED_VALUE"""),0.0)</f>
        <v>0</v>
      </c>
      <c r="H1269" s="5">
        <f>IFERROR(__xludf.DUMMYFUNCTION("""COMPUTED_VALUE"""),0.12013888888759539)</f>
        <v>0.1201388889</v>
      </c>
    </row>
    <row r="1270">
      <c r="A1270" t="str">
        <f>IFERROR(__xludf.DUMMYFUNCTION("""COMPUTED_VALUE"""),"Hungary")</f>
        <v>Hungary</v>
      </c>
      <c r="B1270" t="str">
        <f>IFERROR(__xludf.DUMMYFUNCTION("""COMPUTED_VALUE"""),"Europe")</f>
        <v>Europe</v>
      </c>
      <c r="C1270">
        <f>IFERROR(__xludf.DUMMYFUNCTION("""COMPUTED_VALUE"""),19.0)</f>
        <v>19</v>
      </c>
      <c r="D1270" t="str">
        <f>IFERROR(__xludf.DUMMYFUNCTION("""COMPUTED_VALUE"""),"goosebumps")</f>
        <v>goosebumps</v>
      </c>
      <c r="E1270" t="str">
        <f>IFERROR(__xludf.DUMMYFUNCTION("""COMPUTED_VALUE"""),"Travis Scott")</f>
        <v>Travis Scott</v>
      </c>
      <c r="F1270" t="str">
        <f>IFERROR(__xludf.DUMMYFUNCTION("""COMPUTED_VALUE"""),"Birds In The Trap Sing McKnight")</f>
        <v>Birds In The Trap Sing McKnight</v>
      </c>
      <c r="G1270">
        <f>IFERROR(__xludf.DUMMYFUNCTION("""COMPUTED_VALUE"""),1.0)</f>
        <v>1</v>
      </c>
      <c r="H1270" s="5">
        <f>IFERROR(__xludf.DUMMYFUNCTION("""COMPUTED_VALUE"""),0.1687500000007276)</f>
        <v>0.16875</v>
      </c>
    </row>
    <row r="1271">
      <c r="A1271" t="str">
        <f>IFERROR(__xludf.DUMMYFUNCTION("""COMPUTED_VALUE"""),"Hungary")</f>
        <v>Hungary</v>
      </c>
      <c r="B1271" t="str">
        <f>IFERROR(__xludf.DUMMYFUNCTION("""COMPUTED_VALUE"""),"Europe")</f>
        <v>Europe</v>
      </c>
      <c r="C1271">
        <f>IFERROR(__xludf.DUMMYFUNCTION("""COMPUTED_VALUE"""),20.0)</f>
        <v>20</v>
      </c>
      <c r="D1271" t="str">
        <f>IFERROR(__xludf.DUMMYFUNCTION("""COMPUTED_VALUE"""),"ily (i love you baby) (feat. Emilee)")</f>
        <v>ily (i love you baby) (feat. Emilee)</v>
      </c>
      <c r="E1271" t="str">
        <f>IFERROR(__xludf.DUMMYFUNCTION("""COMPUTED_VALUE"""),"Surf Mesa, Emilee")</f>
        <v>Surf Mesa, Emilee</v>
      </c>
      <c r="F1271" t="str">
        <f>IFERROR(__xludf.DUMMYFUNCTION("""COMPUTED_VALUE"""),"ily (i love you baby) (feat. Emilee)")</f>
        <v>ily (i love you baby) (feat. Emilee)</v>
      </c>
      <c r="G1271">
        <f>IFERROR(__xludf.DUMMYFUNCTION("""COMPUTED_VALUE"""),0.0)</f>
        <v>0</v>
      </c>
      <c r="H1271" s="5">
        <f>IFERROR(__xludf.DUMMYFUNCTION("""COMPUTED_VALUE"""),0.12222222222044365)</f>
        <v>0.1222222222</v>
      </c>
    </row>
    <row r="1272">
      <c r="A1272" t="str">
        <f>IFERROR(__xludf.DUMMYFUNCTION("""COMPUTED_VALUE"""),"Hungary")</f>
        <v>Hungary</v>
      </c>
      <c r="B1272" t="str">
        <f>IFERROR(__xludf.DUMMYFUNCTION("""COMPUTED_VALUE"""),"Europe")</f>
        <v>Europe</v>
      </c>
      <c r="C1272">
        <f>IFERROR(__xludf.DUMMYFUNCTION("""COMPUTED_VALUE"""),21.0)</f>
        <v>21</v>
      </c>
      <c r="D1272" t="str">
        <f>IFERROR(__xludf.DUMMYFUNCTION("""COMPUTED_VALUE"""),"bad guy")</f>
        <v>bad guy</v>
      </c>
      <c r="E1272" t="str">
        <f>IFERROR(__xludf.DUMMYFUNCTION("""COMPUTED_VALUE"""),"Billie Eilish")</f>
        <v>Billie Eilish</v>
      </c>
      <c r="F1272" t="str">
        <f>IFERROR(__xludf.DUMMYFUNCTION("""COMPUTED_VALUE"""),"WHEN WE ALL FALL ASLEEP, WHERE DO WE GO?")</f>
        <v>WHEN WE ALL FALL ASLEEP, WHERE DO WE GO?</v>
      </c>
      <c r="G1272">
        <f>IFERROR(__xludf.DUMMYFUNCTION("""COMPUTED_VALUE"""),0.0)</f>
        <v>0</v>
      </c>
      <c r="H1272" s="5">
        <f>IFERROR(__xludf.DUMMYFUNCTION("""COMPUTED_VALUE"""),0.13472222222117125)</f>
        <v>0.1347222222</v>
      </c>
    </row>
    <row r="1273">
      <c r="A1273" t="str">
        <f>IFERROR(__xludf.DUMMYFUNCTION("""COMPUTED_VALUE"""),"Hungary")</f>
        <v>Hungary</v>
      </c>
      <c r="B1273" t="str">
        <f>IFERROR(__xludf.DUMMYFUNCTION("""COMPUTED_VALUE"""),"Europe")</f>
        <v>Europe</v>
      </c>
      <c r="C1273">
        <f>IFERROR(__xludf.DUMMYFUNCTION("""COMPUTED_VALUE"""),22.0)</f>
        <v>22</v>
      </c>
      <c r="D1273" t="str">
        <f>IFERROR(__xludf.DUMMYFUNCTION("""COMPUTED_VALUE"""),"Tavasz")</f>
        <v>Tavasz</v>
      </c>
      <c r="E1273" t="str">
        <f>IFERROR(__xludf.DUMMYFUNCTION("""COMPUTED_VALUE"""),"Follow The Flow")</f>
        <v>Follow The Flow</v>
      </c>
      <c r="F1273" t="str">
        <f>IFERROR(__xludf.DUMMYFUNCTION("""COMPUTED_VALUE"""),"Tavasz")</f>
        <v>Tavasz</v>
      </c>
      <c r="G1273">
        <f>IFERROR(__xludf.DUMMYFUNCTION("""COMPUTED_VALUE"""),0.0)</f>
        <v>0</v>
      </c>
      <c r="H1273" s="5">
        <f>IFERROR(__xludf.DUMMYFUNCTION("""COMPUTED_VALUE"""),0.13611111111094942)</f>
        <v>0.1361111111</v>
      </c>
    </row>
    <row r="1274">
      <c r="A1274" t="str">
        <f>IFERROR(__xludf.DUMMYFUNCTION("""COMPUTED_VALUE"""),"Hungary")</f>
        <v>Hungary</v>
      </c>
      <c r="B1274" t="str">
        <f>IFERROR(__xludf.DUMMYFUNCTION("""COMPUTED_VALUE"""),"Europe")</f>
        <v>Europe</v>
      </c>
      <c r="C1274">
        <f>IFERROR(__xludf.DUMMYFUNCTION("""COMPUTED_VALUE"""),23.0)</f>
        <v>23</v>
      </c>
      <c r="D1274" t="str">
        <f>IFERROR(__xludf.DUMMYFUNCTION("""COMPUTED_VALUE"""),"Stuck with U (with Justin Bieber)")</f>
        <v>Stuck with U (with Justin Bieber)</v>
      </c>
      <c r="E1274" t="str">
        <f>IFERROR(__xludf.DUMMYFUNCTION("""COMPUTED_VALUE"""),"Ariana Grande, Justin Bieber")</f>
        <v>Ariana Grande, Justin Bieber</v>
      </c>
      <c r="F1274" t="str">
        <f>IFERROR(__xludf.DUMMYFUNCTION("""COMPUTED_VALUE"""),"Stuck with U")</f>
        <v>Stuck with U</v>
      </c>
      <c r="G1274">
        <f>IFERROR(__xludf.DUMMYFUNCTION("""COMPUTED_VALUE"""),0.0)</f>
        <v>0</v>
      </c>
      <c r="H1274" s="5">
        <f>IFERROR(__xludf.DUMMYFUNCTION("""COMPUTED_VALUE"""),0.15833333333284827)</f>
        <v>0.1583333333</v>
      </c>
    </row>
    <row r="1275">
      <c r="A1275" t="str">
        <f>IFERROR(__xludf.DUMMYFUNCTION("""COMPUTED_VALUE"""),"Hungary")</f>
        <v>Hungary</v>
      </c>
      <c r="B1275" t="str">
        <f>IFERROR(__xludf.DUMMYFUNCTION("""COMPUTED_VALUE"""),"Europe")</f>
        <v>Europe</v>
      </c>
      <c r="C1275">
        <f>IFERROR(__xludf.DUMMYFUNCTION("""COMPUTED_VALUE"""),24.0)</f>
        <v>24</v>
      </c>
      <c r="D1275" t="str">
        <f>IFERROR(__xludf.DUMMYFUNCTION("""COMPUTED_VALUE"""),"Godzilla (feat. Juice WRLD)")</f>
        <v>Godzilla (feat. Juice WRLD)</v>
      </c>
      <c r="E1275" t="str">
        <f>IFERROR(__xludf.DUMMYFUNCTION("""COMPUTED_VALUE"""),"Eminem, Juice WRLD")</f>
        <v>Eminem, Juice WRLD</v>
      </c>
      <c r="F1275" t="str">
        <f>IFERROR(__xludf.DUMMYFUNCTION("""COMPUTED_VALUE"""),"Music To Be Murdered By")</f>
        <v>Music To Be Murdered By</v>
      </c>
      <c r="G1275">
        <f>IFERROR(__xludf.DUMMYFUNCTION("""COMPUTED_VALUE"""),1.0)</f>
        <v>1</v>
      </c>
      <c r="H1275" s="5">
        <f>IFERROR(__xludf.DUMMYFUNCTION("""COMPUTED_VALUE"""),0.14583333333212067)</f>
        <v>0.1458333333</v>
      </c>
    </row>
    <row r="1276">
      <c r="A1276" t="str">
        <f>IFERROR(__xludf.DUMMYFUNCTION("""COMPUTED_VALUE"""),"Hungary")</f>
        <v>Hungary</v>
      </c>
      <c r="B1276" t="str">
        <f>IFERROR(__xludf.DUMMYFUNCTION("""COMPUTED_VALUE"""),"Europe")</f>
        <v>Europe</v>
      </c>
      <c r="C1276">
        <f>IFERROR(__xludf.DUMMYFUNCTION("""COMPUTED_VALUE"""),25.0)</f>
        <v>25</v>
      </c>
      <c r="D1276" t="str">
        <f>IFERROR(__xludf.DUMMYFUNCTION("""COMPUTED_VALUE"""),"HIGHEST IN THE ROOM")</f>
        <v>HIGHEST IN THE ROOM</v>
      </c>
      <c r="E1276" t="str">
        <f>IFERROR(__xludf.DUMMYFUNCTION("""COMPUTED_VALUE"""),"Travis Scott")</f>
        <v>Travis Scott</v>
      </c>
      <c r="F1276" t="str">
        <f>IFERROR(__xludf.DUMMYFUNCTION("""COMPUTED_VALUE"""),"HIGHEST IN THE ROOM")</f>
        <v>HIGHEST IN THE ROOM</v>
      </c>
      <c r="G1276">
        <f>IFERROR(__xludf.DUMMYFUNCTION("""COMPUTED_VALUE"""),1.0)</f>
        <v>1</v>
      </c>
      <c r="H1276" s="5">
        <f>IFERROR(__xludf.DUMMYFUNCTION("""COMPUTED_VALUE"""),0.12152777777737356)</f>
        <v>0.1215277778</v>
      </c>
    </row>
    <row r="1277">
      <c r="A1277" t="str">
        <f>IFERROR(__xludf.DUMMYFUNCTION("""COMPUTED_VALUE"""),"Hungary")</f>
        <v>Hungary</v>
      </c>
      <c r="B1277" t="str">
        <f>IFERROR(__xludf.DUMMYFUNCTION("""COMPUTED_VALUE"""),"Europe")</f>
        <v>Europe</v>
      </c>
      <c r="C1277">
        <f>IFERROR(__xludf.DUMMYFUNCTION("""COMPUTED_VALUE"""),26.0)</f>
        <v>26</v>
      </c>
      <c r="D1277" t="str">
        <f>IFERROR(__xludf.DUMMYFUNCTION("""COMPUTED_VALUE"""),"SICKO MODE")</f>
        <v>SICKO MODE</v>
      </c>
      <c r="E1277" t="str">
        <f>IFERROR(__xludf.DUMMYFUNCTION("""COMPUTED_VALUE"""),"Travis Scott")</f>
        <v>Travis Scott</v>
      </c>
      <c r="F1277" t="str">
        <f>IFERROR(__xludf.DUMMYFUNCTION("""COMPUTED_VALUE"""),"ASTROWORLD")</f>
        <v>ASTROWORLD</v>
      </c>
      <c r="G1277">
        <f>IFERROR(__xludf.DUMMYFUNCTION("""COMPUTED_VALUE"""),1.0)</f>
        <v>1</v>
      </c>
      <c r="H1277" s="5">
        <f>IFERROR(__xludf.DUMMYFUNCTION("""COMPUTED_VALUE"""),0.21666666666715173)</f>
        <v>0.2166666667</v>
      </c>
    </row>
    <row r="1278">
      <c r="A1278" t="str">
        <f>IFERROR(__xludf.DUMMYFUNCTION("""COMPUTED_VALUE"""),"Hungary")</f>
        <v>Hungary</v>
      </c>
      <c r="B1278" t="str">
        <f>IFERROR(__xludf.DUMMYFUNCTION("""COMPUTED_VALUE"""),"Europe")</f>
        <v>Europe</v>
      </c>
      <c r="C1278">
        <f>IFERROR(__xludf.DUMMYFUNCTION("""COMPUTED_VALUE"""),27.0)</f>
        <v>27</v>
      </c>
      <c r="D1278" t="str">
        <f>IFERROR(__xludf.DUMMYFUNCTION("""COMPUTED_VALUE"""),"WHATS POPPIN")</f>
        <v>WHATS POPPIN</v>
      </c>
      <c r="E1278" t="str">
        <f>IFERROR(__xludf.DUMMYFUNCTION("""COMPUTED_VALUE"""),"Jack Harlow")</f>
        <v>Jack Harlow</v>
      </c>
      <c r="F1278" t="str">
        <f>IFERROR(__xludf.DUMMYFUNCTION("""COMPUTED_VALUE"""),"Sweet Action")</f>
        <v>Sweet Action</v>
      </c>
      <c r="G1278">
        <f>IFERROR(__xludf.DUMMYFUNCTION("""COMPUTED_VALUE"""),1.0)</f>
        <v>1</v>
      </c>
      <c r="H1278" s="5">
        <f>IFERROR(__xludf.DUMMYFUNCTION("""COMPUTED_VALUE"""),0.09652777777955635)</f>
        <v>0.09652777778</v>
      </c>
    </row>
    <row r="1279">
      <c r="A1279" t="str">
        <f>IFERROR(__xludf.DUMMYFUNCTION("""COMPUTED_VALUE"""),"Hungary")</f>
        <v>Hungary</v>
      </c>
      <c r="B1279" t="str">
        <f>IFERROR(__xludf.DUMMYFUNCTION("""COMPUTED_VALUE"""),"Europe")</f>
        <v>Europe</v>
      </c>
      <c r="C1279">
        <f>IFERROR(__xludf.DUMMYFUNCTION("""COMPUTED_VALUE"""),28.0)</f>
        <v>28</v>
      </c>
      <c r="D1279" t="str">
        <f>IFERROR(__xludf.DUMMYFUNCTION("""COMPUTED_VALUE"""),"ROXANNE")</f>
        <v>ROXANNE</v>
      </c>
      <c r="E1279" t="str">
        <f>IFERROR(__xludf.DUMMYFUNCTION("""COMPUTED_VALUE"""),"Arizona Zervas")</f>
        <v>Arizona Zervas</v>
      </c>
      <c r="F1279" t="str">
        <f>IFERROR(__xludf.DUMMYFUNCTION("""COMPUTED_VALUE"""),"ROXANNE")</f>
        <v>ROXANNE</v>
      </c>
      <c r="G1279">
        <f>IFERROR(__xludf.DUMMYFUNCTION("""COMPUTED_VALUE"""),1.0)</f>
        <v>1</v>
      </c>
      <c r="H1279" s="5">
        <f>IFERROR(__xludf.DUMMYFUNCTION("""COMPUTED_VALUE"""),0.11319444444598048)</f>
        <v>0.1131944444</v>
      </c>
    </row>
    <row r="1280">
      <c r="A1280" t="str">
        <f>IFERROR(__xludf.DUMMYFUNCTION("""COMPUTED_VALUE"""),"Hungary")</f>
        <v>Hungary</v>
      </c>
      <c r="B1280" t="str">
        <f>IFERROR(__xludf.DUMMYFUNCTION("""COMPUTED_VALUE"""),"Europe")</f>
        <v>Europe</v>
      </c>
      <c r="C1280">
        <f>IFERROR(__xludf.DUMMYFUNCTION("""COMPUTED_VALUE"""),29.0)</f>
        <v>29</v>
      </c>
      <c r="D1280" t="str">
        <f>IFERROR(__xludf.DUMMYFUNCTION("""COMPUTED_VALUE"""),"Lose Control")</f>
        <v>Lose Control</v>
      </c>
      <c r="E1280" t="str">
        <f>IFERROR(__xludf.DUMMYFUNCTION("""COMPUTED_VALUE"""),"MEDUZA, Becky Hill, Goodboys")</f>
        <v>MEDUZA, Becky Hill, Goodboys</v>
      </c>
      <c r="F1280" t="str">
        <f>IFERROR(__xludf.DUMMYFUNCTION("""COMPUTED_VALUE"""),"Lose Control")</f>
        <v>Lose Control</v>
      </c>
      <c r="G1280">
        <f>IFERROR(__xludf.DUMMYFUNCTION("""COMPUTED_VALUE"""),0.0)</f>
        <v>0</v>
      </c>
      <c r="H1280" s="5">
        <f>IFERROR(__xludf.DUMMYFUNCTION("""COMPUTED_VALUE"""),0.11666666666496894)</f>
        <v>0.1166666667</v>
      </c>
    </row>
    <row r="1281">
      <c r="A1281" t="str">
        <f>IFERROR(__xludf.DUMMYFUNCTION("""COMPUTED_VALUE"""),"Hungary")</f>
        <v>Hungary</v>
      </c>
      <c r="B1281" t="str">
        <f>IFERROR(__xludf.DUMMYFUNCTION("""COMPUTED_VALUE"""),"Europe")</f>
        <v>Europe</v>
      </c>
      <c r="C1281">
        <f>IFERROR(__xludf.DUMMYFUNCTION("""COMPUTED_VALUE"""),30.0)</f>
        <v>30</v>
      </c>
      <c r="D1281" t="str">
        <f>IFERROR(__xludf.DUMMYFUNCTION("""COMPUTED_VALUE"""),"Supalonely")</f>
        <v>Supalonely</v>
      </c>
      <c r="E1281" t="str">
        <f>IFERROR(__xludf.DUMMYFUNCTION("""COMPUTED_VALUE"""),"BENEE, Gus Dapperton")</f>
        <v>BENEE, Gus Dapperton</v>
      </c>
      <c r="F1281" t="str">
        <f>IFERROR(__xludf.DUMMYFUNCTION("""COMPUTED_VALUE"""),"STELLA &amp; STEVE")</f>
        <v>STELLA &amp; STEVE</v>
      </c>
      <c r="G1281">
        <f>IFERROR(__xludf.DUMMYFUNCTION("""COMPUTED_VALUE"""),1.0)</f>
        <v>1</v>
      </c>
      <c r="H1281" s="5">
        <f>IFERROR(__xludf.DUMMYFUNCTION("""COMPUTED_VALUE"""),0.15486111111022183)</f>
        <v>0.1548611111</v>
      </c>
    </row>
    <row r="1282">
      <c r="A1282" t="str">
        <f>IFERROR(__xludf.DUMMYFUNCTION("""COMPUTED_VALUE"""),"Hungary")</f>
        <v>Hungary</v>
      </c>
      <c r="B1282" t="str">
        <f>IFERROR(__xludf.DUMMYFUNCTION("""COMPUTED_VALUE"""),"Europe")</f>
        <v>Europe</v>
      </c>
      <c r="C1282">
        <f>IFERROR(__xludf.DUMMYFUNCTION("""COMPUTED_VALUE"""),31.0)</f>
        <v>31</v>
      </c>
      <c r="D1282" t="str">
        <f>IFERROR(__xludf.DUMMYFUNCTION("""COMPUTED_VALUE"""),"Physical")</f>
        <v>Physical</v>
      </c>
      <c r="E1282" t="str">
        <f>IFERROR(__xludf.DUMMYFUNCTION("""COMPUTED_VALUE"""),"Dua Lipa")</f>
        <v>Dua Lipa</v>
      </c>
      <c r="F1282" t="str">
        <f>IFERROR(__xludf.DUMMYFUNCTION("""COMPUTED_VALUE"""),"Future Nostalgia")</f>
        <v>Future Nostalgia</v>
      </c>
      <c r="G1282">
        <f>IFERROR(__xludf.DUMMYFUNCTION("""COMPUTED_VALUE"""),0.0)</f>
        <v>0</v>
      </c>
      <c r="H1282" s="5">
        <f>IFERROR(__xludf.DUMMYFUNCTION("""COMPUTED_VALUE"""),0.13402777777810115)</f>
        <v>0.1340277778</v>
      </c>
    </row>
    <row r="1283">
      <c r="A1283" t="str">
        <f>IFERROR(__xludf.DUMMYFUNCTION("""COMPUTED_VALUE"""),"Hungary")</f>
        <v>Hungary</v>
      </c>
      <c r="B1283" t="str">
        <f>IFERROR(__xludf.DUMMYFUNCTION("""COMPUTED_VALUE"""),"Europe")</f>
        <v>Europe</v>
      </c>
      <c r="C1283">
        <f>IFERROR(__xludf.DUMMYFUNCTION("""COMPUTED_VALUE"""),32.0)</f>
        <v>32</v>
      </c>
      <c r="D1283" t="str">
        <f>IFERROR(__xludf.DUMMYFUNCTION("""COMPUTED_VALUE"""),"Señorita")</f>
        <v>Señorita</v>
      </c>
      <c r="E1283" t="str">
        <f>IFERROR(__xludf.DUMMYFUNCTION("""COMPUTED_VALUE"""),"Shawn Mendes, Camila Cabello")</f>
        <v>Shawn Mendes, Camila Cabello</v>
      </c>
      <c r="F1283" t="str">
        <f>IFERROR(__xludf.DUMMYFUNCTION("""COMPUTED_VALUE"""),"Shawn Mendes (Deluxe)")</f>
        <v>Shawn Mendes (Deluxe)</v>
      </c>
      <c r="G1283">
        <f>IFERROR(__xludf.DUMMYFUNCTION("""COMPUTED_VALUE"""),0.0)</f>
        <v>0</v>
      </c>
      <c r="H1283" s="5">
        <f>IFERROR(__xludf.DUMMYFUNCTION("""COMPUTED_VALUE"""),0.13194444444525288)</f>
        <v>0.1319444444</v>
      </c>
    </row>
    <row r="1284">
      <c r="A1284" t="str">
        <f>IFERROR(__xludf.DUMMYFUNCTION("""COMPUTED_VALUE"""),"Hungary")</f>
        <v>Hungary</v>
      </c>
      <c r="B1284" t="str">
        <f>IFERROR(__xludf.DUMMYFUNCTION("""COMPUTED_VALUE"""),"Europe")</f>
        <v>Europe</v>
      </c>
      <c r="C1284">
        <f>IFERROR(__xludf.DUMMYFUNCTION("""COMPUTED_VALUE"""),33.0)</f>
        <v>33</v>
      </c>
      <c r="D1284" t="str">
        <f>IFERROR(__xludf.DUMMYFUNCTION("""COMPUTED_VALUE"""),"Circles")</f>
        <v>Circles</v>
      </c>
      <c r="E1284" t="str">
        <f>IFERROR(__xludf.DUMMYFUNCTION("""COMPUTED_VALUE"""),"Post Malone")</f>
        <v>Post Malone</v>
      </c>
      <c r="F1284" t="str">
        <f>IFERROR(__xludf.DUMMYFUNCTION("""COMPUTED_VALUE"""),"Hollywood's Bleeding")</f>
        <v>Hollywood's Bleeding</v>
      </c>
      <c r="G1284">
        <f>IFERROR(__xludf.DUMMYFUNCTION("""COMPUTED_VALUE"""),0.0)</f>
        <v>0</v>
      </c>
      <c r="H1284" s="5">
        <f>IFERROR(__xludf.DUMMYFUNCTION("""COMPUTED_VALUE"""),0.14930555555474712)</f>
        <v>0.1493055556</v>
      </c>
    </row>
    <row r="1285">
      <c r="A1285" t="str">
        <f>IFERROR(__xludf.DUMMYFUNCTION("""COMPUTED_VALUE"""),"Hungary")</f>
        <v>Hungary</v>
      </c>
      <c r="B1285" t="str">
        <f>IFERROR(__xludf.DUMMYFUNCTION("""COMPUTED_VALUE"""),"Europe")</f>
        <v>Europe</v>
      </c>
      <c r="C1285">
        <f>IFERROR(__xludf.DUMMYFUNCTION("""COMPUTED_VALUE"""),34.0)</f>
        <v>34</v>
      </c>
      <c r="D1285" t="str">
        <f>IFERROR(__xludf.DUMMYFUNCTION("""COMPUTED_VALUE"""),"Mostantól")</f>
        <v>Mostantól</v>
      </c>
      <c r="E1285" t="str">
        <f>IFERROR(__xludf.DUMMYFUNCTION("""COMPUTED_VALUE"""),"Rácz Gergõ, Orsovai Reni")</f>
        <v>Rácz Gergõ, Orsovai Reni</v>
      </c>
      <c r="F1285" t="str">
        <f>IFERROR(__xludf.DUMMYFUNCTION("""COMPUTED_VALUE"""),"Mostantól")</f>
        <v>Mostantól</v>
      </c>
      <c r="G1285">
        <f>IFERROR(__xludf.DUMMYFUNCTION("""COMPUTED_VALUE"""),0.0)</f>
        <v>0</v>
      </c>
      <c r="H1285" s="5">
        <f>IFERROR(__xludf.DUMMYFUNCTION("""COMPUTED_VALUE"""),0.14652777777882875)</f>
        <v>0.1465277778</v>
      </c>
    </row>
    <row r="1286">
      <c r="A1286" t="str">
        <f>IFERROR(__xludf.DUMMYFUNCTION("""COMPUTED_VALUE"""),"Hungary")</f>
        <v>Hungary</v>
      </c>
      <c r="B1286" t="str">
        <f>IFERROR(__xludf.DUMMYFUNCTION("""COMPUTED_VALUE"""),"Europe")</f>
        <v>Europe</v>
      </c>
      <c r="C1286">
        <f>IFERROR(__xludf.DUMMYFUNCTION("""COMPUTED_VALUE"""),35.0)</f>
        <v>35</v>
      </c>
      <c r="D1286" t="str">
        <f>IFERROR(__xludf.DUMMYFUNCTION("""COMPUTED_VALUE"""),"Someone You Loved")</f>
        <v>Someone You Loved</v>
      </c>
      <c r="E1286" t="str">
        <f>IFERROR(__xludf.DUMMYFUNCTION("""COMPUTED_VALUE"""),"Lewis Capaldi")</f>
        <v>Lewis Capaldi</v>
      </c>
      <c r="F1286" t="str">
        <f>IFERROR(__xludf.DUMMYFUNCTION("""COMPUTED_VALUE"""),"Divinely Uninspired To A Hellish Extent")</f>
        <v>Divinely Uninspired To A Hellish Extent</v>
      </c>
      <c r="G1286">
        <f>IFERROR(__xludf.DUMMYFUNCTION("""COMPUTED_VALUE"""),0.0)</f>
        <v>0</v>
      </c>
      <c r="H1286" s="5">
        <f>IFERROR(__xludf.DUMMYFUNCTION("""COMPUTED_VALUE"""),0.12638888888977817)</f>
        <v>0.1263888889</v>
      </c>
    </row>
    <row r="1287">
      <c r="A1287" t="str">
        <f>IFERROR(__xludf.DUMMYFUNCTION("""COMPUTED_VALUE"""),"Hungary")</f>
        <v>Hungary</v>
      </c>
      <c r="B1287" t="str">
        <f>IFERROR(__xludf.DUMMYFUNCTION("""COMPUTED_VALUE"""),"Europe")</f>
        <v>Europe</v>
      </c>
      <c r="C1287">
        <f>IFERROR(__xludf.DUMMYFUNCTION("""COMPUTED_VALUE"""),36.0)</f>
        <v>36</v>
      </c>
      <c r="D1287" t="str">
        <f>IFERROR(__xludf.DUMMYFUNCTION("""COMPUTED_VALUE"""),"Memories")</f>
        <v>Memories</v>
      </c>
      <c r="E1287" t="str">
        <f>IFERROR(__xludf.DUMMYFUNCTION("""COMPUTED_VALUE"""),"Maroon 5")</f>
        <v>Maroon 5</v>
      </c>
      <c r="F1287" t="str">
        <f>IFERROR(__xludf.DUMMYFUNCTION("""COMPUTED_VALUE"""),"Memories")</f>
        <v>Memories</v>
      </c>
      <c r="G1287">
        <f>IFERROR(__xludf.DUMMYFUNCTION("""COMPUTED_VALUE"""),0.0)</f>
        <v>0</v>
      </c>
      <c r="H1287" s="5">
        <f>IFERROR(__xludf.DUMMYFUNCTION("""COMPUTED_VALUE"""),0.1312499999985448)</f>
        <v>0.13125</v>
      </c>
    </row>
    <row r="1288">
      <c r="A1288" t="str">
        <f>IFERROR(__xludf.DUMMYFUNCTION("""COMPUTED_VALUE"""),"Hungary")</f>
        <v>Hungary</v>
      </c>
      <c r="B1288" t="str">
        <f>IFERROR(__xludf.DUMMYFUNCTION("""COMPUTED_VALUE"""),"Europe")</f>
        <v>Europe</v>
      </c>
      <c r="C1288">
        <f>IFERROR(__xludf.DUMMYFUNCTION("""COMPUTED_VALUE"""),37.0)</f>
        <v>37</v>
      </c>
      <c r="D1288" t="str">
        <f>IFERROR(__xludf.DUMMYFUNCTION("""COMPUTED_VALUE"""),"Life Is Good (feat. Drake)")</f>
        <v>Life Is Good (feat. Drake)</v>
      </c>
      <c r="E1288" t="str">
        <f>IFERROR(__xludf.DUMMYFUNCTION("""COMPUTED_VALUE"""),"Future, Drake")</f>
        <v>Future, Drake</v>
      </c>
      <c r="F1288" t="str">
        <f>IFERROR(__xludf.DUMMYFUNCTION("""COMPUTED_VALUE"""),"High Off Life")</f>
        <v>High Off Life</v>
      </c>
      <c r="G1288">
        <f>IFERROR(__xludf.DUMMYFUNCTION("""COMPUTED_VALUE"""),1.0)</f>
        <v>1</v>
      </c>
      <c r="H1288" s="5">
        <f>IFERROR(__xludf.DUMMYFUNCTION("""COMPUTED_VALUE"""),0.16458333333503106)</f>
        <v>0.1645833333</v>
      </c>
    </row>
    <row r="1289">
      <c r="A1289" t="str">
        <f>IFERROR(__xludf.DUMMYFUNCTION("""COMPUTED_VALUE"""),"Hungary")</f>
        <v>Hungary</v>
      </c>
      <c r="B1289" t="str">
        <f>IFERROR(__xludf.DUMMYFUNCTION("""COMPUTED_VALUE"""),"Europe")</f>
        <v>Europe</v>
      </c>
      <c r="C1289">
        <f>IFERROR(__xludf.DUMMYFUNCTION("""COMPUTED_VALUE"""),38.0)</f>
        <v>38</v>
      </c>
      <c r="D1289" t="str">
        <f>IFERROR(__xludf.DUMMYFUNCTION("""COMPUTED_VALUE"""),"Kings &amp; Queens")</f>
        <v>Kings &amp; Queens</v>
      </c>
      <c r="E1289" t="str">
        <f>IFERROR(__xludf.DUMMYFUNCTION("""COMPUTED_VALUE"""),"Ava Max")</f>
        <v>Ava Max</v>
      </c>
      <c r="F1289" t="str">
        <f>IFERROR(__xludf.DUMMYFUNCTION("""COMPUTED_VALUE"""),"Kings &amp; Queens")</f>
        <v>Kings &amp; Queens</v>
      </c>
      <c r="G1289">
        <f>IFERROR(__xludf.DUMMYFUNCTION("""COMPUTED_VALUE"""),0.0)</f>
        <v>0</v>
      </c>
      <c r="H1289" s="5">
        <f>IFERROR(__xludf.DUMMYFUNCTION("""COMPUTED_VALUE"""),0.1124999999992724)</f>
        <v>0.1125</v>
      </c>
    </row>
    <row r="1290">
      <c r="A1290" t="str">
        <f>IFERROR(__xludf.DUMMYFUNCTION("""COMPUTED_VALUE"""),"Hungary")</f>
        <v>Hungary</v>
      </c>
      <c r="B1290" t="str">
        <f>IFERROR(__xludf.DUMMYFUNCTION("""COMPUTED_VALUE"""),"Europe")</f>
        <v>Europe</v>
      </c>
      <c r="C1290">
        <f>IFERROR(__xludf.DUMMYFUNCTION("""COMPUTED_VALUE"""),39.0)</f>
        <v>39</v>
      </c>
      <c r="D1290" t="str">
        <f>IFERROR(__xludf.DUMMYFUNCTION("""COMPUTED_VALUE"""),"Party Girl")</f>
        <v>Party Girl</v>
      </c>
      <c r="E1290" t="str">
        <f>IFERROR(__xludf.DUMMYFUNCTION("""COMPUTED_VALUE"""),"StaySolidRocky")</f>
        <v>StaySolidRocky</v>
      </c>
      <c r="F1290" t="str">
        <f>IFERROR(__xludf.DUMMYFUNCTION("""COMPUTED_VALUE"""),"Party Girl")</f>
        <v>Party Girl</v>
      </c>
      <c r="G1290">
        <f>IFERROR(__xludf.DUMMYFUNCTION("""COMPUTED_VALUE"""),0.0)</f>
        <v>0</v>
      </c>
      <c r="H1290" s="5">
        <f>IFERROR(__xludf.DUMMYFUNCTION("""COMPUTED_VALUE"""),0.10208333333503106)</f>
        <v>0.1020833333</v>
      </c>
    </row>
    <row r="1291">
      <c r="A1291" t="str">
        <f>IFERROR(__xludf.DUMMYFUNCTION("""COMPUTED_VALUE"""),"Hungary")</f>
        <v>Hungary</v>
      </c>
      <c r="B1291" t="str">
        <f>IFERROR(__xludf.DUMMYFUNCTION("""COMPUTED_VALUE"""),"Europe")</f>
        <v>Europe</v>
      </c>
      <c r="C1291">
        <f>IFERROR(__xludf.DUMMYFUNCTION("""COMPUTED_VALUE"""),40.0)</f>
        <v>40</v>
      </c>
      <c r="D1291" t="str">
        <f>IFERROR(__xludf.DUMMYFUNCTION("""COMPUTED_VALUE"""),"Watermelon Sugar")</f>
        <v>Watermelon Sugar</v>
      </c>
      <c r="E1291" t="str">
        <f>IFERROR(__xludf.DUMMYFUNCTION("""COMPUTED_VALUE"""),"Harry Styles")</f>
        <v>Harry Styles</v>
      </c>
      <c r="F1291" t="str">
        <f>IFERROR(__xludf.DUMMYFUNCTION("""COMPUTED_VALUE"""),"Fine Line")</f>
        <v>Fine Line</v>
      </c>
      <c r="G1291">
        <f>IFERROR(__xludf.DUMMYFUNCTION("""COMPUTED_VALUE"""),0.0)</f>
        <v>0</v>
      </c>
      <c r="H1291" s="5">
        <f>IFERROR(__xludf.DUMMYFUNCTION("""COMPUTED_VALUE"""),0.12083333333430346)</f>
        <v>0.1208333333</v>
      </c>
    </row>
    <row r="1292">
      <c r="A1292" t="str">
        <f>IFERROR(__xludf.DUMMYFUNCTION("""COMPUTED_VALUE"""),"Hungary")</f>
        <v>Hungary</v>
      </c>
      <c r="B1292" t="str">
        <f>IFERROR(__xludf.DUMMYFUNCTION("""COMPUTED_VALUE"""),"Europe")</f>
        <v>Europe</v>
      </c>
      <c r="C1292">
        <f>IFERROR(__xludf.DUMMYFUNCTION("""COMPUTED_VALUE"""),41.0)</f>
        <v>41</v>
      </c>
      <c r="D1292" t="str">
        <f>IFERROR(__xludf.DUMMYFUNCTION("""COMPUTED_VALUE"""),"Be Kind (with Halsey)")</f>
        <v>Be Kind (with Halsey)</v>
      </c>
      <c r="E1292" t="str">
        <f>IFERROR(__xludf.DUMMYFUNCTION("""COMPUTED_VALUE"""),"Marshmello, Halsey")</f>
        <v>Marshmello, Halsey</v>
      </c>
      <c r="F1292" t="str">
        <f>IFERROR(__xludf.DUMMYFUNCTION("""COMPUTED_VALUE"""),"Be Kind (with Halsey)")</f>
        <v>Be Kind (with Halsey)</v>
      </c>
      <c r="G1292">
        <f>IFERROR(__xludf.DUMMYFUNCTION("""COMPUTED_VALUE"""),0.0)</f>
        <v>0</v>
      </c>
      <c r="H1292" s="5">
        <f>IFERROR(__xludf.DUMMYFUNCTION("""COMPUTED_VALUE"""),0.11944444444452529)</f>
        <v>0.1194444444</v>
      </c>
    </row>
    <row r="1293">
      <c r="A1293" t="str">
        <f>IFERROR(__xludf.DUMMYFUNCTION("""COMPUTED_VALUE"""),"Hungary")</f>
        <v>Hungary</v>
      </c>
      <c r="B1293" t="str">
        <f>IFERROR(__xludf.DUMMYFUNCTION("""COMPUTED_VALUE"""),"Europe")</f>
        <v>Europe</v>
      </c>
      <c r="C1293">
        <f>IFERROR(__xludf.DUMMYFUNCTION("""COMPUTED_VALUE"""),42.0)</f>
        <v>42</v>
      </c>
      <c r="D1293" t="str">
        <f>IFERROR(__xludf.DUMMYFUNCTION("""COMPUTED_VALUE"""),"Lej")</f>
        <v>Lej</v>
      </c>
      <c r="E1293" t="str">
        <f>IFERROR(__xludf.DUMMYFUNCTION("""COMPUTED_VALUE"""),"Dzsúdló, Lil Frakk")</f>
        <v>Dzsúdló, Lil Frakk</v>
      </c>
      <c r="F1293" t="str">
        <f>IFERROR(__xludf.DUMMYFUNCTION("""COMPUTED_VALUE"""),"Fotofóbia")</f>
        <v>Fotofóbia</v>
      </c>
      <c r="G1293">
        <f>IFERROR(__xludf.DUMMYFUNCTION("""COMPUTED_VALUE"""),0.0)</f>
        <v>0</v>
      </c>
      <c r="H1293" s="5">
        <f>IFERROR(__xludf.DUMMYFUNCTION("""COMPUTED_VALUE"""),0.11666666666496894)</f>
        <v>0.1166666667</v>
      </c>
    </row>
    <row r="1294">
      <c r="A1294" t="str">
        <f>IFERROR(__xludf.DUMMYFUNCTION("""COMPUTED_VALUE"""),"Hungary")</f>
        <v>Hungary</v>
      </c>
      <c r="B1294" t="str">
        <f>IFERROR(__xludf.DUMMYFUNCTION("""COMPUTED_VALUE"""),"Europe")</f>
        <v>Europe</v>
      </c>
      <c r="C1294">
        <f>IFERROR(__xludf.DUMMYFUNCTION("""COMPUTED_VALUE"""),43.0)</f>
        <v>43</v>
      </c>
      <c r="D1294" t="str">
        <f>IFERROR(__xludf.DUMMYFUNCTION("""COMPUTED_VALUE"""),"Salt")</f>
        <v>Salt</v>
      </c>
      <c r="E1294" t="str">
        <f>IFERROR(__xludf.DUMMYFUNCTION("""COMPUTED_VALUE"""),"Ava Max")</f>
        <v>Ava Max</v>
      </c>
      <c r="F1294" t="str">
        <f>IFERROR(__xludf.DUMMYFUNCTION("""COMPUTED_VALUE"""),"Salt")</f>
        <v>Salt</v>
      </c>
      <c r="G1294">
        <f>IFERROR(__xludf.DUMMYFUNCTION("""COMPUTED_VALUE"""),0.0)</f>
        <v>0</v>
      </c>
      <c r="H1294" s="5">
        <f>IFERROR(__xludf.DUMMYFUNCTION("""COMPUTED_VALUE"""),0.125)</f>
        <v>0.125</v>
      </c>
    </row>
    <row r="1295">
      <c r="A1295" t="str">
        <f>IFERROR(__xludf.DUMMYFUNCTION("""COMPUTED_VALUE"""),"Hungary")</f>
        <v>Hungary</v>
      </c>
      <c r="B1295" t="str">
        <f>IFERROR(__xludf.DUMMYFUNCTION("""COMPUTED_VALUE"""),"Europe")</f>
        <v>Europe</v>
      </c>
      <c r="C1295">
        <f>IFERROR(__xludf.DUMMYFUNCTION("""COMPUTED_VALUE"""),44.0)</f>
        <v>44</v>
      </c>
      <c r="D1295" t="str">
        <f>IFERROR(__xludf.DUMMYFUNCTION("""COMPUTED_VALUE"""),"Play Date")</f>
        <v>Play Date</v>
      </c>
      <c r="E1295" t="str">
        <f>IFERROR(__xludf.DUMMYFUNCTION("""COMPUTED_VALUE"""),"Melanie Martinez")</f>
        <v>Melanie Martinez</v>
      </c>
      <c r="F1295" t="str">
        <f>IFERROR(__xludf.DUMMYFUNCTION("""COMPUTED_VALUE"""),"Cry Baby (Deluxe Edition)")</f>
        <v>Cry Baby (Deluxe Edition)</v>
      </c>
      <c r="G1295">
        <f>IFERROR(__xludf.DUMMYFUNCTION("""COMPUTED_VALUE"""),1.0)</f>
        <v>1</v>
      </c>
      <c r="H1295" s="5">
        <f>IFERROR(__xludf.DUMMYFUNCTION("""COMPUTED_VALUE"""),0.1243055555569299)</f>
        <v>0.1243055556</v>
      </c>
    </row>
    <row r="1296">
      <c r="A1296" t="str">
        <f>IFERROR(__xludf.DUMMYFUNCTION("""COMPUTED_VALUE"""),"Hungary")</f>
        <v>Hungary</v>
      </c>
      <c r="B1296" t="str">
        <f>IFERROR(__xludf.DUMMYFUNCTION("""COMPUTED_VALUE"""),"Europe")</f>
        <v>Europe</v>
      </c>
      <c r="C1296">
        <f>IFERROR(__xludf.DUMMYFUNCTION("""COMPUTED_VALUE"""),45.0)</f>
        <v>45</v>
      </c>
      <c r="D1296" t="str">
        <f>IFERROR(__xludf.DUMMYFUNCTION("""COMPUTED_VALUE"""),"In Your Eyes")</f>
        <v>In Your Eyes</v>
      </c>
      <c r="E1296" t="str">
        <f>IFERROR(__xludf.DUMMYFUNCTION("""COMPUTED_VALUE"""),"The Weeknd")</f>
        <v>The Weeknd</v>
      </c>
      <c r="F1296" t="str">
        <f>IFERROR(__xludf.DUMMYFUNCTION("""COMPUTED_VALUE"""),"After Hours")</f>
        <v>After Hours</v>
      </c>
      <c r="G1296">
        <f>IFERROR(__xludf.DUMMYFUNCTION("""COMPUTED_VALUE"""),1.0)</f>
        <v>1</v>
      </c>
      <c r="H1296" s="5">
        <f>IFERROR(__xludf.DUMMYFUNCTION("""COMPUTED_VALUE"""),0.16458333333503106)</f>
        <v>0.1645833333</v>
      </c>
    </row>
    <row r="1297">
      <c r="A1297" t="str">
        <f>IFERROR(__xludf.DUMMYFUNCTION("""COMPUTED_VALUE"""),"Hungary")</f>
        <v>Hungary</v>
      </c>
      <c r="B1297" t="str">
        <f>IFERROR(__xludf.DUMMYFUNCTION("""COMPUTED_VALUE"""),"Europe")</f>
        <v>Europe</v>
      </c>
      <c r="C1297">
        <f>IFERROR(__xludf.DUMMYFUNCTION("""COMPUTED_VALUE"""),46.0)</f>
        <v>46</v>
      </c>
      <c r="D1297" t="str">
        <f>IFERROR(__xludf.DUMMYFUNCTION("""COMPUTED_VALUE"""),"Sunday Best")</f>
        <v>Sunday Best</v>
      </c>
      <c r="E1297" t="str">
        <f>IFERROR(__xludf.DUMMYFUNCTION("""COMPUTED_VALUE"""),"Surfaces")</f>
        <v>Surfaces</v>
      </c>
      <c r="F1297" t="str">
        <f>IFERROR(__xludf.DUMMYFUNCTION("""COMPUTED_VALUE"""),"Where the Light Is")</f>
        <v>Where the Light Is</v>
      </c>
      <c r="G1297">
        <f>IFERROR(__xludf.DUMMYFUNCTION("""COMPUTED_VALUE"""),0.0)</f>
        <v>0</v>
      </c>
      <c r="H1297" s="5">
        <f>IFERROR(__xludf.DUMMYFUNCTION("""COMPUTED_VALUE"""),0.10972222222335404)</f>
        <v>0.1097222222</v>
      </c>
    </row>
    <row r="1298">
      <c r="A1298" t="str">
        <f>IFERROR(__xludf.DUMMYFUNCTION("""COMPUTED_VALUE"""),"Hungary")</f>
        <v>Hungary</v>
      </c>
      <c r="B1298" t="str">
        <f>IFERROR(__xludf.DUMMYFUNCTION("""COMPUTED_VALUE"""),"Europe")</f>
        <v>Europe</v>
      </c>
      <c r="C1298">
        <f>IFERROR(__xludf.DUMMYFUNCTION("""COMPUTED_VALUE"""),47.0)</f>
        <v>47</v>
      </c>
      <c r="D1298" t="str">
        <f>IFERROR(__xludf.DUMMYFUNCTION("""COMPUTED_VALUE"""),"Feküdj ide")</f>
        <v>Feküdj ide</v>
      </c>
      <c r="E1298" t="str">
        <f>IFERROR(__xludf.DUMMYFUNCTION("""COMPUTED_VALUE"""),"ByeAlex és a Slepp")</f>
        <v>ByeAlex és a Slepp</v>
      </c>
      <c r="F1298" t="str">
        <f>IFERROR(__xludf.DUMMYFUNCTION("""COMPUTED_VALUE"""),"Feküdj ide")</f>
        <v>Feküdj ide</v>
      </c>
      <c r="G1298">
        <f>IFERROR(__xludf.DUMMYFUNCTION("""COMPUTED_VALUE"""),0.0)</f>
        <v>0</v>
      </c>
      <c r="H1298" s="5">
        <f>IFERROR(__xludf.DUMMYFUNCTION("""COMPUTED_VALUE"""),0.10486111111094942)</f>
        <v>0.1048611111</v>
      </c>
    </row>
    <row r="1299">
      <c r="A1299" t="str">
        <f>IFERROR(__xludf.DUMMYFUNCTION("""COMPUTED_VALUE"""),"Hungary")</f>
        <v>Hungary</v>
      </c>
      <c r="B1299" t="str">
        <f>IFERROR(__xludf.DUMMYFUNCTION("""COMPUTED_VALUE"""),"Europe")</f>
        <v>Europe</v>
      </c>
      <c r="C1299">
        <f>IFERROR(__xludf.DUMMYFUNCTION("""COMPUTED_VALUE"""),48.0)</f>
        <v>48</v>
      </c>
      <c r="D1299" t="str">
        <f>IFERROR(__xludf.DUMMYFUNCTION("""COMPUTED_VALUE"""),"Intentions (feat. Quavo)")</f>
        <v>Intentions (feat. Quavo)</v>
      </c>
      <c r="E1299" t="str">
        <f>IFERROR(__xludf.DUMMYFUNCTION("""COMPUTED_VALUE"""),"Justin Bieber, Quavo")</f>
        <v>Justin Bieber, Quavo</v>
      </c>
      <c r="F1299" t="str">
        <f>IFERROR(__xludf.DUMMYFUNCTION("""COMPUTED_VALUE"""),"Changes")</f>
        <v>Changes</v>
      </c>
      <c r="G1299">
        <f>IFERROR(__xludf.DUMMYFUNCTION("""COMPUTED_VALUE"""),0.0)</f>
        <v>0</v>
      </c>
      <c r="H1299" s="5">
        <f>IFERROR(__xludf.DUMMYFUNCTION("""COMPUTED_VALUE"""),0.14722222222189885)</f>
        <v>0.1472222222</v>
      </c>
    </row>
    <row r="1300">
      <c r="A1300" t="str">
        <f>IFERROR(__xludf.DUMMYFUNCTION("""COMPUTED_VALUE"""),"Hungary")</f>
        <v>Hungary</v>
      </c>
      <c r="B1300" t="str">
        <f>IFERROR(__xludf.DUMMYFUNCTION("""COMPUTED_VALUE"""),"Europe")</f>
        <v>Europe</v>
      </c>
      <c r="C1300">
        <f>IFERROR(__xludf.DUMMYFUNCTION("""COMPUTED_VALUE"""),49.0)</f>
        <v>49</v>
      </c>
      <c r="D1300" t="str">
        <f>IFERROR(__xludf.DUMMYFUNCTION("""COMPUTED_VALUE"""),"Say So")</f>
        <v>Say So</v>
      </c>
      <c r="E1300" t="str">
        <f>IFERROR(__xludf.DUMMYFUNCTION("""COMPUTED_VALUE"""),"Doja Cat")</f>
        <v>Doja Cat</v>
      </c>
      <c r="F1300" t="str">
        <f>IFERROR(__xludf.DUMMYFUNCTION("""COMPUTED_VALUE"""),"Hot Pink")</f>
        <v>Hot Pink</v>
      </c>
      <c r="G1300">
        <f>IFERROR(__xludf.DUMMYFUNCTION("""COMPUTED_VALUE"""),1.0)</f>
        <v>1</v>
      </c>
      <c r="H1300" s="5">
        <f>IFERROR(__xludf.DUMMYFUNCTION("""COMPUTED_VALUE"""),0.16458333333503106)</f>
        <v>0.1645833333</v>
      </c>
    </row>
    <row r="1301">
      <c r="A1301" t="str">
        <f>IFERROR(__xludf.DUMMYFUNCTION("""COMPUTED_VALUE"""),"Hungary")</f>
        <v>Hungary</v>
      </c>
      <c r="B1301" t="str">
        <f>IFERROR(__xludf.DUMMYFUNCTION("""COMPUTED_VALUE"""),"Europe")</f>
        <v>Europe</v>
      </c>
      <c r="C1301">
        <f>IFERROR(__xludf.DUMMYFUNCTION("""COMPUTED_VALUE"""),50.0)</f>
        <v>50</v>
      </c>
      <c r="D1301" t="str">
        <f>IFERROR(__xludf.DUMMYFUNCTION("""COMPUTED_VALUE"""),"Lose Somebody")</f>
        <v>Lose Somebody</v>
      </c>
      <c r="E1301" t="str">
        <f>IFERROR(__xludf.DUMMYFUNCTION("""COMPUTED_VALUE"""),"Kygo, OneRepublic")</f>
        <v>Kygo, OneRepublic</v>
      </c>
      <c r="F1301" t="str">
        <f>IFERROR(__xludf.DUMMYFUNCTION("""COMPUTED_VALUE"""),"Lose Somebody")</f>
        <v>Lose Somebody</v>
      </c>
      <c r="G1301">
        <f>IFERROR(__xludf.DUMMYFUNCTION("""COMPUTED_VALUE"""),0.0)</f>
        <v>0</v>
      </c>
      <c r="H1301" s="5">
        <f>IFERROR(__xludf.DUMMYFUNCTION("""COMPUTED_VALUE"""),0.1381944444437977)</f>
        <v>0.1381944444</v>
      </c>
    </row>
    <row r="1302">
      <c r="A1302" t="str">
        <f>IFERROR(__xludf.DUMMYFUNCTION("""COMPUTED_VALUE"""),"Iceland")</f>
        <v>Iceland</v>
      </c>
      <c r="B1302" t="str">
        <f>IFERROR(__xludf.DUMMYFUNCTION("""COMPUTED_VALUE"""),"Europe")</f>
        <v>Europe</v>
      </c>
      <c r="C1302">
        <f>IFERROR(__xludf.DUMMYFUNCTION("""COMPUTED_VALUE"""),1.0)</f>
        <v>1</v>
      </c>
      <c r="D1302" t="str">
        <f>IFERROR(__xludf.DUMMYFUNCTION("""COMPUTED_VALUE"""),"ROCKSTAR (feat. Roddy Ricch)")</f>
        <v>ROCKSTAR (feat. Roddy Ricch)</v>
      </c>
      <c r="E1302" t="str">
        <f>IFERROR(__xludf.DUMMYFUNCTION("""COMPUTED_VALUE"""),"DaBaby, Roddy Ricch")</f>
        <v>DaBaby, Roddy Ricch</v>
      </c>
      <c r="F1302" t="str">
        <f>IFERROR(__xludf.DUMMYFUNCTION("""COMPUTED_VALUE"""),"BLAME IT ON BABY")</f>
        <v>BLAME IT ON BABY</v>
      </c>
      <c r="G1302">
        <f>IFERROR(__xludf.DUMMYFUNCTION("""COMPUTED_VALUE"""),1.0)</f>
        <v>1</v>
      </c>
      <c r="H1302" s="5">
        <f>IFERROR(__xludf.DUMMYFUNCTION("""COMPUTED_VALUE"""),0.1256944444430701)</f>
        <v>0.1256944444</v>
      </c>
    </row>
    <row r="1303">
      <c r="A1303" t="str">
        <f>IFERROR(__xludf.DUMMYFUNCTION("""COMPUTED_VALUE"""),"Iceland")</f>
        <v>Iceland</v>
      </c>
      <c r="B1303" t="str">
        <f>IFERROR(__xludf.DUMMYFUNCTION("""COMPUTED_VALUE"""),"Europe")</f>
        <v>Europe</v>
      </c>
      <c r="C1303">
        <f>IFERROR(__xludf.DUMMYFUNCTION("""COMPUTED_VALUE"""),2.0)</f>
        <v>2</v>
      </c>
      <c r="D1303" t="str">
        <f>IFERROR(__xludf.DUMMYFUNCTION("""COMPUTED_VALUE"""),"Blinding Lights")</f>
        <v>Blinding Lights</v>
      </c>
      <c r="E1303" t="str">
        <f>IFERROR(__xludf.DUMMYFUNCTION("""COMPUTED_VALUE"""),"The Weeknd")</f>
        <v>The Weeknd</v>
      </c>
      <c r="F1303" t="str">
        <f>IFERROR(__xludf.DUMMYFUNCTION("""COMPUTED_VALUE"""),"After Hours")</f>
        <v>After Hours</v>
      </c>
      <c r="G1303">
        <f>IFERROR(__xludf.DUMMYFUNCTION("""COMPUTED_VALUE"""),0.0)</f>
        <v>0</v>
      </c>
      <c r="H1303" s="5">
        <f>IFERROR(__xludf.DUMMYFUNCTION("""COMPUTED_VALUE"""),0.13888888889050577)</f>
        <v>0.1388888889</v>
      </c>
    </row>
    <row r="1304">
      <c r="A1304" t="str">
        <f>IFERROR(__xludf.DUMMYFUNCTION("""COMPUTED_VALUE"""),"Iceland")</f>
        <v>Iceland</v>
      </c>
      <c r="B1304" t="str">
        <f>IFERROR(__xludf.DUMMYFUNCTION("""COMPUTED_VALUE"""),"Europe")</f>
        <v>Europe</v>
      </c>
      <c r="C1304">
        <f>IFERROR(__xludf.DUMMYFUNCTION("""COMPUTED_VALUE"""),3.0)</f>
        <v>3</v>
      </c>
      <c r="D1304" t="str">
        <f>IFERROR(__xludf.DUMMYFUNCTION("""COMPUTED_VALUE"""),"Deyja Fyrir Stelpurnar Mínar")</f>
        <v>Deyja Fyrir Stelpurnar Mínar</v>
      </c>
      <c r="E1304" t="str">
        <f>IFERROR(__xludf.DUMMYFUNCTION("""COMPUTED_VALUE"""),"ClubDub, Ra:tio")</f>
        <v>ClubDub, Ra:tio</v>
      </c>
      <c r="F1304" t="str">
        <f>IFERROR(__xludf.DUMMYFUNCTION("""COMPUTED_VALUE"""),"Ég Myndi Deyja Fyrir Stelpurnar Mínar")</f>
        <v>Ég Myndi Deyja Fyrir Stelpurnar Mínar</v>
      </c>
      <c r="G1304">
        <f>IFERROR(__xludf.DUMMYFUNCTION("""COMPUTED_VALUE"""),0.0)</f>
        <v>0</v>
      </c>
      <c r="H1304" s="5">
        <f>IFERROR(__xludf.DUMMYFUNCTION("""COMPUTED_VALUE"""),0.13333333333503106)</f>
        <v>0.1333333333</v>
      </c>
    </row>
    <row r="1305">
      <c r="A1305" t="str">
        <f>IFERROR(__xludf.DUMMYFUNCTION("""COMPUTED_VALUE"""),"Iceland")</f>
        <v>Iceland</v>
      </c>
      <c r="B1305" t="str">
        <f>IFERROR(__xludf.DUMMYFUNCTION("""COMPUTED_VALUE"""),"Europe")</f>
        <v>Europe</v>
      </c>
      <c r="C1305">
        <f>IFERROR(__xludf.DUMMYFUNCTION("""COMPUTED_VALUE"""),4.0)</f>
        <v>4</v>
      </c>
      <c r="D1305" t="str">
        <f>IFERROR(__xludf.DUMMYFUNCTION("""COMPUTED_VALUE"""),"Esjan")</f>
        <v>Esjan</v>
      </c>
      <c r="E1305" t="str">
        <f>IFERROR(__xludf.DUMMYFUNCTION("""COMPUTED_VALUE"""),"BRÍET")</f>
        <v>BRÍET</v>
      </c>
      <c r="F1305" t="str">
        <f>IFERROR(__xludf.DUMMYFUNCTION("""COMPUTED_VALUE"""),"Esjan")</f>
        <v>Esjan</v>
      </c>
      <c r="G1305">
        <f>IFERROR(__xludf.DUMMYFUNCTION("""COMPUTED_VALUE"""),0.0)</f>
        <v>0</v>
      </c>
      <c r="H1305" s="5">
        <f>IFERROR(__xludf.DUMMYFUNCTION("""COMPUTED_VALUE"""),0.17638888888905058)</f>
        <v>0.1763888889</v>
      </c>
    </row>
    <row r="1306">
      <c r="A1306" t="str">
        <f>IFERROR(__xludf.DUMMYFUNCTION("""COMPUTED_VALUE"""),"Iceland")</f>
        <v>Iceland</v>
      </c>
      <c r="B1306" t="str">
        <f>IFERROR(__xludf.DUMMYFUNCTION("""COMPUTED_VALUE"""),"Europe")</f>
        <v>Europe</v>
      </c>
      <c r="C1306">
        <f>IFERROR(__xludf.DUMMYFUNCTION("""COMPUTED_VALUE"""),5.0)</f>
        <v>5</v>
      </c>
      <c r="D1306" t="str">
        <f>IFERROR(__xludf.DUMMYFUNCTION("""COMPUTED_VALUE"""),"Það bera sig allir vel")</f>
        <v>Það bera sig allir vel</v>
      </c>
      <c r="E1306" t="str">
        <f>IFERROR(__xludf.DUMMYFUNCTION("""COMPUTED_VALUE"""),"Helgi Björnsson")</f>
        <v>Helgi Björnsson</v>
      </c>
      <c r="F1306" t="str">
        <f>IFERROR(__xludf.DUMMYFUNCTION("""COMPUTED_VALUE"""),"Það bera sig allir vel")</f>
        <v>Það bera sig allir vel</v>
      </c>
      <c r="G1306">
        <f>IFERROR(__xludf.DUMMYFUNCTION("""COMPUTED_VALUE"""),0.0)</f>
        <v>0</v>
      </c>
      <c r="H1306" s="5">
        <f>IFERROR(__xludf.DUMMYFUNCTION("""COMPUTED_VALUE"""),0.17152777777664596)</f>
        <v>0.1715277778</v>
      </c>
    </row>
    <row r="1307">
      <c r="A1307" t="str">
        <f>IFERROR(__xludf.DUMMYFUNCTION("""COMPUTED_VALUE"""),"Iceland")</f>
        <v>Iceland</v>
      </c>
      <c r="B1307" t="str">
        <f>IFERROR(__xludf.DUMMYFUNCTION("""COMPUTED_VALUE"""),"Europe")</f>
        <v>Europe</v>
      </c>
      <c r="C1307">
        <f>IFERROR(__xludf.DUMMYFUNCTION("""COMPUTED_VALUE"""),6.0)</f>
        <v>6</v>
      </c>
      <c r="D1307" t="str">
        <f>IFERROR(__xludf.DUMMYFUNCTION("""COMPUTED_VALUE"""),"Think About Things")</f>
        <v>Think About Things</v>
      </c>
      <c r="E1307" t="str">
        <f>IFERROR(__xludf.DUMMYFUNCTION("""COMPUTED_VALUE"""),"Daði Freyr")</f>
        <v>Daði Freyr</v>
      </c>
      <c r="F1307" t="str">
        <f>IFERROR(__xludf.DUMMYFUNCTION("""COMPUTED_VALUE"""),"Think About Things")</f>
        <v>Think About Things</v>
      </c>
      <c r="G1307">
        <f>IFERROR(__xludf.DUMMYFUNCTION("""COMPUTED_VALUE"""),0.0)</f>
        <v>0</v>
      </c>
      <c r="H1307" s="5">
        <f>IFERROR(__xludf.DUMMYFUNCTION("""COMPUTED_VALUE"""),0.12013888888759539)</f>
        <v>0.1201388889</v>
      </c>
    </row>
    <row r="1308">
      <c r="A1308" t="str">
        <f>IFERROR(__xludf.DUMMYFUNCTION("""COMPUTED_VALUE"""),"Iceland")</f>
        <v>Iceland</v>
      </c>
      <c r="B1308" t="str">
        <f>IFERROR(__xludf.DUMMYFUNCTION("""COMPUTED_VALUE"""),"Europe")</f>
        <v>Europe</v>
      </c>
      <c r="C1308">
        <f>IFERROR(__xludf.DUMMYFUNCTION("""COMPUTED_VALUE"""),7.0)</f>
        <v>7</v>
      </c>
      <c r="D1308" t="str">
        <f>IFERROR(__xludf.DUMMYFUNCTION("""COMPUTED_VALUE"""),"In Your Eyes")</f>
        <v>In Your Eyes</v>
      </c>
      <c r="E1308" t="str">
        <f>IFERROR(__xludf.DUMMYFUNCTION("""COMPUTED_VALUE"""),"The Weeknd")</f>
        <v>The Weeknd</v>
      </c>
      <c r="F1308" t="str">
        <f>IFERROR(__xludf.DUMMYFUNCTION("""COMPUTED_VALUE"""),"After Hours")</f>
        <v>After Hours</v>
      </c>
      <c r="G1308">
        <f>IFERROR(__xludf.DUMMYFUNCTION("""COMPUTED_VALUE"""),1.0)</f>
        <v>1</v>
      </c>
      <c r="H1308" s="5">
        <f>IFERROR(__xludf.DUMMYFUNCTION("""COMPUTED_VALUE"""),0.16458333333503106)</f>
        <v>0.1645833333</v>
      </c>
    </row>
    <row r="1309">
      <c r="A1309" t="str">
        <f>IFERROR(__xludf.DUMMYFUNCTION("""COMPUTED_VALUE"""),"Iceland")</f>
        <v>Iceland</v>
      </c>
      <c r="B1309" t="str">
        <f>IFERROR(__xludf.DUMMYFUNCTION("""COMPUTED_VALUE"""),"Europe")</f>
        <v>Europe</v>
      </c>
      <c r="C1309">
        <f>IFERROR(__xludf.DUMMYFUNCTION("""COMPUTED_VALUE"""),8.0)</f>
        <v>8</v>
      </c>
      <c r="D1309" t="str">
        <f>IFERROR(__xludf.DUMMYFUNCTION("""COMPUTED_VALUE"""),"Í kvöld er gigg")</f>
        <v>Í kvöld er gigg</v>
      </c>
      <c r="E1309" t="str">
        <f>IFERROR(__xludf.DUMMYFUNCTION("""COMPUTED_VALUE"""),"Ingó Veðurguð")</f>
        <v>Ingó Veðurguð</v>
      </c>
      <c r="F1309" t="str">
        <f>IFERROR(__xludf.DUMMYFUNCTION("""COMPUTED_VALUE"""),"Í kvöld er gigg")</f>
        <v>Í kvöld er gigg</v>
      </c>
      <c r="G1309">
        <f>IFERROR(__xludf.DUMMYFUNCTION("""COMPUTED_VALUE"""),0.0)</f>
        <v>0</v>
      </c>
      <c r="H1309" s="5">
        <f>IFERROR(__xludf.DUMMYFUNCTION("""COMPUTED_VALUE"""),0.13541666666787933)</f>
        <v>0.1354166667</v>
      </c>
    </row>
    <row r="1310">
      <c r="A1310" t="str">
        <f>IFERROR(__xludf.DUMMYFUNCTION("""COMPUTED_VALUE"""),"Iceland")</f>
        <v>Iceland</v>
      </c>
      <c r="B1310" t="str">
        <f>IFERROR(__xludf.DUMMYFUNCTION("""COMPUTED_VALUE"""),"Europe")</f>
        <v>Europe</v>
      </c>
      <c r="C1310">
        <f>IFERROR(__xludf.DUMMYFUNCTION("""COMPUTED_VALUE"""),9.0)</f>
        <v>9</v>
      </c>
      <c r="D1310" t="str">
        <f>IFERROR(__xludf.DUMMYFUNCTION("""COMPUTED_VALUE"""),"THE SCOTTS")</f>
        <v>THE SCOTTS</v>
      </c>
      <c r="E1310" t="str">
        <f>IFERROR(__xludf.DUMMYFUNCTION("""COMPUTED_VALUE"""),"THE SCOTTS, Travis Scott, Kid Cudi")</f>
        <v>THE SCOTTS, Travis Scott, Kid Cudi</v>
      </c>
      <c r="F1310" t="str">
        <f>IFERROR(__xludf.DUMMYFUNCTION("""COMPUTED_VALUE"""),"THE SCOTTS")</f>
        <v>THE SCOTTS</v>
      </c>
      <c r="G1310">
        <f>IFERROR(__xludf.DUMMYFUNCTION("""COMPUTED_VALUE"""),1.0)</f>
        <v>1</v>
      </c>
      <c r="H1310" s="5">
        <f>IFERROR(__xludf.DUMMYFUNCTION("""COMPUTED_VALUE"""),0.11458333333212067)</f>
        <v>0.1145833333</v>
      </c>
    </row>
    <row r="1311">
      <c r="A1311" t="str">
        <f>IFERROR(__xludf.DUMMYFUNCTION("""COMPUTED_VALUE"""),"Iceland")</f>
        <v>Iceland</v>
      </c>
      <c r="B1311" t="str">
        <f>IFERROR(__xludf.DUMMYFUNCTION("""COMPUTED_VALUE"""),"Europe")</f>
        <v>Europe</v>
      </c>
      <c r="C1311">
        <f>IFERROR(__xludf.DUMMYFUNCTION("""COMPUTED_VALUE"""),10.0)</f>
        <v>10</v>
      </c>
      <c r="D1311" t="str">
        <f>IFERROR(__xludf.DUMMYFUNCTION("""COMPUTED_VALUE"""),"GOOBA")</f>
        <v>GOOBA</v>
      </c>
      <c r="E1311" t="str">
        <f>IFERROR(__xludf.DUMMYFUNCTION("""COMPUTED_VALUE"""),"6ix9ine")</f>
        <v>6ix9ine</v>
      </c>
      <c r="F1311" t="str">
        <f>IFERROR(__xludf.DUMMYFUNCTION("""COMPUTED_VALUE"""),"GOOBA")</f>
        <v>GOOBA</v>
      </c>
      <c r="G1311">
        <f>IFERROR(__xludf.DUMMYFUNCTION("""COMPUTED_VALUE"""),1.0)</f>
        <v>1</v>
      </c>
      <c r="H1311" s="5">
        <f>IFERROR(__xludf.DUMMYFUNCTION("""COMPUTED_VALUE"""),0.09166666666715173)</f>
        <v>0.09166666667</v>
      </c>
    </row>
    <row r="1312">
      <c r="A1312" t="str">
        <f>IFERROR(__xludf.DUMMYFUNCTION("""COMPUTED_VALUE"""),"Iceland")</f>
        <v>Iceland</v>
      </c>
      <c r="B1312" t="str">
        <f>IFERROR(__xludf.DUMMYFUNCTION("""COMPUTED_VALUE"""),"Europe")</f>
        <v>Europe</v>
      </c>
      <c r="C1312">
        <f>IFERROR(__xludf.DUMMYFUNCTION("""COMPUTED_VALUE"""),11.0)</f>
        <v>11</v>
      </c>
      <c r="D1312" t="str">
        <f>IFERROR(__xludf.DUMMYFUNCTION("""COMPUTED_VALUE"""),"Roses - Imanbek Remix")</f>
        <v>Roses - Imanbek Remix</v>
      </c>
      <c r="E1312" t="str">
        <f>IFERROR(__xludf.DUMMYFUNCTION("""COMPUTED_VALUE"""),"SAINt JHN, Imanbek")</f>
        <v>SAINt JHN, Imanbek</v>
      </c>
      <c r="F1312" t="str">
        <f>IFERROR(__xludf.DUMMYFUNCTION("""COMPUTED_VALUE"""),"Roses (Imanbek Remix)")</f>
        <v>Roses (Imanbek Remix)</v>
      </c>
      <c r="G1312">
        <f>IFERROR(__xludf.DUMMYFUNCTION("""COMPUTED_VALUE"""),1.0)</f>
        <v>1</v>
      </c>
      <c r="H1312" s="5">
        <f>IFERROR(__xludf.DUMMYFUNCTION("""COMPUTED_VALUE"""),0.12222222222044365)</f>
        <v>0.1222222222</v>
      </c>
    </row>
    <row r="1313">
      <c r="A1313" t="str">
        <f>IFERROR(__xludf.DUMMYFUNCTION("""COMPUTED_VALUE"""),"Iceland")</f>
        <v>Iceland</v>
      </c>
      <c r="B1313" t="str">
        <f>IFERROR(__xludf.DUMMYFUNCTION("""COMPUTED_VALUE"""),"Europe")</f>
        <v>Europe</v>
      </c>
      <c r="C1313">
        <f>IFERROR(__xludf.DUMMYFUNCTION("""COMPUTED_VALUE"""),12.0)</f>
        <v>12</v>
      </c>
      <c r="D1313" t="str">
        <f>IFERROR(__xludf.DUMMYFUNCTION("""COMPUTED_VALUE"""),"Heyrðu Mig")</f>
        <v>Heyrðu Mig</v>
      </c>
      <c r="E1313" t="str">
        <f>IFERROR(__xludf.DUMMYFUNCTION("""COMPUTED_VALUE"""),"BRÍET")</f>
        <v>BRÍET</v>
      </c>
      <c r="F1313" t="str">
        <f>IFERROR(__xludf.DUMMYFUNCTION("""COMPUTED_VALUE"""),"Heyrðu Mig")</f>
        <v>Heyrðu Mig</v>
      </c>
      <c r="G1313">
        <f>IFERROR(__xludf.DUMMYFUNCTION("""COMPUTED_VALUE"""),0.0)</f>
        <v>0</v>
      </c>
      <c r="H1313" s="5">
        <f>IFERROR(__xludf.DUMMYFUNCTION("""COMPUTED_VALUE"""),0.125)</f>
        <v>0.125</v>
      </c>
    </row>
    <row r="1314">
      <c r="A1314" t="str">
        <f>IFERROR(__xludf.DUMMYFUNCTION("""COMPUTED_VALUE"""),"Iceland")</f>
        <v>Iceland</v>
      </c>
      <c r="B1314" t="str">
        <f>IFERROR(__xludf.DUMMYFUNCTION("""COMPUTED_VALUE"""),"Europe")</f>
        <v>Europe</v>
      </c>
      <c r="C1314">
        <f>IFERROR(__xludf.DUMMYFUNCTION("""COMPUTED_VALUE"""),13.0)</f>
        <v>13</v>
      </c>
      <c r="D1314" t="str">
        <f>IFERROR(__xludf.DUMMYFUNCTION("""COMPUTED_VALUE"""),"Toosie Slide")</f>
        <v>Toosie Slide</v>
      </c>
      <c r="E1314" t="str">
        <f>IFERROR(__xludf.DUMMYFUNCTION("""COMPUTED_VALUE"""),"Drake")</f>
        <v>Drake</v>
      </c>
      <c r="F1314" t="str">
        <f>IFERROR(__xludf.DUMMYFUNCTION("""COMPUTED_VALUE"""),"Dark Lane Demo Tapes")</f>
        <v>Dark Lane Demo Tapes</v>
      </c>
      <c r="G1314">
        <f>IFERROR(__xludf.DUMMYFUNCTION("""COMPUTED_VALUE"""),1.0)</f>
        <v>1</v>
      </c>
      <c r="H1314" s="5">
        <f>IFERROR(__xludf.DUMMYFUNCTION("""COMPUTED_VALUE"""),0.17152777777664596)</f>
        <v>0.1715277778</v>
      </c>
    </row>
    <row r="1315">
      <c r="A1315" t="str">
        <f>IFERROR(__xludf.DUMMYFUNCTION("""COMPUTED_VALUE"""),"Iceland")</f>
        <v>Iceland</v>
      </c>
      <c r="B1315" t="str">
        <f>IFERROR(__xludf.DUMMYFUNCTION("""COMPUTED_VALUE"""),"Europe")</f>
        <v>Europe</v>
      </c>
      <c r="C1315">
        <f>IFERROR(__xludf.DUMMYFUNCTION("""COMPUTED_VALUE"""),14.0)</f>
        <v>14</v>
      </c>
      <c r="D1315" t="str">
        <f>IFERROR(__xludf.DUMMYFUNCTION("""COMPUTED_VALUE"""),"Stuck with U (with Justin Bieber)")</f>
        <v>Stuck with U (with Justin Bieber)</v>
      </c>
      <c r="E1315" t="str">
        <f>IFERROR(__xludf.DUMMYFUNCTION("""COMPUTED_VALUE"""),"Ariana Grande, Justin Bieber")</f>
        <v>Ariana Grande, Justin Bieber</v>
      </c>
      <c r="F1315" t="str">
        <f>IFERROR(__xludf.DUMMYFUNCTION("""COMPUTED_VALUE"""),"Stuck with U")</f>
        <v>Stuck with U</v>
      </c>
      <c r="G1315">
        <f>IFERROR(__xludf.DUMMYFUNCTION("""COMPUTED_VALUE"""),0.0)</f>
        <v>0</v>
      </c>
      <c r="H1315" s="5">
        <f>IFERROR(__xludf.DUMMYFUNCTION("""COMPUTED_VALUE"""),0.15833333333284827)</f>
        <v>0.1583333333</v>
      </c>
    </row>
    <row r="1316">
      <c r="A1316" t="str">
        <f>IFERROR(__xludf.DUMMYFUNCTION("""COMPUTED_VALUE"""),"Iceland")</f>
        <v>Iceland</v>
      </c>
      <c r="B1316" t="str">
        <f>IFERROR(__xludf.DUMMYFUNCTION("""COMPUTED_VALUE"""),"Europe")</f>
        <v>Europe</v>
      </c>
      <c r="C1316">
        <f>IFERROR(__xludf.DUMMYFUNCTION("""COMPUTED_VALUE"""),15.0)</f>
        <v>15</v>
      </c>
      <c r="D1316" t="str">
        <f>IFERROR(__xludf.DUMMYFUNCTION("""COMPUTED_VALUE"""),"Rain On Me (with Ariana Grande)")</f>
        <v>Rain On Me (with Ariana Grande)</v>
      </c>
      <c r="E1316" t="str">
        <f>IFERROR(__xludf.DUMMYFUNCTION("""COMPUTED_VALUE"""),"Lady Gaga, Ariana Grande")</f>
        <v>Lady Gaga, Ariana Grande</v>
      </c>
      <c r="F1316" t="str">
        <f>IFERROR(__xludf.DUMMYFUNCTION("""COMPUTED_VALUE"""),"Rain On Me (with Ariana Grande)")</f>
        <v>Rain On Me (with Ariana Grande)</v>
      </c>
      <c r="G1316">
        <f>IFERROR(__xludf.DUMMYFUNCTION("""COMPUTED_VALUE"""),0.0)</f>
        <v>0</v>
      </c>
      <c r="H1316" s="5">
        <f>IFERROR(__xludf.DUMMYFUNCTION("""COMPUTED_VALUE"""),0.12638888888977817)</f>
        <v>0.1263888889</v>
      </c>
    </row>
    <row r="1317">
      <c r="A1317" t="str">
        <f>IFERROR(__xludf.DUMMYFUNCTION("""COMPUTED_VALUE"""),"Iceland")</f>
        <v>Iceland</v>
      </c>
      <c r="B1317" t="str">
        <f>IFERROR(__xludf.DUMMYFUNCTION("""COMPUTED_VALUE"""),"Europe")</f>
        <v>Europe</v>
      </c>
      <c r="C1317">
        <f>IFERROR(__xludf.DUMMYFUNCTION("""COMPUTED_VALUE"""),16.0)</f>
        <v>16</v>
      </c>
      <c r="D1317" t="str">
        <f>IFERROR(__xludf.DUMMYFUNCTION("""COMPUTED_VALUE"""),"Haltu Kjafti")</f>
        <v>Haltu Kjafti</v>
      </c>
      <c r="E1317" t="str">
        <f>IFERROR(__xludf.DUMMYFUNCTION("""COMPUTED_VALUE"""),"Birgir Hákon, M Can, Tommy")</f>
        <v>Birgir Hákon, M Can, Tommy</v>
      </c>
      <c r="F1317" t="str">
        <f>IFERROR(__xludf.DUMMYFUNCTION("""COMPUTED_VALUE"""),"Haltu Kjafti")</f>
        <v>Haltu Kjafti</v>
      </c>
      <c r="G1317">
        <f>IFERROR(__xludf.DUMMYFUNCTION("""COMPUTED_VALUE"""),0.0)</f>
        <v>0</v>
      </c>
      <c r="H1317" s="5">
        <f>IFERROR(__xludf.DUMMYFUNCTION("""COMPUTED_VALUE"""),0.08888888888759539)</f>
        <v>0.08888888889</v>
      </c>
    </row>
    <row r="1318">
      <c r="A1318" t="str">
        <f>IFERROR(__xludf.DUMMYFUNCTION("""COMPUTED_VALUE"""),"Iceland")</f>
        <v>Iceland</v>
      </c>
      <c r="B1318" t="str">
        <f>IFERROR(__xludf.DUMMYFUNCTION("""COMPUTED_VALUE"""),"Europe")</f>
        <v>Europe</v>
      </c>
      <c r="C1318">
        <f>IFERROR(__xludf.DUMMYFUNCTION("""COMPUTED_VALUE"""),17.0)</f>
        <v>17</v>
      </c>
      <c r="D1318" t="str">
        <f>IFERROR(__xludf.DUMMYFUNCTION("""COMPUTED_VALUE"""),"Píla (feat. Lil Binni)")</f>
        <v>Píla (feat. Lil Binni)</v>
      </c>
      <c r="E1318" t="str">
        <f>IFERROR(__xludf.DUMMYFUNCTION("""COMPUTED_VALUE"""),"Joey Christ, Lil Binni")</f>
        <v>Joey Christ, Lil Binni</v>
      </c>
      <c r="F1318" t="str">
        <f>IFERROR(__xludf.DUMMYFUNCTION("""COMPUTED_VALUE"""),"Píla (feat. Lil Binni)")</f>
        <v>Píla (feat. Lil Binni)</v>
      </c>
      <c r="G1318">
        <f>IFERROR(__xludf.DUMMYFUNCTION("""COMPUTED_VALUE"""),0.0)</f>
        <v>0</v>
      </c>
      <c r="H1318" s="5">
        <f>IFERROR(__xludf.DUMMYFUNCTION("""COMPUTED_VALUE"""),0.10763888889050577)</f>
        <v>0.1076388889</v>
      </c>
    </row>
    <row r="1319">
      <c r="A1319" t="str">
        <f>IFERROR(__xludf.DUMMYFUNCTION("""COMPUTED_VALUE"""),"Iceland")</f>
        <v>Iceland</v>
      </c>
      <c r="B1319" t="str">
        <f>IFERROR(__xludf.DUMMYFUNCTION("""COMPUTED_VALUE"""),"Europe")</f>
        <v>Europe</v>
      </c>
      <c r="C1319">
        <f>IFERROR(__xludf.DUMMYFUNCTION("""COMPUTED_VALUE"""),18.0)</f>
        <v>18</v>
      </c>
      <c r="D1319" t="str">
        <f>IFERROR(__xludf.DUMMYFUNCTION("""COMPUTED_VALUE"""),"Óska mér")</f>
        <v>Óska mér</v>
      </c>
      <c r="E1319" t="str">
        <f>IFERROR(__xludf.DUMMYFUNCTION("""COMPUTED_VALUE"""),"JóiPé, Króli")</f>
        <v>JóiPé, Króli</v>
      </c>
      <c r="F1319" t="str">
        <f>IFERROR(__xludf.DUMMYFUNCTION("""COMPUTED_VALUE"""),"Í miðjum kjarnorkuvetri")</f>
        <v>Í miðjum kjarnorkuvetri</v>
      </c>
      <c r="G1319">
        <f>IFERROR(__xludf.DUMMYFUNCTION("""COMPUTED_VALUE"""),0.0)</f>
        <v>0</v>
      </c>
      <c r="H1319" s="5">
        <f>IFERROR(__xludf.DUMMYFUNCTION("""COMPUTED_VALUE"""),0.12013888888759539)</f>
        <v>0.1201388889</v>
      </c>
    </row>
    <row r="1320">
      <c r="A1320" t="str">
        <f>IFERROR(__xludf.DUMMYFUNCTION("""COMPUTED_VALUE"""),"Iceland")</f>
        <v>Iceland</v>
      </c>
      <c r="B1320" t="str">
        <f>IFERROR(__xludf.DUMMYFUNCTION("""COMPUTED_VALUE"""),"Europe")</f>
        <v>Europe</v>
      </c>
      <c r="C1320">
        <f>IFERROR(__xludf.DUMMYFUNCTION("""COMPUTED_VALUE"""),19.0)</f>
        <v>19</v>
      </c>
      <c r="D1320" t="str">
        <f>IFERROR(__xludf.DUMMYFUNCTION("""COMPUTED_VALUE"""),"Enginn eins og þú")</f>
        <v>Enginn eins og þú</v>
      </c>
      <c r="E1320" t="str">
        <f>IFERROR(__xludf.DUMMYFUNCTION("""COMPUTED_VALUE"""),"Auður")</f>
        <v>Auður</v>
      </c>
      <c r="F1320" t="str">
        <f>IFERROR(__xludf.DUMMYFUNCTION("""COMPUTED_VALUE"""),"Enginn eins og þú")</f>
        <v>Enginn eins og þú</v>
      </c>
      <c r="G1320">
        <f>IFERROR(__xludf.DUMMYFUNCTION("""COMPUTED_VALUE"""),0.0)</f>
        <v>0</v>
      </c>
      <c r="H1320" s="5">
        <f>IFERROR(__xludf.DUMMYFUNCTION("""COMPUTED_VALUE"""),0.1256944444430701)</f>
        <v>0.1256944444</v>
      </c>
    </row>
    <row r="1321">
      <c r="A1321" t="str">
        <f>IFERROR(__xludf.DUMMYFUNCTION("""COMPUTED_VALUE"""),"Iceland")</f>
        <v>Iceland</v>
      </c>
      <c r="B1321" t="str">
        <f>IFERROR(__xludf.DUMMYFUNCTION("""COMPUTED_VALUE"""),"Europe")</f>
        <v>Europe</v>
      </c>
      <c r="C1321">
        <f>IFERROR(__xludf.DUMMYFUNCTION("""COMPUTED_VALUE"""),20.0)</f>
        <v>20</v>
      </c>
      <c r="D1321" t="str">
        <f>IFERROR(__xludf.DUMMYFUNCTION("""COMPUTED_VALUE"""),"Breaking Me")</f>
        <v>Breaking Me</v>
      </c>
      <c r="E1321" t="str">
        <f>IFERROR(__xludf.DUMMYFUNCTION("""COMPUTED_VALUE"""),"Topic, A7S")</f>
        <v>Topic, A7S</v>
      </c>
      <c r="F1321" t="str">
        <f>IFERROR(__xludf.DUMMYFUNCTION("""COMPUTED_VALUE"""),"Breaking Me")</f>
        <v>Breaking Me</v>
      </c>
      <c r="G1321">
        <f>IFERROR(__xludf.DUMMYFUNCTION("""COMPUTED_VALUE"""),0.0)</f>
        <v>0</v>
      </c>
      <c r="H1321" s="5">
        <f>IFERROR(__xludf.DUMMYFUNCTION("""COMPUTED_VALUE"""),0.11527777777882875)</f>
        <v>0.1152777778</v>
      </c>
    </row>
    <row r="1322">
      <c r="A1322" t="str">
        <f>IFERROR(__xludf.DUMMYFUNCTION("""COMPUTED_VALUE"""),"Iceland")</f>
        <v>Iceland</v>
      </c>
      <c r="B1322" t="str">
        <f>IFERROR(__xludf.DUMMYFUNCTION("""COMPUTED_VALUE"""),"Europe")</f>
        <v>Europe</v>
      </c>
      <c r="C1322">
        <f>IFERROR(__xludf.DUMMYFUNCTION("""COMPUTED_VALUE"""),21.0)</f>
        <v>21</v>
      </c>
      <c r="D1322" t="str">
        <f>IFERROR(__xludf.DUMMYFUNCTION("""COMPUTED_VALUE"""),"Boss Bitch")</f>
        <v>Boss Bitch</v>
      </c>
      <c r="E1322" t="str">
        <f>IFERROR(__xludf.DUMMYFUNCTION("""COMPUTED_VALUE"""),"Doja Cat")</f>
        <v>Doja Cat</v>
      </c>
      <c r="F1322" t="str">
        <f>IFERROR(__xludf.DUMMYFUNCTION("""COMPUTED_VALUE"""),"Boss Bitch")</f>
        <v>Boss Bitch</v>
      </c>
      <c r="G1322">
        <f>IFERROR(__xludf.DUMMYFUNCTION("""COMPUTED_VALUE"""),0.0)</f>
        <v>0</v>
      </c>
      <c r="H1322" s="5">
        <f>IFERROR(__xludf.DUMMYFUNCTION("""COMPUTED_VALUE"""),0.0930555555569299)</f>
        <v>0.09305555556</v>
      </c>
    </row>
    <row r="1323">
      <c r="A1323" t="str">
        <f>IFERROR(__xludf.DUMMYFUNCTION("""COMPUTED_VALUE"""),"Iceland")</f>
        <v>Iceland</v>
      </c>
      <c r="B1323" t="str">
        <f>IFERROR(__xludf.DUMMYFUNCTION("""COMPUTED_VALUE"""),"Europe")</f>
        <v>Europe</v>
      </c>
      <c r="C1323">
        <f>IFERROR(__xludf.DUMMYFUNCTION("""COMPUTED_VALUE"""),22.0)</f>
        <v>22</v>
      </c>
      <c r="D1323" t="str">
        <f>IFERROR(__xludf.DUMMYFUNCTION("""COMPUTED_VALUE"""),"Supalonely")</f>
        <v>Supalonely</v>
      </c>
      <c r="E1323" t="str">
        <f>IFERROR(__xludf.DUMMYFUNCTION("""COMPUTED_VALUE"""),"BENEE, Gus Dapperton")</f>
        <v>BENEE, Gus Dapperton</v>
      </c>
      <c r="F1323" t="str">
        <f>IFERROR(__xludf.DUMMYFUNCTION("""COMPUTED_VALUE"""),"STELLA &amp; STEVE")</f>
        <v>STELLA &amp; STEVE</v>
      </c>
      <c r="G1323">
        <f>IFERROR(__xludf.DUMMYFUNCTION("""COMPUTED_VALUE"""),1.0)</f>
        <v>1</v>
      </c>
      <c r="H1323" s="5">
        <f>IFERROR(__xludf.DUMMYFUNCTION("""COMPUTED_VALUE"""),0.15486111111022183)</f>
        <v>0.1548611111</v>
      </c>
    </row>
    <row r="1324">
      <c r="A1324" t="str">
        <f>IFERROR(__xludf.DUMMYFUNCTION("""COMPUTED_VALUE"""),"Iceland")</f>
        <v>Iceland</v>
      </c>
      <c r="B1324" t="str">
        <f>IFERROR(__xludf.DUMMYFUNCTION("""COMPUTED_VALUE"""),"Europe")</f>
        <v>Europe</v>
      </c>
      <c r="C1324">
        <f>IFERROR(__xludf.DUMMYFUNCTION("""COMPUTED_VALUE"""),23.0)</f>
        <v>23</v>
      </c>
      <c r="D1324" t="str">
        <f>IFERROR(__xludf.DUMMYFUNCTION("""COMPUTED_VALUE"""),"Blueberry Faygo")</f>
        <v>Blueberry Faygo</v>
      </c>
      <c r="E1324" t="str">
        <f>IFERROR(__xludf.DUMMYFUNCTION("""COMPUTED_VALUE"""),"Lil Mosey")</f>
        <v>Lil Mosey</v>
      </c>
      <c r="F1324" t="str">
        <f>IFERROR(__xludf.DUMMYFUNCTION("""COMPUTED_VALUE"""),"Certified Hitmaker")</f>
        <v>Certified Hitmaker</v>
      </c>
      <c r="G1324">
        <f>IFERROR(__xludf.DUMMYFUNCTION("""COMPUTED_VALUE"""),1.0)</f>
        <v>1</v>
      </c>
      <c r="H1324" s="5">
        <f>IFERROR(__xludf.DUMMYFUNCTION("""COMPUTED_VALUE"""),0.1124999999992724)</f>
        <v>0.1125</v>
      </c>
    </row>
    <row r="1325">
      <c r="A1325" t="str">
        <f>IFERROR(__xludf.DUMMYFUNCTION("""COMPUTED_VALUE"""),"Iceland")</f>
        <v>Iceland</v>
      </c>
      <c r="B1325" t="str">
        <f>IFERROR(__xludf.DUMMYFUNCTION("""COMPUTED_VALUE"""),"Europe")</f>
        <v>Europe</v>
      </c>
      <c r="C1325">
        <f>IFERROR(__xludf.DUMMYFUNCTION("""COMPUTED_VALUE"""),24.0)</f>
        <v>24</v>
      </c>
      <c r="D1325" t="str">
        <f>IFERROR(__xludf.DUMMYFUNCTION("""COMPUTED_VALUE"""),"Dance Monkey")</f>
        <v>Dance Monkey</v>
      </c>
      <c r="E1325" t="str">
        <f>IFERROR(__xludf.DUMMYFUNCTION("""COMPUTED_VALUE"""),"Tones And I")</f>
        <v>Tones And I</v>
      </c>
      <c r="F1325" t="str">
        <f>IFERROR(__xludf.DUMMYFUNCTION("""COMPUTED_VALUE"""),"Dance Monkey (Stripped Back) / Dance Monkey")</f>
        <v>Dance Monkey (Stripped Back) / Dance Monkey</v>
      </c>
      <c r="G1325">
        <f>IFERROR(__xludf.DUMMYFUNCTION("""COMPUTED_VALUE"""),0.0)</f>
        <v>0</v>
      </c>
      <c r="H1325" s="5">
        <f>IFERROR(__xludf.DUMMYFUNCTION("""COMPUTED_VALUE"""),0.14513888888905058)</f>
        <v>0.1451388889</v>
      </c>
    </row>
    <row r="1326">
      <c r="A1326" t="str">
        <f>IFERROR(__xludf.DUMMYFUNCTION("""COMPUTED_VALUE"""),"Iceland")</f>
        <v>Iceland</v>
      </c>
      <c r="B1326" t="str">
        <f>IFERROR(__xludf.DUMMYFUNCTION("""COMPUTED_VALUE"""),"Europe")</f>
        <v>Europe</v>
      </c>
      <c r="C1326">
        <f>IFERROR(__xludf.DUMMYFUNCTION("""COMPUTED_VALUE"""),25.0)</f>
        <v>25</v>
      </c>
      <c r="D1326" t="str">
        <f>IFERROR(__xludf.DUMMYFUNCTION("""COMPUTED_VALUE"""),"Sumargleðin (feat. Gummi Tóta &amp; Ingó Veðurguð)")</f>
        <v>Sumargleðin (feat. Gummi Tóta &amp; Ingó Veðurguð)</v>
      </c>
      <c r="E1326" t="str">
        <f>IFERROR(__xludf.DUMMYFUNCTION("""COMPUTED_VALUE"""),"Doctor Victor, Ingó Veðurguð, Gummi Tóta")</f>
        <v>Doctor Victor, Ingó Veðurguð, Gummi Tóta</v>
      </c>
      <c r="F1326" t="str">
        <f>IFERROR(__xludf.DUMMYFUNCTION("""COMPUTED_VALUE"""),"Sumargleðin (feat. Gummi Tóta &amp; Ingó Veðurguð)")</f>
        <v>Sumargleðin (feat. Gummi Tóta &amp; Ingó Veðurguð)</v>
      </c>
      <c r="G1326">
        <f>IFERROR(__xludf.DUMMYFUNCTION("""COMPUTED_VALUE"""),0.0)</f>
        <v>0</v>
      </c>
      <c r="H1326" s="5">
        <f>IFERROR(__xludf.DUMMYFUNCTION("""COMPUTED_VALUE"""),0.12777777777955635)</f>
        <v>0.1277777778</v>
      </c>
    </row>
    <row r="1327">
      <c r="A1327" t="str">
        <f>IFERROR(__xludf.DUMMYFUNCTION("""COMPUTED_VALUE"""),"Iceland")</f>
        <v>Iceland</v>
      </c>
      <c r="B1327" t="str">
        <f>IFERROR(__xludf.DUMMYFUNCTION("""COMPUTED_VALUE"""),"Europe")</f>
        <v>Europe</v>
      </c>
      <c r="C1327">
        <f>IFERROR(__xludf.DUMMYFUNCTION("""COMPUTED_VALUE"""),26.0)</f>
        <v>26</v>
      </c>
      <c r="D1327" t="str">
        <f>IFERROR(__xludf.DUMMYFUNCTION("""COMPUTED_VALUE"""),"Einn Tveir")</f>
        <v>Einn Tveir</v>
      </c>
      <c r="E1327" t="str">
        <f>IFERROR(__xludf.DUMMYFUNCTION("""COMPUTED_VALUE"""),"Huginn, Friðrik Dór")</f>
        <v>Huginn, Friðrik Dór</v>
      </c>
      <c r="F1327" t="str">
        <f>IFERROR(__xludf.DUMMYFUNCTION("""COMPUTED_VALUE"""),"Einn Tveir")</f>
        <v>Einn Tveir</v>
      </c>
      <c r="G1327">
        <f>IFERROR(__xludf.DUMMYFUNCTION("""COMPUTED_VALUE"""),0.0)</f>
        <v>0</v>
      </c>
      <c r="H1327" s="5">
        <f>IFERROR(__xludf.DUMMYFUNCTION("""COMPUTED_VALUE"""),0.13888888889050577)</f>
        <v>0.1388888889</v>
      </c>
    </row>
    <row r="1328">
      <c r="A1328" t="str">
        <f>IFERROR(__xludf.DUMMYFUNCTION("""COMPUTED_VALUE"""),"Iceland")</f>
        <v>Iceland</v>
      </c>
      <c r="B1328" t="str">
        <f>IFERROR(__xludf.DUMMYFUNCTION("""COMPUTED_VALUE"""),"Europe")</f>
        <v>Europe</v>
      </c>
      <c r="C1328">
        <f>IFERROR(__xludf.DUMMYFUNCTION("""COMPUTED_VALUE"""),27.0)</f>
        <v>27</v>
      </c>
      <c r="D1328" t="str">
        <f>IFERROR(__xludf.DUMMYFUNCTION("""COMPUTED_VALUE"""),"Don't Start Now")</f>
        <v>Don't Start Now</v>
      </c>
      <c r="E1328" t="str">
        <f>IFERROR(__xludf.DUMMYFUNCTION("""COMPUTED_VALUE"""),"Dua Lipa")</f>
        <v>Dua Lipa</v>
      </c>
      <c r="F1328" t="str">
        <f>IFERROR(__xludf.DUMMYFUNCTION("""COMPUTED_VALUE"""),"Future Nostalgia")</f>
        <v>Future Nostalgia</v>
      </c>
      <c r="G1328">
        <f>IFERROR(__xludf.DUMMYFUNCTION("""COMPUTED_VALUE"""),0.0)</f>
        <v>0</v>
      </c>
      <c r="H1328" s="5">
        <f>IFERROR(__xludf.DUMMYFUNCTION("""COMPUTED_VALUE"""),0.12708333333284827)</f>
        <v>0.1270833333</v>
      </c>
    </row>
    <row r="1329">
      <c r="A1329" t="str">
        <f>IFERROR(__xludf.DUMMYFUNCTION("""COMPUTED_VALUE"""),"Iceland")</f>
        <v>Iceland</v>
      </c>
      <c r="B1329" t="str">
        <f>IFERROR(__xludf.DUMMYFUNCTION("""COMPUTED_VALUE"""),"Europe")</f>
        <v>Europe</v>
      </c>
      <c r="C1329">
        <f>IFERROR(__xludf.DUMMYFUNCTION("""COMPUTED_VALUE"""),28.0)</f>
        <v>28</v>
      </c>
      <c r="D1329" t="str">
        <f>IFERROR(__xludf.DUMMYFUNCTION("""COMPUTED_VALUE"""),"Malbik")</f>
        <v>Malbik</v>
      </c>
      <c r="E1329" t="str">
        <f>IFERROR(__xludf.DUMMYFUNCTION("""COMPUTED_VALUE"""),"Emmsjé Gauti, Króli")</f>
        <v>Emmsjé Gauti, Króli</v>
      </c>
      <c r="F1329" t="str">
        <f>IFERROR(__xludf.DUMMYFUNCTION("""COMPUTED_VALUE"""),"Malbik")</f>
        <v>Malbik</v>
      </c>
      <c r="G1329">
        <f>IFERROR(__xludf.DUMMYFUNCTION("""COMPUTED_VALUE"""),0.0)</f>
        <v>0</v>
      </c>
      <c r="H1329" s="5">
        <f>IFERROR(__xludf.DUMMYFUNCTION("""COMPUTED_VALUE"""),0.13541666666787933)</f>
        <v>0.1354166667</v>
      </c>
    </row>
    <row r="1330">
      <c r="A1330" t="str">
        <f>IFERROR(__xludf.DUMMYFUNCTION("""COMPUTED_VALUE"""),"Iceland")</f>
        <v>Iceland</v>
      </c>
      <c r="B1330" t="str">
        <f>IFERROR(__xludf.DUMMYFUNCTION("""COMPUTED_VALUE"""),"Europe")</f>
        <v>Europe</v>
      </c>
      <c r="C1330">
        <f>IFERROR(__xludf.DUMMYFUNCTION("""COMPUTED_VALUE"""),29.0)</f>
        <v>29</v>
      </c>
      <c r="D1330" t="str">
        <f>IFERROR(__xludf.DUMMYFUNCTION("""COMPUTED_VALUE"""),"Intentions (feat. Quavo)")</f>
        <v>Intentions (feat. Quavo)</v>
      </c>
      <c r="E1330" t="str">
        <f>IFERROR(__xludf.DUMMYFUNCTION("""COMPUTED_VALUE"""),"Justin Bieber, Quavo")</f>
        <v>Justin Bieber, Quavo</v>
      </c>
      <c r="F1330" t="str">
        <f>IFERROR(__xludf.DUMMYFUNCTION("""COMPUTED_VALUE"""),"Changes")</f>
        <v>Changes</v>
      </c>
      <c r="G1330">
        <f>IFERROR(__xludf.DUMMYFUNCTION("""COMPUTED_VALUE"""),0.0)</f>
        <v>0</v>
      </c>
      <c r="H1330" s="5">
        <f>IFERROR(__xludf.DUMMYFUNCTION("""COMPUTED_VALUE"""),0.14722222222189885)</f>
        <v>0.1472222222</v>
      </c>
    </row>
    <row r="1331">
      <c r="A1331" t="str">
        <f>IFERROR(__xludf.DUMMYFUNCTION("""COMPUTED_VALUE"""),"Iceland")</f>
        <v>Iceland</v>
      </c>
      <c r="B1331" t="str">
        <f>IFERROR(__xludf.DUMMYFUNCTION("""COMPUTED_VALUE"""),"Europe")</f>
        <v>Europe</v>
      </c>
      <c r="C1331">
        <f>IFERROR(__xludf.DUMMYFUNCTION("""COMPUTED_VALUE"""),30.0)</f>
        <v>30</v>
      </c>
      <c r="D1331" t="str">
        <f>IFERROR(__xludf.DUMMYFUNCTION("""COMPUTED_VALUE"""),"Ég Er Svo Flottur")</f>
        <v>Ég Er Svo Flottur</v>
      </c>
      <c r="E1331" t="str">
        <f>IFERROR(__xludf.DUMMYFUNCTION("""COMPUTED_VALUE"""),"Séra Bjössi")</f>
        <v>Séra Bjössi</v>
      </c>
      <c r="F1331" t="str">
        <f>IFERROR(__xludf.DUMMYFUNCTION("""COMPUTED_VALUE"""),"Ég Er Svo Flottur")</f>
        <v>Ég Er Svo Flottur</v>
      </c>
      <c r="G1331">
        <f>IFERROR(__xludf.DUMMYFUNCTION("""COMPUTED_VALUE"""),1.0)</f>
        <v>1</v>
      </c>
      <c r="H1331" s="5">
        <f>IFERROR(__xludf.DUMMYFUNCTION("""COMPUTED_VALUE"""),0.12638888888977817)</f>
        <v>0.1263888889</v>
      </c>
    </row>
    <row r="1332">
      <c r="A1332" t="str">
        <f>IFERROR(__xludf.DUMMYFUNCTION("""COMPUTED_VALUE"""),"Iceland")</f>
        <v>Iceland</v>
      </c>
      <c r="B1332" t="str">
        <f>IFERROR(__xludf.DUMMYFUNCTION("""COMPUTED_VALUE"""),"Europe")</f>
        <v>Europe</v>
      </c>
      <c r="C1332">
        <f>IFERROR(__xludf.DUMMYFUNCTION("""COMPUTED_VALUE"""),31.0)</f>
        <v>31</v>
      </c>
      <c r="D1332" t="str">
        <f>IFERROR(__xludf.DUMMYFUNCTION("""COMPUTED_VALUE"""),"After Party")</f>
        <v>After Party</v>
      </c>
      <c r="E1332" t="str">
        <f>IFERROR(__xludf.DUMMYFUNCTION("""COMPUTED_VALUE"""),"Don Toliver")</f>
        <v>Don Toliver</v>
      </c>
      <c r="F1332" t="str">
        <f>IFERROR(__xludf.DUMMYFUNCTION("""COMPUTED_VALUE"""),"Heaven Or Hell")</f>
        <v>Heaven Or Hell</v>
      </c>
      <c r="G1332">
        <f>IFERROR(__xludf.DUMMYFUNCTION("""COMPUTED_VALUE"""),1.0)</f>
        <v>1</v>
      </c>
      <c r="H1332" s="5">
        <f>IFERROR(__xludf.DUMMYFUNCTION("""COMPUTED_VALUE"""),0.11597222222189885)</f>
        <v>0.1159722222</v>
      </c>
    </row>
    <row r="1333">
      <c r="A1333" t="str">
        <f>IFERROR(__xludf.DUMMYFUNCTION("""COMPUTED_VALUE"""),"Iceland")</f>
        <v>Iceland</v>
      </c>
      <c r="B1333" t="str">
        <f>IFERROR(__xludf.DUMMYFUNCTION("""COMPUTED_VALUE"""),"Europe")</f>
        <v>Europe</v>
      </c>
      <c r="C1333">
        <f>IFERROR(__xludf.DUMMYFUNCTION("""COMPUTED_VALUE"""),32.0)</f>
        <v>32</v>
      </c>
      <c r="D1333" t="str">
        <f>IFERROR(__xludf.DUMMYFUNCTION("""COMPUTED_VALUE"""),"Break My Heart")</f>
        <v>Break My Heart</v>
      </c>
      <c r="E1333" t="str">
        <f>IFERROR(__xludf.DUMMYFUNCTION("""COMPUTED_VALUE"""),"Dua Lipa")</f>
        <v>Dua Lipa</v>
      </c>
      <c r="F1333" t="str">
        <f>IFERROR(__xludf.DUMMYFUNCTION("""COMPUTED_VALUE"""),"Future Nostalgia")</f>
        <v>Future Nostalgia</v>
      </c>
      <c r="G1333">
        <f>IFERROR(__xludf.DUMMYFUNCTION("""COMPUTED_VALUE"""),0.0)</f>
        <v>0</v>
      </c>
      <c r="H1333" s="5">
        <f>IFERROR(__xludf.DUMMYFUNCTION("""COMPUTED_VALUE"""),0.15347222222044365)</f>
        <v>0.1534722222</v>
      </c>
    </row>
    <row r="1334">
      <c r="A1334" t="str">
        <f>IFERROR(__xludf.DUMMYFUNCTION("""COMPUTED_VALUE"""),"Iceland")</f>
        <v>Iceland</v>
      </c>
      <c r="B1334" t="str">
        <f>IFERROR(__xludf.DUMMYFUNCTION("""COMPUTED_VALUE"""),"Europe")</f>
        <v>Europe</v>
      </c>
      <c r="C1334">
        <f>IFERROR(__xludf.DUMMYFUNCTION("""COMPUTED_VALUE"""),33.0)</f>
        <v>33</v>
      </c>
      <c r="D1334" t="str">
        <f>IFERROR(__xludf.DUMMYFUNCTION("""COMPUTED_VALUE"""),"The Box")</f>
        <v>The Box</v>
      </c>
      <c r="E1334" t="str">
        <f>IFERROR(__xludf.DUMMYFUNCTION("""COMPUTED_VALUE"""),"Roddy Ricch")</f>
        <v>Roddy Ricch</v>
      </c>
      <c r="F1334" t="str">
        <f>IFERROR(__xludf.DUMMYFUNCTION("""COMPUTED_VALUE"""),"Please Excuse Me For Being Antisocial")</f>
        <v>Please Excuse Me For Being Antisocial</v>
      </c>
      <c r="G1334">
        <f>IFERROR(__xludf.DUMMYFUNCTION("""COMPUTED_VALUE"""),1.0)</f>
        <v>1</v>
      </c>
      <c r="H1334" s="5">
        <f>IFERROR(__xludf.DUMMYFUNCTION("""COMPUTED_VALUE"""),0.13611111111094942)</f>
        <v>0.1361111111</v>
      </c>
    </row>
    <row r="1335">
      <c r="A1335" t="str">
        <f>IFERROR(__xludf.DUMMYFUNCTION("""COMPUTED_VALUE"""),"Iceland")</f>
        <v>Iceland</v>
      </c>
      <c r="B1335" t="str">
        <f>IFERROR(__xludf.DUMMYFUNCTION("""COMPUTED_VALUE"""),"Europe")</f>
        <v>Europe</v>
      </c>
      <c r="C1335">
        <f>IFERROR(__xludf.DUMMYFUNCTION("""COMPUTED_VALUE"""),34.0)</f>
        <v>34</v>
      </c>
      <c r="D1335" t="str">
        <f>IFERROR(__xludf.DUMMYFUNCTION("""COMPUTED_VALUE"""),"On")</f>
        <v>On</v>
      </c>
      <c r="E1335" t="str">
        <f>IFERROR(__xludf.DUMMYFUNCTION("""COMPUTED_VALUE"""),"JóiPé, Króli")</f>
        <v>JóiPé, Króli</v>
      </c>
      <c r="F1335" t="str">
        <f>IFERROR(__xludf.DUMMYFUNCTION("""COMPUTED_VALUE"""),"Í miðjum kjarnorkuvetri")</f>
        <v>Í miðjum kjarnorkuvetri</v>
      </c>
      <c r="G1335">
        <f>IFERROR(__xludf.DUMMYFUNCTION("""COMPUTED_VALUE"""),0.0)</f>
        <v>0</v>
      </c>
      <c r="H1335" s="5">
        <f>IFERROR(__xludf.DUMMYFUNCTION("""COMPUTED_VALUE"""),0.12916666666569654)</f>
        <v>0.1291666667</v>
      </c>
    </row>
    <row r="1336">
      <c r="A1336" t="str">
        <f>IFERROR(__xludf.DUMMYFUNCTION("""COMPUTED_VALUE"""),"Iceland")</f>
        <v>Iceland</v>
      </c>
      <c r="B1336" t="str">
        <f>IFERROR(__xludf.DUMMYFUNCTION("""COMPUTED_VALUE"""),"Europe")</f>
        <v>Europe</v>
      </c>
      <c r="C1336">
        <f>IFERROR(__xludf.DUMMYFUNCTION("""COMPUTED_VALUE"""),35.0)</f>
        <v>35</v>
      </c>
      <c r="D1336" t="str">
        <f>IFERROR(__xludf.DUMMYFUNCTION("""COMPUTED_VALUE"""),"Say So")</f>
        <v>Say So</v>
      </c>
      <c r="E1336" t="str">
        <f>IFERROR(__xludf.DUMMYFUNCTION("""COMPUTED_VALUE"""),"Doja Cat")</f>
        <v>Doja Cat</v>
      </c>
      <c r="F1336" t="str">
        <f>IFERROR(__xludf.DUMMYFUNCTION("""COMPUTED_VALUE"""),"Hot Pink")</f>
        <v>Hot Pink</v>
      </c>
      <c r="G1336">
        <f>IFERROR(__xludf.DUMMYFUNCTION("""COMPUTED_VALUE"""),1.0)</f>
        <v>1</v>
      </c>
      <c r="H1336" s="5">
        <f>IFERROR(__xludf.DUMMYFUNCTION("""COMPUTED_VALUE"""),0.16458333333503106)</f>
        <v>0.1645833333</v>
      </c>
    </row>
    <row r="1337">
      <c r="A1337" t="str">
        <f>IFERROR(__xludf.DUMMYFUNCTION("""COMPUTED_VALUE"""),"Iceland")</f>
        <v>Iceland</v>
      </c>
      <c r="B1337" t="str">
        <f>IFERROR(__xludf.DUMMYFUNCTION("""COMPUTED_VALUE"""),"Europe")</f>
        <v>Europe</v>
      </c>
      <c r="C1337">
        <f>IFERROR(__xludf.DUMMYFUNCTION("""COMPUTED_VALUE"""),36.0)</f>
        <v>36</v>
      </c>
      <c r="D1337" t="str">
        <f>IFERROR(__xludf.DUMMYFUNCTION("""COMPUTED_VALUE"""),"bad guy")</f>
        <v>bad guy</v>
      </c>
      <c r="E1337" t="str">
        <f>IFERROR(__xludf.DUMMYFUNCTION("""COMPUTED_VALUE"""),"Billie Eilish")</f>
        <v>Billie Eilish</v>
      </c>
      <c r="F1337" t="str">
        <f>IFERROR(__xludf.DUMMYFUNCTION("""COMPUTED_VALUE"""),"WHEN WE ALL FALL ASLEEP, WHERE DO WE GO?")</f>
        <v>WHEN WE ALL FALL ASLEEP, WHERE DO WE GO?</v>
      </c>
      <c r="G1337">
        <f>IFERROR(__xludf.DUMMYFUNCTION("""COMPUTED_VALUE"""),0.0)</f>
        <v>0</v>
      </c>
      <c r="H1337" s="5">
        <f>IFERROR(__xludf.DUMMYFUNCTION("""COMPUTED_VALUE"""),0.13472222222117125)</f>
        <v>0.1347222222</v>
      </c>
    </row>
    <row r="1338">
      <c r="A1338" t="str">
        <f>IFERROR(__xludf.DUMMYFUNCTION("""COMPUTED_VALUE"""),"Iceland")</f>
        <v>Iceland</v>
      </c>
      <c r="B1338" t="str">
        <f>IFERROR(__xludf.DUMMYFUNCTION("""COMPUTED_VALUE"""),"Europe")</f>
        <v>Europe</v>
      </c>
      <c r="C1338">
        <f>IFERROR(__xludf.DUMMYFUNCTION("""COMPUTED_VALUE"""),37.0)</f>
        <v>37</v>
      </c>
      <c r="D1338" t="str">
        <f>IFERROR(__xludf.DUMMYFUNCTION("""COMPUTED_VALUE"""),"Savage Remix (feat. Beyoncé)")</f>
        <v>Savage Remix (feat. Beyoncé)</v>
      </c>
      <c r="E1338" t="str">
        <f>IFERROR(__xludf.DUMMYFUNCTION("""COMPUTED_VALUE"""),"Megan Thee Stallion, Beyoncé")</f>
        <v>Megan Thee Stallion, Beyoncé</v>
      </c>
      <c r="F1338" t="str">
        <f>IFERROR(__xludf.DUMMYFUNCTION("""COMPUTED_VALUE"""),"Savage Remix (feat. Beyoncé)")</f>
        <v>Savage Remix (feat. Beyoncé)</v>
      </c>
      <c r="G1338">
        <f>IFERROR(__xludf.DUMMYFUNCTION("""COMPUTED_VALUE"""),1.0)</f>
        <v>1</v>
      </c>
      <c r="H1338" s="5">
        <f>IFERROR(__xludf.DUMMYFUNCTION("""COMPUTED_VALUE"""),0.16805555555401952)</f>
        <v>0.1680555556</v>
      </c>
    </row>
    <row r="1339">
      <c r="A1339" t="str">
        <f>IFERROR(__xludf.DUMMYFUNCTION("""COMPUTED_VALUE"""),"Iceland")</f>
        <v>Iceland</v>
      </c>
      <c r="B1339" t="str">
        <f>IFERROR(__xludf.DUMMYFUNCTION("""COMPUTED_VALUE"""),"Europe")</f>
        <v>Europe</v>
      </c>
      <c r="C1339">
        <f>IFERROR(__xludf.DUMMYFUNCTION("""COMPUTED_VALUE"""),38.0)</f>
        <v>38</v>
      </c>
      <c r="D1339" t="str">
        <f>IFERROR(__xludf.DUMMYFUNCTION("""COMPUTED_VALUE"""),"Life Is Good (feat. Drake)")</f>
        <v>Life Is Good (feat. Drake)</v>
      </c>
      <c r="E1339" t="str">
        <f>IFERROR(__xludf.DUMMYFUNCTION("""COMPUTED_VALUE"""),"Future, Drake")</f>
        <v>Future, Drake</v>
      </c>
      <c r="F1339" t="str">
        <f>IFERROR(__xludf.DUMMYFUNCTION("""COMPUTED_VALUE"""),"High Off Life")</f>
        <v>High Off Life</v>
      </c>
      <c r="G1339">
        <f>IFERROR(__xludf.DUMMYFUNCTION("""COMPUTED_VALUE"""),1.0)</f>
        <v>1</v>
      </c>
      <c r="H1339" s="5">
        <f>IFERROR(__xludf.DUMMYFUNCTION("""COMPUTED_VALUE"""),0.16458333333503106)</f>
        <v>0.1645833333</v>
      </c>
    </row>
    <row r="1340">
      <c r="A1340" t="str">
        <f>IFERROR(__xludf.DUMMYFUNCTION("""COMPUTED_VALUE"""),"Iceland")</f>
        <v>Iceland</v>
      </c>
      <c r="B1340" t="str">
        <f>IFERROR(__xludf.DUMMYFUNCTION("""COMPUTED_VALUE"""),"Europe")</f>
        <v>Europe</v>
      </c>
      <c r="C1340">
        <f>IFERROR(__xludf.DUMMYFUNCTION("""COMPUTED_VALUE"""),39.0)</f>
        <v>39</v>
      </c>
      <c r="D1340" t="str">
        <f>IFERROR(__xludf.DUMMYFUNCTION("""COMPUTED_VALUE"""),"WHATS POPPIN")</f>
        <v>WHATS POPPIN</v>
      </c>
      <c r="E1340" t="str">
        <f>IFERROR(__xludf.DUMMYFUNCTION("""COMPUTED_VALUE"""),"Jack Harlow")</f>
        <v>Jack Harlow</v>
      </c>
      <c r="F1340" t="str">
        <f>IFERROR(__xludf.DUMMYFUNCTION("""COMPUTED_VALUE"""),"Sweet Action")</f>
        <v>Sweet Action</v>
      </c>
      <c r="G1340">
        <f>IFERROR(__xludf.DUMMYFUNCTION("""COMPUTED_VALUE"""),1.0)</f>
        <v>1</v>
      </c>
      <c r="H1340" s="5">
        <f>IFERROR(__xludf.DUMMYFUNCTION("""COMPUTED_VALUE"""),0.09652777777955635)</f>
        <v>0.09652777778</v>
      </c>
    </row>
    <row r="1341">
      <c r="A1341" t="str">
        <f>IFERROR(__xludf.DUMMYFUNCTION("""COMPUTED_VALUE"""),"Iceland")</f>
        <v>Iceland</v>
      </c>
      <c r="B1341" t="str">
        <f>IFERROR(__xludf.DUMMYFUNCTION("""COMPUTED_VALUE"""),"Europe")</f>
        <v>Europe</v>
      </c>
      <c r="C1341">
        <f>IFERROR(__xludf.DUMMYFUNCTION("""COMPUTED_VALUE"""),40.0)</f>
        <v>40</v>
      </c>
      <c r="D1341" t="str">
        <f>IFERROR(__xludf.DUMMYFUNCTION("""COMPUTED_VALUE"""),"death bed (coffee for your head) (feat. beabadoobee)")</f>
        <v>death bed (coffee for your head) (feat. beabadoobee)</v>
      </c>
      <c r="E1341" t="str">
        <f>IFERROR(__xludf.DUMMYFUNCTION("""COMPUTED_VALUE"""),"Powfu, beabadoobee")</f>
        <v>Powfu, beabadoobee</v>
      </c>
      <c r="F1341" t="str">
        <f>IFERROR(__xludf.DUMMYFUNCTION("""COMPUTED_VALUE"""),"death bed (coffee for your head) (feat. beabadoobee)")</f>
        <v>death bed (coffee for your head) (feat. beabadoobee)</v>
      </c>
      <c r="G1341">
        <f>IFERROR(__xludf.DUMMYFUNCTION("""COMPUTED_VALUE"""),0.0)</f>
        <v>0</v>
      </c>
      <c r="H1341" s="5">
        <f>IFERROR(__xludf.DUMMYFUNCTION("""COMPUTED_VALUE"""),0.12013888888759539)</f>
        <v>0.1201388889</v>
      </c>
    </row>
    <row r="1342">
      <c r="A1342" t="str">
        <f>IFERROR(__xludf.DUMMYFUNCTION("""COMPUTED_VALUE"""),"Iceland")</f>
        <v>Iceland</v>
      </c>
      <c r="B1342" t="str">
        <f>IFERROR(__xludf.DUMMYFUNCTION("""COMPUTED_VALUE"""),"Europe")</f>
        <v>Europe</v>
      </c>
      <c r="C1342">
        <f>IFERROR(__xludf.DUMMYFUNCTION("""COMPUTED_VALUE"""),41.0)</f>
        <v>41</v>
      </c>
      <c r="D1342" t="str">
        <f>IFERROR(__xludf.DUMMYFUNCTION("""COMPUTED_VALUE"""),"goosebumps")</f>
        <v>goosebumps</v>
      </c>
      <c r="E1342" t="str">
        <f>IFERROR(__xludf.DUMMYFUNCTION("""COMPUTED_VALUE"""),"Travis Scott")</f>
        <v>Travis Scott</v>
      </c>
      <c r="F1342" t="str">
        <f>IFERROR(__xludf.DUMMYFUNCTION("""COMPUTED_VALUE"""),"Birds In The Trap Sing McKnight")</f>
        <v>Birds In The Trap Sing McKnight</v>
      </c>
      <c r="G1342">
        <f>IFERROR(__xludf.DUMMYFUNCTION("""COMPUTED_VALUE"""),1.0)</f>
        <v>1</v>
      </c>
      <c r="H1342" s="5">
        <f>IFERROR(__xludf.DUMMYFUNCTION("""COMPUTED_VALUE"""),0.1687500000007276)</f>
        <v>0.16875</v>
      </c>
    </row>
    <row r="1343">
      <c r="A1343" t="str">
        <f>IFERROR(__xludf.DUMMYFUNCTION("""COMPUTED_VALUE"""),"Iceland")</f>
        <v>Iceland</v>
      </c>
      <c r="B1343" t="str">
        <f>IFERROR(__xludf.DUMMYFUNCTION("""COMPUTED_VALUE"""),"Europe")</f>
        <v>Europe</v>
      </c>
      <c r="C1343">
        <f>IFERROR(__xludf.DUMMYFUNCTION("""COMPUTED_VALUE"""),42.0)</f>
        <v>42</v>
      </c>
      <c r="D1343" t="str">
        <f>IFERROR(__xludf.DUMMYFUNCTION("""COMPUTED_VALUE"""),"Watermelon Sugar")</f>
        <v>Watermelon Sugar</v>
      </c>
      <c r="E1343" t="str">
        <f>IFERROR(__xludf.DUMMYFUNCTION("""COMPUTED_VALUE"""),"Harry Styles")</f>
        <v>Harry Styles</v>
      </c>
      <c r="F1343" t="str">
        <f>IFERROR(__xludf.DUMMYFUNCTION("""COMPUTED_VALUE"""),"Fine Line")</f>
        <v>Fine Line</v>
      </c>
      <c r="G1343">
        <f>IFERROR(__xludf.DUMMYFUNCTION("""COMPUTED_VALUE"""),0.0)</f>
        <v>0</v>
      </c>
      <c r="H1343" s="5">
        <f>IFERROR(__xludf.DUMMYFUNCTION("""COMPUTED_VALUE"""),0.12083333333430346)</f>
        <v>0.1208333333</v>
      </c>
    </row>
    <row r="1344">
      <c r="A1344" t="str">
        <f>IFERROR(__xludf.DUMMYFUNCTION("""COMPUTED_VALUE"""),"Iceland")</f>
        <v>Iceland</v>
      </c>
      <c r="B1344" t="str">
        <f>IFERROR(__xludf.DUMMYFUNCTION("""COMPUTED_VALUE"""),"Europe")</f>
        <v>Europe</v>
      </c>
      <c r="C1344">
        <f>IFERROR(__xludf.DUMMYFUNCTION("""COMPUTED_VALUE"""),43.0)</f>
        <v>43</v>
      </c>
      <c r="D1344" t="str">
        <f>IFERROR(__xludf.DUMMYFUNCTION("""COMPUTED_VALUE"""),"Síðan hittumst við aftur")</f>
        <v>Síðan hittumst við aftur</v>
      </c>
      <c r="E1344" t="str">
        <f>IFERROR(__xludf.DUMMYFUNCTION("""COMPUTED_VALUE"""),"Helgi Björnsson")</f>
        <v>Helgi Björnsson</v>
      </c>
      <c r="F1344" t="str">
        <f>IFERROR(__xludf.DUMMYFUNCTION("""COMPUTED_VALUE"""),"...syngur íslenskar dægurperlur ásamt gestum")</f>
        <v>...syngur íslenskar dægurperlur ásamt gestum</v>
      </c>
      <c r="G1344">
        <f>IFERROR(__xludf.DUMMYFUNCTION("""COMPUTED_VALUE"""),0.0)</f>
        <v>0</v>
      </c>
      <c r="H1344" s="5">
        <f>IFERROR(__xludf.DUMMYFUNCTION("""COMPUTED_VALUE"""),0.16319444444525288)</f>
        <v>0.1631944444</v>
      </c>
    </row>
    <row r="1345">
      <c r="A1345" t="str">
        <f>IFERROR(__xludf.DUMMYFUNCTION("""COMPUTED_VALUE"""),"Iceland")</f>
        <v>Iceland</v>
      </c>
      <c r="B1345" t="str">
        <f>IFERROR(__xludf.DUMMYFUNCTION("""COMPUTED_VALUE"""),"Europe")</f>
        <v>Europe</v>
      </c>
      <c r="C1345">
        <f>IFERROR(__xludf.DUMMYFUNCTION("""COMPUTED_VALUE"""),44.0)</f>
        <v>44</v>
      </c>
      <c r="D1345" t="str">
        <f>IFERROR(__xludf.DUMMYFUNCTION("""COMPUTED_VALUE"""),"HIGHEST IN THE ROOM")</f>
        <v>HIGHEST IN THE ROOM</v>
      </c>
      <c r="E1345" t="str">
        <f>IFERROR(__xludf.DUMMYFUNCTION("""COMPUTED_VALUE"""),"Travis Scott")</f>
        <v>Travis Scott</v>
      </c>
      <c r="F1345" t="str">
        <f>IFERROR(__xludf.DUMMYFUNCTION("""COMPUTED_VALUE"""),"HIGHEST IN THE ROOM")</f>
        <v>HIGHEST IN THE ROOM</v>
      </c>
      <c r="G1345">
        <f>IFERROR(__xludf.DUMMYFUNCTION("""COMPUTED_VALUE"""),1.0)</f>
        <v>1</v>
      </c>
      <c r="H1345" s="5">
        <f>IFERROR(__xludf.DUMMYFUNCTION("""COMPUTED_VALUE"""),0.12152777777737356)</f>
        <v>0.1215277778</v>
      </c>
    </row>
    <row r="1346">
      <c r="A1346" t="str">
        <f>IFERROR(__xludf.DUMMYFUNCTION("""COMPUTED_VALUE"""),"Iceland")</f>
        <v>Iceland</v>
      </c>
      <c r="B1346" t="str">
        <f>IFERROR(__xludf.DUMMYFUNCTION("""COMPUTED_VALUE"""),"Europe")</f>
        <v>Europe</v>
      </c>
      <c r="C1346">
        <f>IFERROR(__xludf.DUMMYFUNCTION("""COMPUTED_VALUE"""),45.0)</f>
        <v>45</v>
      </c>
      <c r="D1346" t="str">
        <f>IFERROR(__xludf.DUMMYFUNCTION("""COMPUTED_VALUE"""),"Shallow")</f>
        <v>Shallow</v>
      </c>
      <c r="E1346" t="str">
        <f>IFERROR(__xludf.DUMMYFUNCTION("""COMPUTED_VALUE"""),"Lady Gaga, Bradley Cooper")</f>
        <v>Lady Gaga, Bradley Cooper</v>
      </c>
      <c r="F1346" t="str">
        <f>IFERROR(__xludf.DUMMYFUNCTION("""COMPUTED_VALUE"""),"A Star Is Born Soundtrack")</f>
        <v>A Star Is Born Soundtrack</v>
      </c>
      <c r="G1346">
        <f>IFERROR(__xludf.DUMMYFUNCTION("""COMPUTED_VALUE"""),0.0)</f>
        <v>0</v>
      </c>
      <c r="H1346" s="5">
        <f>IFERROR(__xludf.DUMMYFUNCTION("""COMPUTED_VALUE"""),0.14930555555474712)</f>
        <v>0.1493055556</v>
      </c>
    </row>
    <row r="1347">
      <c r="A1347" t="str">
        <f>IFERROR(__xludf.DUMMYFUNCTION("""COMPUTED_VALUE"""),"Iceland")</f>
        <v>Iceland</v>
      </c>
      <c r="B1347" t="str">
        <f>IFERROR(__xludf.DUMMYFUNCTION("""COMPUTED_VALUE"""),"Europe")</f>
        <v>Europe</v>
      </c>
      <c r="C1347">
        <f>IFERROR(__xludf.DUMMYFUNCTION("""COMPUTED_VALUE"""),46.0)</f>
        <v>46</v>
      </c>
      <c r="D1347" t="str">
        <f>IFERROR(__xludf.DUMMYFUNCTION("""COMPUTED_VALUE"""),"Someone You Loved")</f>
        <v>Someone You Loved</v>
      </c>
      <c r="E1347" t="str">
        <f>IFERROR(__xludf.DUMMYFUNCTION("""COMPUTED_VALUE"""),"Lewis Capaldi")</f>
        <v>Lewis Capaldi</v>
      </c>
      <c r="F1347" t="str">
        <f>IFERROR(__xludf.DUMMYFUNCTION("""COMPUTED_VALUE"""),"Divinely Uninspired To A Hellish Extent")</f>
        <v>Divinely Uninspired To A Hellish Extent</v>
      </c>
      <c r="G1347">
        <f>IFERROR(__xludf.DUMMYFUNCTION("""COMPUTED_VALUE"""),0.0)</f>
        <v>0</v>
      </c>
      <c r="H1347" s="5">
        <f>IFERROR(__xludf.DUMMYFUNCTION("""COMPUTED_VALUE"""),0.12638888888977817)</f>
        <v>0.1263888889</v>
      </c>
    </row>
    <row r="1348">
      <c r="A1348" t="str">
        <f>IFERROR(__xludf.DUMMYFUNCTION("""COMPUTED_VALUE"""),"Iceland")</f>
        <v>Iceland</v>
      </c>
      <c r="B1348" t="str">
        <f>IFERROR(__xludf.DUMMYFUNCTION("""COMPUTED_VALUE"""),"Europe")</f>
        <v>Europe</v>
      </c>
      <c r="C1348">
        <f>IFERROR(__xludf.DUMMYFUNCTION("""COMPUTED_VALUE"""),47.0)</f>
        <v>47</v>
      </c>
      <c r="D1348" t="str">
        <f>IFERROR(__xludf.DUMMYFUNCTION("""COMPUTED_VALUE"""),"Rómeó og Júlía")</f>
        <v>Rómeó og Júlía</v>
      </c>
      <c r="E1348" t="str">
        <f>IFERROR(__xludf.DUMMYFUNCTION("""COMPUTED_VALUE"""),"Bubbi Morthens")</f>
        <v>Bubbi Morthens</v>
      </c>
      <c r="F1348" t="str">
        <f>IFERROR(__xludf.DUMMYFUNCTION("""COMPUTED_VALUE"""),"Kona")</f>
        <v>Kona</v>
      </c>
      <c r="G1348">
        <f>IFERROR(__xludf.DUMMYFUNCTION("""COMPUTED_VALUE"""),0.0)</f>
        <v>0</v>
      </c>
      <c r="H1348" s="5">
        <f>IFERROR(__xludf.DUMMYFUNCTION("""COMPUTED_VALUE"""),0.2062499999992724)</f>
        <v>0.20625</v>
      </c>
    </row>
    <row r="1349">
      <c r="A1349" t="str">
        <f>IFERROR(__xludf.DUMMYFUNCTION("""COMPUTED_VALUE"""),"Iceland")</f>
        <v>Iceland</v>
      </c>
      <c r="B1349" t="str">
        <f>IFERROR(__xludf.DUMMYFUNCTION("""COMPUTED_VALUE"""),"Europe")</f>
        <v>Europe</v>
      </c>
      <c r="C1349">
        <f>IFERROR(__xludf.DUMMYFUNCTION("""COMPUTED_VALUE"""),48.0)</f>
        <v>48</v>
      </c>
      <c r="D1349" t="str">
        <f>IFERROR(__xludf.DUMMYFUNCTION("""COMPUTED_VALUE"""),"Sunday Best")</f>
        <v>Sunday Best</v>
      </c>
      <c r="E1349" t="str">
        <f>IFERROR(__xludf.DUMMYFUNCTION("""COMPUTED_VALUE"""),"Surfaces")</f>
        <v>Surfaces</v>
      </c>
      <c r="F1349" t="str">
        <f>IFERROR(__xludf.DUMMYFUNCTION("""COMPUTED_VALUE"""),"Where the Light Is")</f>
        <v>Where the Light Is</v>
      </c>
      <c r="G1349">
        <f>IFERROR(__xludf.DUMMYFUNCTION("""COMPUTED_VALUE"""),0.0)</f>
        <v>0</v>
      </c>
      <c r="H1349" s="5">
        <f>IFERROR(__xludf.DUMMYFUNCTION("""COMPUTED_VALUE"""),0.10972222222335404)</f>
        <v>0.1097222222</v>
      </c>
    </row>
    <row r="1350">
      <c r="A1350" t="str">
        <f>IFERROR(__xludf.DUMMYFUNCTION("""COMPUTED_VALUE"""),"Iceland")</f>
        <v>Iceland</v>
      </c>
      <c r="B1350" t="str">
        <f>IFERROR(__xludf.DUMMYFUNCTION("""COMPUTED_VALUE"""),"Europe")</f>
        <v>Europe</v>
      </c>
      <c r="C1350">
        <f>IFERROR(__xludf.DUMMYFUNCTION("""COMPUTED_VALUE"""),49.0)</f>
        <v>49</v>
      </c>
      <c r="D1350" t="str">
        <f>IFERROR(__xludf.DUMMYFUNCTION("""COMPUTED_VALUE"""),"Ofboðslega frægur")</f>
        <v>Ofboðslega frægur</v>
      </c>
      <c r="E1350" t="str">
        <f>IFERROR(__xludf.DUMMYFUNCTION("""COMPUTED_VALUE"""),"Stuðmenn")</f>
        <v>Stuðmenn</v>
      </c>
      <c r="F1350" t="str">
        <f>IFERROR(__xludf.DUMMYFUNCTION("""COMPUTED_VALUE"""),"Hve glöð er vor æska")</f>
        <v>Hve glöð er vor æska</v>
      </c>
      <c r="G1350">
        <f>IFERROR(__xludf.DUMMYFUNCTION("""COMPUTED_VALUE"""),0.0)</f>
        <v>0</v>
      </c>
      <c r="H1350" s="5">
        <f>IFERROR(__xludf.DUMMYFUNCTION("""COMPUTED_VALUE"""),0.1743055555562023)</f>
        <v>0.1743055556</v>
      </c>
    </row>
    <row r="1351">
      <c r="A1351" t="str">
        <f>IFERROR(__xludf.DUMMYFUNCTION("""COMPUTED_VALUE"""),"Iceland")</f>
        <v>Iceland</v>
      </c>
      <c r="B1351" t="str">
        <f>IFERROR(__xludf.DUMMYFUNCTION("""COMPUTED_VALUE"""),"Europe")</f>
        <v>Europe</v>
      </c>
      <c r="C1351">
        <f>IFERROR(__xludf.DUMMYFUNCTION("""COMPUTED_VALUE"""),50.0)</f>
        <v>50</v>
      </c>
      <c r="D1351" t="str">
        <f>IFERROR(__xludf.DUMMYFUNCTION("""COMPUTED_VALUE"""),"Afgan")</f>
        <v>Afgan</v>
      </c>
      <c r="E1351" t="str">
        <f>IFERROR(__xludf.DUMMYFUNCTION("""COMPUTED_VALUE"""),"Bubbi Morthens")</f>
        <v>Bubbi Morthens</v>
      </c>
      <c r="F1351" t="str">
        <f>IFERROR(__xludf.DUMMYFUNCTION("""COMPUTED_VALUE"""),"Fingraför")</f>
        <v>Fingraför</v>
      </c>
      <c r="G1351">
        <f>IFERROR(__xludf.DUMMYFUNCTION("""COMPUTED_VALUE"""),0.0)</f>
        <v>0</v>
      </c>
      <c r="H1351" s="5">
        <f>IFERROR(__xludf.DUMMYFUNCTION("""COMPUTED_VALUE"""),0.2249999999985448)</f>
        <v>0.225</v>
      </c>
    </row>
    <row r="1352">
      <c r="A1352" t="str">
        <f>IFERROR(__xludf.DUMMYFUNCTION("""COMPUTED_VALUE"""),"India")</f>
        <v>India</v>
      </c>
      <c r="B1352" t="str">
        <f>IFERROR(__xludf.DUMMYFUNCTION("""COMPUTED_VALUE"""),"Asia")</f>
        <v>Asia</v>
      </c>
      <c r="C1352">
        <f>IFERROR(__xludf.DUMMYFUNCTION("""COMPUTED_VALUE"""),1.0)</f>
        <v>1</v>
      </c>
      <c r="D1352" t="str">
        <f>IFERROR(__xludf.DUMMYFUNCTION("""COMPUTED_VALUE"""),"Shayad")</f>
        <v>Shayad</v>
      </c>
      <c r="E1352" t="str">
        <f>IFERROR(__xludf.DUMMYFUNCTION("""COMPUTED_VALUE"""),"Pritam, Arijit Singh")</f>
        <v>Pritam, Arijit Singh</v>
      </c>
      <c r="F1352" t="str">
        <f>IFERROR(__xludf.DUMMYFUNCTION("""COMPUTED_VALUE"""),"Love Aaj Kal (Original Motion Picture Soundtrack)")</f>
        <v>Love Aaj Kal (Original Motion Picture Soundtrack)</v>
      </c>
      <c r="G1352">
        <f>IFERROR(__xludf.DUMMYFUNCTION("""COMPUTED_VALUE"""),0.0)</f>
        <v>0</v>
      </c>
      <c r="H1352" s="5">
        <f>IFERROR(__xludf.DUMMYFUNCTION("""COMPUTED_VALUE"""),0.17152777777664596)</f>
        <v>0.1715277778</v>
      </c>
    </row>
    <row r="1353">
      <c r="A1353" t="str">
        <f>IFERROR(__xludf.DUMMYFUNCTION("""COMPUTED_VALUE"""),"India")</f>
        <v>India</v>
      </c>
      <c r="B1353" t="str">
        <f>IFERROR(__xludf.DUMMYFUNCTION("""COMPUTED_VALUE"""),"Asia")</f>
        <v>Asia</v>
      </c>
      <c r="C1353">
        <f>IFERROR(__xludf.DUMMYFUNCTION("""COMPUTED_VALUE"""),2.0)</f>
        <v>2</v>
      </c>
      <c r="D1353" t="str">
        <f>IFERROR(__xludf.DUMMYFUNCTION("""COMPUTED_VALUE"""),"Play Date")</f>
        <v>Play Date</v>
      </c>
      <c r="E1353" t="str">
        <f>IFERROR(__xludf.DUMMYFUNCTION("""COMPUTED_VALUE"""),"Melanie Martinez")</f>
        <v>Melanie Martinez</v>
      </c>
      <c r="F1353" t="str">
        <f>IFERROR(__xludf.DUMMYFUNCTION("""COMPUTED_VALUE"""),"Cry Baby (Deluxe Edition)")</f>
        <v>Cry Baby (Deluxe Edition)</v>
      </c>
      <c r="G1353">
        <f>IFERROR(__xludf.DUMMYFUNCTION("""COMPUTED_VALUE"""),1.0)</f>
        <v>1</v>
      </c>
      <c r="H1353" s="5">
        <f>IFERROR(__xludf.DUMMYFUNCTION("""COMPUTED_VALUE"""),0.1243055555569299)</f>
        <v>0.1243055556</v>
      </c>
    </row>
    <row r="1354">
      <c r="A1354" t="str">
        <f>IFERROR(__xludf.DUMMYFUNCTION("""COMPUTED_VALUE"""),"India")</f>
        <v>India</v>
      </c>
      <c r="B1354" t="str">
        <f>IFERROR(__xludf.DUMMYFUNCTION("""COMPUTED_VALUE"""),"Asia")</f>
        <v>Asia</v>
      </c>
      <c r="C1354">
        <f>IFERROR(__xludf.DUMMYFUNCTION("""COMPUTED_VALUE"""),3.0)</f>
        <v>3</v>
      </c>
      <c r="D1354" t="str">
        <f>IFERROR(__xludf.DUMMYFUNCTION("""COMPUTED_VALUE"""),"Genda Phool (feat. Payal Dev)")</f>
        <v>Genda Phool (feat. Payal Dev)</v>
      </c>
      <c r="E1354" t="str">
        <f>IFERROR(__xludf.DUMMYFUNCTION("""COMPUTED_VALUE"""),"Badshah, Payal Dev")</f>
        <v>Badshah, Payal Dev</v>
      </c>
      <c r="F1354" t="str">
        <f>IFERROR(__xludf.DUMMYFUNCTION("""COMPUTED_VALUE"""),"Genda Phool (feat. Payal Dev)")</f>
        <v>Genda Phool (feat. Payal Dev)</v>
      </c>
      <c r="G1354">
        <f>IFERROR(__xludf.DUMMYFUNCTION("""COMPUTED_VALUE"""),0.0)</f>
        <v>0</v>
      </c>
      <c r="H1354" s="5">
        <f>IFERROR(__xludf.DUMMYFUNCTION("""COMPUTED_VALUE"""),0.11805555555474712)</f>
        <v>0.1180555556</v>
      </c>
    </row>
    <row r="1355">
      <c r="A1355" t="str">
        <f>IFERROR(__xludf.DUMMYFUNCTION("""COMPUTED_VALUE"""),"India")</f>
        <v>India</v>
      </c>
      <c r="B1355" t="str">
        <f>IFERROR(__xludf.DUMMYFUNCTION("""COMPUTED_VALUE"""),"Asia")</f>
        <v>Asia</v>
      </c>
      <c r="C1355">
        <f>IFERROR(__xludf.DUMMYFUNCTION("""COMPUTED_VALUE"""),4.0)</f>
        <v>4</v>
      </c>
      <c r="D1355" t="str">
        <f>IFERROR(__xludf.DUMMYFUNCTION("""COMPUTED_VALUE"""),"death bed (coffee for your head) (feat. beabadoobee)")</f>
        <v>death bed (coffee for your head) (feat. beabadoobee)</v>
      </c>
      <c r="E1355" t="str">
        <f>IFERROR(__xludf.DUMMYFUNCTION("""COMPUTED_VALUE"""),"Powfu, beabadoobee")</f>
        <v>Powfu, beabadoobee</v>
      </c>
      <c r="F1355" t="str">
        <f>IFERROR(__xludf.DUMMYFUNCTION("""COMPUTED_VALUE"""),"death bed (coffee for your head) (feat. beabadoobee)")</f>
        <v>death bed (coffee for your head) (feat. beabadoobee)</v>
      </c>
      <c r="G1355">
        <f>IFERROR(__xludf.DUMMYFUNCTION("""COMPUTED_VALUE"""),0.0)</f>
        <v>0</v>
      </c>
      <c r="H1355" s="5">
        <f>IFERROR(__xludf.DUMMYFUNCTION("""COMPUTED_VALUE"""),0.12013888888759539)</f>
        <v>0.1201388889</v>
      </c>
    </row>
    <row r="1356">
      <c r="A1356" t="str">
        <f>IFERROR(__xludf.DUMMYFUNCTION("""COMPUTED_VALUE"""),"India")</f>
        <v>India</v>
      </c>
      <c r="B1356" t="str">
        <f>IFERROR(__xludf.DUMMYFUNCTION("""COMPUTED_VALUE"""),"Asia")</f>
        <v>Asia</v>
      </c>
      <c r="C1356">
        <f>IFERROR(__xludf.DUMMYFUNCTION("""COMPUTED_VALUE"""),5.0)</f>
        <v>5</v>
      </c>
      <c r="D1356" t="str">
        <f>IFERROR(__xludf.DUMMYFUNCTION("""COMPUTED_VALUE"""),"Malang (Title Track) [From ""Malang - Unleash The Madness""]")</f>
        <v>Malang (Title Track) [From "Malang - Unleash The Madness"]</v>
      </c>
      <c r="E1356" t="str">
        <f>IFERROR(__xludf.DUMMYFUNCTION("""COMPUTED_VALUE"""),"Ved Sharma")</f>
        <v>Ved Sharma</v>
      </c>
      <c r="F1356" t="str">
        <f>IFERROR(__xludf.DUMMYFUNCTION("""COMPUTED_VALUE"""),"Malang (Title Track) [From ""Malang - Unleash The Madness""]")</f>
        <v>Malang (Title Track) [From "Malang - Unleash The Madness"]</v>
      </c>
      <c r="G1356">
        <f>IFERROR(__xludf.DUMMYFUNCTION("""COMPUTED_VALUE"""),0.0)</f>
        <v>0</v>
      </c>
      <c r="H1356" s="5">
        <f>IFERROR(__xludf.DUMMYFUNCTION("""COMPUTED_VALUE"""),0.19930555555401952)</f>
        <v>0.1993055556</v>
      </c>
    </row>
    <row r="1357">
      <c r="A1357" t="str">
        <f>IFERROR(__xludf.DUMMYFUNCTION("""COMPUTED_VALUE"""),"India")</f>
        <v>India</v>
      </c>
      <c r="B1357" t="str">
        <f>IFERROR(__xludf.DUMMYFUNCTION("""COMPUTED_VALUE"""),"Asia")</f>
        <v>Asia</v>
      </c>
      <c r="C1357">
        <f>IFERROR(__xludf.DUMMYFUNCTION("""COMPUTED_VALUE"""),6.0)</f>
        <v>6</v>
      </c>
      <c r="D1357" t="str">
        <f>IFERROR(__xludf.DUMMYFUNCTION("""COMPUTED_VALUE"""),"Roses - Imanbek Remix")</f>
        <v>Roses - Imanbek Remix</v>
      </c>
      <c r="E1357" t="str">
        <f>IFERROR(__xludf.DUMMYFUNCTION("""COMPUTED_VALUE"""),"SAINt JHN, Imanbek")</f>
        <v>SAINt JHN, Imanbek</v>
      </c>
      <c r="F1357" t="str">
        <f>IFERROR(__xludf.DUMMYFUNCTION("""COMPUTED_VALUE"""),"Roses (Imanbek Remix)")</f>
        <v>Roses (Imanbek Remix)</v>
      </c>
      <c r="G1357">
        <f>IFERROR(__xludf.DUMMYFUNCTION("""COMPUTED_VALUE"""),1.0)</f>
        <v>1</v>
      </c>
      <c r="H1357" s="5">
        <f>IFERROR(__xludf.DUMMYFUNCTION("""COMPUTED_VALUE"""),0.12222222222044365)</f>
        <v>0.1222222222</v>
      </c>
    </row>
    <row r="1358">
      <c r="A1358" t="str">
        <f>IFERROR(__xludf.DUMMYFUNCTION("""COMPUTED_VALUE"""),"India")</f>
        <v>India</v>
      </c>
      <c r="B1358" t="str">
        <f>IFERROR(__xludf.DUMMYFUNCTION("""COMPUTED_VALUE"""),"Asia")</f>
        <v>Asia</v>
      </c>
      <c r="C1358">
        <f>IFERROR(__xludf.DUMMYFUNCTION("""COMPUTED_VALUE"""),7.0)</f>
        <v>7</v>
      </c>
      <c r="D1358" t="str">
        <f>IFERROR(__xludf.DUMMYFUNCTION("""COMPUTED_VALUE"""),"Ghungroo (From ""War"")")</f>
        <v>Ghungroo (From "War")</v>
      </c>
      <c r="E1358" t="str">
        <f>IFERROR(__xludf.DUMMYFUNCTION("""COMPUTED_VALUE"""),"Arijit Singh, Shilpa Rao")</f>
        <v>Arijit Singh, Shilpa Rao</v>
      </c>
      <c r="F1358" t="str">
        <f>IFERROR(__xludf.DUMMYFUNCTION("""COMPUTED_VALUE"""),"Ghungroo (From ""War"")")</f>
        <v>Ghungroo (From "War")</v>
      </c>
      <c r="G1358">
        <f>IFERROR(__xludf.DUMMYFUNCTION("""COMPUTED_VALUE"""),0.0)</f>
        <v>0</v>
      </c>
      <c r="H1358" s="5">
        <f>IFERROR(__xludf.DUMMYFUNCTION("""COMPUTED_VALUE"""),0.20972222222189885)</f>
        <v>0.2097222222</v>
      </c>
    </row>
    <row r="1359">
      <c r="A1359" t="str">
        <f>IFERROR(__xludf.DUMMYFUNCTION("""COMPUTED_VALUE"""),"India")</f>
        <v>India</v>
      </c>
      <c r="B1359" t="str">
        <f>IFERROR(__xludf.DUMMYFUNCTION("""COMPUTED_VALUE"""),"Asia")</f>
        <v>Asia</v>
      </c>
      <c r="C1359">
        <f>IFERROR(__xludf.DUMMYFUNCTION("""COMPUTED_VALUE"""),8.0)</f>
        <v>8</v>
      </c>
      <c r="D1359" t="str">
        <f>IFERROR(__xludf.DUMMYFUNCTION("""COMPUTED_VALUE"""),"Blinding Lights")</f>
        <v>Blinding Lights</v>
      </c>
      <c r="E1359" t="str">
        <f>IFERROR(__xludf.DUMMYFUNCTION("""COMPUTED_VALUE"""),"The Weeknd")</f>
        <v>The Weeknd</v>
      </c>
      <c r="F1359" t="str">
        <f>IFERROR(__xludf.DUMMYFUNCTION("""COMPUTED_VALUE"""),"After Hours")</f>
        <v>After Hours</v>
      </c>
      <c r="G1359">
        <f>IFERROR(__xludf.DUMMYFUNCTION("""COMPUTED_VALUE"""),0.0)</f>
        <v>0</v>
      </c>
      <c r="H1359" s="5">
        <f>IFERROR(__xludf.DUMMYFUNCTION("""COMPUTED_VALUE"""),0.13888888889050577)</f>
        <v>0.1388888889</v>
      </c>
    </row>
    <row r="1360">
      <c r="A1360" t="str">
        <f>IFERROR(__xludf.DUMMYFUNCTION("""COMPUTED_VALUE"""),"India")</f>
        <v>India</v>
      </c>
      <c r="B1360" t="str">
        <f>IFERROR(__xludf.DUMMYFUNCTION("""COMPUTED_VALUE"""),"Asia")</f>
        <v>Asia</v>
      </c>
      <c r="C1360">
        <f>IFERROR(__xludf.DUMMYFUNCTION("""COMPUTED_VALUE"""),9.0)</f>
        <v>9</v>
      </c>
      <c r="D1360" t="str">
        <f>IFERROR(__xludf.DUMMYFUNCTION("""COMPUTED_VALUE"""),"Tujhe Kitna Chahne Lage (From ""Kabir Singh"")")</f>
        <v>Tujhe Kitna Chahne Lage (From "Kabir Singh")</v>
      </c>
      <c r="E1360" t="str">
        <f>IFERROR(__xludf.DUMMYFUNCTION("""COMPUTED_VALUE"""),"Arijit Singh, Mithoon")</f>
        <v>Arijit Singh, Mithoon</v>
      </c>
      <c r="F1360" t="str">
        <f>IFERROR(__xludf.DUMMYFUNCTION("""COMPUTED_VALUE"""),"Tujhe Kitna Chahne Lage (From ""Kabir Singh"")")</f>
        <v>Tujhe Kitna Chahne Lage (From "Kabir Singh")</v>
      </c>
      <c r="G1360">
        <f>IFERROR(__xludf.DUMMYFUNCTION("""COMPUTED_VALUE"""),0.0)</f>
        <v>0</v>
      </c>
      <c r="H1360" s="5">
        <f>IFERROR(__xludf.DUMMYFUNCTION("""COMPUTED_VALUE"""),0.19722222222117125)</f>
        <v>0.1972222222</v>
      </c>
    </row>
    <row r="1361">
      <c r="A1361" t="str">
        <f>IFERROR(__xludf.DUMMYFUNCTION("""COMPUTED_VALUE"""),"India")</f>
        <v>India</v>
      </c>
      <c r="B1361" t="str">
        <f>IFERROR(__xludf.DUMMYFUNCTION("""COMPUTED_VALUE"""),"Asia")</f>
        <v>Asia</v>
      </c>
      <c r="C1361">
        <f>IFERROR(__xludf.DUMMYFUNCTION("""COMPUTED_VALUE"""),10.0)</f>
        <v>10</v>
      </c>
      <c r="D1361" t="str">
        <f>IFERROR(__xludf.DUMMYFUNCTION("""COMPUTED_VALUE"""),"Falling")</f>
        <v>Falling</v>
      </c>
      <c r="E1361" t="str">
        <f>IFERROR(__xludf.DUMMYFUNCTION("""COMPUTED_VALUE"""),"Trevor Daniel")</f>
        <v>Trevor Daniel</v>
      </c>
      <c r="F1361" t="str">
        <f>IFERROR(__xludf.DUMMYFUNCTION("""COMPUTED_VALUE"""),"Nicotine")</f>
        <v>Nicotine</v>
      </c>
      <c r="G1361">
        <f>IFERROR(__xludf.DUMMYFUNCTION("""COMPUTED_VALUE"""),0.0)</f>
        <v>0</v>
      </c>
      <c r="H1361" s="5">
        <f>IFERROR(__xludf.DUMMYFUNCTION("""COMPUTED_VALUE"""),0.11041666666642413)</f>
        <v>0.1104166667</v>
      </c>
    </row>
    <row r="1362">
      <c r="A1362" t="str">
        <f>IFERROR(__xludf.DUMMYFUNCTION("""COMPUTED_VALUE"""),"India")</f>
        <v>India</v>
      </c>
      <c r="B1362" t="str">
        <f>IFERROR(__xludf.DUMMYFUNCTION("""COMPUTED_VALUE"""),"Asia")</f>
        <v>Asia</v>
      </c>
      <c r="C1362">
        <f>IFERROR(__xludf.DUMMYFUNCTION("""COMPUTED_VALUE"""),11.0)</f>
        <v>11</v>
      </c>
      <c r="D1362" t="str">
        <f>IFERROR(__xludf.DUMMYFUNCTION("""COMPUTED_VALUE"""),"Daechwita")</f>
        <v>Daechwita</v>
      </c>
      <c r="E1362" t="str">
        <f>IFERROR(__xludf.DUMMYFUNCTION("""COMPUTED_VALUE"""),"Agust D")</f>
        <v>Agust D</v>
      </c>
      <c r="F1362" t="str">
        <f>IFERROR(__xludf.DUMMYFUNCTION("""COMPUTED_VALUE"""),"D-2")</f>
        <v>D-2</v>
      </c>
      <c r="G1362">
        <f>IFERROR(__xludf.DUMMYFUNCTION("""COMPUTED_VALUE"""),1.0)</f>
        <v>1</v>
      </c>
      <c r="H1362" s="5">
        <f>IFERROR(__xludf.DUMMYFUNCTION("""COMPUTED_VALUE"""),0.15625)</f>
        <v>0.15625</v>
      </c>
    </row>
    <row r="1363">
      <c r="A1363" t="str">
        <f>IFERROR(__xludf.DUMMYFUNCTION("""COMPUTED_VALUE"""),"India")</f>
        <v>India</v>
      </c>
      <c r="B1363" t="str">
        <f>IFERROR(__xludf.DUMMYFUNCTION("""COMPUTED_VALUE"""),"Asia")</f>
        <v>Asia</v>
      </c>
      <c r="C1363">
        <f>IFERROR(__xludf.DUMMYFUNCTION("""COMPUTED_VALUE"""),12.0)</f>
        <v>12</v>
      </c>
      <c r="D1363" t="str">
        <f>IFERROR(__xludf.DUMMYFUNCTION("""COMPUTED_VALUE"""),"Illegal Weapon 2.0")</f>
        <v>Illegal Weapon 2.0</v>
      </c>
      <c r="E1363" t="str">
        <f>IFERROR(__xludf.DUMMYFUNCTION("""COMPUTED_VALUE"""),"Jasmine Sandlas, Garry Sandhu")</f>
        <v>Jasmine Sandlas, Garry Sandhu</v>
      </c>
      <c r="F1363" t="str">
        <f>IFERROR(__xludf.DUMMYFUNCTION("""COMPUTED_VALUE"""),"Street Dancer 3D")</f>
        <v>Street Dancer 3D</v>
      </c>
      <c r="G1363">
        <f>IFERROR(__xludf.DUMMYFUNCTION("""COMPUTED_VALUE"""),0.0)</f>
        <v>0</v>
      </c>
      <c r="H1363" s="5">
        <f>IFERROR(__xludf.DUMMYFUNCTION("""COMPUTED_VALUE"""),0.1305555555554747)</f>
        <v>0.1305555556</v>
      </c>
    </row>
    <row r="1364">
      <c r="A1364" t="str">
        <f>IFERROR(__xludf.DUMMYFUNCTION("""COMPUTED_VALUE"""),"India")</f>
        <v>India</v>
      </c>
      <c r="B1364" t="str">
        <f>IFERROR(__xludf.DUMMYFUNCTION("""COMPUTED_VALUE"""),"Asia")</f>
        <v>Asia</v>
      </c>
      <c r="C1364">
        <f>IFERROR(__xludf.DUMMYFUNCTION("""COMPUTED_VALUE"""),13.0)</f>
        <v>13</v>
      </c>
      <c r="D1364" t="str">
        <f>IFERROR(__xludf.DUMMYFUNCTION("""COMPUTED_VALUE"""),"Haan Main Galat")</f>
        <v>Haan Main Galat</v>
      </c>
      <c r="E1364" t="str">
        <f>IFERROR(__xludf.DUMMYFUNCTION("""COMPUTED_VALUE"""),"Pritam, Arijit Singh, Shashwat Singh")</f>
        <v>Pritam, Arijit Singh, Shashwat Singh</v>
      </c>
      <c r="F1364" t="str">
        <f>IFERROR(__xludf.DUMMYFUNCTION("""COMPUTED_VALUE"""),"Love Aaj Kal (Original Motion Picture Soundtrack)")</f>
        <v>Love Aaj Kal (Original Motion Picture Soundtrack)</v>
      </c>
      <c r="G1364">
        <f>IFERROR(__xludf.DUMMYFUNCTION("""COMPUTED_VALUE"""),0.0)</f>
        <v>0</v>
      </c>
      <c r="H1364" s="5">
        <f>IFERROR(__xludf.DUMMYFUNCTION("""COMPUTED_VALUE"""),0.15138888888759539)</f>
        <v>0.1513888889</v>
      </c>
    </row>
    <row r="1365">
      <c r="A1365" t="str">
        <f>IFERROR(__xludf.DUMMYFUNCTION("""COMPUTED_VALUE"""),"India")</f>
        <v>India</v>
      </c>
      <c r="B1365" t="str">
        <f>IFERROR(__xludf.DUMMYFUNCTION("""COMPUTED_VALUE"""),"Asia")</f>
        <v>Asia</v>
      </c>
      <c r="C1365">
        <f>IFERROR(__xludf.DUMMYFUNCTION("""COMPUTED_VALUE"""),14.0)</f>
        <v>14</v>
      </c>
      <c r="D1365" t="str">
        <f>IFERROR(__xludf.DUMMYFUNCTION("""COMPUTED_VALUE"""),"Intentions (feat. Quavo)")</f>
        <v>Intentions (feat. Quavo)</v>
      </c>
      <c r="E1365" t="str">
        <f>IFERROR(__xludf.DUMMYFUNCTION("""COMPUTED_VALUE"""),"Justin Bieber, Quavo")</f>
        <v>Justin Bieber, Quavo</v>
      </c>
      <c r="F1365" t="str">
        <f>IFERROR(__xludf.DUMMYFUNCTION("""COMPUTED_VALUE"""),"Changes")</f>
        <v>Changes</v>
      </c>
      <c r="G1365">
        <f>IFERROR(__xludf.DUMMYFUNCTION("""COMPUTED_VALUE"""),0.0)</f>
        <v>0</v>
      </c>
      <c r="H1365" s="5">
        <f>IFERROR(__xludf.DUMMYFUNCTION("""COMPUTED_VALUE"""),0.14722222222189885)</f>
        <v>0.1472222222</v>
      </c>
    </row>
    <row r="1366">
      <c r="A1366" t="str">
        <f>IFERROR(__xludf.DUMMYFUNCTION("""COMPUTED_VALUE"""),"India")</f>
        <v>India</v>
      </c>
      <c r="B1366" t="str">
        <f>IFERROR(__xludf.DUMMYFUNCTION("""COMPUTED_VALUE"""),"Asia")</f>
        <v>Asia</v>
      </c>
      <c r="C1366">
        <f>IFERROR(__xludf.DUMMYFUNCTION("""COMPUTED_VALUE"""),15.0)</f>
        <v>15</v>
      </c>
      <c r="D1366" t="str">
        <f>IFERROR(__xludf.DUMMYFUNCTION("""COMPUTED_VALUE"""),"Makhna")</f>
        <v>Makhna</v>
      </c>
      <c r="E1366" t="str">
        <f>IFERROR(__xludf.DUMMYFUNCTION("""COMPUTED_VALUE"""),"Tanishk Bagchi, Yasser Desai, Asees Kaur")</f>
        <v>Tanishk Bagchi, Yasser Desai, Asees Kaur</v>
      </c>
      <c r="F1366" t="str">
        <f>IFERROR(__xludf.DUMMYFUNCTION("""COMPUTED_VALUE"""),"Makhna (From ""Drive"")")</f>
        <v>Makhna (From "Drive")</v>
      </c>
      <c r="G1366">
        <f>IFERROR(__xludf.DUMMYFUNCTION("""COMPUTED_VALUE"""),0.0)</f>
        <v>0</v>
      </c>
      <c r="H1366" s="5">
        <f>IFERROR(__xludf.DUMMYFUNCTION("""COMPUTED_VALUE"""),0.12708333333284827)</f>
        <v>0.1270833333</v>
      </c>
    </row>
    <row r="1367">
      <c r="A1367" t="str">
        <f>IFERROR(__xludf.DUMMYFUNCTION("""COMPUTED_VALUE"""),"India")</f>
        <v>India</v>
      </c>
      <c r="B1367" t="str">
        <f>IFERROR(__xludf.DUMMYFUNCTION("""COMPUTED_VALUE"""),"Asia")</f>
        <v>Asia</v>
      </c>
      <c r="C1367">
        <f>IFERROR(__xludf.DUMMYFUNCTION("""COMPUTED_VALUE"""),16.0)</f>
        <v>16</v>
      </c>
      <c r="D1367" t="str">
        <f>IFERROR(__xludf.DUMMYFUNCTION("""COMPUTED_VALUE"""),"Garmi (From ""Street Dancer 3D"") (feat. Varun Dhawan)")</f>
        <v>Garmi (From "Street Dancer 3D") (feat. Varun Dhawan)</v>
      </c>
      <c r="E1367" t="str">
        <f>IFERROR(__xludf.DUMMYFUNCTION("""COMPUTED_VALUE"""),"Badshah, Neha Kakkar, Varun Dhawan")</f>
        <v>Badshah, Neha Kakkar, Varun Dhawan</v>
      </c>
      <c r="F1367" t="str">
        <f>IFERROR(__xludf.DUMMYFUNCTION("""COMPUTED_VALUE"""),"Garmi (From ""Street Dancer 3D"")")</f>
        <v>Garmi (From "Street Dancer 3D")</v>
      </c>
      <c r="G1367">
        <f>IFERROR(__xludf.DUMMYFUNCTION("""COMPUTED_VALUE"""),0.0)</f>
        <v>0</v>
      </c>
      <c r="H1367" s="5">
        <f>IFERROR(__xludf.DUMMYFUNCTION("""COMPUTED_VALUE"""),0.12638888888977817)</f>
        <v>0.1263888889</v>
      </c>
    </row>
    <row r="1368">
      <c r="A1368" t="str">
        <f>IFERROR(__xludf.DUMMYFUNCTION("""COMPUTED_VALUE"""),"India")</f>
        <v>India</v>
      </c>
      <c r="B1368" t="str">
        <f>IFERROR(__xludf.DUMMYFUNCTION("""COMPUTED_VALUE"""),"Asia")</f>
        <v>Asia</v>
      </c>
      <c r="C1368">
        <f>IFERROR(__xludf.DUMMYFUNCTION("""COMPUTED_VALUE"""),17.0)</f>
        <v>17</v>
      </c>
      <c r="D1368" t="str">
        <f>IFERROR(__xludf.DUMMYFUNCTION("""COMPUTED_VALUE"""),"Stuck with U (with Justin Bieber)")</f>
        <v>Stuck with U (with Justin Bieber)</v>
      </c>
      <c r="E1368" t="str">
        <f>IFERROR(__xludf.DUMMYFUNCTION("""COMPUTED_VALUE"""),"Ariana Grande, Justin Bieber")</f>
        <v>Ariana Grande, Justin Bieber</v>
      </c>
      <c r="F1368" t="str">
        <f>IFERROR(__xludf.DUMMYFUNCTION("""COMPUTED_VALUE"""),"Stuck with U")</f>
        <v>Stuck with U</v>
      </c>
      <c r="G1368">
        <f>IFERROR(__xludf.DUMMYFUNCTION("""COMPUTED_VALUE"""),0.0)</f>
        <v>0</v>
      </c>
      <c r="H1368" s="5">
        <f>IFERROR(__xludf.DUMMYFUNCTION("""COMPUTED_VALUE"""),0.15833333333284827)</f>
        <v>0.1583333333</v>
      </c>
    </row>
    <row r="1369">
      <c r="A1369" t="str">
        <f>IFERROR(__xludf.DUMMYFUNCTION("""COMPUTED_VALUE"""),"India")</f>
        <v>India</v>
      </c>
      <c r="B1369" t="str">
        <f>IFERROR(__xludf.DUMMYFUNCTION("""COMPUTED_VALUE"""),"Asia")</f>
        <v>Asia</v>
      </c>
      <c r="C1369">
        <f>IFERROR(__xludf.DUMMYFUNCTION("""COMPUTED_VALUE"""),18.0)</f>
        <v>18</v>
      </c>
      <c r="D1369" t="str">
        <f>IFERROR(__xludf.DUMMYFUNCTION("""COMPUTED_VALUE"""),"Tu Hi Yaar Mera (From ""Pati Patni Aur Woh"")")</f>
        <v>Tu Hi Yaar Mera (From "Pati Patni Aur Woh")</v>
      </c>
      <c r="E1369" t="str">
        <f>IFERROR(__xludf.DUMMYFUNCTION("""COMPUTED_VALUE"""),"Rochak, Arijit Singh, Neha Kakkar, Rochak Kohli")</f>
        <v>Rochak, Arijit Singh, Neha Kakkar, Rochak Kohli</v>
      </c>
      <c r="F1369" t="str">
        <f>IFERROR(__xludf.DUMMYFUNCTION("""COMPUTED_VALUE"""),"Tu Hi Yaar Mera (From ""Pati Patni Aur Woh"")")</f>
        <v>Tu Hi Yaar Mera (From "Pati Patni Aur Woh")</v>
      </c>
      <c r="G1369">
        <f>IFERROR(__xludf.DUMMYFUNCTION("""COMPUTED_VALUE"""),0.0)</f>
        <v>0</v>
      </c>
      <c r="H1369" s="5">
        <f>IFERROR(__xludf.DUMMYFUNCTION("""COMPUTED_VALUE"""),0.13888888889050577)</f>
        <v>0.1388888889</v>
      </c>
    </row>
    <row r="1370">
      <c r="A1370" t="str">
        <f>IFERROR(__xludf.DUMMYFUNCTION("""COMPUTED_VALUE"""),"India")</f>
        <v>India</v>
      </c>
      <c r="B1370" t="str">
        <f>IFERROR(__xludf.DUMMYFUNCTION("""COMPUTED_VALUE"""),"Asia")</f>
        <v>Asia</v>
      </c>
      <c r="C1370">
        <f>IFERROR(__xludf.DUMMYFUNCTION("""COMPUTED_VALUE"""),19.0)</f>
        <v>19</v>
      </c>
      <c r="D1370" t="str">
        <f>IFERROR(__xludf.DUMMYFUNCTION("""COMPUTED_VALUE"""),"Humraah (From ""Malang - Unleash The Madness"")")</f>
        <v>Humraah (From "Malang - Unleash The Madness")</v>
      </c>
      <c r="E1370" t="str">
        <f>IFERROR(__xludf.DUMMYFUNCTION("""COMPUTED_VALUE"""),"Sachet Tandon, The Fusion Project")</f>
        <v>Sachet Tandon, The Fusion Project</v>
      </c>
      <c r="F1370" t="str">
        <f>IFERROR(__xludf.DUMMYFUNCTION("""COMPUTED_VALUE"""),"Humraah (From ""Malang - Unleash The Madness"")")</f>
        <v>Humraah (From "Malang - Unleash The Madness")</v>
      </c>
      <c r="G1370">
        <f>IFERROR(__xludf.DUMMYFUNCTION("""COMPUTED_VALUE"""),0.0)</f>
        <v>0</v>
      </c>
      <c r="H1370" s="5">
        <f>IFERROR(__xludf.DUMMYFUNCTION("""COMPUTED_VALUE"""),0.20763888888905058)</f>
        <v>0.2076388889</v>
      </c>
    </row>
    <row r="1371">
      <c r="A1371" t="str">
        <f>IFERROR(__xludf.DUMMYFUNCTION("""COMPUTED_VALUE"""),"India")</f>
        <v>India</v>
      </c>
      <c r="B1371" t="str">
        <f>IFERROR(__xludf.DUMMYFUNCTION("""COMPUTED_VALUE"""),"Asia")</f>
        <v>Asia</v>
      </c>
      <c r="C1371">
        <f>IFERROR(__xludf.DUMMYFUNCTION("""COMPUTED_VALUE"""),20.0)</f>
        <v>20</v>
      </c>
      <c r="D1371" t="str">
        <f>IFERROR(__xludf.DUMMYFUNCTION("""COMPUTED_VALUE"""),"Toosie Slide")</f>
        <v>Toosie Slide</v>
      </c>
      <c r="E1371" t="str">
        <f>IFERROR(__xludf.DUMMYFUNCTION("""COMPUTED_VALUE"""),"Drake")</f>
        <v>Drake</v>
      </c>
      <c r="F1371" t="str">
        <f>IFERROR(__xludf.DUMMYFUNCTION("""COMPUTED_VALUE"""),"Dark Lane Demo Tapes")</f>
        <v>Dark Lane Demo Tapes</v>
      </c>
      <c r="G1371">
        <f>IFERROR(__xludf.DUMMYFUNCTION("""COMPUTED_VALUE"""),1.0)</f>
        <v>1</v>
      </c>
      <c r="H1371" s="5">
        <f>IFERROR(__xludf.DUMMYFUNCTION("""COMPUTED_VALUE"""),0.17152777777664596)</f>
        <v>0.1715277778</v>
      </c>
    </row>
    <row r="1372">
      <c r="A1372" t="str">
        <f>IFERROR(__xludf.DUMMYFUNCTION("""COMPUTED_VALUE"""),"India")</f>
        <v>India</v>
      </c>
      <c r="B1372" t="str">
        <f>IFERROR(__xludf.DUMMYFUNCTION("""COMPUTED_VALUE"""),"Asia")</f>
        <v>Asia</v>
      </c>
      <c r="C1372">
        <f>IFERROR(__xludf.DUMMYFUNCTION("""COMPUTED_VALUE"""),21.0)</f>
        <v>21</v>
      </c>
      <c r="D1372" t="str">
        <f>IFERROR(__xludf.DUMMYFUNCTION("""COMPUTED_VALUE"""),"Skechers")</f>
        <v>Skechers</v>
      </c>
      <c r="E1372" t="str">
        <f>IFERROR(__xludf.DUMMYFUNCTION("""COMPUTED_VALUE"""),"DripReport")</f>
        <v>DripReport</v>
      </c>
      <c r="F1372" t="str">
        <f>IFERROR(__xludf.DUMMYFUNCTION("""COMPUTED_VALUE"""),"Skechers")</f>
        <v>Skechers</v>
      </c>
      <c r="G1372">
        <f>IFERROR(__xludf.DUMMYFUNCTION("""COMPUTED_VALUE"""),1.0)</f>
        <v>1</v>
      </c>
      <c r="H1372" s="5">
        <f>IFERROR(__xludf.DUMMYFUNCTION("""COMPUTED_VALUE"""),0.07361111111094942)</f>
        <v>0.07361111111</v>
      </c>
    </row>
    <row r="1373">
      <c r="A1373" t="str">
        <f>IFERROR(__xludf.DUMMYFUNCTION("""COMPUTED_VALUE"""),"India")</f>
        <v>India</v>
      </c>
      <c r="B1373" t="str">
        <f>IFERROR(__xludf.DUMMYFUNCTION("""COMPUTED_VALUE"""),"Asia")</f>
        <v>Asia</v>
      </c>
      <c r="C1373">
        <f>IFERROR(__xludf.DUMMYFUNCTION("""COMPUTED_VALUE"""),22.0)</f>
        <v>22</v>
      </c>
      <c r="D1373" t="str">
        <f>IFERROR(__xludf.DUMMYFUNCTION("""COMPUTED_VALUE"""),"Memories")</f>
        <v>Memories</v>
      </c>
      <c r="E1373" t="str">
        <f>IFERROR(__xludf.DUMMYFUNCTION("""COMPUTED_VALUE"""),"Maroon 5")</f>
        <v>Maroon 5</v>
      </c>
      <c r="F1373" t="str">
        <f>IFERROR(__xludf.DUMMYFUNCTION("""COMPUTED_VALUE"""),"Memories")</f>
        <v>Memories</v>
      </c>
      <c r="G1373">
        <f>IFERROR(__xludf.DUMMYFUNCTION("""COMPUTED_VALUE"""),0.0)</f>
        <v>0</v>
      </c>
      <c r="H1373" s="5">
        <f>IFERROR(__xludf.DUMMYFUNCTION("""COMPUTED_VALUE"""),0.1312499999985448)</f>
        <v>0.13125</v>
      </c>
    </row>
    <row r="1374">
      <c r="A1374" t="str">
        <f>IFERROR(__xludf.DUMMYFUNCTION("""COMPUTED_VALUE"""),"India")</f>
        <v>India</v>
      </c>
      <c r="B1374" t="str">
        <f>IFERROR(__xludf.DUMMYFUNCTION("""COMPUTED_VALUE"""),"Asia")</f>
        <v>Asia</v>
      </c>
      <c r="C1374">
        <f>IFERROR(__xludf.DUMMYFUNCTION("""COMPUTED_VALUE"""),23.0)</f>
        <v>23</v>
      </c>
      <c r="D1374" t="str">
        <f>IFERROR(__xludf.DUMMYFUNCTION("""COMPUTED_VALUE"""),"Señorita")</f>
        <v>Señorita</v>
      </c>
      <c r="E1374" t="str">
        <f>IFERROR(__xludf.DUMMYFUNCTION("""COMPUTED_VALUE"""),"Shawn Mendes, Camila Cabello")</f>
        <v>Shawn Mendes, Camila Cabello</v>
      </c>
      <c r="F1374" t="str">
        <f>IFERROR(__xludf.DUMMYFUNCTION("""COMPUTED_VALUE"""),"Shawn Mendes (Deluxe)")</f>
        <v>Shawn Mendes (Deluxe)</v>
      </c>
      <c r="G1374">
        <f>IFERROR(__xludf.DUMMYFUNCTION("""COMPUTED_VALUE"""),0.0)</f>
        <v>0</v>
      </c>
      <c r="H1374" s="5">
        <f>IFERROR(__xludf.DUMMYFUNCTION("""COMPUTED_VALUE"""),0.13194444444525288)</f>
        <v>0.1319444444</v>
      </c>
    </row>
    <row r="1375">
      <c r="A1375" t="str">
        <f>IFERROR(__xludf.DUMMYFUNCTION("""COMPUTED_VALUE"""),"India")</f>
        <v>India</v>
      </c>
      <c r="B1375" t="str">
        <f>IFERROR(__xludf.DUMMYFUNCTION("""COMPUTED_VALUE"""),"Asia")</f>
        <v>Asia</v>
      </c>
      <c r="C1375">
        <f>IFERROR(__xludf.DUMMYFUNCTION("""COMPUTED_VALUE"""),24.0)</f>
        <v>24</v>
      </c>
      <c r="D1375" t="str">
        <f>IFERROR(__xludf.DUMMYFUNCTION("""COMPUTED_VALUE"""),"Dance Monkey")</f>
        <v>Dance Monkey</v>
      </c>
      <c r="E1375" t="str">
        <f>IFERROR(__xludf.DUMMYFUNCTION("""COMPUTED_VALUE"""),"Tones And I")</f>
        <v>Tones And I</v>
      </c>
      <c r="F1375" t="str">
        <f>IFERROR(__xludf.DUMMYFUNCTION("""COMPUTED_VALUE"""),"Dance Monkey (Stripped Back) / Dance Monkey")</f>
        <v>Dance Monkey (Stripped Back) / Dance Monkey</v>
      </c>
      <c r="G1375">
        <f>IFERROR(__xludf.DUMMYFUNCTION("""COMPUTED_VALUE"""),0.0)</f>
        <v>0</v>
      </c>
      <c r="H1375" s="5">
        <f>IFERROR(__xludf.DUMMYFUNCTION("""COMPUTED_VALUE"""),0.14513888888905058)</f>
        <v>0.1451388889</v>
      </c>
    </row>
    <row r="1376">
      <c r="A1376" t="str">
        <f>IFERROR(__xludf.DUMMYFUNCTION("""COMPUTED_VALUE"""),"India")</f>
        <v>India</v>
      </c>
      <c r="B1376" t="str">
        <f>IFERROR(__xludf.DUMMYFUNCTION("""COMPUTED_VALUE"""),"Asia")</f>
        <v>Asia</v>
      </c>
      <c r="C1376">
        <f>IFERROR(__xludf.DUMMYFUNCTION("""COMPUTED_VALUE"""),25.0)</f>
        <v>25</v>
      </c>
      <c r="D1376" t="str">
        <f>IFERROR(__xludf.DUMMYFUNCTION("""COMPUTED_VALUE"""),"Kaise Hua (From ""Kabir Singh"")")</f>
        <v>Kaise Hua (From "Kabir Singh")</v>
      </c>
      <c r="E1376" t="str">
        <f>IFERROR(__xludf.DUMMYFUNCTION("""COMPUTED_VALUE"""),"Vishal Mishra")</f>
        <v>Vishal Mishra</v>
      </c>
      <c r="F1376" t="str">
        <f>IFERROR(__xludf.DUMMYFUNCTION("""COMPUTED_VALUE"""),"Kaise Hua (From ""Kabir Singh"")")</f>
        <v>Kaise Hua (From "Kabir Singh")</v>
      </c>
      <c r="G1376">
        <f>IFERROR(__xludf.DUMMYFUNCTION("""COMPUTED_VALUE"""),0.0)</f>
        <v>0</v>
      </c>
      <c r="H1376" s="5">
        <f>IFERROR(__xludf.DUMMYFUNCTION("""COMPUTED_VALUE"""),0.1624999999985448)</f>
        <v>0.1625</v>
      </c>
    </row>
    <row r="1377">
      <c r="A1377" t="str">
        <f>IFERROR(__xludf.DUMMYFUNCTION("""COMPUTED_VALUE"""),"India")</f>
        <v>India</v>
      </c>
      <c r="B1377" t="str">
        <f>IFERROR(__xludf.DUMMYFUNCTION("""COMPUTED_VALUE"""),"Asia")</f>
        <v>Asia</v>
      </c>
      <c r="C1377">
        <f>IFERROR(__xludf.DUMMYFUNCTION("""COMPUTED_VALUE"""),26.0)</f>
        <v>26</v>
      </c>
      <c r="D1377" t="str">
        <f>IFERROR(__xludf.DUMMYFUNCTION("""COMPUTED_VALUE"""),"ily (i love you baby) (feat. Emilee)")</f>
        <v>ily (i love you baby) (feat. Emilee)</v>
      </c>
      <c r="E1377" t="str">
        <f>IFERROR(__xludf.DUMMYFUNCTION("""COMPUTED_VALUE"""),"Surf Mesa, Emilee")</f>
        <v>Surf Mesa, Emilee</v>
      </c>
      <c r="F1377" t="str">
        <f>IFERROR(__xludf.DUMMYFUNCTION("""COMPUTED_VALUE"""),"ily (i love you baby) (feat. Emilee)")</f>
        <v>ily (i love you baby) (feat. Emilee)</v>
      </c>
      <c r="G1377">
        <f>IFERROR(__xludf.DUMMYFUNCTION("""COMPUTED_VALUE"""),0.0)</f>
        <v>0</v>
      </c>
      <c r="H1377" s="5">
        <f>IFERROR(__xludf.DUMMYFUNCTION("""COMPUTED_VALUE"""),0.12222222222044365)</f>
        <v>0.1222222222</v>
      </c>
    </row>
    <row r="1378">
      <c r="A1378" t="str">
        <f>IFERROR(__xludf.DUMMYFUNCTION("""COMPUTED_VALUE"""),"India")</f>
        <v>India</v>
      </c>
      <c r="B1378" t="str">
        <f>IFERROR(__xludf.DUMMYFUNCTION("""COMPUTED_VALUE"""),"Asia")</f>
        <v>Asia</v>
      </c>
      <c r="C1378">
        <f>IFERROR(__xludf.DUMMYFUNCTION("""COMPUTED_VALUE"""),27.0)</f>
        <v>27</v>
      </c>
      <c r="D1378" t="str">
        <f>IFERROR(__xludf.DUMMYFUNCTION("""COMPUTED_VALUE"""),"Pal Pal Dil Ke Paas- Title Track")</f>
        <v>Pal Pal Dil Ke Paas- Title Track</v>
      </c>
      <c r="E1378" t="str">
        <f>IFERROR(__xludf.DUMMYFUNCTION("""COMPUTED_VALUE"""),"Arijit Singh, Parampara Thakur")</f>
        <v>Arijit Singh, Parampara Thakur</v>
      </c>
      <c r="F1378" t="str">
        <f>IFERROR(__xludf.DUMMYFUNCTION("""COMPUTED_VALUE"""),"Pal Pal Dil Ke Paas- Title Track (From ""Pal Pal Dil Ke Paas"")")</f>
        <v>Pal Pal Dil Ke Paas- Title Track (From "Pal Pal Dil Ke Paas")</v>
      </c>
      <c r="G1378">
        <f>IFERROR(__xludf.DUMMYFUNCTION("""COMPUTED_VALUE"""),0.0)</f>
        <v>0</v>
      </c>
      <c r="H1378" s="5">
        <f>IFERROR(__xludf.DUMMYFUNCTION("""COMPUTED_VALUE"""),0.17638888888905058)</f>
        <v>0.1763888889</v>
      </c>
    </row>
    <row r="1379">
      <c r="A1379" t="str">
        <f>IFERROR(__xludf.DUMMYFUNCTION("""COMPUTED_VALUE"""),"India")</f>
        <v>India</v>
      </c>
      <c r="B1379" t="str">
        <f>IFERROR(__xludf.DUMMYFUNCTION("""COMPUTED_VALUE"""),"Asia")</f>
        <v>Asia</v>
      </c>
      <c r="C1379">
        <f>IFERROR(__xludf.DUMMYFUNCTION("""COMPUTED_VALUE"""),28.0)</f>
        <v>28</v>
      </c>
      <c r="D1379" t="str">
        <f>IFERROR(__xludf.DUMMYFUNCTION("""COMPUTED_VALUE"""),"Mere Liye Tum Kaafi Ho (From ""Shubh Mangal Zyada Saavdhan"")")</f>
        <v>Mere Liye Tum Kaafi Ho (From "Shubh Mangal Zyada Saavdhan")</v>
      </c>
      <c r="E1379" t="str">
        <f>IFERROR(__xludf.DUMMYFUNCTION("""COMPUTED_VALUE"""),"Ayushmann Khurrana, Tanishk-Vayu")</f>
        <v>Ayushmann Khurrana, Tanishk-Vayu</v>
      </c>
      <c r="F1379" t="str">
        <f>IFERROR(__xludf.DUMMYFUNCTION("""COMPUTED_VALUE"""),"Mere Liye Tum Kaafi Ho (From ""Shubh Mangal Zyada Saavdhan"")")</f>
        <v>Mere Liye Tum Kaafi Ho (From "Shubh Mangal Zyada Saavdhan")</v>
      </c>
      <c r="G1379">
        <f>IFERROR(__xludf.DUMMYFUNCTION("""COMPUTED_VALUE"""),0.0)</f>
        <v>0</v>
      </c>
      <c r="H1379" s="5">
        <f>IFERROR(__xludf.DUMMYFUNCTION("""COMPUTED_VALUE"""),0.09166666666715173)</f>
        <v>0.09166666667</v>
      </c>
    </row>
    <row r="1380">
      <c r="A1380" t="str">
        <f>IFERROR(__xludf.DUMMYFUNCTION("""COMPUTED_VALUE"""),"India")</f>
        <v>India</v>
      </c>
      <c r="B1380" t="str">
        <f>IFERROR(__xludf.DUMMYFUNCTION("""COMPUTED_VALUE"""),"Asia")</f>
        <v>Asia</v>
      </c>
      <c r="C1380">
        <f>IFERROR(__xludf.DUMMYFUNCTION("""COMPUTED_VALUE"""),29.0)</f>
        <v>29</v>
      </c>
      <c r="D1380" t="str">
        <f>IFERROR(__xludf.DUMMYFUNCTION("""COMPUTED_VALUE"""),"ROCKSTAR (feat. Roddy Ricch)")</f>
        <v>ROCKSTAR (feat. Roddy Ricch)</v>
      </c>
      <c r="E1380" t="str">
        <f>IFERROR(__xludf.DUMMYFUNCTION("""COMPUTED_VALUE"""),"DaBaby, Roddy Ricch")</f>
        <v>DaBaby, Roddy Ricch</v>
      </c>
      <c r="F1380" t="str">
        <f>IFERROR(__xludf.DUMMYFUNCTION("""COMPUTED_VALUE"""),"BLAME IT ON BABY")</f>
        <v>BLAME IT ON BABY</v>
      </c>
      <c r="G1380">
        <f>IFERROR(__xludf.DUMMYFUNCTION("""COMPUTED_VALUE"""),1.0)</f>
        <v>1</v>
      </c>
      <c r="H1380" s="5">
        <f>IFERROR(__xludf.DUMMYFUNCTION("""COMPUTED_VALUE"""),0.1256944444430701)</f>
        <v>0.1256944444</v>
      </c>
    </row>
    <row r="1381">
      <c r="A1381" t="str">
        <f>IFERROR(__xludf.DUMMYFUNCTION("""COMPUTED_VALUE"""),"India")</f>
        <v>India</v>
      </c>
      <c r="B1381" t="str">
        <f>IFERROR(__xludf.DUMMYFUNCTION("""COMPUTED_VALUE"""),"Asia")</f>
        <v>Asia</v>
      </c>
      <c r="C1381">
        <f>IFERROR(__xludf.DUMMYFUNCTION("""COMPUTED_VALUE"""),30.0)</f>
        <v>30</v>
      </c>
      <c r="D1381" t="str">
        <f>IFERROR(__xludf.DUMMYFUNCTION("""COMPUTED_VALUE"""),"Mehrama")</f>
        <v>Mehrama</v>
      </c>
      <c r="E1381" t="str">
        <f>IFERROR(__xludf.DUMMYFUNCTION("""COMPUTED_VALUE"""),"Pritam, Darshan Raval, Antara Mitra")</f>
        <v>Pritam, Darshan Raval, Antara Mitra</v>
      </c>
      <c r="F1381" t="str">
        <f>IFERROR(__xludf.DUMMYFUNCTION("""COMPUTED_VALUE"""),"Love Aaj Kal (Original Motion Picture Soundtrack)")</f>
        <v>Love Aaj Kal (Original Motion Picture Soundtrack)</v>
      </c>
      <c r="G1381">
        <f>IFERROR(__xludf.DUMMYFUNCTION("""COMPUTED_VALUE"""),0.0)</f>
        <v>0</v>
      </c>
      <c r="H1381" s="5">
        <f>IFERROR(__xludf.DUMMYFUNCTION("""COMPUTED_VALUE"""),0.17291666666642413)</f>
        <v>0.1729166667</v>
      </c>
    </row>
    <row r="1382">
      <c r="A1382" t="str">
        <f>IFERROR(__xludf.DUMMYFUNCTION("""COMPUTED_VALUE"""),"India")</f>
        <v>India</v>
      </c>
      <c r="B1382" t="str">
        <f>IFERROR(__xludf.DUMMYFUNCTION("""COMPUTED_VALUE"""),"Asia")</f>
        <v>Asia</v>
      </c>
      <c r="C1382">
        <f>IFERROR(__xludf.DUMMYFUNCTION("""COMPUTED_VALUE"""),31.0)</f>
        <v>31</v>
      </c>
      <c r="D1382" t="str">
        <f>IFERROR(__xludf.DUMMYFUNCTION("""COMPUTED_VALUE"""),"Liggi")</f>
        <v>Liggi</v>
      </c>
      <c r="E1382" t="str">
        <f>IFERROR(__xludf.DUMMYFUNCTION("""COMPUTED_VALUE"""),"Ritviz")</f>
        <v>Ritviz</v>
      </c>
      <c r="F1382" t="str">
        <f>IFERROR(__xludf.DUMMYFUNCTION("""COMPUTED_VALUE"""),"Liggi")</f>
        <v>Liggi</v>
      </c>
      <c r="G1382">
        <f>IFERROR(__xludf.DUMMYFUNCTION("""COMPUTED_VALUE"""),0.0)</f>
        <v>0</v>
      </c>
      <c r="H1382" s="5">
        <f>IFERROR(__xludf.DUMMYFUNCTION("""COMPUTED_VALUE"""),0.1256944444430701)</f>
        <v>0.1256944444</v>
      </c>
    </row>
    <row r="1383">
      <c r="A1383" t="str">
        <f>IFERROR(__xludf.DUMMYFUNCTION("""COMPUTED_VALUE"""),"India")</f>
        <v>India</v>
      </c>
      <c r="B1383" t="str">
        <f>IFERROR(__xludf.DUMMYFUNCTION("""COMPUTED_VALUE"""),"Asia")</f>
        <v>Asia</v>
      </c>
      <c r="C1383">
        <f>IFERROR(__xludf.DUMMYFUNCTION("""COMPUTED_VALUE"""),32.0)</f>
        <v>32</v>
      </c>
      <c r="D1383" t="str">
        <f>IFERROR(__xludf.DUMMYFUNCTION("""COMPUTED_VALUE"""),"Duniyaa (From ""Luka Chuppi"")")</f>
        <v>Duniyaa (From "Luka Chuppi")</v>
      </c>
      <c r="E1383" t="str">
        <f>IFERROR(__xludf.DUMMYFUNCTION("""COMPUTED_VALUE"""),"Akhil, Dhvani Bhanushali")</f>
        <v>Akhil, Dhvani Bhanushali</v>
      </c>
      <c r="F1383" t="str">
        <f>IFERROR(__xludf.DUMMYFUNCTION("""COMPUTED_VALUE"""),"Feel-Good Tum Jo Aaye")</f>
        <v>Feel-Good Tum Jo Aaye</v>
      </c>
      <c r="G1383">
        <f>IFERROR(__xludf.DUMMYFUNCTION("""COMPUTED_VALUE"""),0.0)</f>
        <v>0</v>
      </c>
      <c r="H1383" s="5">
        <f>IFERROR(__xludf.DUMMYFUNCTION("""COMPUTED_VALUE"""),0.15416666666715173)</f>
        <v>0.1541666667</v>
      </c>
    </row>
    <row r="1384">
      <c r="A1384" t="str">
        <f>IFERROR(__xludf.DUMMYFUNCTION("""COMPUTED_VALUE"""),"India")</f>
        <v>India</v>
      </c>
      <c r="B1384" t="str">
        <f>IFERROR(__xludf.DUMMYFUNCTION("""COMPUTED_VALUE"""),"Asia")</f>
        <v>Asia</v>
      </c>
      <c r="C1384">
        <f>IFERROR(__xludf.DUMMYFUNCTION("""COMPUTED_VALUE"""),33.0)</f>
        <v>33</v>
      </c>
      <c r="D1384" t="str">
        <f>IFERROR(__xludf.DUMMYFUNCTION("""COMPUTED_VALUE"""),"The Box")</f>
        <v>The Box</v>
      </c>
      <c r="E1384" t="str">
        <f>IFERROR(__xludf.DUMMYFUNCTION("""COMPUTED_VALUE"""),"Roddy Ricch")</f>
        <v>Roddy Ricch</v>
      </c>
      <c r="F1384" t="str">
        <f>IFERROR(__xludf.DUMMYFUNCTION("""COMPUTED_VALUE"""),"Please Excuse Me For Being Antisocial")</f>
        <v>Please Excuse Me For Being Antisocial</v>
      </c>
      <c r="G1384">
        <f>IFERROR(__xludf.DUMMYFUNCTION("""COMPUTED_VALUE"""),1.0)</f>
        <v>1</v>
      </c>
      <c r="H1384" s="5">
        <f>IFERROR(__xludf.DUMMYFUNCTION("""COMPUTED_VALUE"""),0.13611111111094942)</f>
        <v>0.1361111111</v>
      </c>
    </row>
    <row r="1385">
      <c r="A1385" t="str">
        <f>IFERROR(__xludf.DUMMYFUNCTION("""COMPUTED_VALUE"""),"India")</f>
        <v>India</v>
      </c>
      <c r="B1385" t="str">
        <f>IFERROR(__xludf.DUMMYFUNCTION("""COMPUTED_VALUE"""),"Asia")</f>
        <v>Asia</v>
      </c>
      <c r="C1385">
        <f>IFERROR(__xludf.DUMMYFUNCTION("""COMPUTED_VALUE"""),34.0)</f>
        <v>34</v>
      </c>
      <c r="D1385" t="str">
        <f>IFERROR(__xludf.DUMMYFUNCTION("""COMPUTED_VALUE"""),"Don't Start Now")</f>
        <v>Don't Start Now</v>
      </c>
      <c r="E1385" t="str">
        <f>IFERROR(__xludf.DUMMYFUNCTION("""COMPUTED_VALUE"""),"Dua Lipa")</f>
        <v>Dua Lipa</v>
      </c>
      <c r="F1385" t="str">
        <f>IFERROR(__xludf.DUMMYFUNCTION("""COMPUTED_VALUE"""),"Future Nostalgia")</f>
        <v>Future Nostalgia</v>
      </c>
      <c r="G1385">
        <f>IFERROR(__xludf.DUMMYFUNCTION("""COMPUTED_VALUE"""),0.0)</f>
        <v>0</v>
      </c>
      <c r="H1385" s="5">
        <f>IFERROR(__xludf.DUMMYFUNCTION("""COMPUTED_VALUE"""),0.12708333333284827)</f>
        <v>0.1270833333</v>
      </c>
    </row>
    <row r="1386">
      <c r="A1386" t="str">
        <f>IFERROR(__xludf.DUMMYFUNCTION("""COMPUTED_VALUE"""),"India")</f>
        <v>India</v>
      </c>
      <c r="B1386" t="str">
        <f>IFERROR(__xludf.DUMMYFUNCTION("""COMPUTED_VALUE"""),"Asia")</f>
        <v>Asia</v>
      </c>
      <c r="C1386">
        <f>IFERROR(__xludf.DUMMYFUNCTION("""COMPUTED_VALUE"""),35.0)</f>
        <v>35</v>
      </c>
      <c r="D1386" t="str">
        <f>IFERROR(__xludf.DUMMYFUNCTION("""COMPUTED_VALUE"""),"Tere Naal")</f>
        <v>Tere Naal</v>
      </c>
      <c r="E1386" t="str">
        <f>IFERROR(__xludf.DUMMYFUNCTION("""COMPUTED_VALUE"""),"Tulsi Kumar, Darshan Raval")</f>
        <v>Tulsi Kumar, Darshan Raval</v>
      </c>
      <c r="F1386" t="str">
        <f>IFERROR(__xludf.DUMMYFUNCTION("""COMPUTED_VALUE"""),"Tere Naal")</f>
        <v>Tere Naal</v>
      </c>
      <c r="G1386">
        <f>IFERROR(__xludf.DUMMYFUNCTION("""COMPUTED_VALUE"""),0.0)</f>
        <v>0</v>
      </c>
      <c r="H1386" s="5">
        <f>IFERROR(__xludf.DUMMYFUNCTION("""COMPUTED_VALUE"""),0.1375000000007276)</f>
        <v>0.1375</v>
      </c>
    </row>
    <row r="1387">
      <c r="A1387" t="str">
        <f>IFERROR(__xludf.DUMMYFUNCTION("""COMPUTED_VALUE"""),"India")</f>
        <v>India</v>
      </c>
      <c r="B1387" t="str">
        <f>IFERROR(__xludf.DUMMYFUNCTION("""COMPUTED_VALUE"""),"Asia")</f>
        <v>Asia</v>
      </c>
      <c r="C1387">
        <f>IFERROR(__xludf.DUMMYFUNCTION("""COMPUTED_VALUE"""),36.0)</f>
        <v>36</v>
      </c>
      <c r="D1387" t="str">
        <f>IFERROR(__xludf.DUMMYFUNCTION("""COMPUTED_VALUE"""),"Bekhayali (From ""Kabir Singh"")")</f>
        <v>Bekhayali (From "Kabir Singh")</v>
      </c>
      <c r="E1387" t="str">
        <f>IFERROR(__xludf.DUMMYFUNCTION("""COMPUTED_VALUE"""),"Sachet Tandon, Sachet-Parampara")</f>
        <v>Sachet Tandon, Sachet-Parampara</v>
      </c>
      <c r="F1387" t="str">
        <f>IFERROR(__xludf.DUMMYFUNCTION("""COMPUTED_VALUE"""),"Bekhayali (From ""Kabir Singh"")")</f>
        <v>Bekhayali (From "Kabir Singh")</v>
      </c>
      <c r="G1387">
        <f>IFERROR(__xludf.DUMMYFUNCTION("""COMPUTED_VALUE"""),0.0)</f>
        <v>0</v>
      </c>
      <c r="H1387" s="5">
        <f>IFERROR(__xludf.DUMMYFUNCTION("""COMPUTED_VALUE"""),0.257638888888323)</f>
        <v>0.2576388889</v>
      </c>
    </row>
    <row r="1388">
      <c r="A1388" t="str">
        <f>IFERROR(__xludf.DUMMYFUNCTION("""COMPUTED_VALUE"""),"India")</f>
        <v>India</v>
      </c>
      <c r="B1388" t="str">
        <f>IFERROR(__xludf.DUMMYFUNCTION("""COMPUTED_VALUE"""),"Asia")</f>
        <v>Asia</v>
      </c>
      <c r="C1388">
        <f>IFERROR(__xludf.DUMMYFUNCTION("""COMPUTED_VALUE"""),37.0)</f>
        <v>37</v>
      </c>
      <c r="D1388" t="str">
        <f>IFERROR(__xludf.DUMMYFUNCTION("""COMPUTED_VALUE"""),"Tera Ban Jaunga (From ""Kabir Singh"")")</f>
        <v>Tera Ban Jaunga (From "Kabir Singh")</v>
      </c>
      <c r="E1388" t="str">
        <f>IFERROR(__xludf.DUMMYFUNCTION("""COMPUTED_VALUE"""),"Akhil Sachdeva, Tulsi Kumar")</f>
        <v>Akhil Sachdeva, Tulsi Kumar</v>
      </c>
      <c r="F1388" t="str">
        <f>IFERROR(__xludf.DUMMYFUNCTION("""COMPUTED_VALUE"""),"Best Of Akhil Sachdeva")</f>
        <v>Best Of Akhil Sachdeva</v>
      </c>
      <c r="G1388">
        <f>IFERROR(__xludf.DUMMYFUNCTION("""COMPUTED_VALUE"""),0.0)</f>
        <v>0</v>
      </c>
      <c r="H1388" s="5">
        <f>IFERROR(__xludf.DUMMYFUNCTION("""COMPUTED_VALUE"""),0.16388888888832298)</f>
        <v>0.1638888889</v>
      </c>
    </row>
    <row r="1389">
      <c r="A1389" t="str">
        <f>IFERROR(__xludf.DUMMYFUNCTION("""COMPUTED_VALUE"""),"India")</f>
        <v>India</v>
      </c>
      <c r="B1389" t="str">
        <f>IFERROR(__xludf.DUMMYFUNCTION("""COMPUTED_VALUE"""),"Asia")</f>
        <v>Asia</v>
      </c>
      <c r="C1389">
        <f>IFERROR(__xludf.DUMMYFUNCTION("""COMPUTED_VALUE"""),38.0)</f>
        <v>38</v>
      </c>
      <c r="D1389" t="str">
        <f>IFERROR(__xludf.DUMMYFUNCTION("""COMPUTED_VALUE"""),"Ve Maahi")</f>
        <v>Ve Maahi</v>
      </c>
      <c r="E1389" t="str">
        <f>IFERROR(__xludf.DUMMYFUNCTION("""COMPUTED_VALUE"""),"Arijit Singh, Asees Kaur")</f>
        <v>Arijit Singh, Asees Kaur</v>
      </c>
      <c r="F1389" t="str">
        <f>IFERROR(__xludf.DUMMYFUNCTION("""COMPUTED_VALUE"""),"The Asees Kaur Collection")</f>
        <v>The Asees Kaur Collection</v>
      </c>
      <c r="G1389">
        <f>IFERROR(__xludf.DUMMYFUNCTION("""COMPUTED_VALUE"""),0.0)</f>
        <v>0</v>
      </c>
      <c r="H1389" s="5">
        <f>IFERROR(__xludf.DUMMYFUNCTION("""COMPUTED_VALUE"""),0.15486111111022183)</f>
        <v>0.1548611111</v>
      </c>
    </row>
    <row r="1390">
      <c r="A1390" t="str">
        <f>IFERROR(__xludf.DUMMYFUNCTION("""COMPUTED_VALUE"""),"India")</f>
        <v>India</v>
      </c>
      <c r="B1390" t="str">
        <f>IFERROR(__xludf.DUMMYFUNCTION("""COMPUTED_VALUE"""),"Asia")</f>
        <v>Asia</v>
      </c>
      <c r="C1390">
        <f>IFERROR(__xludf.DUMMYFUNCTION("""COMPUTED_VALUE"""),39.0)</f>
        <v>39</v>
      </c>
      <c r="D1390" t="str">
        <f>IFERROR(__xludf.DUMMYFUNCTION("""COMPUTED_VALUE"""),"Yaad Piya Ki Aane Lagi")</f>
        <v>Yaad Piya Ki Aane Lagi</v>
      </c>
      <c r="E1390" t="str">
        <f>IFERROR(__xludf.DUMMYFUNCTION("""COMPUTED_VALUE"""),"Neha Kakkar, Tanishk Bagchi, Lalit Sen")</f>
        <v>Neha Kakkar, Tanishk Bagchi, Lalit Sen</v>
      </c>
      <c r="F1390" t="str">
        <f>IFERROR(__xludf.DUMMYFUNCTION("""COMPUTED_VALUE"""),"Yaad Piya Ki Aane Lagi")</f>
        <v>Yaad Piya Ki Aane Lagi</v>
      </c>
      <c r="G1390">
        <f>IFERROR(__xludf.DUMMYFUNCTION("""COMPUTED_VALUE"""),0.0)</f>
        <v>0</v>
      </c>
      <c r="H1390" s="5">
        <f>IFERROR(__xludf.DUMMYFUNCTION("""COMPUTED_VALUE"""),0.17777777777882875)</f>
        <v>0.1777777778</v>
      </c>
    </row>
    <row r="1391">
      <c r="A1391" t="str">
        <f>IFERROR(__xludf.DUMMYFUNCTION("""COMPUTED_VALUE"""),"India")</f>
        <v>India</v>
      </c>
      <c r="B1391" t="str">
        <f>IFERROR(__xludf.DUMMYFUNCTION("""COMPUTED_VALUE"""),"Asia")</f>
        <v>Asia</v>
      </c>
      <c r="C1391">
        <f>IFERROR(__xludf.DUMMYFUNCTION("""COMPUTED_VALUE"""),40.0)</f>
        <v>40</v>
      </c>
      <c r="D1391" t="str">
        <f>IFERROR(__xludf.DUMMYFUNCTION("""COMPUTED_VALUE"""),"Mere Sohneya (From ""Kabir Singh"")")</f>
        <v>Mere Sohneya (From "Kabir Singh")</v>
      </c>
      <c r="E1391" t="str">
        <f>IFERROR(__xludf.DUMMYFUNCTION("""COMPUTED_VALUE"""),"Sachet Tandon, Parampara Thakur, Sachet-Parampara")</f>
        <v>Sachet Tandon, Parampara Thakur, Sachet-Parampara</v>
      </c>
      <c r="F1391" t="str">
        <f>IFERROR(__xludf.DUMMYFUNCTION("""COMPUTED_VALUE"""),"Mere Sohneya (From ""Kabir Singh"")")</f>
        <v>Mere Sohneya (From "Kabir Singh")</v>
      </c>
      <c r="G1391">
        <f>IFERROR(__xludf.DUMMYFUNCTION("""COMPUTED_VALUE"""),0.0)</f>
        <v>0</v>
      </c>
      <c r="H1391" s="5">
        <f>IFERROR(__xludf.DUMMYFUNCTION("""COMPUTED_VALUE"""),0.13402777777810115)</f>
        <v>0.1340277778</v>
      </c>
    </row>
    <row r="1392">
      <c r="A1392" t="str">
        <f>IFERROR(__xludf.DUMMYFUNCTION("""COMPUTED_VALUE"""),"India")</f>
        <v>India</v>
      </c>
      <c r="B1392" t="str">
        <f>IFERROR(__xludf.DUMMYFUNCTION("""COMPUTED_VALUE"""),"Asia")</f>
        <v>Asia</v>
      </c>
      <c r="C1392">
        <f>IFERROR(__xludf.DUMMYFUNCTION("""COMPUTED_VALUE"""),41.0)</f>
        <v>41</v>
      </c>
      <c r="D1392" t="str">
        <f>IFERROR(__xludf.DUMMYFUNCTION("""COMPUTED_VALUE"""),"Rain On Me (with Ariana Grande)")</f>
        <v>Rain On Me (with Ariana Grande)</v>
      </c>
      <c r="E1392" t="str">
        <f>IFERROR(__xludf.DUMMYFUNCTION("""COMPUTED_VALUE"""),"Lady Gaga, Ariana Grande")</f>
        <v>Lady Gaga, Ariana Grande</v>
      </c>
      <c r="F1392" t="str">
        <f>IFERROR(__xludf.DUMMYFUNCTION("""COMPUTED_VALUE"""),"Rain On Me (with Ariana Grande)")</f>
        <v>Rain On Me (with Ariana Grande)</v>
      </c>
      <c r="G1392">
        <f>IFERROR(__xludf.DUMMYFUNCTION("""COMPUTED_VALUE"""),0.0)</f>
        <v>0</v>
      </c>
      <c r="H1392" s="5">
        <f>IFERROR(__xludf.DUMMYFUNCTION("""COMPUTED_VALUE"""),0.12638888888977817)</f>
        <v>0.1263888889</v>
      </c>
    </row>
    <row r="1393">
      <c r="A1393" t="str">
        <f>IFERROR(__xludf.DUMMYFUNCTION("""COMPUTED_VALUE"""),"India")</f>
        <v>India</v>
      </c>
      <c r="B1393" t="str">
        <f>IFERROR(__xludf.DUMMYFUNCTION("""COMPUTED_VALUE"""),"Asia")</f>
        <v>Asia</v>
      </c>
      <c r="C1393">
        <f>IFERROR(__xludf.DUMMYFUNCTION("""COMPUTED_VALUE"""),42.0)</f>
        <v>42</v>
      </c>
      <c r="D1393" t="str">
        <f>IFERROR(__xludf.DUMMYFUNCTION("""COMPUTED_VALUE"""),"Kuch Bhi Ho Jaye")</f>
        <v>Kuch Bhi Ho Jaye</v>
      </c>
      <c r="E1393" t="str">
        <f>IFERROR(__xludf.DUMMYFUNCTION("""COMPUTED_VALUE"""),"B Praak")</f>
        <v>B Praak</v>
      </c>
      <c r="F1393" t="str">
        <f>IFERROR(__xludf.DUMMYFUNCTION("""COMPUTED_VALUE"""),"Kuch Bhi Ho Jaye")</f>
        <v>Kuch Bhi Ho Jaye</v>
      </c>
      <c r="G1393">
        <f>IFERROR(__xludf.DUMMYFUNCTION("""COMPUTED_VALUE"""),0.0)</f>
        <v>0</v>
      </c>
      <c r="H1393" s="5">
        <f>IFERROR(__xludf.DUMMYFUNCTION("""COMPUTED_VALUE"""),0.19027777777955635)</f>
        <v>0.1902777778</v>
      </c>
    </row>
    <row r="1394">
      <c r="A1394" t="str">
        <f>IFERROR(__xludf.DUMMYFUNCTION("""COMPUTED_VALUE"""),"India")</f>
        <v>India</v>
      </c>
      <c r="B1394" t="str">
        <f>IFERROR(__xludf.DUMMYFUNCTION("""COMPUTED_VALUE"""),"Asia")</f>
        <v>Asia</v>
      </c>
      <c r="C1394">
        <f>IFERROR(__xludf.DUMMYFUNCTION("""COMPUTED_VALUE"""),43.0)</f>
        <v>43</v>
      </c>
      <c r="D1394" t="str">
        <f>IFERROR(__xludf.DUMMYFUNCTION("""COMPUTED_VALUE"""),"Lagdi Lahore Di (From ""Street Dancer 3D"")")</f>
        <v>Lagdi Lahore Di (From "Street Dancer 3D")</v>
      </c>
      <c r="E1394" t="str">
        <f>IFERROR(__xludf.DUMMYFUNCTION("""COMPUTED_VALUE"""),"Guru Randhawa, Tulsi Kumar")</f>
        <v>Guru Randhawa, Tulsi Kumar</v>
      </c>
      <c r="F1394" t="str">
        <f>IFERROR(__xludf.DUMMYFUNCTION("""COMPUTED_VALUE"""),"Enchantic Tulsi Kumar")</f>
        <v>Enchantic Tulsi Kumar</v>
      </c>
      <c r="G1394">
        <f>IFERROR(__xludf.DUMMYFUNCTION("""COMPUTED_VALUE"""),0.0)</f>
        <v>0</v>
      </c>
      <c r="H1394" s="5">
        <f>IFERROR(__xludf.DUMMYFUNCTION("""COMPUTED_VALUE"""),0.14930555555474712)</f>
        <v>0.1493055556</v>
      </c>
    </row>
    <row r="1395">
      <c r="A1395" t="str">
        <f>IFERROR(__xludf.DUMMYFUNCTION("""COMPUTED_VALUE"""),"India")</f>
        <v>India</v>
      </c>
      <c r="B1395" t="str">
        <f>IFERROR(__xludf.DUMMYFUNCTION("""COMPUTED_VALUE"""),"Asia")</f>
        <v>Asia</v>
      </c>
      <c r="C1395">
        <f>IFERROR(__xludf.DUMMYFUNCTION("""COMPUTED_VALUE"""),44.0)</f>
        <v>44</v>
      </c>
      <c r="D1395" t="str">
        <f>IFERROR(__xludf.DUMMYFUNCTION("""COMPUTED_VALUE"""),"Agar Tum Saath Ho (From ""Tamasha"")")</f>
        <v>Agar Tum Saath Ho (From "Tamasha")</v>
      </c>
      <c r="E1395" t="str">
        <f>IFERROR(__xludf.DUMMYFUNCTION("""COMPUTED_VALUE"""),"Alka Yagnik, Arijit Singh")</f>
        <v>Alka Yagnik, Arijit Singh</v>
      </c>
      <c r="F1395" t="str">
        <f>IFERROR(__xludf.DUMMYFUNCTION("""COMPUTED_VALUE"""),"Loveholic Arijit Singh")</f>
        <v>Loveholic Arijit Singh</v>
      </c>
      <c r="G1395">
        <f>IFERROR(__xludf.DUMMYFUNCTION("""COMPUTED_VALUE"""),0.0)</f>
        <v>0</v>
      </c>
      <c r="H1395" s="5">
        <f>IFERROR(__xludf.DUMMYFUNCTION("""COMPUTED_VALUE"""),0.2368055555562023)</f>
        <v>0.2368055556</v>
      </c>
    </row>
    <row r="1396">
      <c r="A1396" t="str">
        <f>IFERROR(__xludf.DUMMYFUNCTION("""COMPUTED_VALUE"""),"India")</f>
        <v>India</v>
      </c>
      <c r="B1396" t="str">
        <f>IFERROR(__xludf.DUMMYFUNCTION("""COMPUTED_VALUE"""),"Asia")</f>
        <v>Asia</v>
      </c>
      <c r="C1396">
        <f>IFERROR(__xludf.DUMMYFUNCTION("""COMPUTED_VALUE"""),45.0)</f>
        <v>45</v>
      </c>
      <c r="D1396" t="str">
        <f>IFERROR(__xludf.DUMMYFUNCTION("""COMPUTED_VALUE"""),"Be Kind (with Halsey)")</f>
        <v>Be Kind (with Halsey)</v>
      </c>
      <c r="E1396" t="str">
        <f>IFERROR(__xludf.DUMMYFUNCTION("""COMPUTED_VALUE"""),"Marshmello, Halsey")</f>
        <v>Marshmello, Halsey</v>
      </c>
      <c r="F1396" t="str">
        <f>IFERROR(__xludf.DUMMYFUNCTION("""COMPUTED_VALUE"""),"Be Kind (with Halsey)")</f>
        <v>Be Kind (with Halsey)</v>
      </c>
      <c r="G1396">
        <f>IFERROR(__xludf.DUMMYFUNCTION("""COMPUTED_VALUE"""),0.0)</f>
        <v>0</v>
      </c>
      <c r="H1396" s="5">
        <f>IFERROR(__xludf.DUMMYFUNCTION("""COMPUTED_VALUE"""),0.11944444444452529)</f>
        <v>0.1194444444</v>
      </c>
    </row>
    <row r="1397">
      <c r="A1397" t="str">
        <f>IFERROR(__xludf.DUMMYFUNCTION("""COMPUTED_VALUE"""),"India")</f>
        <v>India</v>
      </c>
      <c r="B1397" t="str">
        <f>IFERROR(__xludf.DUMMYFUNCTION("""COMPUTED_VALUE"""),"Asia")</f>
        <v>Asia</v>
      </c>
      <c r="C1397">
        <f>IFERROR(__xludf.DUMMYFUNCTION("""COMPUTED_VALUE"""),46.0)</f>
        <v>46</v>
      </c>
      <c r="D1397" t="str">
        <f>IFERROR(__xludf.DUMMYFUNCTION("""COMPUTED_VALUE"""),"Tum Hi Aana (From ""Marjaavaan"")")</f>
        <v>Tum Hi Aana (From "Marjaavaan")</v>
      </c>
      <c r="E1397" t="str">
        <f>IFERROR(__xludf.DUMMYFUNCTION("""COMPUTED_VALUE"""),"Payal Dev, Jubin Nautiyal")</f>
        <v>Payal Dev, Jubin Nautiyal</v>
      </c>
      <c r="F1397" t="str">
        <f>IFERROR(__xludf.DUMMYFUNCTION("""COMPUTED_VALUE"""),"Tum Hi Aana (From ""Marjaavaan"")")</f>
        <v>Tum Hi Aana (From "Marjaavaan")</v>
      </c>
      <c r="G1397">
        <f>IFERROR(__xludf.DUMMYFUNCTION("""COMPUTED_VALUE"""),0.0)</f>
        <v>0</v>
      </c>
      <c r="H1397" s="5">
        <f>IFERROR(__xludf.DUMMYFUNCTION("""COMPUTED_VALUE"""),0.17291666666642413)</f>
        <v>0.1729166667</v>
      </c>
    </row>
    <row r="1398">
      <c r="A1398" t="str">
        <f>IFERROR(__xludf.DUMMYFUNCTION("""COMPUTED_VALUE"""),"India")</f>
        <v>India</v>
      </c>
      <c r="B1398" t="str">
        <f>IFERROR(__xludf.DUMMYFUNCTION("""COMPUTED_VALUE"""),"Asia")</f>
        <v>Asia</v>
      </c>
      <c r="C1398">
        <f>IFERROR(__xludf.DUMMYFUNCTION("""COMPUTED_VALUE"""),47.0)</f>
        <v>47</v>
      </c>
      <c r="D1398" t="str">
        <f>IFERROR(__xludf.DUMMYFUNCTION("""COMPUTED_VALUE"""),"Yummy")</f>
        <v>Yummy</v>
      </c>
      <c r="E1398" t="str">
        <f>IFERROR(__xludf.DUMMYFUNCTION("""COMPUTED_VALUE"""),"Justin Bieber")</f>
        <v>Justin Bieber</v>
      </c>
      <c r="F1398" t="str">
        <f>IFERROR(__xludf.DUMMYFUNCTION("""COMPUTED_VALUE"""),"Changes")</f>
        <v>Changes</v>
      </c>
      <c r="G1398">
        <f>IFERROR(__xludf.DUMMYFUNCTION("""COMPUTED_VALUE"""),0.0)</f>
        <v>0</v>
      </c>
      <c r="H1398" s="5">
        <f>IFERROR(__xludf.DUMMYFUNCTION("""COMPUTED_VALUE"""),0.14444444444598048)</f>
        <v>0.1444444444</v>
      </c>
    </row>
    <row r="1399">
      <c r="A1399" t="str">
        <f>IFERROR(__xludf.DUMMYFUNCTION("""COMPUTED_VALUE"""),"India")</f>
        <v>India</v>
      </c>
      <c r="B1399" t="str">
        <f>IFERROR(__xludf.DUMMYFUNCTION("""COMPUTED_VALUE"""),"Asia")</f>
        <v>Asia</v>
      </c>
      <c r="C1399">
        <f>IFERROR(__xludf.DUMMYFUNCTION("""COMPUTED_VALUE"""),48.0)</f>
        <v>48</v>
      </c>
      <c r="D1399" t="str">
        <f>IFERROR(__xludf.DUMMYFUNCTION("""COMPUTED_VALUE"""),"ROXANNE")</f>
        <v>ROXANNE</v>
      </c>
      <c r="E1399" t="str">
        <f>IFERROR(__xludf.DUMMYFUNCTION("""COMPUTED_VALUE"""),"Arizona Zervas")</f>
        <v>Arizona Zervas</v>
      </c>
      <c r="F1399" t="str">
        <f>IFERROR(__xludf.DUMMYFUNCTION("""COMPUTED_VALUE"""),"ROXANNE")</f>
        <v>ROXANNE</v>
      </c>
      <c r="G1399">
        <f>IFERROR(__xludf.DUMMYFUNCTION("""COMPUTED_VALUE"""),1.0)</f>
        <v>1</v>
      </c>
      <c r="H1399" s="5">
        <f>IFERROR(__xludf.DUMMYFUNCTION("""COMPUTED_VALUE"""),0.11319444444598048)</f>
        <v>0.1131944444</v>
      </c>
    </row>
    <row r="1400">
      <c r="A1400" t="str">
        <f>IFERROR(__xludf.DUMMYFUNCTION("""COMPUTED_VALUE"""),"India")</f>
        <v>India</v>
      </c>
      <c r="B1400" t="str">
        <f>IFERROR(__xludf.DUMMYFUNCTION("""COMPUTED_VALUE"""),"Asia")</f>
        <v>Asia</v>
      </c>
      <c r="C1400">
        <f>IFERROR(__xludf.DUMMYFUNCTION("""COMPUTED_VALUE"""),49.0)</f>
        <v>49</v>
      </c>
      <c r="D1400" t="str">
        <f>IFERROR(__xludf.DUMMYFUNCTION("""COMPUTED_VALUE"""),"Muqabla (From ""Street Dancer 3D"")")</f>
        <v>Muqabla (From "Street Dancer 3D")</v>
      </c>
      <c r="E1400" t="str">
        <f>IFERROR(__xludf.DUMMYFUNCTION("""COMPUTED_VALUE"""),"Yash Narvekar, Parampara Thakur, Tanishk Bagchi")</f>
        <v>Yash Narvekar, Parampara Thakur, Tanishk Bagchi</v>
      </c>
      <c r="F1400" t="str">
        <f>IFERROR(__xludf.DUMMYFUNCTION("""COMPUTED_VALUE"""),"Muqabla (From ""Street Dancer 3D"")")</f>
        <v>Muqabla (From "Street Dancer 3D")</v>
      </c>
      <c r="G1400">
        <f>IFERROR(__xludf.DUMMYFUNCTION("""COMPUTED_VALUE"""),0.0)</f>
        <v>0</v>
      </c>
      <c r="H1400" s="5">
        <f>IFERROR(__xludf.DUMMYFUNCTION("""COMPUTED_VALUE"""),0.12222222222044365)</f>
        <v>0.1222222222</v>
      </c>
    </row>
    <row r="1401">
      <c r="A1401" t="str">
        <f>IFERROR(__xludf.DUMMYFUNCTION("""COMPUTED_VALUE"""),"India")</f>
        <v>India</v>
      </c>
      <c r="B1401" t="str">
        <f>IFERROR(__xludf.DUMMYFUNCTION("""COMPUTED_VALUE"""),"Asia")</f>
        <v>Asia</v>
      </c>
      <c r="C1401">
        <f>IFERROR(__xludf.DUMMYFUNCTION("""COMPUTED_VALUE"""),50.0)</f>
        <v>50</v>
      </c>
      <c r="D1401" t="str">
        <f>IFERROR(__xludf.DUMMYFUNCTION("""COMPUTED_VALUE"""),"Chal Ghar Chalen (From ""Malang - Unleash The Madness"") [Mithoon feat. Arijit Singh]")</f>
        <v>Chal Ghar Chalen (From "Malang - Unleash The Madness") [Mithoon feat. Arijit Singh]</v>
      </c>
      <c r="E1401" t="str">
        <f>IFERROR(__xludf.DUMMYFUNCTION("""COMPUTED_VALUE"""),"Mithoon, Arijit Singh")</f>
        <v>Mithoon, Arijit Singh</v>
      </c>
      <c r="F1401" t="str">
        <f>IFERROR(__xludf.DUMMYFUNCTION("""COMPUTED_VALUE"""),"Chal Ghar Chalen (From ""Malang - Unleash The Madness"") [Mithoon feat. Arijit Singh]")</f>
        <v>Chal Ghar Chalen (From "Malang - Unleash The Madness") [Mithoon feat. Arijit Singh]</v>
      </c>
      <c r="G1401">
        <f>IFERROR(__xludf.DUMMYFUNCTION("""COMPUTED_VALUE"""),0.0)</f>
        <v>0</v>
      </c>
      <c r="H1401" s="5">
        <f>IFERROR(__xludf.DUMMYFUNCTION("""COMPUTED_VALUE"""),0.23611111110949423)</f>
        <v>0.2361111111</v>
      </c>
    </row>
    <row r="1402">
      <c r="A1402" t="str">
        <f>IFERROR(__xludf.DUMMYFUNCTION("""COMPUTED_VALUE"""),"Indonesia")</f>
        <v>Indonesia</v>
      </c>
      <c r="B1402" t="str">
        <f>IFERROR(__xludf.DUMMYFUNCTION("""COMPUTED_VALUE"""),"Asia")</f>
        <v>Asia</v>
      </c>
      <c r="C1402">
        <f>IFERROR(__xludf.DUMMYFUNCTION("""COMPUTED_VALUE"""),1.0)</f>
        <v>1</v>
      </c>
      <c r="D1402" t="str">
        <f>IFERROR(__xludf.DUMMYFUNCTION("""COMPUTED_VALUE"""),"LATHI (ꦭꦛꦶ)")</f>
        <v>LATHI (ꦭꦛꦶ)</v>
      </c>
      <c r="E1402" t="str">
        <f>IFERROR(__xludf.DUMMYFUNCTION("""COMPUTED_VALUE"""),"Weird Genius, Sara Fajira")</f>
        <v>Weird Genius, Sara Fajira</v>
      </c>
      <c r="F1402" t="str">
        <f>IFERROR(__xludf.DUMMYFUNCTION("""COMPUTED_VALUE"""),"LATHI (ꦭꦛꦶ)")</f>
        <v>LATHI (ꦭꦛꦶ)</v>
      </c>
      <c r="G1402">
        <f>IFERROR(__xludf.DUMMYFUNCTION("""COMPUTED_VALUE"""),0.0)</f>
        <v>0</v>
      </c>
      <c r="H1402" s="5">
        <f>IFERROR(__xludf.DUMMYFUNCTION("""COMPUTED_VALUE"""),0.1305555555554747)</f>
        <v>0.1305555556</v>
      </c>
    </row>
    <row r="1403">
      <c r="A1403" t="str">
        <f>IFERROR(__xludf.DUMMYFUNCTION("""COMPUTED_VALUE"""),"Indonesia")</f>
        <v>Indonesia</v>
      </c>
      <c r="B1403" t="str">
        <f>IFERROR(__xludf.DUMMYFUNCTION("""COMPUTED_VALUE"""),"Asia")</f>
        <v>Asia</v>
      </c>
      <c r="C1403">
        <f>IFERROR(__xludf.DUMMYFUNCTION("""COMPUTED_VALUE"""),2.0)</f>
        <v>2</v>
      </c>
      <c r="D1403" t="str">
        <f>IFERROR(__xludf.DUMMYFUNCTION("""COMPUTED_VALUE"""),"Play Date")</f>
        <v>Play Date</v>
      </c>
      <c r="E1403" t="str">
        <f>IFERROR(__xludf.DUMMYFUNCTION("""COMPUTED_VALUE"""),"Melanie Martinez")</f>
        <v>Melanie Martinez</v>
      </c>
      <c r="F1403" t="str">
        <f>IFERROR(__xludf.DUMMYFUNCTION("""COMPUTED_VALUE"""),"Cry Baby (Deluxe Edition)")</f>
        <v>Cry Baby (Deluxe Edition)</v>
      </c>
      <c r="G1403">
        <f>IFERROR(__xludf.DUMMYFUNCTION("""COMPUTED_VALUE"""),1.0)</f>
        <v>1</v>
      </c>
      <c r="H1403" s="5">
        <f>IFERROR(__xludf.DUMMYFUNCTION("""COMPUTED_VALUE"""),0.1243055555569299)</f>
        <v>0.1243055556</v>
      </c>
    </row>
    <row r="1404">
      <c r="A1404" t="str">
        <f>IFERROR(__xludf.DUMMYFUNCTION("""COMPUTED_VALUE"""),"Indonesia")</f>
        <v>Indonesia</v>
      </c>
      <c r="B1404" t="str">
        <f>IFERROR(__xludf.DUMMYFUNCTION("""COMPUTED_VALUE"""),"Asia")</f>
        <v>Asia</v>
      </c>
      <c r="C1404">
        <f>IFERROR(__xludf.DUMMYFUNCTION("""COMPUTED_VALUE"""),3.0)</f>
        <v>3</v>
      </c>
      <c r="D1404" t="str">
        <f>IFERROR(__xludf.DUMMYFUNCTION("""COMPUTED_VALUE"""),"death bed (coffee for your head) (feat. beabadoobee)")</f>
        <v>death bed (coffee for your head) (feat. beabadoobee)</v>
      </c>
      <c r="E1404" t="str">
        <f>IFERROR(__xludf.DUMMYFUNCTION("""COMPUTED_VALUE"""),"Powfu, beabadoobee")</f>
        <v>Powfu, beabadoobee</v>
      </c>
      <c r="F1404" t="str">
        <f>IFERROR(__xludf.DUMMYFUNCTION("""COMPUTED_VALUE"""),"death bed (coffee for your head) (feat. beabadoobee)")</f>
        <v>death bed (coffee for your head) (feat. beabadoobee)</v>
      </c>
      <c r="G1404">
        <f>IFERROR(__xludf.DUMMYFUNCTION("""COMPUTED_VALUE"""),0.0)</f>
        <v>0</v>
      </c>
      <c r="H1404" s="5">
        <f>IFERROR(__xludf.DUMMYFUNCTION("""COMPUTED_VALUE"""),0.12013888888759539)</f>
        <v>0.1201388889</v>
      </c>
    </row>
    <row r="1405">
      <c r="A1405" t="str">
        <f>IFERROR(__xludf.DUMMYFUNCTION("""COMPUTED_VALUE"""),"Indonesia")</f>
        <v>Indonesia</v>
      </c>
      <c r="B1405" t="str">
        <f>IFERROR(__xludf.DUMMYFUNCTION("""COMPUTED_VALUE"""),"Asia")</f>
        <v>Asia</v>
      </c>
      <c r="C1405">
        <f>IFERROR(__xludf.DUMMYFUNCTION("""COMPUTED_VALUE"""),4.0)</f>
        <v>4</v>
      </c>
      <c r="D1405" t="str">
        <f>IFERROR(__xludf.DUMMYFUNCTION("""COMPUTED_VALUE"""),"Surrender")</f>
        <v>Surrender</v>
      </c>
      <c r="E1405" t="str">
        <f>IFERROR(__xludf.DUMMYFUNCTION("""COMPUTED_VALUE"""),"Natalie Taylor")</f>
        <v>Natalie Taylor</v>
      </c>
      <c r="F1405" t="str">
        <f>IFERROR(__xludf.DUMMYFUNCTION("""COMPUTED_VALUE"""),"Surrender")</f>
        <v>Surrender</v>
      </c>
      <c r="G1405">
        <f>IFERROR(__xludf.DUMMYFUNCTION("""COMPUTED_VALUE"""),0.0)</f>
        <v>0</v>
      </c>
      <c r="H1405" s="5">
        <f>IFERROR(__xludf.DUMMYFUNCTION("""COMPUTED_VALUE"""),0.12708333333284827)</f>
        <v>0.1270833333</v>
      </c>
    </row>
    <row r="1406">
      <c r="A1406" t="str">
        <f>IFERROR(__xludf.DUMMYFUNCTION("""COMPUTED_VALUE"""),"Indonesia")</f>
        <v>Indonesia</v>
      </c>
      <c r="B1406" t="str">
        <f>IFERROR(__xludf.DUMMYFUNCTION("""COMPUTED_VALUE"""),"Asia")</f>
        <v>Asia</v>
      </c>
      <c r="C1406">
        <f>IFERROR(__xludf.DUMMYFUNCTION("""COMPUTED_VALUE"""),5.0)</f>
        <v>5</v>
      </c>
      <c r="D1406" t="str">
        <f>IFERROR(__xludf.DUMMYFUNCTION("""COMPUTED_VALUE"""),"Someone You Loved")</f>
        <v>Someone You Loved</v>
      </c>
      <c r="E1406" t="str">
        <f>IFERROR(__xludf.DUMMYFUNCTION("""COMPUTED_VALUE"""),"Lewis Capaldi")</f>
        <v>Lewis Capaldi</v>
      </c>
      <c r="F1406" t="str">
        <f>IFERROR(__xludf.DUMMYFUNCTION("""COMPUTED_VALUE"""),"Divinely Uninspired To A Hellish Extent")</f>
        <v>Divinely Uninspired To A Hellish Extent</v>
      </c>
      <c r="G1406">
        <f>IFERROR(__xludf.DUMMYFUNCTION("""COMPUTED_VALUE"""),0.0)</f>
        <v>0</v>
      </c>
      <c r="H1406" s="5">
        <f>IFERROR(__xludf.DUMMYFUNCTION("""COMPUTED_VALUE"""),0.12638888888977817)</f>
        <v>0.1263888889</v>
      </c>
    </row>
    <row r="1407">
      <c r="A1407" t="str">
        <f>IFERROR(__xludf.DUMMYFUNCTION("""COMPUTED_VALUE"""),"Indonesia")</f>
        <v>Indonesia</v>
      </c>
      <c r="B1407" t="str">
        <f>IFERROR(__xludf.DUMMYFUNCTION("""COMPUTED_VALUE"""),"Asia")</f>
        <v>Asia</v>
      </c>
      <c r="C1407">
        <f>IFERROR(__xludf.DUMMYFUNCTION("""COMPUTED_VALUE"""),6.0)</f>
        <v>6</v>
      </c>
      <c r="D1407" t="str">
        <f>IFERROR(__xludf.DUMMYFUNCTION("""COMPUTED_VALUE"""),"Intentions (feat. Quavo)")</f>
        <v>Intentions (feat. Quavo)</v>
      </c>
      <c r="E1407" t="str">
        <f>IFERROR(__xludf.DUMMYFUNCTION("""COMPUTED_VALUE"""),"Justin Bieber, Quavo")</f>
        <v>Justin Bieber, Quavo</v>
      </c>
      <c r="F1407" t="str">
        <f>IFERROR(__xludf.DUMMYFUNCTION("""COMPUTED_VALUE"""),"Changes")</f>
        <v>Changes</v>
      </c>
      <c r="G1407">
        <f>IFERROR(__xludf.DUMMYFUNCTION("""COMPUTED_VALUE"""),0.0)</f>
        <v>0</v>
      </c>
      <c r="H1407" s="5">
        <f>IFERROR(__xludf.DUMMYFUNCTION("""COMPUTED_VALUE"""),0.14722222222189885)</f>
        <v>0.1472222222</v>
      </c>
    </row>
    <row r="1408">
      <c r="A1408" t="str">
        <f>IFERROR(__xludf.DUMMYFUNCTION("""COMPUTED_VALUE"""),"Indonesia")</f>
        <v>Indonesia</v>
      </c>
      <c r="B1408" t="str">
        <f>IFERROR(__xludf.DUMMYFUNCTION("""COMPUTED_VALUE"""),"Asia")</f>
        <v>Asia</v>
      </c>
      <c r="C1408">
        <f>IFERROR(__xludf.DUMMYFUNCTION("""COMPUTED_VALUE"""),7.0)</f>
        <v>7</v>
      </c>
      <c r="D1408" t="str">
        <f>IFERROR(__xludf.DUMMYFUNCTION("""COMPUTED_VALUE"""),"One Only")</f>
        <v>One Only</v>
      </c>
      <c r="E1408" t="str">
        <f>IFERROR(__xludf.DUMMYFUNCTION("""COMPUTED_VALUE"""),"Pamungkas")</f>
        <v>Pamungkas</v>
      </c>
      <c r="F1408" t="str">
        <f>IFERROR(__xludf.DUMMYFUNCTION("""COMPUTED_VALUE"""),"Walk The Talk")</f>
        <v>Walk The Talk</v>
      </c>
      <c r="G1408">
        <f>IFERROR(__xludf.DUMMYFUNCTION("""COMPUTED_VALUE"""),0.0)</f>
        <v>0</v>
      </c>
      <c r="H1408" s="5">
        <f>IFERROR(__xludf.DUMMYFUNCTION("""COMPUTED_VALUE"""),0.17708333333212067)</f>
        <v>0.1770833333</v>
      </c>
    </row>
    <row r="1409">
      <c r="A1409" t="str">
        <f>IFERROR(__xludf.DUMMYFUNCTION("""COMPUTED_VALUE"""),"Indonesia")</f>
        <v>Indonesia</v>
      </c>
      <c r="B1409" t="str">
        <f>IFERROR(__xludf.DUMMYFUNCTION("""COMPUTED_VALUE"""),"Asia")</f>
        <v>Asia</v>
      </c>
      <c r="C1409">
        <f>IFERROR(__xludf.DUMMYFUNCTION("""COMPUTED_VALUE"""),8.0)</f>
        <v>8</v>
      </c>
      <c r="D1409" t="str">
        <f>IFERROR(__xludf.DUMMYFUNCTION("""COMPUTED_VALUE"""),"Stuck with U (with Justin Bieber)")</f>
        <v>Stuck with U (with Justin Bieber)</v>
      </c>
      <c r="E1409" t="str">
        <f>IFERROR(__xludf.DUMMYFUNCTION("""COMPUTED_VALUE"""),"Ariana Grande, Justin Bieber")</f>
        <v>Ariana Grande, Justin Bieber</v>
      </c>
      <c r="F1409" t="str">
        <f>IFERROR(__xludf.DUMMYFUNCTION("""COMPUTED_VALUE"""),"Stuck with U")</f>
        <v>Stuck with U</v>
      </c>
      <c r="G1409">
        <f>IFERROR(__xludf.DUMMYFUNCTION("""COMPUTED_VALUE"""),0.0)</f>
        <v>0</v>
      </c>
      <c r="H1409" s="5">
        <f>IFERROR(__xludf.DUMMYFUNCTION("""COMPUTED_VALUE"""),0.15833333333284827)</f>
        <v>0.1583333333</v>
      </c>
    </row>
    <row r="1410">
      <c r="A1410" t="str">
        <f>IFERROR(__xludf.DUMMYFUNCTION("""COMPUTED_VALUE"""),"Indonesia")</f>
        <v>Indonesia</v>
      </c>
      <c r="B1410" t="str">
        <f>IFERROR(__xludf.DUMMYFUNCTION("""COMPUTED_VALUE"""),"Asia")</f>
        <v>Asia</v>
      </c>
      <c r="C1410">
        <f>IFERROR(__xludf.DUMMYFUNCTION("""COMPUTED_VALUE"""),9.0)</f>
        <v>9</v>
      </c>
      <c r="D1410" t="str">
        <f>IFERROR(__xludf.DUMMYFUNCTION("""COMPUTED_VALUE"""),"Bentuk Cinta")</f>
        <v>Bentuk Cinta</v>
      </c>
      <c r="E1410" t="str">
        <f>IFERROR(__xludf.DUMMYFUNCTION("""COMPUTED_VALUE"""),"Eclat Story")</f>
        <v>Eclat Story</v>
      </c>
      <c r="F1410" t="str">
        <f>IFERROR(__xludf.DUMMYFUNCTION("""COMPUTED_VALUE"""),"Cerita")</f>
        <v>Cerita</v>
      </c>
      <c r="G1410">
        <f>IFERROR(__xludf.DUMMYFUNCTION("""COMPUTED_VALUE"""),0.0)</f>
        <v>0</v>
      </c>
      <c r="H1410" s="5">
        <f>IFERROR(__xludf.DUMMYFUNCTION("""COMPUTED_VALUE"""),0.18263888888759539)</f>
        <v>0.1826388889</v>
      </c>
    </row>
    <row r="1411">
      <c r="A1411" t="str">
        <f>IFERROR(__xludf.DUMMYFUNCTION("""COMPUTED_VALUE"""),"Indonesia")</f>
        <v>Indonesia</v>
      </c>
      <c r="B1411" t="str">
        <f>IFERROR(__xludf.DUMMYFUNCTION("""COMPUTED_VALUE"""),"Asia")</f>
        <v>Asia</v>
      </c>
      <c r="C1411">
        <f>IFERROR(__xludf.DUMMYFUNCTION("""COMPUTED_VALUE"""),10.0)</f>
        <v>10</v>
      </c>
      <c r="D1411" t="str">
        <f>IFERROR(__xludf.DUMMYFUNCTION("""COMPUTED_VALUE"""),"Takbiran - Version 1")</f>
        <v>Takbiran - Version 1</v>
      </c>
      <c r="E1411" t="str">
        <f>IFERROR(__xludf.DUMMYFUNCTION("""COMPUTED_VALUE"""),"Ustad Jefri Al Buchori, H. Aswan Faisal")</f>
        <v>Ustad Jefri Al Buchori, H. Aswan Faisal</v>
      </c>
      <c r="F1411" t="str">
        <f>IFERROR(__xludf.DUMMYFUNCTION("""COMPUTED_VALUE"""),"Takbiran")</f>
        <v>Takbiran</v>
      </c>
      <c r="G1411">
        <f>IFERROR(__xludf.DUMMYFUNCTION("""COMPUTED_VALUE"""),0.0)</f>
        <v>0</v>
      </c>
      <c r="H1411" s="5">
        <f>IFERROR(__xludf.DUMMYFUNCTION("""COMPUTED_VALUE"""),0.5250000000014552)</f>
        <v>0.525</v>
      </c>
    </row>
    <row r="1412">
      <c r="A1412" t="str">
        <f>IFERROR(__xludf.DUMMYFUNCTION("""COMPUTED_VALUE"""),"Indonesia")</f>
        <v>Indonesia</v>
      </c>
      <c r="B1412" t="str">
        <f>IFERROR(__xludf.DUMMYFUNCTION("""COMPUTED_VALUE"""),"Asia")</f>
        <v>Asia</v>
      </c>
      <c r="C1412">
        <f>IFERROR(__xludf.DUMMYFUNCTION("""COMPUTED_VALUE"""),11.0)</f>
        <v>11</v>
      </c>
      <c r="D1412" t="str">
        <f>IFERROR(__xludf.DUMMYFUNCTION("""COMPUTED_VALUE"""),"Supalonely")</f>
        <v>Supalonely</v>
      </c>
      <c r="E1412" t="str">
        <f>IFERROR(__xludf.DUMMYFUNCTION("""COMPUTED_VALUE"""),"BENEE, Gus Dapperton")</f>
        <v>BENEE, Gus Dapperton</v>
      </c>
      <c r="F1412" t="str">
        <f>IFERROR(__xludf.DUMMYFUNCTION("""COMPUTED_VALUE"""),"STELLA &amp; STEVE")</f>
        <v>STELLA &amp; STEVE</v>
      </c>
      <c r="G1412">
        <f>IFERROR(__xludf.DUMMYFUNCTION("""COMPUTED_VALUE"""),1.0)</f>
        <v>1</v>
      </c>
      <c r="H1412" s="5">
        <f>IFERROR(__xludf.DUMMYFUNCTION("""COMPUTED_VALUE"""),0.15486111111022183)</f>
        <v>0.1548611111</v>
      </c>
    </row>
    <row r="1413">
      <c r="A1413" t="str">
        <f>IFERROR(__xludf.DUMMYFUNCTION("""COMPUTED_VALUE"""),"Indonesia")</f>
        <v>Indonesia</v>
      </c>
      <c r="B1413" t="str">
        <f>IFERROR(__xludf.DUMMYFUNCTION("""COMPUTED_VALUE"""),"Asia")</f>
        <v>Asia</v>
      </c>
      <c r="C1413">
        <f>IFERROR(__xludf.DUMMYFUNCTION("""COMPUTED_VALUE"""),12.0)</f>
        <v>12</v>
      </c>
      <c r="D1413" t="str">
        <f>IFERROR(__xludf.DUMMYFUNCTION("""COMPUTED_VALUE"""),"Make You Mine")</f>
        <v>Make You Mine</v>
      </c>
      <c r="E1413" t="str">
        <f>IFERROR(__xludf.DUMMYFUNCTION("""COMPUTED_VALUE"""),"PUBLIC")</f>
        <v>PUBLIC</v>
      </c>
      <c r="F1413" t="str">
        <f>IFERROR(__xludf.DUMMYFUNCTION("""COMPUTED_VALUE"""),"Make You Mine")</f>
        <v>Make You Mine</v>
      </c>
      <c r="G1413">
        <f>IFERROR(__xludf.DUMMYFUNCTION("""COMPUTED_VALUE"""),0.0)</f>
        <v>0</v>
      </c>
      <c r="H1413" s="5">
        <f>IFERROR(__xludf.DUMMYFUNCTION("""COMPUTED_VALUE"""),0.16111111111240461)</f>
        <v>0.1611111111</v>
      </c>
    </row>
    <row r="1414">
      <c r="A1414" t="str">
        <f>IFERROR(__xludf.DUMMYFUNCTION("""COMPUTED_VALUE"""),"Indonesia")</f>
        <v>Indonesia</v>
      </c>
      <c r="B1414" t="str">
        <f>IFERROR(__xludf.DUMMYFUNCTION("""COMPUTED_VALUE"""),"Asia")</f>
        <v>Asia</v>
      </c>
      <c r="C1414">
        <f>IFERROR(__xludf.DUMMYFUNCTION("""COMPUTED_VALUE"""),13.0)</f>
        <v>13</v>
      </c>
      <c r="D1414" t="str">
        <f>IFERROR(__xludf.DUMMYFUNCTION("""COMPUTED_VALUE"""),"eight(Prod.&amp;Feat. SUGA of BTS)")</f>
        <v>eight(Prod.&amp;Feat. SUGA of BTS)</v>
      </c>
      <c r="E1414" t="str">
        <f>IFERROR(__xludf.DUMMYFUNCTION("""COMPUTED_VALUE"""),"IU, SUGA")</f>
        <v>IU, SUGA</v>
      </c>
      <c r="F1414" t="str">
        <f>IFERROR(__xludf.DUMMYFUNCTION("""COMPUTED_VALUE"""),"eight")</f>
        <v>eight</v>
      </c>
      <c r="G1414">
        <f>IFERROR(__xludf.DUMMYFUNCTION("""COMPUTED_VALUE"""),0.0)</f>
        <v>0</v>
      </c>
      <c r="H1414" s="5">
        <f>IFERROR(__xludf.DUMMYFUNCTION("""COMPUTED_VALUE"""),0.11597222222189885)</f>
        <v>0.1159722222</v>
      </c>
    </row>
    <row r="1415">
      <c r="A1415" t="str">
        <f>IFERROR(__xludf.DUMMYFUNCTION("""COMPUTED_VALUE"""),"Indonesia")</f>
        <v>Indonesia</v>
      </c>
      <c r="B1415" t="str">
        <f>IFERROR(__xludf.DUMMYFUNCTION("""COMPUTED_VALUE"""),"Asia")</f>
        <v>Asia</v>
      </c>
      <c r="C1415">
        <f>IFERROR(__xludf.DUMMYFUNCTION("""COMPUTED_VALUE"""),14.0)</f>
        <v>14</v>
      </c>
      <c r="D1415" t="str">
        <f>IFERROR(__xludf.DUMMYFUNCTION("""COMPUTED_VALUE"""),"Pura Pura Lupa")</f>
        <v>Pura Pura Lupa</v>
      </c>
      <c r="E1415" t="str">
        <f>IFERROR(__xludf.DUMMYFUNCTION("""COMPUTED_VALUE"""),"Mahen")</f>
        <v>Mahen</v>
      </c>
      <c r="F1415" t="str">
        <f>IFERROR(__xludf.DUMMYFUNCTION("""COMPUTED_VALUE"""),"Pura Pura Lupa")</f>
        <v>Pura Pura Lupa</v>
      </c>
      <c r="G1415">
        <f>IFERROR(__xludf.DUMMYFUNCTION("""COMPUTED_VALUE"""),0.0)</f>
        <v>0</v>
      </c>
      <c r="H1415" s="5">
        <f>IFERROR(__xludf.DUMMYFUNCTION("""COMPUTED_VALUE"""),0.17083333333357587)</f>
        <v>0.1708333333</v>
      </c>
    </row>
    <row r="1416">
      <c r="A1416" t="str">
        <f>IFERROR(__xludf.DUMMYFUNCTION("""COMPUTED_VALUE"""),"Indonesia")</f>
        <v>Indonesia</v>
      </c>
      <c r="B1416" t="str">
        <f>IFERROR(__xludf.DUMMYFUNCTION("""COMPUTED_VALUE"""),"Asia")</f>
        <v>Asia</v>
      </c>
      <c r="C1416">
        <f>IFERROR(__xludf.DUMMYFUNCTION("""COMPUTED_VALUE"""),15.0)</f>
        <v>15</v>
      </c>
      <c r="D1416" t="str">
        <f>IFERROR(__xludf.DUMMYFUNCTION("""COMPUTED_VALUE"""),"Falling")</f>
        <v>Falling</v>
      </c>
      <c r="E1416" t="str">
        <f>IFERROR(__xludf.DUMMYFUNCTION("""COMPUTED_VALUE"""),"Trevor Daniel")</f>
        <v>Trevor Daniel</v>
      </c>
      <c r="F1416" t="str">
        <f>IFERROR(__xludf.DUMMYFUNCTION("""COMPUTED_VALUE"""),"Nicotine")</f>
        <v>Nicotine</v>
      </c>
      <c r="G1416">
        <f>IFERROR(__xludf.DUMMYFUNCTION("""COMPUTED_VALUE"""),0.0)</f>
        <v>0</v>
      </c>
      <c r="H1416" s="5">
        <f>IFERROR(__xludf.DUMMYFUNCTION("""COMPUTED_VALUE"""),0.11041666666642413)</f>
        <v>0.1104166667</v>
      </c>
    </row>
    <row r="1417">
      <c r="A1417" t="str">
        <f>IFERROR(__xludf.DUMMYFUNCTION("""COMPUTED_VALUE"""),"Indonesia")</f>
        <v>Indonesia</v>
      </c>
      <c r="B1417" t="str">
        <f>IFERROR(__xludf.DUMMYFUNCTION("""COMPUTED_VALUE"""),"Asia")</f>
        <v>Asia</v>
      </c>
      <c r="C1417">
        <f>IFERROR(__xludf.DUMMYFUNCTION("""COMPUTED_VALUE"""),16.0)</f>
        <v>16</v>
      </c>
      <c r="D1417" t="str">
        <f>IFERROR(__xludf.DUMMYFUNCTION("""COMPUTED_VALUE"""),"Sunday Best")</f>
        <v>Sunday Best</v>
      </c>
      <c r="E1417" t="str">
        <f>IFERROR(__xludf.DUMMYFUNCTION("""COMPUTED_VALUE"""),"Surfaces")</f>
        <v>Surfaces</v>
      </c>
      <c r="F1417" t="str">
        <f>IFERROR(__xludf.DUMMYFUNCTION("""COMPUTED_VALUE"""),"Where the Light Is")</f>
        <v>Where the Light Is</v>
      </c>
      <c r="G1417">
        <f>IFERROR(__xludf.DUMMYFUNCTION("""COMPUTED_VALUE"""),0.0)</f>
        <v>0</v>
      </c>
      <c r="H1417" s="5">
        <f>IFERROR(__xludf.DUMMYFUNCTION("""COMPUTED_VALUE"""),0.10972222222335404)</f>
        <v>0.1097222222</v>
      </c>
    </row>
    <row r="1418">
      <c r="A1418" t="str">
        <f>IFERROR(__xludf.DUMMYFUNCTION("""COMPUTED_VALUE"""),"Indonesia")</f>
        <v>Indonesia</v>
      </c>
      <c r="B1418" t="str">
        <f>IFERROR(__xludf.DUMMYFUNCTION("""COMPUTED_VALUE"""),"Asia")</f>
        <v>Asia</v>
      </c>
      <c r="C1418">
        <f>IFERROR(__xludf.DUMMYFUNCTION("""COMPUTED_VALUE"""),17.0)</f>
        <v>17</v>
      </c>
      <c r="D1418" t="str">
        <f>IFERROR(__xludf.DUMMYFUNCTION("""COMPUTED_VALUE"""),"Secukupnya")</f>
        <v>Secukupnya</v>
      </c>
      <c r="E1418" t="str">
        <f>IFERROR(__xludf.DUMMYFUNCTION("""COMPUTED_VALUE"""),"Hindia")</f>
        <v>Hindia</v>
      </c>
      <c r="F1418" t="str">
        <f>IFERROR(__xludf.DUMMYFUNCTION("""COMPUTED_VALUE"""),"Menari Dengan Bayangan")</f>
        <v>Menari Dengan Bayangan</v>
      </c>
      <c r="G1418">
        <f>IFERROR(__xludf.DUMMYFUNCTION("""COMPUTED_VALUE"""),0.0)</f>
        <v>0</v>
      </c>
      <c r="H1418" s="5">
        <f>IFERROR(__xludf.DUMMYFUNCTION("""COMPUTED_VALUE"""),0.14236111110949423)</f>
        <v>0.1423611111</v>
      </c>
    </row>
    <row r="1419">
      <c r="A1419" t="str">
        <f>IFERROR(__xludf.DUMMYFUNCTION("""COMPUTED_VALUE"""),"Indonesia")</f>
        <v>Indonesia</v>
      </c>
      <c r="B1419" t="str">
        <f>IFERROR(__xludf.DUMMYFUNCTION("""COMPUTED_VALUE"""),"Asia")</f>
        <v>Asia</v>
      </c>
      <c r="C1419">
        <f>IFERROR(__xludf.DUMMYFUNCTION("""COMPUTED_VALUE"""),18.0)</f>
        <v>18</v>
      </c>
      <c r="D1419" t="str">
        <f>IFERROR(__xludf.DUMMYFUNCTION("""COMPUTED_VALUE"""),"Takbiran - Version 2")</f>
        <v>Takbiran - Version 2</v>
      </c>
      <c r="E1419" t="str">
        <f>IFERROR(__xludf.DUMMYFUNCTION("""COMPUTED_VALUE"""),"Ustad Jefri Al Buchori, H. Aswan Faisal")</f>
        <v>Ustad Jefri Al Buchori, H. Aswan Faisal</v>
      </c>
      <c r="F1419" t="str">
        <f>IFERROR(__xludf.DUMMYFUNCTION("""COMPUTED_VALUE"""),"Takbiran")</f>
        <v>Takbiran</v>
      </c>
      <c r="G1419">
        <f>IFERROR(__xludf.DUMMYFUNCTION("""COMPUTED_VALUE"""),0.0)</f>
        <v>0</v>
      </c>
      <c r="H1419" s="5">
        <f>IFERROR(__xludf.DUMMYFUNCTION("""COMPUTED_VALUE"""),0.5402777777781012)</f>
        <v>0.5402777778</v>
      </c>
    </row>
    <row r="1420">
      <c r="A1420" t="str">
        <f>IFERROR(__xludf.DUMMYFUNCTION("""COMPUTED_VALUE"""),"Indonesia")</f>
        <v>Indonesia</v>
      </c>
      <c r="B1420" t="str">
        <f>IFERROR(__xludf.DUMMYFUNCTION("""COMPUTED_VALUE"""),"Asia")</f>
        <v>Asia</v>
      </c>
      <c r="C1420">
        <f>IFERROR(__xludf.DUMMYFUNCTION("""COMPUTED_VALUE"""),19.0)</f>
        <v>19</v>
      </c>
      <c r="D1420" t="str">
        <f>IFERROR(__xludf.DUMMYFUNCTION("""COMPUTED_VALUE"""),"Alone, Pt. II")</f>
        <v>Alone, Pt. II</v>
      </c>
      <c r="E1420" t="str">
        <f>IFERROR(__xludf.DUMMYFUNCTION("""COMPUTED_VALUE"""),"Alan Walker, Ava Max")</f>
        <v>Alan Walker, Ava Max</v>
      </c>
      <c r="F1420" t="str">
        <f>IFERROR(__xludf.DUMMYFUNCTION("""COMPUTED_VALUE"""),"Alone, Pt. II")</f>
        <v>Alone, Pt. II</v>
      </c>
      <c r="G1420">
        <f>IFERROR(__xludf.DUMMYFUNCTION("""COMPUTED_VALUE"""),0.0)</f>
        <v>0</v>
      </c>
      <c r="H1420" s="5">
        <f>IFERROR(__xludf.DUMMYFUNCTION("""COMPUTED_VALUE"""),0.1243055555569299)</f>
        <v>0.1243055556</v>
      </c>
    </row>
    <row r="1421">
      <c r="A1421" t="str">
        <f>IFERROR(__xludf.DUMMYFUNCTION("""COMPUTED_VALUE"""),"Indonesia")</f>
        <v>Indonesia</v>
      </c>
      <c r="B1421" t="str">
        <f>IFERROR(__xludf.DUMMYFUNCTION("""COMPUTED_VALUE"""),"Asia")</f>
        <v>Asia</v>
      </c>
      <c r="C1421">
        <f>IFERROR(__xludf.DUMMYFUNCTION("""COMPUTED_VALUE"""),20.0)</f>
        <v>20</v>
      </c>
      <c r="D1421" t="str">
        <f>IFERROR(__xludf.DUMMYFUNCTION("""COMPUTED_VALUE"""),"Memories")</f>
        <v>Memories</v>
      </c>
      <c r="E1421" t="str">
        <f>IFERROR(__xludf.DUMMYFUNCTION("""COMPUTED_VALUE"""),"Maroon 5")</f>
        <v>Maroon 5</v>
      </c>
      <c r="F1421" t="str">
        <f>IFERROR(__xludf.DUMMYFUNCTION("""COMPUTED_VALUE"""),"Memories")</f>
        <v>Memories</v>
      </c>
      <c r="G1421">
        <f>IFERROR(__xludf.DUMMYFUNCTION("""COMPUTED_VALUE"""),0.0)</f>
        <v>0</v>
      </c>
      <c r="H1421" s="5">
        <f>IFERROR(__xludf.DUMMYFUNCTION("""COMPUTED_VALUE"""),0.1312499999985448)</f>
        <v>0.13125</v>
      </c>
    </row>
    <row r="1422">
      <c r="A1422" t="str">
        <f>IFERROR(__xludf.DUMMYFUNCTION("""COMPUTED_VALUE"""),"Indonesia")</f>
        <v>Indonesia</v>
      </c>
      <c r="B1422" t="str">
        <f>IFERROR(__xludf.DUMMYFUNCTION("""COMPUTED_VALUE"""),"Asia")</f>
        <v>Asia</v>
      </c>
      <c r="C1422">
        <f>IFERROR(__xludf.DUMMYFUNCTION("""COMPUTED_VALUE"""),21.0)</f>
        <v>21</v>
      </c>
      <c r="D1422" t="str">
        <f>IFERROR(__xludf.DUMMYFUNCTION("""COMPUTED_VALUE"""),"Kenangan Manis")</f>
        <v>Kenangan Manis</v>
      </c>
      <c r="E1422" t="str">
        <f>IFERROR(__xludf.DUMMYFUNCTION("""COMPUTED_VALUE"""),"Pamungkas")</f>
        <v>Pamungkas</v>
      </c>
      <c r="F1422" t="str">
        <f>IFERROR(__xludf.DUMMYFUNCTION("""COMPUTED_VALUE"""),"Walk The Talk")</f>
        <v>Walk The Talk</v>
      </c>
      <c r="G1422">
        <f>IFERROR(__xludf.DUMMYFUNCTION("""COMPUTED_VALUE"""),0.0)</f>
        <v>0</v>
      </c>
      <c r="H1422" s="5">
        <f>IFERROR(__xludf.DUMMYFUNCTION("""COMPUTED_VALUE"""),0.1437499999992724)</f>
        <v>0.14375</v>
      </c>
    </row>
    <row r="1423">
      <c r="A1423" t="str">
        <f>IFERROR(__xludf.DUMMYFUNCTION("""COMPUTED_VALUE"""),"Indonesia")</f>
        <v>Indonesia</v>
      </c>
      <c r="B1423" t="str">
        <f>IFERROR(__xludf.DUMMYFUNCTION("""COMPUTED_VALUE"""),"Asia")</f>
        <v>Asia</v>
      </c>
      <c r="C1423">
        <f>IFERROR(__xludf.DUMMYFUNCTION("""COMPUTED_VALUE"""),22.0)</f>
        <v>22</v>
      </c>
      <c r="D1423" t="str">
        <f>IFERROR(__xludf.DUMMYFUNCTION("""COMPUTED_VALUE"""),"I Like You So Much, You'll Know It")</f>
        <v>I Like You So Much, You'll Know It</v>
      </c>
      <c r="E1423" t="str">
        <f>IFERROR(__xludf.DUMMYFUNCTION("""COMPUTED_VALUE"""),"Honey Jemlan")</f>
        <v>Honey Jemlan</v>
      </c>
      <c r="F1423" t="str">
        <f>IFERROR(__xludf.DUMMYFUNCTION("""COMPUTED_VALUE"""),"Lost In Music")</f>
        <v>Lost In Music</v>
      </c>
      <c r="G1423">
        <f>IFERROR(__xludf.DUMMYFUNCTION("""COMPUTED_VALUE"""),0.0)</f>
        <v>0</v>
      </c>
      <c r="H1423" s="5">
        <f>IFERROR(__xludf.DUMMYFUNCTION("""COMPUTED_VALUE"""),0.1381944444437977)</f>
        <v>0.1381944444</v>
      </c>
    </row>
    <row r="1424">
      <c r="A1424" t="str">
        <f>IFERROR(__xludf.DUMMYFUNCTION("""COMPUTED_VALUE"""),"Indonesia")</f>
        <v>Indonesia</v>
      </c>
      <c r="B1424" t="str">
        <f>IFERROR(__xludf.DUMMYFUNCTION("""COMPUTED_VALUE"""),"Asia")</f>
        <v>Asia</v>
      </c>
      <c r="C1424">
        <f>IFERROR(__xludf.DUMMYFUNCTION("""COMPUTED_VALUE"""),23.0)</f>
        <v>23</v>
      </c>
      <c r="D1424" t="str">
        <f>IFERROR(__xludf.DUMMYFUNCTION("""COMPUTED_VALUE"""),"ily (i love you baby) (feat. Emilee)")</f>
        <v>ily (i love you baby) (feat. Emilee)</v>
      </c>
      <c r="E1424" t="str">
        <f>IFERROR(__xludf.DUMMYFUNCTION("""COMPUTED_VALUE"""),"Surf Mesa, Emilee")</f>
        <v>Surf Mesa, Emilee</v>
      </c>
      <c r="F1424" t="str">
        <f>IFERROR(__xludf.DUMMYFUNCTION("""COMPUTED_VALUE"""),"ily (i love you baby) (feat. Emilee)")</f>
        <v>ily (i love you baby) (feat. Emilee)</v>
      </c>
      <c r="G1424">
        <f>IFERROR(__xludf.DUMMYFUNCTION("""COMPUTED_VALUE"""),0.0)</f>
        <v>0</v>
      </c>
      <c r="H1424" s="5">
        <f>IFERROR(__xludf.DUMMYFUNCTION("""COMPUTED_VALUE"""),0.12222222222044365)</f>
        <v>0.1222222222</v>
      </c>
    </row>
    <row r="1425">
      <c r="A1425" t="str">
        <f>IFERROR(__xludf.DUMMYFUNCTION("""COMPUTED_VALUE"""),"Indonesia")</f>
        <v>Indonesia</v>
      </c>
      <c r="B1425" t="str">
        <f>IFERROR(__xludf.DUMMYFUNCTION("""COMPUTED_VALUE"""),"Asia")</f>
        <v>Asia</v>
      </c>
      <c r="C1425">
        <f>IFERROR(__xludf.DUMMYFUNCTION("""COMPUTED_VALUE"""),24.0)</f>
        <v>24</v>
      </c>
      <c r="D1425" t="str">
        <f>IFERROR(__xludf.DUMMYFUNCTION("""COMPUTED_VALUE"""),"Terlalu Cinta")</f>
        <v>Terlalu Cinta</v>
      </c>
      <c r="E1425" t="str">
        <f>IFERROR(__xludf.DUMMYFUNCTION("""COMPUTED_VALUE"""),"Rossa")</f>
        <v>Rossa</v>
      </c>
      <c r="F1425" t="str">
        <f>IFERROR(__xludf.DUMMYFUNCTION("""COMPUTED_VALUE"""),"Yang Terpilih")</f>
        <v>Yang Terpilih</v>
      </c>
      <c r="G1425">
        <f>IFERROR(__xludf.DUMMYFUNCTION("""COMPUTED_VALUE"""),0.0)</f>
        <v>0</v>
      </c>
      <c r="H1425" s="5">
        <f>IFERROR(__xludf.DUMMYFUNCTION("""COMPUTED_VALUE"""),0.17222222222335404)</f>
        <v>0.1722222222</v>
      </c>
    </row>
    <row r="1426">
      <c r="A1426" t="str">
        <f>IFERROR(__xludf.DUMMYFUNCTION("""COMPUTED_VALUE"""),"Indonesia")</f>
        <v>Indonesia</v>
      </c>
      <c r="B1426" t="str">
        <f>IFERROR(__xludf.DUMMYFUNCTION("""COMPUTED_VALUE"""),"Asia")</f>
        <v>Asia</v>
      </c>
      <c r="C1426">
        <f>IFERROR(__xludf.DUMMYFUNCTION("""COMPUTED_VALUE"""),25.0)</f>
        <v>25</v>
      </c>
      <c r="D1426" t="str">
        <f>IFERROR(__xludf.DUMMYFUNCTION("""COMPUTED_VALUE"""),"Waktu Yang Salah")</f>
        <v>Waktu Yang Salah</v>
      </c>
      <c r="E1426" t="str">
        <f>IFERROR(__xludf.DUMMYFUNCTION("""COMPUTED_VALUE"""),"Fiersa Besari, Thantri")</f>
        <v>Fiersa Besari, Thantri</v>
      </c>
      <c r="F1426" t="str">
        <f>IFERROR(__xludf.DUMMYFUNCTION("""COMPUTED_VALUE"""),"Tempat Aku Pulang")</f>
        <v>Tempat Aku Pulang</v>
      </c>
      <c r="G1426">
        <f>IFERROR(__xludf.DUMMYFUNCTION("""COMPUTED_VALUE"""),0.0)</f>
        <v>0</v>
      </c>
      <c r="H1426" s="5">
        <f>IFERROR(__xludf.DUMMYFUNCTION("""COMPUTED_VALUE"""),0.22569444444525288)</f>
        <v>0.2256944444</v>
      </c>
    </row>
    <row r="1427">
      <c r="A1427" t="str">
        <f>IFERROR(__xludf.DUMMYFUNCTION("""COMPUTED_VALUE"""),"Indonesia")</f>
        <v>Indonesia</v>
      </c>
      <c r="B1427" t="str">
        <f>IFERROR(__xludf.DUMMYFUNCTION("""COMPUTED_VALUE"""),"Asia")</f>
        <v>Asia</v>
      </c>
      <c r="C1427">
        <f>IFERROR(__xludf.DUMMYFUNCTION("""COMPUTED_VALUE"""),26.0)</f>
        <v>26</v>
      </c>
      <c r="D1427" t="str">
        <f>IFERROR(__xludf.DUMMYFUNCTION("""COMPUTED_VALUE"""),"Lebih Dari Egoku")</f>
        <v>Lebih Dari Egoku</v>
      </c>
      <c r="E1427" t="str">
        <f>IFERROR(__xludf.DUMMYFUNCTION("""COMPUTED_VALUE"""),"Mawar De Jongh")</f>
        <v>Mawar De Jongh</v>
      </c>
      <c r="F1427" t="str">
        <f>IFERROR(__xludf.DUMMYFUNCTION("""COMPUTED_VALUE"""),"Lebih Dari Egoku")</f>
        <v>Lebih Dari Egoku</v>
      </c>
      <c r="G1427">
        <f>IFERROR(__xludf.DUMMYFUNCTION("""COMPUTED_VALUE"""),0.0)</f>
        <v>0</v>
      </c>
      <c r="H1427" s="5">
        <f>IFERROR(__xludf.DUMMYFUNCTION("""COMPUTED_VALUE"""),0.17291666666642413)</f>
        <v>0.1729166667</v>
      </c>
    </row>
    <row r="1428">
      <c r="A1428" t="str">
        <f>IFERROR(__xludf.DUMMYFUNCTION("""COMPUTED_VALUE"""),"Indonesia")</f>
        <v>Indonesia</v>
      </c>
      <c r="B1428" t="str">
        <f>IFERROR(__xludf.DUMMYFUNCTION("""COMPUTED_VALUE"""),"Asia")</f>
        <v>Asia</v>
      </c>
      <c r="C1428">
        <f>IFERROR(__xludf.DUMMYFUNCTION("""COMPUTED_VALUE"""),27.0)</f>
        <v>27</v>
      </c>
      <c r="D1428" t="str">
        <f>IFERROR(__xludf.DUMMYFUNCTION("""COMPUTED_VALUE"""),"Daechwita")</f>
        <v>Daechwita</v>
      </c>
      <c r="E1428" t="str">
        <f>IFERROR(__xludf.DUMMYFUNCTION("""COMPUTED_VALUE"""),"Agust D")</f>
        <v>Agust D</v>
      </c>
      <c r="F1428" t="str">
        <f>IFERROR(__xludf.DUMMYFUNCTION("""COMPUTED_VALUE"""),"D-2")</f>
        <v>D-2</v>
      </c>
      <c r="G1428">
        <f>IFERROR(__xludf.DUMMYFUNCTION("""COMPUTED_VALUE"""),1.0)</f>
        <v>1</v>
      </c>
      <c r="H1428" s="5">
        <f>IFERROR(__xludf.DUMMYFUNCTION("""COMPUTED_VALUE"""),0.15625)</f>
        <v>0.15625</v>
      </c>
    </row>
    <row r="1429">
      <c r="A1429" t="str">
        <f>IFERROR(__xludf.DUMMYFUNCTION("""COMPUTED_VALUE"""),"Indonesia")</f>
        <v>Indonesia</v>
      </c>
      <c r="B1429" t="str">
        <f>IFERROR(__xludf.DUMMYFUNCTION("""COMPUTED_VALUE"""),"Asia")</f>
        <v>Asia</v>
      </c>
      <c r="C1429">
        <f>IFERROR(__xludf.DUMMYFUNCTION("""COMPUTED_VALUE"""),28.0)</f>
        <v>28</v>
      </c>
      <c r="D1429" t="str">
        <f>IFERROR(__xludf.DUMMYFUNCTION("""COMPUTED_VALUE"""),"ROXANNE")</f>
        <v>ROXANNE</v>
      </c>
      <c r="E1429" t="str">
        <f>IFERROR(__xludf.DUMMYFUNCTION("""COMPUTED_VALUE"""),"Arizona Zervas")</f>
        <v>Arizona Zervas</v>
      </c>
      <c r="F1429" t="str">
        <f>IFERROR(__xludf.DUMMYFUNCTION("""COMPUTED_VALUE"""),"ROXANNE")</f>
        <v>ROXANNE</v>
      </c>
      <c r="G1429">
        <f>IFERROR(__xludf.DUMMYFUNCTION("""COMPUTED_VALUE"""),1.0)</f>
        <v>1</v>
      </c>
      <c r="H1429" s="5">
        <f>IFERROR(__xludf.DUMMYFUNCTION("""COMPUTED_VALUE"""),0.11319444444598048)</f>
        <v>0.1131944444</v>
      </c>
    </row>
    <row r="1430">
      <c r="A1430" t="str">
        <f>IFERROR(__xludf.DUMMYFUNCTION("""COMPUTED_VALUE"""),"Indonesia")</f>
        <v>Indonesia</v>
      </c>
      <c r="B1430" t="str">
        <f>IFERROR(__xludf.DUMMYFUNCTION("""COMPUTED_VALUE"""),"Asia")</f>
        <v>Asia</v>
      </c>
      <c r="C1430">
        <f>IFERROR(__xludf.DUMMYFUNCTION("""COMPUTED_VALUE"""),29.0)</f>
        <v>29</v>
      </c>
      <c r="D1430" t="str">
        <f>IFERROR(__xludf.DUMMYFUNCTION("""COMPUTED_VALUE"""),"Perlahan")</f>
        <v>Perlahan</v>
      </c>
      <c r="E1430" t="str">
        <f>IFERROR(__xludf.DUMMYFUNCTION("""COMPUTED_VALUE"""),"GUYON WATON")</f>
        <v>GUYON WATON</v>
      </c>
      <c r="F1430" t="str">
        <f>IFERROR(__xludf.DUMMYFUNCTION("""COMPUTED_VALUE"""),"Perlahan")</f>
        <v>Perlahan</v>
      </c>
      <c r="G1430">
        <f>IFERROR(__xludf.DUMMYFUNCTION("""COMPUTED_VALUE"""),0.0)</f>
        <v>0</v>
      </c>
      <c r="H1430" s="5">
        <f>IFERROR(__xludf.DUMMYFUNCTION("""COMPUTED_VALUE"""),0.20833333333212067)</f>
        <v>0.2083333333</v>
      </c>
    </row>
    <row r="1431">
      <c r="A1431" t="str">
        <f>IFERROR(__xludf.DUMMYFUNCTION("""COMPUTED_VALUE"""),"Indonesia")</f>
        <v>Indonesia</v>
      </c>
      <c r="B1431" t="str">
        <f>IFERROR(__xludf.DUMMYFUNCTION("""COMPUTED_VALUE"""),"Asia")</f>
        <v>Asia</v>
      </c>
      <c r="C1431">
        <f>IFERROR(__xludf.DUMMYFUNCTION("""COMPUTED_VALUE"""),30.0)</f>
        <v>30</v>
      </c>
      <c r="D1431" t="str">
        <f>IFERROR(__xludf.DUMMYFUNCTION("""COMPUTED_VALUE"""),"Pelukku Untuk Pelikmu - OST Imperfect: Karier, Cinta, &amp; Timbangan")</f>
        <v>Pelukku Untuk Pelikmu - OST Imperfect: Karier, Cinta, &amp; Timbangan</v>
      </c>
      <c r="E1431" t="str">
        <f>IFERROR(__xludf.DUMMYFUNCTION("""COMPUTED_VALUE"""),"Fiersa Besari")</f>
        <v>Fiersa Besari</v>
      </c>
      <c r="F1431" t="str">
        <f>IFERROR(__xludf.DUMMYFUNCTION("""COMPUTED_VALUE"""),"Pelukku Untuk Pelikmu (OST Imperfect: Karier, Cinta, &amp; Timbangan)")</f>
        <v>Pelukku Untuk Pelikmu (OST Imperfect: Karier, Cinta, &amp; Timbangan)</v>
      </c>
      <c r="G1431">
        <f>IFERROR(__xludf.DUMMYFUNCTION("""COMPUTED_VALUE"""),0.0)</f>
        <v>0</v>
      </c>
      <c r="H1431" s="5">
        <f>IFERROR(__xludf.DUMMYFUNCTION("""COMPUTED_VALUE"""),0.17291666666642413)</f>
        <v>0.1729166667</v>
      </c>
    </row>
    <row r="1432">
      <c r="A1432" t="str">
        <f>IFERROR(__xludf.DUMMYFUNCTION("""COMPUTED_VALUE"""),"Indonesia")</f>
        <v>Indonesia</v>
      </c>
      <c r="B1432" t="str">
        <f>IFERROR(__xludf.DUMMYFUNCTION("""COMPUTED_VALUE"""),"Asia")</f>
        <v>Asia</v>
      </c>
      <c r="C1432">
        <f>IFERROR(__xludf.DUMMYFUNCTION("""COMPUTED_VALUE"""),31.0)</f>
        <v>31</v>
      </c>
      <c r="D1432" t="str">
        <f>IFERROR(__xludf.DUMMYFUNCTION("""COMPUTED_VALUE"""),"Don't Start Now")</f>
        <v>Don't Start Now</v>
      </c>
      <c r="E1432" t="str">
        <f>IFERROR(__xludf.DUMMYFUNCTION("""COMPUTED_VALUE"""),"Dua Lipa")</f>
        <v>Dua Lipa</v>
      </c>
      <c r="F1432" t="str">
        <f>IFERROR(__xludf.DUMMYFUNCTION("""COMPUTED_VALUE"""),"Future Nostalgia")</f>
        <v>Future Nostalgia</v>
      </c>
      <c r="G1432">
        <f>IFERROR(__xludf.DUMMYFUNCTION("""COMPUTED_VALUE"""),0.0)</f>
        <v>0</v>
      </c>
      <c r="H1432" s="5">
        <f>IFERROR(__xludf.DUMMYFUNCTION("""COMPUTED_VALUE"""),0.12708333333284827)</f>
        <v>0.1270833333</v>
      </c>
    </row>
    <row r="1433">
      <c r="A1433" t="str">
        <f>IFERROR(__xludf.DUMMYFUNCTION("""COMPUTED_VALUE"""),"Indonesia")</f>
        <v>Indonesia</v>
      </c>
      <c r="B1433" t="str">
        <f>IFERROR(__xludf.DUMMYFUNCTION("""COMPUTED_VALUE"""),"Asia")</f>
        <v>Asia</v>
      </c>
      <c r="C1433">
        <f>IFERROR(__xludf.DUMMYFUNCTION("""COMPUTED_VALUE"""),32.0)</f>
        <v>32</v>
      </c>
      <c r="D1433" t="str">
        <f>IFERROR(__xludf.DUMMYFUNCTION("""COMPUTED_VALUE"""),"Toosie Slide")</f>
        <v>Toosie Slide</v>
      </c>
      <c r="E1433" t="str">
        <f>IFERROR(__xludf.DUMMYFUNCTION("""COMPUTED_VALUE"""),"Drake")</f>
        <v>Drake</v>
      </c>
      <c r="F1433" t="str">
        <f>IFERROR(__xludf.DUMMYFUNCTION("""COMPUTED_VALUE"""),"Dark Lane Demo Tapes")</f>
        <v>Dark Lane Demo Tapes</v>
      </c>
      <c r="G1433">
        <f>IFERROR(__xludf.DUMMYFUNCTION("""COMPUTED_VALUE"""),1.0)</f>
        <v>1</v>
      </c>
      <c r="H1433" s="5">
        <f>IFERROR(__xludf.DUMMYFUNCTION("""COMPUTED_VALUE"""),0.17152777777664596)</f>
        <v>0.1715277778</v>
      </c>
    </row>
    <row r="1434">
      <c r="A1434" t="str">
        <f>IFERROR(__xludf.DUMMYFUNCTION("""COMPUTED_VALUE"""),"Indonesia")</f>
        <v>Indonesia</v>
      </c>
      <c r="B1434" t="str">
        <f>IFERROR(__xludf.DUMMYFUNCTION("""COMPUTED_VALUE"""),"Asia")</f>
        <v>Asia</v>
      </c>
      <c r="C1434">
        <f>IFERROR(__xludf.DUMMYFUNCTION("""COMPUTED_VALUE"""),33.0)</f>
        <v>33</v>
      </c>
      <c r="D1434" t="str">
        <f>IFERROR(__xludf.DUMMYFUNCTION("""COMPUTED_VALUE"""),"Rain On Me (with Ariana Grande)")</f>
        <v>Rain On Me (with Ariana Grande)</v>
      </c>
      <c r="E1434" t="str">
        <f>IFERROR(__xludf.DUMMYFUNCTION("""COMPUTED_VALUE"""),"Lady Gaga, Ariana Grande")</f>
        <v>Lady Gaga, Ariana Grande</v>
      </c>
      <c r="F1434" t="str">
        <f>IFERROR(__xludf.DUMMYFUNCTION("""COMPUTED_VALUE"""),"Rain On Me (with Ariana Grande)")</f>
        <v>Rain On Me (with Ariana Grande)</v>
      </c>
      <c r="G1434">
        <f>IFERROR(__xludf.DUMMYFUNCTION("""COMPUTED_VALUE"""),0.0)</f>
        <v>0</v>
      </c>
      <c r="H1434" s="5">
        <f>IFERROR(__xludf.DUMMYFUNCTION("""COMPUTED_VALUE"""),0.12638888888977817)</f>
        <v>0.1263888889</v>
      </c>
    </row>
    <row r="1435">
      <c r="A1435" t="str">
        <f>IFERROR(__xludf.DUMMYFUNCTION("""COMPUTED_VALUE"""),"Indonesia")</f>
        <v>Indonesia</v>
      </c>
      <c r="B1435" t="str">
        <f>IFERROR(__xludf.DUMMYFUNCTION("""COMPUTED_VALUE"""),"Asia")</f>
        <v>Asia</v>
      </c>
      <c r="C1435">
        <f>IFERROR(__xludf.DUMMYFUNCTION("""COMPUTED_VALUE"""),34.0)</f>
        <v>34</v>
      </c>
      <c r="D1435" t="str">
        <f>IFERROR(__xludf.DUMMYFUNCTION("""COMPUTED_VALUE"""),"Sedang Sayang Sayangnya")</f>
        <v>Sedang Sayang Sayangnya</v>
      </c>
      <c r="E1435" t="str">
        <f>IFERROR(__xludf.DUMMYFUNCTION("""COMPUTED_VALUE"""),"Mawar De Jongh")</f>
        <v>Mawar De Jongh</v>
      </c>
      <c r="F1435" t="str">
        <f>IFERROR(__xludf.DUMMYFUNCTION("""COMPUTED_VALUE"""),"Sedang Sayang Sayangnya")</f>
        <v>Sedang Sayang Sayangnya</v>
      </c>
      <c r="G1435">
        <f>IFERROR(__xludf.DUMMYFUNCTION("""COMPUTED_VALUE"""),0.0)</f>
        <v>0</v>
      </c>
      <c r="H1435" s="5">
        <f>IFERROR(__xludf.DUMMYFUNCTION("""COMPUTED_VALUE"""),0.1812500000014552)</f>
        <v>0.18125</v>
      </c>
    </row>
    <row r="1436">
      <c r="A1436" t="str">
        <f>IFERROR(__xludf.DUMMYFUNCTION("""COMPUTED_VALUE"""),"Indonesia")</f>
        <v>Indonesia</v>
      </c>
      <c r="B1436" t="str">
        <f>IFERROR(__xludf.DUMMYFUNCTION("""COMPUTED_VALUE"""),"Asia")</f>
        <v>Asia</v>
      </c>
      <c r="C1436">
        <f>IFERROR(__xludf.DUMMYFUNCTION("""COMPUTED_VALUE"""),35.0)</f>
        <v>35</v>
      </c>
      <c r="D1436" t="str">
        <f>IFERROR(__xludf.DUMMYFUNCTION("""COMPUTED_VALUE"""),"Bad Liar")</f>
        <v>Bad Liar</v>
      </c>
      <c r="E1436" t="str">
        <f>IFERROR(__xludf.DUMMYFUNCTION("""COMPUTED_VALUE"""),"Anna Hamilton")</f>
        <v>Anna Hamilton</v>
      </c>
      <c r="F1436" t="str">
        <f>IFERROR(__xludf.DUMMYFUNCTION("""COMPUTED_VALUE"""),"Bad Liar")</f>
        <v>Bad Liar</v>
      </c>
      <c r="G1436">
        <f>IFERROR(__xludf.DUMMYFUNCTION("""COMPUTED_VALUE"""),0.0)</f>
        <v>0</v>
      </c>
      <c r="H1436" s="5">
        <f>IFERROR(__xludf.DUMMYFUNCTION("""COMPUTED_VALUE"""),0.17222222222335404)</f>
        <v>0.1722222222</v>
      </c>
    </row>
    <row r="1437">
      <c r="A1437" t="str">
        <f>IFERROR(__xludf.DUMMYFUNCTION("""COMPUTED_VALUE"""),"Indonesia")</f>
        <v>Indonesia</v>
      </c>
      <c r="B1437" t="str">
        <f>IFERROR(__xludf.DUMMYFUNCTION("""COMPUTED_VALUE"""),"Asia")</f>
        <v>Asia</v>
      </c>
      <c r="C1437">
        <f>IFERROR(__xludf.DUMMYFUNCTION("""COMPUTED_VALUE"""),36.0)</f>
        <v>36</v>
      </c>
      <c r="D1437" t="str">
        <f>IFERROR(__xludf.DUMMYFUNCTION("""COMPUTED_VALUE"""),"Yummy")</f>
        <v>Yummy</v>
      </c>
      <c r="E1437" t="str">
        <f>IFERROR(__xludf.DUMMYFUNCTION("""COMPUTED_VALUE"""),"Justin Bieber")</f>
        <v>Justin Bieber</v>
      </c>
      <c r="F1437" t="str">
        <f>IFERROR(__xludf.DUMMYFUNCTION("""COMPUTED_VALUE"""),"Changes")</f>
        <v>Changes</v>
      </c>
      <c r="G1437">
        <f>IFERROR(__xludf.DUMMYFUNCTION("""COMPUTED_VALUE"""),0.0)</f>
        <v>0</v>
      </c>
      <c r="H1437" s="5">
        <f>IFERROR(__xludf.DUMMYFUNCTION("""COMPUTED_VALUE"""),0.14444444444598048)</f>
        <v>0.1444444444</v>
      </c>
    </row>
    <row r="1438">
      <c r="A1438" t="str">
        <f>IFERROR(__xludf.DUMMYFUNCTION("""COMPUTED_VALUE"""),"Indonesia")</f>
        <v>Indonesia</v>
      </c>
      <c r="B1438" t="str">
        <f>IFERROR(__xludf.DUMMYFUNCTION("""COMPUTED_VALUE"""),"Asia")</f>
        <v>Asia</v>
      </c>
      <c r="C1438">
        <f>IFERROR(__xludf.DUMMYFUNCTION("""COMPUTED_VALUE"""),37.0)</f>
        <v>37</v>
      </c>
      <c r="D1438" t="str">
        <f>IFERROR(__xludf.DUMMYFUNCTION("""COMPUTED_VALUE"""),"Like That (feat. Gucci Mane)")</f>
        <v>Like That (feat. Gucci Mane)</v>
      </c>
      <c r="E1438" t="str">
        <f>IFERROR(__xludf.DUMMYFUNCTION("""COMPUTED_VALUE"""),"Doja Cat, Gucci Mane")</f>
        <v>Doja Cat, Gucci Mane</v>
      </c>
      <c r="F1438" t="str">
        <f>IFERROR(__xludf.DUMMYFUNCTION("""COMPUTED_VALUE"""),"Hot Pink")</f>
        <v>Hot Pink</v>
      </c>
      <c r="G1438">
        <f>IFERROR(__xludf.DUMMYFUNCTION("""COMPUTED_VALUE"""),1.0)</f>
        <v>1</v>
      </c>
      <c r="H1438" s="5">
        <f>IFERROR(__xludf.DUMMYFUNCTION("""COMPUTED_VALUE"""),0.11319444444598048)</f>
        <v>0.1131944444</v>
      </c>
    </row>
    <row r="1439">
      <c r="A1439" t="str">
        <f>IFERROR(__xludf.DUMMYFUNCTION("""COMPUTED_VALUE"""),"Indonesia")</f>
        <v>Indonesia</v>
      </c>
      <c r="B1439" t="str">
        <f>IFERROR(__xludf.DUMMYFUNCTION("""COMPUTED_VALUE"""),"Asia")</f>
        <v>Asia</v>
      </c>
      <c r="C1439">
        <f>IFERROR(__xludf.DUMMYFUNCTION("""COMPUTED_VALUE"""),38.0)</f>
        <v>38</v>
      </c>
      <c r="D1439" t="str">
        <f>IFERROR(__xludf.DUMMYFUNCTION("""COMPUTED_VALUE"""),"Rayu")</f>
        <v>Rayu</v>
      </c>
      <c r="E1439" t="str">
        <f>IFERROR(__xludf.DUMMYFUNCTION("""COMPUTED_VALUE"""),"Marion Jola, Laleilmanino")</f>
        <v>Marion Jola, Laleilmanino</v>
      </c>
      <c r="F1439" t="str">
        <f>IFERROR(__xludf.DUMMYFUNCTION("""COMPUTED_VALUE"""),"Marion")</f>
        <v>Marion</v>
      </c>
      <c r="G1439">
        <f>IFERROR(__xludf.DUMMYFUNCTION("""COMPUTED_VALUE"""),0.0)</f>
        <v>0</v>
      </c>
      <c r="H1439" s="5">
        <f>IFERROR(__xludf.DUMMYFUNCTION("""COMPUTED_VALUE"""),0.15347222222044365)</f>
        <v>0.1534722222</v>
      </c>
    </row>
    <row r="1440">
      <c r="A1440" t="str">
        <f>IFERROR(__xludf.DUMMYFUNCTION("""COMPUTED_VALUE"""),"Indonesia")</f>
        <v>Indonesia</v>
      </c>
      <c r="B1440" t="str">
        <f>IFERROR(__xludf.DUMMYFUNCTION("""COMPUTED_VALUE"""),"Asia")</f>
        <v>Asia</v>
      </c>
      <c r="C1440">
        <f>IFERROR(__xludf.DUMMYFUNCTION("""COMPUTED_VALUE"""),39.0)</f>
        <v>39</v>
      </c>
      <c r="D1440" t="str">
        <f>IFERROR(__xludf.DUMMYFUNCTION("""COMPUTED_VALUE"""),"Bad Liar")</f>
        <v>Bad Liar</v>
      </c>
      <c r="E1440" t="str">
        <f>IFERROR(__xludf.DUMMYFUNCTION("""COMPUTED_VALUE"""),"Imagine Dragons")</f>
        <v>Imagine Dragons</v>
      </c>
      <c r="F1440" t="str">
        <f>IFERROR(__xludf.DUMMYFUNCTION("""COMPUTED_VALUE"""),"Origins (Deluxe)")</f>
        <v>Origins (Deluxe)</v>
      </c>
      <c r="G1440">
        <f>IFERROR(__xludf.DUMMYFUNCTION("""COMPUTED_VALUE"""),0.0)</f>
        <v>0</v>
      </c>
      <c r="H1440" s="5">
        <f>IFERROR(__xludf.DUMMYFUNCTION("""COMPUTED_VALUE"""),0.18055555555474712)</f>
        <v>0.1805555556</v>
      </c>
    </row>
    <row r="1441">
      <c r="A1441" t="str">
        <f>IFERROR(__xludf.DUMMYFUNCTION("""COMPUTED_VALUE"""),"Indonesia")</f>
        <v>Indonesia</v>
      </c>
      <c r="B1441" t="str">
        <f>IFERROR(__xludf.DUMMYFUNCTION("""COMPUTED_VALUE"""),"Asia")</f>
        <v>Asia</v>
      </c>
      <c r="C1441">
        <f>IFERROR(__xludf.DUMMYFUNCTION("""COMPUTED_VALUE"""),40.0)</f>
        <v>40</v>
      </c>
      <c r="D1441" t="str">
        <f>IFERROR(__xludf.DUMMYFUNCTION("""COMPUTED_VALUE"""),"Blueberry Faygo")</f>
        <v>Blueberry Faygo</v>
      </c>
      <c r="E1441" t="str">
        <f>IFERROR(__xludf.DUMMYFUNCTION("""COMPUTED_VALUE"""),"Lil Mosey")</f>
        <v>Lil Mosey</v>
      </c>
      <c r="F1441" t="str">
        <f>IFERROR(__xludf.DUMMYFUNCTION("""COMPUTED_VALUE"""),"Certified Hitmaker")</f>
        <v>Certified Hitmaker</v>
      </c>
      <c r="G1441">
        <f>IFERROR(__xludf.DUMMYFUNCTION("""COMPUTED_VALUE"""),1.0)</f>
        <v>1</v>
      </c>
      <c r="H1441" s="5">
        <f>IFERROR(__xludf.DUMMYFUNCTION("""COMPUTED_VALUE"""),0.1124999999992724)</f>
        <v>0.1125</v>
      </c>
    </row>
    <row r="1442">
      <c r="A1442" t="str">
        <f>IFERROR(__xludf.DUMMYFUNCTION("""COMPUTED_VALUE"""),"Indonesia")</f>
        <v>Indonesia</v>
      </c>
      <c r="B1442" t="str">
        <f>IFERROR(__xludf.DUMMYFUNCTION("""COMPUTED_VALUE"""),"Asia")</f>
        <v>Asia</v>
      </c>
      <c r="C1442">
        <f>IFERROR(__xludf.DUMMYFUNCTION("""COMPUTED_VALUE"""),41.0)</f>
        <v>41</v>
      </c>
      <c r="D1442" t="str">
        <f>IFERROR(__xludf.DUMMYFUNCTION("""COMPUTED_VALUE"""),"Can't You See Me?")</f>
        <v>Can't You See Me?</v>
      </c>
      <c r="E1442" t="str">
        <f>IFERROR(__xludf.DUMMYFUNCTION("""COMPUTED_VALUE"""),"TOMORROW X TOGETHER")</f>
        <v>TOMORROW X TOGETHER</v>
      </c>
      <c r="F1442" t="str">
        <f>IFERROR(__xludf.DUMMYFUNCTION("""COMPUTED_VALUE"""),"The Dream Chapter: ETERNITY")</f>
        <v>The Dream Chapter: ETERNITY</v>
      </c>
      <c r="G1442">
        <f>IFERROR(__xludf.DUMMYFUNCTION("""COMPUTED_VALUE"""),0.0)</f>
        <v>0</v>
      </c>
      <c r="H1442" s="5">
        <f>IFERROR(__xludf.DUMMYFUNCTION("""COMPUTED_VALUE"""),0.13958333333357587)</f>
        <v>0.1395833333</v>
      </c>
    </row>
    <row r="1443">
      <c r="A1443" t="str">
        <f>IFERROR(__xludf.DUMMYFUNCTION("""COMPUTED_VALUE"""),"Indonesia")</f>
        <v>Indonesia</v>
      </c>
      <c r="B1443" t="str">
        <f>IFERROR(__xludf.DUMMYFUNCTION("""COMPUTED_VALUE"""),"Asia")</f>
        <v>Asia</v>
      </c>
      <c r="C1443">
        <f>IFERROR(__xludf.DUMMYFUNCTION("""COMPUTED_VALUE"""),42.0)</f>
        <v>42</v>
      </c>
      <c r="D1443" t="str">
        <f>IFERROR(__xludf.DUMMYFUNCTION("""COMPUTED_VALUE"""),"Savage Remix (feat. Beyoncé)")</f>
        <v>Savage Remix (feat. Beyoncé)</v>
      </c>
      <c r="E1443" t="str">
        <f>IFERROR(__xludf.DUMMYFUNCTION("""COMPUTED_VALUE"""),"Megan Thee Stallion, Beyoncé")</f>
        <v>Megan Thee Stallion, Beyoncé</v>
      </c>
      <c r="F1443" t="str">
        <f>IFERROR(__xludf.DUMMYFUNCTION("""COMPUTED_VALUE"""),"Savage Remix (feat. Beyoncé)")</f>
        <v>Savage Remix (feat. Beyoncé)</v>
      </c>
      <c r="G1443">
        <f>IFERROR(__xludf.DUMMYFUNCTION("""COMPUTED_VALUE"""),1.0)</f>
        <v>1</v>
      </c>
      <c r="H1443" s="5">
        <f>IFERROR(__xludf.DUMMYFUNCTION("""COMPUTED_VALUE"""),0.16805555555401952)</f>
        <v>0.1680555556</v>
      </c>
    </row>
    <row r="1444">
      <c r="A1444" t="str">
        <f>IFERROR(__xludf.DUMMYFUNCTION("""COMPUTED_VALUE"""),"Indonesia")</f>
        <v>Indonesia</v>
      </c>
      <c r="B1444" t="str">
        <f>IFERROR(__xludf.DUMMYFUNCTION("""COMPUTED_VALUE"""),"Asia")</f>
        <v>Asia</v>
      </c>
      <c r="C1444">
        <f>IFERROR(__xludf.DUMMYFUNCTION("""COMPUTED_VALUE"""),43.0)</f>
        <v>43</v>
      </c>
      <c r="D1444" t="str">
        <f>IFERROR(__xludf.DUMMYFUNCTION("""COMPUTED_VALUE"""),"Nyaman")</f>
        <v>Nyaman</v>
      </c>
      <c r="E1444" t="str">
        <f>IFERROR(__xludf.DUMMYFUNCTION("""COMPUTED_VALUE"""),"Andmesh")</f>
        <v>Andmesh</v>
      </c>
      <c r="F1444" t="str">
        <f>IFERROR(__xludf.DUMMYFUNCTION("""COMPUTED_VALUE"""),"Cinta Luar Biasa")</f>
        <v>Cinta Luar Biasa</v>
      </c>
      <c r="G1444">
        <f>IFERROR(__xludf.DUMMYFUNCTION("""COMPUTED_VALUE"""),0.0)</f>
        <v>0</v>
      </c>
      <c r="H1444" s="5">
        <f>IFERROR(__xludf.DUMMYFUNCTION("""COMPUTED_VALUE"""),0.1569444444430701)</f>
        <v>0.1569444444</v>
      </c>
    </row>
    <row r="1445">
      <c r="A1445" t="str">
        <f>IFERROR(__xludf.DUMMYFUNCTION("""COMPUTED_VALUE"""),"Indonesia")</f>
        <v>Indonesia</v>
      </c>
      <c r="B1445" t="str">
        <f>IFERROR(__xludf.DUMMYFUNCTION("""COMPUTED_VALUE"""),"Asia")</f>
        <v>Asia</v>
      </c>
      <c r="C1445">
        <f>IFERROR(__xludf.DUMMYFUNCTION("""COMPUTED_VALUE"""),44.0)</f>
        <v>44</v>
      </c>
      <c r="D1445" t="str">
        <f>IFERROR(__xludf.DUMMYFUNCTION("""COMPUTED_VALUE"""),"Halu")</f>
        <v>Halu</v>
      </c>
      <c r="E1445" t="str">
        <f>IFERROR(__xludf.DUMMYFUNCTION("""COMPUTED_VALUE"""),"Feby Putri")</f>
        <v>Feby Putri</v>
      </c>
      <c r="F1445" t="str">
        <f>IFERROR(__xludf.DUMMYFUNCTION("""COMPUTED_VALUE"""),"Halu")</f>
        <v>Halu</v>
      </c>
      <c r="G1445">
        <f>IFERROR(__xludf.DUMMYFUNCTION("""COMPUTED_VALUE"""),0.0)</f>
        <v>0</v>
      </c>
      <c r="H1445" s="5">
        <f>IFERROR(__xludf.DUMMYFUNCTION("""COMPUTED_VALUE"""),0.18402777777737356)</f>
        <v>0.1840277778</v>
      </c>
    </row>
    <row r="1446">
      <c r="A1446" t="str">
        <f>IFERROR(__xludf.DUMMYFUNCTION("""COMPUTED_VALUE"""),"Indonesia")</f>
        <v>Indonesia</v>
      </c>
      <c r="B1446" t="str">
        <f>IFERROR(__xludf.DUMMYFUNCTION("""COMPUTED_VALUE"""),"Asia")</f>
        <v>Asia</v>
      </c>
      <c r="C1446">
        <f>IFERROR(__xludf.DUMMYFUNCTION("""COMPUTED_VALUE"""),45.0)</f>
        <v>45</v>
      </c>
      <c r="D1446" t="str">
        <f>IFERROR(__xludf.DUMMYFUNCTION("""COMPUTED_VALUE"""),"Sekali Ini Saja")</f>
        <v>Sekali Ini Saja</v>
      </c>
      <c r="E1446" t="str">
        <f>IFERROR(__xludf.DUMMYFUNCTION("""COMPUTED_VALUE"""),"Glenn Fredly")</f>
        <v>Glenn Fredly</v>
      </c>
      <c r="F1446" t="str">
        <f>IFERROR(__xludf.DUMMYFUNCTION("""COMPUTED_VALUE"""),"Selamat Pagi, Dunia!")</f>
        <v>Selamat Pagi, Dunia!</v>
      </c>
      <c r="G1446">
        <f>IFERROR(__xludf.DUMMYFUNCTION("""COMPUTED_VALUE"""),0.0)</f>
        <v>0</v>
      </c>
      <c r="H1446" s="5">
        <f>IFERROR(__xludf.DUMMYFUNCTION("""COMPUTED_VALUE"""),0.16319444444525288)</f>
        <v>0.1631944444</v>
      </c>
    </row>
    <row r="1447">
      <c r="A1447" t="str">
        <f>IFERROR(__xludf.DUMMYFUNCTION("""COMPUTED_VALUE"""),"Indonesia")</f>
        <v>Indonesia</v>
      </c>
      <c r="B1447" t="str">
        <f>IFERROR(__xludf.DUMMYFUNCTION("""COMPUTED_VALUE"""),"Asia")</f>
        <v>Asia</v>
      </c>
      <c r="C1447">
        <f>IFERROR(__xludf.DUMMYFUNCTION("""COMPUTED_VALUE"""),46.0)</f>
        <v>46</v>
      </c>
      <c r="D1447" t="str">
        <f>IFERROR(__xludf.DUMMYFUNCTION("""COMPUTED_VALUE"""),"Can We Kiss Forever?")</f>
        <v>Can We Kiss Forever?</v>
      </c>
      <c r="E1447" t="str">
        <f>IFERROR(__xludf.DUMMYFUNCTION("""COMPUTED_VALUE"""),"Kina, Adriana Proenza")</f>
        <v>Kina, Adriana Proenza</v>
      </c>
      <c r="F1447" t="str">
        <f>IFERROR(__xludf.DUMMYFUNCTION("""COMPUTED_VALUE"""),"Can We Kiss Forever?")</f>
        <v>Can We Kiss Forever?</v>
      </c>
      <c r="G1447">
        <f>IFERROR(__xludf.DUMMYFUNCTION("""COMPUTED_VALUE"""),0.0)</f>
        <v>0</v>
      </c>
      <c r="H1447" s="5">
        <f>IFERROR(__xludf.DUMMYFUNCTION("""COMPUTED_VALUE"""),0.12986111111240461)</f>
        <v>0.1298611111</v>
      </c>
    </row>
    <row r="1448">
      <c r="A1448" t="str">
        <f>IFERROR(__xludf.DUMMYFUNCTION("""COMPUTED_VALUE"""),"Indonesia")</f>
        <v>Indonesia</v>
      </c>
      <c r="B1448" t="str">
        <f>IFERROR(__xludf.DUMMYFUNCTION("""COMPUTED_VALUE"""),"Asia")</f>
        <v>Asia</v>
      </c>
      <c r="C1448">
        <f>IFERROR(__xludf.DUMMYFUNCTION("""COMPUTED_VALUE"""),47.0)</f>
        <v>47</v>
      </c>
      <c r="D1448" t="str">
        <f>IFERROR(__xludf.DUMMYFUNCTION("""COMPUTED_VALUE"""),"I Love You but I'm Letting Go")</f>
        <v>I Love You but I'm Letting Go</v>
      </c>
      <c r="E1448" t="str">
        <f>IFERROR(__xludf.DUMMYFUNCTION("""COMPUTED_VALUE"""),"Pamungkas")</f>
        <v>Pamungkas</v>
      </c>
      <c r="F1448" t="str">
        <f>IFERROR(__xludf.DUMMYFUNCTION("""COMPUTED_VALUE"""),"Walk The Talk")</f>
        <v>Walk The Talk</v>
      </c>
      <c r="G1448">
        <f>IFERROR(__xludf.DUMMYFUNCTION("""COMPUTED_VALUE"""),0.0)</f>
        <v>0</v>
      </c>
      <c r="H1448" s="5">
        <f>IFERROR(__xludf.DUMMYFUNCTION("""COMPUTED_VALUE"""),0.15277777777737356)</f>
        <v>0.1527777778</v>
      </c>
    </row>
    <row r="1449">
      <c r="A1449" t="str">
        <f>IFERROR(__xludf.DUMMYFUNCTION("""COMPUTED_VALUE"""),"Indonesia")</f>
        <v>Indonesia</v>
      </c>
      <c r="B1449" t="str">
        <f>IFERROR(__xludf.DUMMYFUNCTION("""COMPUTED_VALUE"""),"Asia")</f>
        <v>Asia</v>
      </c>
      <c r="C1449">
        <f>IFERROR(__xludf.DUMMYFUNCTION("""COMPUTED_VALUE"""),48.0)</f>
        <v>48</v>
      </c>
      <c r="D1449" t="str">
        <f>IFERROR(__xludf.DUMMYFUNCTION("""COMPUTED_VALUE"""),"bitterlove")</f>
        <v>bitterlove</v>
      </c>
      <c r="E1449" t="str">
        <f>IFERROR(__xludf.DUMMYFUNCTION("""COMPUTED_VALUE"""),"Ardhito Pramono")</f>
        <v>Ardhito Pramono</v>
      </c>
      <c r="F1449" t="str">
        <f>IFERROR(__xludf.DUMMYFUNCTION("""COMPUTED_VALUE"""),"bitterlove")</f>
        <v>bitterlove</v>
      </c>
      <c r="G1449">
        <f>IFERROR(__xludf.DUMMYFUNCTION("""COMPUTED_VALUE"""),0.0)</f>
        <v>0</v>
      </c>
      <c r="H1449" s="5">
        <f>IFERROR(__xludf.DUMMYFUNCTION("""COMPUTED_VALUE"""),0.1500000000014552)</f>
        <v>0.15</v>
      </c>
    </row>
    <row r="1450">
      <c r="A1450" t="str">
        <f>IFERROR(__xludf.DUMMYFUNCTION("""COMPUTED_VALUE"""),"Indonesia")</f>
        <v>Indonesia</v>
      </c>
      <c r="B1450" t="str">
        <f>IFERROR(__xludf.DUMMYFUNCTION("""COMPUTED_VALUE"""),"Asia")</f>
        <v>Asia</v>
      </c>
      <c r="C1450">
        <f>IFERROR(__xludf.DUMMYFUNCTION("""COMPUTED_VALUE"""),49.0)</f>
        <v>49</v>
      </c>
      <c r="D1450" t="str">
        <f>IFERROR(__xludf.DUMMYFUNCTION("""COMPUTED_VALUE"""),"Punch")</f>
        <v>Punch</v>
      </c>
      <c r="E1450" t="str">
        <f>IFERROR(__xludf.DUMMYFUNCTION("""COMPUTED_VALUE"""),"NCT 127")</f>
        <v>NCT 127</v>
      </c>
      <c r="F1450" t="str">
        <f>IFERROR(__xludf.DUMMYFUNCTION("""COMPUTED_VALUE"""),"NCT #127 Neo Zone: The Final Round - The 2nd Album Repackage")</f>
        <v>NCT #127 Neo Zone: The Final Round - The 2nd Album Repackage</v>
      </c>
      <c r="G1450">
        <f>IFERROR(__xludf.DUMMYFUNCTION("""COMPUTED_VALUE"""),0.0)</f>
        <v>0</v>
      </c>
      <c r="H1450" s="5">
        <f>IFERROR(__xludf.DUMMYFUNCTION("""COMPUTED_VALUE"""),0.14166666666642413)</f>
        <v>0.1416666667</v>
      </c>
    </row>
    <row r="1451">
      <c r="A1451" t="str">
        <f>IFERROR(__xludf.DUMMYFUNCTION("""COMPUTED_VALUE"""),"Indonesia")</f>
        <v>Indonesia</v>
      </c>
      <c r="B1451" t="str">
        <f>IFERROR(__xludf.DUMMYFUNCTION("""COMPUTED_VALUE"""),"Asia")</f>
        <v>Asia</v>
      </c>
      <c r="C1451">
        <f>IFERROR(__xludf.DUMMYFUNCTION("""COMPUTED_VALUE"""),50.0)</f>
        <v>50</v>
      </c>
      <c r="D1451" t="str">
        <f>IFERROR(__xludf.DUMMYFUNCTION("""COMPUTED_VALUE"""),"Blinding Lights")</f>
        <v>Blinding Lights</v>
      </c>
      <c r="E1451" t="str">
        <f>IFERROR(__xludf.DUMMYFUNCTION("""COMPUTED_VALUE"""),"The Weeknd")</f>
        <v>The Weeknd</v>
      </c>
      <c r="F1451" t="str">
        <f>IFERROR(__xludf.DUMMYFUNCTION("""COMPUTED_VALUE"""),"After Hours")</f>
        <v>After Hours</v>
      </c>
      <c r="G1451">
        <f>IFERROR(__xludf.DUMMYFUNCTION("""COMPUTED_VALUE"""),0.0)</f>
        <v>0</v>
      </c>
      <c r="H1451" s="5">
        <f>IFERROR(__xludf.DUMMYFUNCTION("""COMPUTED_VALUE"""),0.13888888889050577)</f>
        <v>0.1388888889</v>
      </c>
    </row>
    <row r="1452">
      <c r="A1452" t="str">
        <f>IFERROR(__xludf.DUMMYFUNCTION("""COMPUTED_VALUE"""),"Ireland")</f>
        <v>Ireland</v>
      </c>
      <c r="B1452" t="str">
        <f>IFERROR(__xludf.DUMMYFUNCTION("""COMPUTED_VALUE"""),"Europe")</f>
        <v>Europe</v>
      </c>
      <c r="C1452">
        <f>IFERROR(__xludf.DUMMYFUNCTION("""COMPUTED_VALUE"""),1.0)</f>
        <v>1</v>
      </c>
      <c r="D1452" t="str">
        <f>IFERROR(__xludf.DUMMYFUNCTION("""COMPUTED_VALUE"""),"ROCKSTAR (feat. Roddy Ricch)")</f>
        <v>ROCKSTAR (feat. Roddy Ricch)</v>
      </c>
      <c r="E1452" t="str">
        <f>IFERROR(__xludf.DUMMYFUNCTION("""COMPUTED_VALUE"""),"DaBaby, Roddy Ricch")</f>
        <v>DaBaby, Roddy Ricch</v>
      </c>
      <c r="F1452" t="str">
        <f>IFERROR(__xludf.DUMMYFUNCTION("""COMPUTED_VALUE"""),"BLAME IT ON BABY")</f>
        <v>BLAME IT ON BABY</v>
      </c>
      <c r="G1452">
        <f>IFERROR(__xludf.DUMMYFUNCTION("""COMPUTED_VALUE"""),1.0)</f>
        <v>1</v>
      </c>
      <c r="H1452" s="5">
        <f>IFERROR(__xludf.DUMMYFUNCTION("""COMPUTED_VALUE"""),0.1256944444430701)</f>
        <v>0.1256944444</v>
      </c>
    </row>
    <row r="1453">
      <c r="A1453" t="str">
        <f>IFERROR(__xludf.DUMMYFUNCTION("""COMPUTED_VALUE"""),"Ireland")</f>
        <v>Ireland</v>
      </c>
      <c r="B1453" t="str">
        <f>IFERROR(__xludf.DUMMYFUNCTION("""COMPUTED_VALUE"""),"Europe")</f>
        <v>Europe</v>
      </c>
      <c r="C1453">
        <f>IFERROR(__xludf.DUMMYFUNCTION("""COMPUTED_VALUE"""),2.0)</f>
        <v>2</v>
      </c>
      <c r="D1453" t="str">
        <f>IFERROR(__xludf.DUMMYFUNCTION("""COMPUTED_VALUE"""),"Rain On Me (with Ariana Grande)")</f>
        <v>Rain On Me (with Ariana Grande)</v>
      </c>
      <c r="E1453" t="str">
        <f>IFERROR(__xludf.DUMMYFUNCTION("""COMPUTED_VALUE"""),"Lady Gaga, Ariana Grande")</f>
        <v>Lady Gaga, Ariana Grande</v>
      </c>
      <c r="F1453" t="str">
        <f>IFERROR(__xludf.DUMMYFUNCTION("""COMPUTED_VALUE"""),"Rain On Me (with Ariana Grande)")</f>
        <v>Rain On Me (with Ariana Grande)</v>
      </c>
      <c r="G1453">
        <f>IFERROR(__xludf.DUMMYFUNCTION("""COMPUTED_VALUE"""),0.0)</f>
        <v>0</v>
      </c>
      <c r="H1453" s="5">
        <f>IFERROR(__xludf.DUMMYFUNCTION("""COMPUTED_VALUE"""),0.12638888888977817)</f>
        <v>0.1263888889</v>
      </c>
    </row>
    <row r="1454">
      <c r="A1454" t="str">
        <f>IFERROR(__xludf.DUMMYFUNCTION("""COMPUTED_VALUE"""),"Ireland")</f>
        <v>Ireland</v>
      </c>
      <c r="B1454" t="str">
        <f>IFERROR(__xludf.DUMMYFUNCTION("""COMPUTED_VALUE"""),"Europe")</f>
        <v>Europe</v>
      </c>
      <c r="C1454">
        <f>IFERROR(__xludf.DUMMYFUNCTION("""COMPUTED_VALUE"""),3.0)</f>
        <v>3</v>
      </c>
      <c r="D1454" t="str">
        <f>IFERROR(__xludf.DUMMYFUNCTION("""COMPUTED_VALUE"""),"Blinding Lights")</f>
        <v>Blinding Lights</v>
      </c>
      <c r="E1454" t="str">
        <f>IFERROR(__xludf.DUMMYFUNCTION("""COMPUTED_VALUE"""),"The Weeknd")</f>
        <v>The Weeknd</v>
      </c>
      <c r="F1454" t="str">
        <f>IFERROR(__xludf.DUMMYFUNCTION("""COMPUTED_VALUE"""),"After Hours")</f>
        <v>After Hours</v>
      </c>
      <c r="G1454">
        <f>IFERROR(__xludf.DUMMYFUNCTION("""COMPUTED_VALUE"""),0.0)</f>
        <v>0</v>
      </c>
      <c r="H1454" s="5">
        <f>IFERROR(__xludf.DUMMYFUNCTION("""COMPUTED_VALUE"""),0.13888888889050577)</f>
        <v>0.1388888889</v>
      </c>
    </row>
    <row r="1455">
      <c r="A1455" t="str">
        <f>IFERROR(__xludf.DUMMYFUNCTION("""COMPUTED_VALUE"""),"Ireland")</f>
        <v>Ireland</v>
      </c>
      <c r="B1455" t="str">
        <f>IFERROR(__xludf.DUMMYFUNCTION("""COMPUTED_VALUE"""),"Europe")</f>
        <v>Europe</v>
      </c>
      <c r="C1455">
        <f>IFERROR(__xludf.DUMMYFUNCTION("""COMPUTED_VALUE"""),4.0)</f>
        <v>4</v>
      </c>
      <c r="D1455" t="str">
        <f>IFERROR(__xludf.DUMMYFUNCTION("""COMPUTED_VALUE"""),"Roses - Imanbek Remix")</f>
        <v>Roses - Imanbek Remix</v>
      </c>
      <c r="E1455" t="str">
        <f>IFERROR(__xludf.DUMMYFUNCTION("""COMPUTED_VALUE"""),"SAINt JHN, Imanbek")</f>
        <v>SAINt JHN, Imanbek</v>
      </c>
      <c r="F1455" t="str">
        <f>IFERROR(__xludf.DUMMYFUNCTION("""COMPUTED_VALUE"""),"Roses (Imanbek Remix)")</f>
        <v>Roses (Imanbek Remix)</v>
      </c>
      <c r="G1455">
        <f>IFERROR(__xludf.DUMMYFUNCTION("""COMPUTED_VALUE"""),1.0)</f>
        <v>1</v>
      </c>
      <c r="H1455" s="5">
        <f>IFERROR(__xludf.DUMMYFUNCTION("""COMPUTED_VALUE"""),0.12222222222044365)</f>
        <v>0.1222222222</v>
      </c>
    </row>
    <row r="1456">
      <c r="A1456" t="str">
        <f>IFERROR(__xludf.DUMMYFUNCTION("""COMPUTED_VALUE"""),"Ireland")</f>
        <v>Ireland</v>
      </c>
      <c r="B1456" t="str">
        <f>IFERROR(__xludf.DUMMYFUNCTION("""COMPUTED_VALUE"""),"Europe")</f>
        <v>Europe</v>
      </c>
      <c r="C1456">
        <f>IFERROR(__xludf.DUMMYFUNCTION("""COMPUTED_VALUE"""),5.0)</f>
        <v>5</v>
      </c>
      <c r="D1456" t="str">
        <f>IFERROR(__xludf.DUMMYFUNCTION("""COMPUTED_VALUE"""),"Think About Things")</f>
        <v>Think About Things</v>
      </c>
      <c r="E1456" t="str">
        <f>IFERROR(__xludf.DUMMYFUNCTION("""COMPUTED_VALUE"""),"Daði Freyr")</f>
        <v>Daði Freyr</v>
      </c>
      <c r="F1456" t="str">
        <f>IFERROR(__xludf.DUMMYFUNCTION("""COMPUTED_VALUE"""),"Think About Things")</f>
        <v>Think About Things</v>
      </c>
      <c r="G1456">
        <f>IFERROR(__xludf.DUMMYFUNCTION("""COMPUTED_VALUE"""),0.0)</f>
        <v>0</v>
      </c>
      <c r="H1456" s="5">
        <f>IFERROR(__xludf.DUMMYFUNCTION("""COMPUTED_VALUE"""),0.12013888888759539)</f>
        <v>0.1201388889</v>
      </c>
    </row>
    <row r="1457">
      <c r="A1457" t="str">
        <f>IFERROR(__xludf.DUMMYFUNCTION("""COMPUTED_VALUE"""),"Ireland")</f>
        <v>Ireland</v>
      </c>
      <c r="B1457" t="str">
        <f>IFERROR(__xludf.DUMMYFUNCTION("""COMPUTED_VALUE"""),"Europe")</f>
        <v>Europe</v>
      </c>
      <c r="C1457">
        <f>IFERROR(__xludf.DUMMYFUNCTION("""COMPUTED_VALUE"""),6.0)</f>
        <v>6</v>
      </c>
      <c r="D1457" t="str">
        <f>IFERROR(__xludf.DUMMYFUNCTION("""COMPUTED_VALUE"""),"Toosie Slide")</f>
        <v>Toosie Slide</v>
      </c>
      <c r="E1457" t="str">
        <f>IFERROR(__xludf.DUMMYFUNCTION("""COMPUTED_VALUE"""),"Drake")</f>
        <v>Drake</v>
      </c>
      <c r="F1457" t="str">
        <f>IFERROR(__xludf.DUMMYFUNCTION("""COMPUTED_VALUE"""),"Dark Lane Demo Tapes")</f>
        <v>Dark Lane Demo Tapes</v>
      </c>
      <c r="G1457">
        <f>IFERROR(__xludf.DUMMYFUNCTION("""COMPUTED_VALUE"""),1.0)</f>
        <v>1</v>
      </c>
      <c r="H1457" s="5">
        <f>IFERROR(__xludf.DUMMYFUNCTION("""COMPUTED_VALUE"""),0.17152777777664596)</f>
        <v>0.1715277778</v>
      </c>
    </row>
    <row r="1458">
      <c r="A1458" t="str">
        <f>IFERROR(__xludf.DUMMYFUNCTION("""COMPUTED_VALUE"""),"Ireland")</f>
        <v>Ireland</v>
      </c>
      <c r="B1458" t="str">
        <f>IFERROR(__xludf.DUMMYFUNCTION("""COMPUTED_VALUE"""),"Europe")</f>
        <v>Europe</v>
      </c>
      <c r="C1458">
        <f>IFERROR(__xludf.DUMMYFUNCTION("""COMPUTED_VALUE"""),7.0)</f>
        <v>7</v>
      </c>
      <c r="D1458" t="str">
        <f>IFERROR(__xludf.DUMMYFUNCTION("""COMPUTED_VALUE"""),"Rover (feat. DTG)")</f>
        <v>Rover (feat. DTG)</v>
      </c>
      <c r="E1458" t="str">
        <f>IFERROR(__xludf.DUMMYFUNCTION("""COMPUTED_VALUE"""),"S1mba, DTG")</f>
        <v>S1mba, DTG</v>
      </c>
      <c r="F1458" t="str">
        <f>IFERROR(__xludf.DUMMYFUNCTION("""COMPUTED_VALUE"""),"Rover (feat. DTG)")</f>
        <v>Rover (feat. DTG)</v>
      </c>
      <c r="G1458">
        <f>IFERROR(__xludf.DUMMYFUNCTION("""COMPUTED_VALUE"""),1.0)</f>
        <v>1</v>
      </c>
      <c r="H1458" s="5">
        <f>IFERROR(__xludf.DUMMYFUNCTION("""COMPUTED_VALUE"""),0.11597222222189885)</f>
        <v>0.1159722222</v>
      </c>
    </row>
    <row r="1459">
      <c r="A1459" t="str">
        <f>IFERROR(__xludf.DUMMYFUNCTION("""COMPUTED_VALUE"""),"Ireland")</f>
        <v>Ireland</v>
      </c>
      <c r="B1459" t="str">
        <f>IFERROR(__xludf.DUMMYFUNCTION("""COMPUTED_VALUE"""),"Europe")</f>
        <v>Europe</v>
      </c>
      <c r="C1459">
        <f>IFERROR(__xludf.DUMMYFUNCTION("""COMPUTED_VALUE"""),8.0)</f>
        <v>8</v>
      </c>
      <c r="D1459" t="str">
        <f>IFERROR(__xludf.DUMMYFUNCTION("""COMPUTED_VALUE"""),"Blueberry Faygo")</f>
        <v>Blueberry Faygo</v>
      </c>
      <c r="E1459" t="str">
        <f>IFERROR(__xludf.DUMMYFUNCTION("""COMPUTED_VALUE"""),"Lil Mosey")</f>
        <v>Lil Mosey</v>
      </c>
      <c r="F1459" t="str">
        <f>IFERROR(__xludf.DUMMYFUNCTION("""COMPUTED_VALUE"""),"Certified Hitmaker")</f>
        <v>Certified Hitmaker</v>
      </c>
      <c r="G1459">
        <f>IFERROR(__xludf.DUMMYFUNCTION("""COMPUTED_VALUE"""),1.0)</f>
        <v>1</v>
      </c>
      <c r="H1459" s="5">
        <f>IFERROR(__xludf.DUMMYFUNCTION("""COMPUTED_VALUE"""),0.1124999999992724)</f>
        <v>0.1125</v>
      </c>
    </row>
    <row r="1460">
      <c r="A1460" t="str">
        <f>IFERROR(__xludf.DUMMYFUNCTION("""COMPUTED_VALUE"""),"Ireland")</f>
        <v>Ireland</v>
      </c>
      <c r="B1460" t="str">
        <f>IFERROR(__xludf.DUMMYFUNCTION("""COMPUTED_VALUE"""),"Europe")</f>
        <v>Europe</v>
      </c>
      <c r="C1460">
        <f>IFERROR(__xludf.DUMMYFUNCTION("""COMPUTED_VALUE"""),9.0)</f>
        <v>9</v>
      </c>
      <c r="D1460" t="str">
        <f>IFERROR(__xludf.DUMMYFUNCTION("""COMPUTED_VALUE"""),"Stuck with U (with Justin Bieber)")</f>
        <v>Stuck with U (with Justin Bieber)</v>
      </c>
      <c r="E1460" t="str">
        <f>IFERROR(__xludf.DUMMYFUNCTION("""COMPUTED_VALUE"""),"Ariana Grande, Justin Bieber")</f>
        <v>Ariana Grande, Justin Bieber</v>
      </c>
      <c r="F1460" t="str">
        <f>IFERROR(__xludf.DUMMYFUNCTION("""COMPUTED_VALUE"""),"Stuck with U")</f>
        <v>Stuck with U</v>
      </c>
      <c r="G1460">
        <f>IFERROR(__xludf.DUMMYFUNCTION("""COMPUTED_VALUE"""),0.0)</f>
        <v>0</v>
      </c>
      <c r="H1460" s="5">
        <f>IFERROR(__xludf.DUMMYFUNCTION("""COMPUTED_VALUE"""),0.15833333333284827)</f>
        <v>0.1583333333</v>
      </c>
    </row>
    <row r="1461">
      <c r="A1461" t="str">
        <f>IFERROR(__xludf.DUMMYFUNCTION("""COMPUTED_VALUE"""),"Ireland")</f>
        <v>Ireland</v>
      </c>
      <c r="B1461" t="str">
        <f>IFERROR(__xludf.DUMMYFUNCTION("""COMPUTED_VALUE"""),"Europe")</f>
        <v>Europe</v>
      </c>
      <c r="C1461">
        <f>IFERROR(__xludf.DUMMYFUNCTION("""COMPUTED_VALUE"""),10.0)</f>
        <v>10</v>
      </c>
      <c r="D1461" t="str">
        <f>IFERROR(__xludf.DUMMYFUNCTION("""COMPUTED_VALUE"""),"Break My Heart")</f>
        <v>Break My Heart</v>
      </c>
      <c r="E1461" t="str">
        <f>IFERROR(__xludf.DUMMYFUNCTION("""COMPUTED_VALUE"""),"Dua Lipa")</f>
        <v>Dua Lipa</v>
      </c>
      <c r="F1461" t="str">
        <f>IFERROR(__xludf.DUMMYFUNCTION("""COMPUTED_VALUE"""),"Future Nostalgia")</f>
        <v>Future Nostalgia</v>
      </c>
      <c r="G1461">
        <f>IFERROR(__xludf.DUMMYFUNCTION("""COMPUTED_VALUE"""),0.0)</f>
        <v>0</v>
      </c>
      <c r="H1461" s="5">
        <f>IFERROR(__xludf.DUMMYFUNCTION("""COMPUTED_VALUE"""),0.15347222222044365)</f>
        <v>0.1534722222</v>
      </c>
    </row>
    <row r="1462">
      <c r="A1462" t="str">
        <f>IFERROR(__xludf.DUMMYFUNCTION("""COMPUTED_VALUE"""),"Ireland")</f>
        <v>Ireland</v>
      </c>
      <c r="B1462" t="str">
        <f>IFERROR(__xludf.DUMMYFUNCTION("""COMPUTED_VALUE"""),"Europe")</f>
        <v>Europe</v>
      </c>
      <c r="C1462">
        <f>IFERROR(__xludf.DUMMYFUNCTION("""COMPUTED_VALUE"""),11.0)</f>
        <v>11</v>
      </c>
      <c r="D1462" t="str">
        <f>IFERROR(__xludf.DUMMYFUNCTION("""COMPUTED_VALUE"""),"death bed (coffee for your head) (feat. beabadoobee)")</f>
        <v>death bed (coffee for your head) (feat. beabadoobee)</v>
      </c>
      <c r="E1462" t="str">
        <f>IFERROR(__xludf.DUMMYFUNCTION("""COMPUTED_VALUE"""),"Powfu, beabadoobee")</f>
        <v>Powfu, beabadoobee</v>
      </c>
      <c r="F1462" t="str">
        <f>IFERROR(__xludf.DUMMYFUNCTION("""COMPUTED_VALUE"""),"death bed (coffee for your head) (feat. beabadoobee)")</f>
        <v>death bed (coffee for your head) (feat. beabadoobee)</v>
      </c>
      <c r="G1462">
        <f>IFERROR(__xludf.DUMMYFUNCTION("""COMPUTED_VALUE"""),0.0)</f>
        <v>0</v>
      </c>
      <c r="H1462" s="5">
        <f>IFERROR(__xludf.DUMMYFUNCTION("""COMPUTED_VALUE"""),0.12013888888759539)</f>
        <v>0.1201388889</v>
      </c>
    </row>
    <row r="1463">
      <c r="A1463" t="str">
        <f>IFERROR(__xludf.DUMMYFUNCTION("""COMPUTED_VALUE"""),"Ireland")</f>
        <v>Ireland</v>
      </c>
      <c r="B1463" t="str">
        <f>IFERROR(__xludf.DUMMYFUNCTION("""COMPUTED_VALUE"""),"Europe")</f>
        <v>Europe</v>
      </c>
      <c r="C1463">
        <f>IFERROR(__xludf.DUMMYFUNCTION("""COMPUTED_VALUE"""),12.0)</f>
        <v>12</v>
      </c>
      <c r="D1463" t="str">
        <f>IFERROR(__xludf.DUMMYFUNCTION("""COMPUTED_VALUE"""),"THE SCOTTS")</f>
        <v>THE SCOTTS</v>
      </c>
      <c r="E1463" t="str">
        <f>IFERROR(__xludf.DUMMYFUNCTION("""COMPUTED_VALUE"""),"THE SCOTTS, Travis Scott, Kid Cudi")</f>
        <v>THE SCOTTS, Travis Scott, Kid Cudi</v>
      </c>
      <c r="F1463" t="str">
        <f>IFERROR(__xludf.DUMMYFUNCTION("""COMPUTED_VALUE"""),"THE SCOTTS")</f>
        <v>THE SCOTTS</v>
      </c>
      <c r="G1463">
        <f>IFERROR(__xludf.DUMMYFUNCTION("""COMPUTED_VALUE"""),1.0)</f>
        <v>1</v>
      </c>
      <c r="H1463" s="5">
        <f>IFERROR(__xludf.DUMMYFUNCTION("""COMPUTED_VALUE"""),0.11458333333212067)</f>
        <v>0.1145833333</v>
      </c>
    </row>
    <row r="1464">
      <c r="A1464" t="str">
        <f>IFERROR(__xludf.DUMMYFUNCTION("""COMPUTED_VALUE"""),"Ireland")</f>
        <v>Ireland</v>
      </c>
      <c r="B1464" t="str">
        <f>IFERROR(__xludf.DUMMYFUNCTION("""COMPUTED_VALUE"""),"Europe")</f>
        <v>Europe</v>
      </c>
      <c r="C1464">
        <f>IFERROR(__xludf.DUMMYFUNCTION("""COMPUTED_VALUE"""),13.0)</f>
        <v>13</v>
      </c>
      <c r="D1464" t="str">
        <f>IFERROR(__xludf.DUMMYFUNCTION("""COMPUTED_VALUE"""),"Say So (feat. Nicki Minaj)")</f>
        <v>Say So (feat. Nicki Minaj)</v>
      </c>
      <c r="E1464" t="str">
        <f>IFERROR(__xludf.DUMMYFUNCTION("""COMPUTED_VALUE"""),"Doja Cat, Nicki Minaj")</f>
        <v>Doja Cat, Nicki Minaj</v>
      </c>
      <c r="F1464" t="str">
        <f>IFERROR(__xludf.DUMMYFUNCTION("""COMPUTED_VALUE"""),"Say So (feat. Nicki Minaj)")</f>
        <v>Say So (feat. Nicki Minaj)</v>
      </c>
      <c r="G1464">
        <f>IFERROR(__xludf.DUMMYFUNCTION("""COMPUTED_VALUE"""),1.0)</f>
        <v>1</v>
      </c>
      <c r="H1464" s="5">
        <f>IFERROR(__xludf.DUMMYFUNCTION("""COMPUTED_VALUE"""),0.1430555555562023)</f>
        <v>0.1430555556</v>
      </c>
    </row>
    <row r="1465">
      <c r="A1465" t="str">
        <f>IFERROR(__xludf.DUMMYFUNCTION("""COMPUTED_VALUE"""),"Ireland")</f>
        <v>Ireland</v>
      </c>
      <c r="B1465" t="str">
        <f>IFERROR(__xludf.DUMMYFUNCTION("""COMPUTED_VALUE"""),"Europe")</f>
        <v>Europe</v>
      </c>
      <c r="C1465">
        <f>IFERROR(__xludf.DUMMYFUNCTION("""COMPUTED_VALUE"""),14.0)</f>
        <v>14</v>
      </c>
      <c r="D1465" t="str">
        <f>IFERROR(__xludf.DUMMYFUNCTION("""COMPUTED_VALUE"""),"Lonely")</f>
        <v>Lonely</v>
      </c>
      <c r="E1465" t="str">
        <f>IFERROR(__xludf.DUMMYFUNCTION("""COMPUTED_VALUE"""),"Joel Corry")</f>
        <v>Joel Corry</v>
      </c>
      <c r="F1465" t="str">
        <f>IFERROR(__xludf.DUMMYFUNCTION("""COMPUTED_VALUE"""),"Lonely")</f>
        <v>Lonely</v>
      </c>
      <c r="G1465">
        <f>IFERROR(__xludf.DUMMYFUNCTION("""COMPUTED_VALUE"""),0.0)</f>
        <v>0</v>
      </c>
      <c r="H1465" s="5">
        <f>IFERROR(__xludf.DUMMYFUNCTION("""COMPUTED_VALUE"""),0.13194444444525288)</f>
        <v>0.1319444444</v>
      </c>
    </row>
    <row r="1466">
      <c r="A1466" t="str">
        <f>IFERROR(__xludf.DUMMYFUNCTION("""COMPUTED_VALUE"""),"Ireland")</f>
        <v>Ireland</v>
      </c>
      <c r="B1466" t="str">
        <f>IFERROR(__xludf.DUMMYFUNCTION("""COMPUTED_VALUE"""),"Europe")</f>
        <v>Europe</v>
      </c>
      <c r="C1466">
        <f>IFERROR(__xludf.DUMMYFUNCTION("""COMPUTED_VALUE"""),15.0)</f>
        <v>15</v>
      </c>
      <c r="D1466" t="str">
        <f>IFERROR(__xludf.DUMMYFUNCTION("""COMPUTED_VALUE"""),"Watermelon Sugar")</f>
        <v>Watermelon Sugar</v>
      </c>
      <c r="E1466" t="str">
        <f>IFERROR(__xludf.DUMMYFUNCTION("""COMPUTED_VALUE"""),"Harry Styles")</f>
        <v>Harry Styles</v>
      </c>
      <c r="F1466" t="str">
        <f>IFERROR(__xludf.DUMMYFUNCTION("""COMPUTED_VALUE"""),"Fine Line")</f>
        <v>Fine Line</v>
      </c>
      <c r="G1466">
        <f>IFERROR(__xludf.DUMMYFUNCTION("""COMPUTED_VALUE"""),0.0)</f>
        <v>0</v>
      </c>
      <c r="H1466" s="5">
        <f>IFERROR(__xludf.DUMMYFUNCTION("""COMPUTED_VALUE"""),0.12083333333430346)</f>
        <v>0.1208333333</v>
      </c>
    </row>
    <row r="1467">
      <c r="A1467" t="str">
        <f>IFERROR(__xludf.DUMMYFUNCTION("""COMPUTED_VALUE"""),"Ireland")</f>
        <v>Ireland</v>
      </c>
      <c r="B1467" t="str">
        <f>IFERROR(__xludf.DUMMYFUNCTION("""COMPUTED_VALUE"""),"Europe")</f>
        <v>Europe</v>
      </c>
      <c r="C1467">
        <f>IFERROR(__xludf.DUMMYFUNCTION("""COMPUTED_VALUE"""),16.0)</f>
        <v>16</v>
      </c>
      <c r="D1467" t="str">
        <f>IFERROR(__xludf.DUMMYFUNCTION("""COMPUTED_VALUE"""),"Don't Start Now")</f>
        <v>Don't Start Now</v>
      </c>
      <c r="E1467" t="str">
        <f>IFERROR(__xludf.DUMMYFUNCTION("""COMPUTED_VALUE"""),"Dua Lipa")</f>
        <v>Dua Lipa</v>
      </c>
      <c r="F1467" t="str">
        <f>IFERROR(__xludf.DUMMYFUNCTION("""COMPUTED_VALUE"""),"Future Nostalgia")</f>
        <v>Future Nostalgia</v>
      </c>
      <c r="G1467">
        <f>IFERROR(__xludf.DUMMYFUNCTION("""COMPUTED_VALUE"""),0.0)</f>
        <v>0</v>
      </c>
      <c r="H1467" s="5">
        <f>IFERROR(__xludf.DUMMYFUNCTION("""COMPUTED_VALUE"""),0.12708333333284827)</f>
        <v>0.1270833333</v>
      </c>
    </row>
    <row r="1468">
      <c r="A1468" t="str">
        <f>IFERROR(__xludf.DUMMYFUNCTION("""COMPUTED_VALUE"""),"Ireland")</f>
        <v>Ireland</v>
      </c>
      <c r="B1468" t="str">
        <f>IFERROR(__xludf.DUMMYFUNCTION("""COMPUTED_VALUE"""),"Europe")</f>
        <v>Europe</v>
      </c>
      <c r="C1468">
        <f>IFERROR(__xludf.DUMMYFUNCTION("""COMPUTED_VALUE"""),17.0)</f>
        <v>17</v>
      </c>
      <c r="D1468" t="str">
        <f>IFERROR(__xludf.DUMMYFUNCTION("""COMPUTED_VALUE"""),"Rain")</f>
        <v>Rain</v>
      </c>
      <c r="E1468" t="str">
        <f>IFERROR(__xludf.DUMMYFUNCTION("""COMPUTED_VALUE"""),"Aitch, AJ Tracey, Tay Keith")</f>
        <v>Aitch, AJ Tracey, Tay Keith</v>
      </c>
      <c r="F1468" t="str">
        <f>IFERROR(__xludf.DUMMYFUNCTION("""COMPUTED_VALUE"""),"Rain")</f>
        <v>Rain</v>
      </c>
      <c r="G1468">
        <f>IFERROR(__xludf.DUMMYFUNCTION("""COMPUTED_VALUE"""),1.0)</f>
        <v>1</v>
      </c>
      <c r="H1468" s="5">
        <f>IFERROR(__xludf.DUMMYFUNCTION("""COMPUTED_VALUE"""),0.12708333333284827)</f>
        <v>0.1270833333</v>
      </c>
    </row>
    <row r="1469">
      <c r="A1469" t="str">
        <f>IFERROR(__xludf.DUMMYFUNCTION("""COMPUTED_VALUE"""),"Ireland")</f>
        <v>Ireland</v>
      </c>
      <c r="B1469" t="str">
        <f>IFERROR(__xludf.DUMMYFUNCTION("""COMPUTED_VALUE"""),"Europe")</f>
        <v>Europe</v>
      </c>
      <c r="C1469">
        <f>IFERROR(__xludf.DUMMYFUNCTION("""COMPUTED_VALUE"""),18.0)</f>
        <v>18</v>
      </c>
      <c r="D1469" t="str">
        <f>IFERROR(__xludf.DUMMYFUNCTION("""COMPUTED_VALUE"""),"Savage Remix (feat. Beyoncé)")</f>
        <v>Savage Remix (feat. Beyoncé)</v>
      </c>
      <c r="E1469" t="str">
        <f>IFERROR(__xludf.DUMMYFUNCTION("""COMPUTED_VALUE"""),"Megan Thee Stallion, Beyoncé")</f>
        <v>Megan Thee Stallion, Beyoncé</v>
      </c>
      <c r="F1469" t="str">
        <f>IFERROR(__xludf.DUMMYFUNCTION("""COMPUTED_VALUE"""),"Savage Remix (feat. Beyoncé)")</f>
        <v>Savage Remix (feat. Beyoncé)</v>
      </c>
      <c r="G1469">
        <f>IFERROR(__xludf.DUMMYFUNCTION("""COMPUTED_VALUE"""),1.0)</f>
        <v>1</v>
      </c>
      <c r="H1469" s="5">
        <f>IFERROR(__xludf.DUMMYFUNCTION("""COMPUTED_VALUE"""),0.16805555555401952)</f>
        <v>0.1680555556</v>
      </c>
    </row>
    <row r="1470">
      <c r="A1470" t="str">
        <f>IFERROR(__xludf.DUMMYFUNCTION("""COMPUTED_VALUE"""),"Ireland")</f>
        <v>Ireland</v>
      </c>
      <c r="B1470" t="str">
        <f>IFERROR(__xludf.DUMMYFUNCTION("""COMPUTED_VALUE"""),"Europe")</f>
        <v>Europe</v>
      </c>
      <c r="C1470">
        <f>IFERROR(__xludf.DUMMYFUNCTION("""COMPUTED_VALUE"""),19.0)</f>
        <v>19</v>
      </c>
      <c r="D1470" t="str">
        <f>IFERROR(__xludf.DUMMYFUNCTION("""COMPUTED_VALUE"""),"Supalonely")</f>
        <v>Supalonely</v>
      </c>
      <c r="E1470" t="str">
        <f>IFERROR(__xludf.DUMMYFUNCTION("""COMPUTED_VALUE"""),"BENEE, Gus Dapperton")</f>
        <v>BENEE, Gus Dapperton</v>
      </c>
      <c r="F1470" t="str">
        <f>IFERROR(__xludf.DUMMYFUNCTION("""COMPUTED_VALUE"""),"STELLA &amp; STEVE")</f>
        <v>STELLA &amp; STEVE</v>
      </c>
      <c r="G1470">
        <f>IFERROR(__xludf.DUMMYFUNCTION("""COMPUTED_VALUE"""),1.0)</f>
        <v>1</v>
      </c>
      <c r="H1470" s="5">
        <f>IFERROR(__xludf.DUMMYFUNCTION("""COMPUTED_VALUE"""),0.15486111111022183)</f>
        <v>0.1548611111</v>
      </c>
    </row>
    <row r="1471">
      <c r="A1471" t="str">
        <f>IFERROR(__xludf.DUMMYFUNCTION("""COMPUTED_VALUE"""),"Ireland")</f>
        <v>Ireland</v>
      </c>
      <c r="B1471" t="str">
        <f>IFERROR(__xludf.DUMMYFUNCTION("""COMPUTED_VALUE"""),"Europe")</f>
        <v>Europe</v>
      </c>
      <c r="C1471">
        <f>IFERROR(__xludf.DUMMYFUNCTION("""COMPUTED_VALUE"""),20.0)</f>
        <v>20</v>
      </c>
      <c r="D1471" t="str">
        <f>IFERROR(__xludf.DUMMYFUNCTION("""COMPUTED_VALUE"""),"GOOBA")</f>
        <v>GOOBA</v>
      </c>
      <c r="E1471" t="str">
        <f>IFERROR(__xludf.DUMMYFUNCTION("""COMPUTED_VALUE"""),"6ix9ine")</f>
        <v>6ix9ine</v>
      </c>
      <c r="F1471" t="str">
        <f>IFERROR(__xludf.DUMMYFUNCTION("""COMPUTED_VALUE"""),"GOOBA")</f>
        <v>GOOBA</v>
      </c>
      <c r="G1471">
        <f>IFERROR(__xludf.DUMMYFUNCTION("""COMPUTED_VALUE"""),1.0)</f>
        <v>1</v>
      </c>
      <c r="H1471" s="5">
        <f>IFERROR(__xludf.DUMMYFUNCTION("""COMPUTED_VALUE"""),0.09166666666715173)</f>
        <v>0.09166666667</v>
      </c>
    </row>
    <row r="1472">
      <c r="A1472" t="str">
        <f>IFERROR(__xludf.DUMMYFUNCTION("""COMPUTED_VALUE"""),"Ireland")</f>
        <v>Ireland</v>
      </c>
      <c r="B1472" t="str">
        <f>IFERROR(__xludf.DUMMYFUNCTION("""COMPUTED_VALUE"""),"Europe")</f>
        <v>Europe</v>
      </c>
      <c r="C1472">
        <f>IFERROR(__xludf.DUMMYFUNCTION("""COMPUTED_VALUE"""),21.0)</f>
        <v>21</v>
      </c>
      <c r="D1472" t="str">
        <f>IFERROR(__xludf.DUMMYFUNCTION("""COMPUTED_VALUE"""),"Dance Monkey")</f>
        <v>Dance Monkey</v>
      </c>
      <c r="E1472" t="str">
        <f>IFERROR(__xludf.DUMMYFUNCTION("""COMPUTED_VALUE"""),"Tones And I")</f>
        <v>Tones And I</v>
      </c>
      <c r="F1472" t="str">
        <f>IFERROR(__xludf.DUMMYFUNCTION("""COMPUTED_VALUE"""),"Dance Monkey (Stripped Back) / Dance Monkey")</f>
        <v>Dance Monkey (Stripped Back) / Dance Monkey</v>
      </c>
      <c r="G1472">
        <f>IFERROR(__xludf.DUMMYFUNCTION("""COMPUTED_VALUE"""),0.0)</f>
        <v>0</v>
      </c>
      <c r="H1472" s="5">
        <f>IFERROR(__xludf.DUMMYFUNCTION("""COMPUTED_VALUE"""),0.14513888888905058)</f>
        <v>0.1451388889</v>
      </c>
    </row>
    <row r="1473">
      <c r="A1473" t="str">
        <f>IFERROR(__xludf.DUMMYFUNCTION("""COMPUTED_VALUE"""),"Ireland")</f>
        <v>Ireland</v>
      </c>
      <c r="B1473" t="str">
        <f>IFERROR(__xludf.DUMMYFUNCTION("""COMPUTED_VALUE"""),"Europe")</f>
        <v>Europe</v>
      </c>
      <c r="C1473">
        <f>IFERROR(__xludf.DUMMYFUNCTION("""COMPUTED_VALUE"""),22.0)</f>
        <v>22</v>
      </c>
      <c r="D1473" t="str">
        <f>IFERROR(__xludf.DUMMYFUNCTION("""COMPUTED_VALUE"""),"Boss Bitch")</f>
        <v>Boss Bitch</v>
      </c>
      <c r="E1473" t="str">
        <f>IFERROR(__xludf.DUMMYFUNCTION("""COMPUTED_VALUE"""),"Doja Cat")</f>
        <v>Doja Cat</v>
      </c>
      <c r="F1473" t="str">
        <f>IFERROR(__xludf.DUMMYFUNCTION("""COMPUTED_VALUE"""),"Boss Bitch")</f>
        <v>Boss Bitch</v>
      </c>
      <c r="G1473">
        <f>IFERROR(__xludf.DUMMYFUNCTION("""COMPUTED_VALUE"""),0.0)</f>
        <v>0</v>
      </c>
      <c r="H1473" s="5">
        <f>IFERROR(__xludf.DUMMYFUNCTION("""COMPUTED_VALUE"""),0.0930555555569299)</f>
        <v>0.09305555556</v>
      </c>
    </row>
    <row r="1474">
      <c r="A1474" t="str">
        <f>IFERROR(__xludf.DUMMYFUNCTION("""COMPUTED_VALUE"""),"Ireland")</f>
        <v>Ireland</v>
      </c>
      <c r="B1474" t="str">
        <f>IFERROR(__xludf.DUMMYFUNCTION("""COMPUTED_VALUE"""),"Europe")</f>
        <v>Europe</v>
      </c>
      <c r="C1474">
        <f>IFERROR(__xludf.DUMMYFUNCTION("""COMPUTED_VALUE"""),23.0)</f>
        <v>23</v>
      </c>
      <c r="D1474" t="str">
        <f>IFERROR(__xludf.DUMMYFUNCTION("""COMPUTED_VALUE"""),"Someone You Loved")</f>
        <v>Someone You Loved</v>
      </c>
      <c r="E1474" t="str">
        <f>IFERROR(__xludf.DUMMYFUNCTION("""COMPUTED_VALUE"""),"Lewis Capaldi")</f>
        <v>Lewis Capaldi</v>
      </c>
      <c r="F1474" t="str">
        <f>IFERROR(__xludf.DUMMYFUNCTION("""COMPUTED_VALUE"""),"Divinely Uninspired To A Hellish Extent")</f>
        <v>Divinely Uninspired To A Hellish Extent</v>
      </c>
      <c r="G1474">
        <f>IFERROR(__xludf.DUMMYFUNCTION("""COMPUTED_VALUE"""),0.0)</f>
        <v>0</v>
      </c>
      <c r="H1474" s="5">
        <f>IFERROR(__xludf.DUMMYFUNCTION("""COMPUTED_VALUE"""),0.12638888888977817)</f>
        <v>0.1263888889</v>
      </c>
    </row>
    <row r="1475">
      <c r="A1475" t="str">
        <f>IFERROR(__xludf.DUMMYFUNCTION("""COMPUTED_VALUE"""),"Ireland")</f>
        <v>Ireland</v>
      </c>
      <c r="B1475" t="str">
        <f>IFERROR(__xludf.DUMMYFUNCTION("""COMPUTED_VALUE"""),"Europe")</f>
        <v>Europe</v>
      </c>
      <c r="C1475">
        <f>IFERROR(__xludf.DUMMYFUNCTION("""COMPUTED_VALUE"""),24.0)</f>
        <v>24</v>
      </c>
      <c r="D1475" t="str">
        <f>IFERROR(__xludf.DUMMYFUNCTION("""COMPUTED_VALUE"""),"Before You Go")</f>
        <v>Before You Go</v>
      </c>
      <c r="E1475" t="str">
        <f>IFERROR(__xludf.DUMMYFUNCTION("""COMPUTED_VALUE"""),"Lewis Capaldi")</f>
        <v>Lewis Capaldi</v>
      </c>
      <c r="F1475" t="str">
        <f>IFERROR(__xludf.DUMMYFUNCTION("""COMPUTED_VALUE"""),"Divinely Uninspired To A Hellish Extent (Extended Edition)")</f>
        <v>Divinely Uninspired To A Hellish Extent (Extended Edition)</v>
      </c>
      <c r="G1475">
        <f>IFERROR(__xludf.DUMMYFUNCTION("""COMPUTED_VALUE"""),0.0)</f>
        <v>0</v>
      </c>
      <c r="H1475" s="5">
        <f>IFERROR(__xludf.DUMMYFUNCTION("""COMPUTED_VALUE"""),0.14930555555474712)</f>
        <v>0.1493055556</v>
      </c>
    </row>
    <row r="1476">
      <c r="A1476" t="str">
        <f>IFERROR(__xludf.DUMMYFUNCTION("""COMPUTED_VALUE"""),"Ireland")</f>
        <v>Ireland</v>
      </c>
      <c r="B1476" t="str">
        <f>IFERROR(__xludf.DUMMYFUNCTION("""COMPUTED_VALUE"""),"Europe")</f>
        <v>Europe</v>
      </c>
      <c r="C1476">
        <f>IFERROR(__xludf.DUMMYFUNCTION("""COMPUTED_VALUE"""),25.0)</f>
        <v>25</v>
      </c>
      <c r="D1476" t="str">
        <f>IFERROR(__xludf.DUMMYFUNCTION("""COMPUTED_VALUE"""),"The Box")</f>
        <v>The Box</v>
      </c>
      <c r="E1476" t="str">
        <f>IFERROR(__xludf.DUMMYFUNCTION("""COMPUTED_VALUE"""),"Roddy Ricch")</f>
        <v>Roddy Ricch</v>
      </c>
      <c r="F1476" t="str">
        <f>IFERROR(__xludf.DUMMYFUNCTION("""COMPUTED_VALUE"""),"Please Excuse Me For Being Antisocial")</f>
        <v>Please Excuse Me For Being Antisocial</v>
      </c>
      <c r="G1476">
        <f>IFERROR(__xludf.DUMMYFUNCTION("""COMPUTED_VALUE"""),1.0)</f>
        <v>1</v>
      </c>
      <c r="H1476" s="5">
        <f>IFERROR(__xludf.DUMMYFUNCTION("""COMPUTED_VALUE"""),0.13611111111094942)</f>
        <v>0.1361111111</v>
      </c>
    </row>
    <row r="1477">
      <c r="A1477" t="str">
        <f>IFERROR(__xludf.DUMMYFUNCTION("""COMPUTED_VALUE"""),"Ireland")</f>
        <v>Ireland</v>
      </c>
      <c r="B1477" t="str">
        <f>IFERROR(__xludf.DUMMYFUNCTION("""COMPUTED_VALUE"""),"Europe")</f>
        <v>Europe</v>
      </c>
      <c r="C1477">
        <f>IFERROR(__xludf.DUMMYFUNCTION("""COMPUTED_VALUE"""),26.0)</f>
        <v>26</v>
      </c>
      <c r="D1477" t="str">
        <f>IFERROR(__xludf.DUMMYFUNCTION("""COMPUTED_VALUE"""),"Breaking Me")</f>
        <v>Breaking Me</v>
      </c>
      <c r="E1477" t="str">
        <f>IFERROR(__xludf.DUMMYFUNCTION("""COMPUTED_VALUE"""),"Topic, A7S")</f>
        <v>Topic, A7S</v>
      </c>
      <c r="F1477" t="str">
        <f>IFERROR(__xludf.DUMMYFUNCTION("""COMPUTED_VALUE"""),"Breaking Me")</f>
        <v>Breaking Me</v>
      </c>
      <c r="G1477">
        <f>IFERROR(__xludf.DUMMYFUNCTION("""COMPUTED_VALUE"""),0.0)</f>
        <v>0</v>
      </c>
      <c r="H1477" s="5">
        <f>IFERROR(__xludf.DUMMYFUNCTION("""COMPUTED_VALUE"""),0.11527777777882875)</f>
        <v>0.1152777778</v>
      </c>
    </row>
    <row r="1478">
      <c r="A1478" t="str">
        <f>IFERROR(__xludf.DUMMYFUNCTION("""COMPUTED_VALUE"""),"Ireland")</f>
        <v>Ireland</v>
      </c>
      <c r="B1478" t="str">
        <f>IFERROR(__xludf.DUMMYFUNCTION("""COMPUTED_VALUE"""),"Europe")</f>
        <v>Europe</v>
      </c>
      <c r="C1478">
        <f>IFERROR(__xludf.DUMMYFUNCTION("""COMPUTED_VALUE"""),27.0)</f>
        <v>27</v>
      </c>
      <c r="D1478" t="str">
        <f>IFERROR(__xludf.DUMMYFUNCTION("""COMPUTED_VALUE"""),"Flowers (feat. Jaykae)")</f>
        <v>Flowers (feat. Jaykae)</v>
      </c>
      <c r="E1478" t="str">
        <f>IFERROR(__xludf.DUMMYFUNCTION("""COMPUTED_VALUE"""),"Nathan Dawe, Jaykae")</f>
        <v>Nathan Dawe, Jaykae</v>
      </c>
      <c r="F1478" t="str">
        <f>IFERROR(__xludf.DUMMYFUNCTION("""COMPUTED_VALUE"""),"Flowers (feat. Jaykae)")</f>
        <v>Flowers (feat. Jaykae)</v>
      </c>
      <c r="G1478">
        <f>IFERROR(__xludf.DUMMYFUNCTION("""COMPUTED_VALUE"""),0.0)</f>
        <v>0</v>
      </c>
      <c r="H1478" s="5">
        <f>IFERROR(__xludf.DUMMYFUNCTION("""COMPUTED_VALUE"""),0.13680555555401952)</f>
        <v>0.1368055556</v>
      </c>
    </row>
    <row r="1479">
      <c r="A1479" t="str">
        <f>IFERROR(__xludf.DUMMYFUNCTION("""COMPUTED_VALUE"""),"Ireland")</f>
        <v>Ireland</v>
      </c>
      <c r="B1479" t="str">
        <f>IFERROR(__xludf.DUMMYFUNCTION("""COMPUTED_VALUE"""),"Europe")</f>
        <v>Europe</v>
      </c>
      <c r="C1479">
        <f>IFERROR(__xludf.DUMMYFUNCTION("""COMPUTED_VALUE"""),28.0)</f>
        <v>28</v>
      </c>
      <c r="D1479" t="str">
        <f>IFERROR(__xludf.DUMMYFUNCTION("""COMPUTED_VALUE"""),"Houdini (feat. Swarmz &amp; Tion Wayne)")</f>
        <v>Houdini (feat. Swarmz &amp; Tion Wayne)</v>
      </c>
      <c r="E1479" t="str">
        <f>IFERROR(__xludf.DUMMYFUNCTION("""COMPUTED_VALUE"""),"KSI, Tion Wayne, Swarmz")</f>
        <v>KSI, Tion Wayne, Swarmz</v>
      </c>
      <c r="F1479" t="str">
        <f>IFERROR(__xludf.DUMMYFUNCTION("""COMPUTED_VALUE"""),"Dissimulation")</f>
        <v>Dissimulation</v>
      </c>
      <c r="G1479">
        <f>IFERROR(__xludf.DUMMYFUNCTION("""COMPUTED_VALUE"""),1.0)</f>
        <v>1</v>
      </c>
      <c r="H1479" s="5">
        <f>IFERROR(__xludf.DUMMYFUNCTION("""COMPUTED_VALUE"""),0.11666666666496894)</f>
        <v>0.1166666667</v>
      </c>
    </row>
    <row r="1480">
      <c r="A1480" t="str">
        <f>IFERROR(__xludf.DUMMYFUNCTION("""COMPUTED_VALUE"""),"Ireland")</f>
        <v>Ireland</v>
      </c>
      <c r="B1480" t="str">
        <f>IFERROR(__xludf.DUMMYFUNCTION("""COMPUTED_VALUE"""),"Europe")</f>
        <v>Europe</v>
      </c>
      <c r="C1480">
        <f>IFERROR(__xludf.DUMMYFUNCTION("""COMPUTED_VALUE"""),29.0)</f>
        <v>29</v>
      </c>
      <c r="D1480" t="str">
        <f>IFERROR(__xludf.DUMMYFUNCTION("""COMPUTED_VALUE"""),"Party Girl")</f>
        <v>Party Girl</v>
      </c>
      <c r="E1480" t="str">
        <f>IFERROR(__xludf.DUMMYFUNCTION("""COMPUTED_VALUE"""),"StaySolidRocky")</f>
        <v>StaySolidRocky</v>
      </c>
      <c r="F1480" t="str">
        <f>IFERROR(__xludf.DUMMYFUNCTION("""COMPUTED_VALUE"""),"Party Girl")</f>
        <v>Party Girl</v>
      </c>
      <c r="G1480">
        <f>IFERROR(__xludf.DUMMYFUNCTION("""COMPUTED_VALUE"""),0.0)</f>
        <v>0</v>
      </c>
      <c r="H1480" s="5">
        <f>IFERROR(__xludf.DUMMYFUNCTION("""COMPUTED_VALUE"""),0.10208333333503106)</f>
        <v>0.1020833333</v>
      </c>
    </row>
    <row r="1481">
      <c r="A1481" t="str">
        <f>IFERROR(__xludf.DUMMYFUNCTION("""COMPUTED_VALUE"""),"Ireland")</f>
        <v>Ireland</v>
      </c>
      <c r="B1481" t="str">
        <f>IFERROR(__xludf.DUMMYFUNCTION("""COMPUTED_VALUE"""),"Europe")</f>
        <v>Europe</v>
      </c>
      <c r="C1481">
        <f>IFERROR(__xludf.DUMMYFUNCTION("""COMPUTED_VALUE"""),30.0)</f>
        <v>30</v>
      </c>
      <c r="D1481" t="str">
        <f>IFERROR(__xludf.DUMMYFUNCTION("""COMPUTED_VALUE"""),"Adore You")</f>
        <v>Adore You</v>
      </c>
      <c r="E1481" t="str">
        <f>IFERROR(__xludf.DUMMYFUNCTION("""COMPUTED_VALUE"""),"Harry Styles")</f>
        <v>Harry Styles</v>
      </c>
      <c r="F1481" t="str">
        <f>IFERROR(__xludf.DUMMYFUNCTION("""COMPUTED_VALUE"""),"Fine Line")</f>
        <v>Fine Line</v>
      </c>
      <c r="G1481">
        <f>IFERROR(__xludf.DUMMYFUNCTION("""COMPUTED_VALUE"""),0.0)</f>
        <v>0</v>
      </c>
      <c r="H1481" s="5">
        <f>IFERROR(__xludf.DUMMYFUNCTION("""COMPUTED_VALUE"""),0.1437499999992724)</f>
        <v>0.14375</v>
      </c>
    </row>
    <row r="1482">
      <c r="A1482" t="str">
        <f>IFERROR(__xludf.DUMMYFUNCTION("""COMPUTED_VALUE"""),"Ireland")</f>
        <v>Ireland</v>
      </c>
      <c r="B1482" t="str">
        <f>IFERROR(__xludf.DUMMYFUNCTION("""COMPUTED_VALUE"""),"Europe")</f>
        <v>Europe</v>
      </c>
      <c r="C1482">
        <f>IFERROR(__xludf.DUMMYFUNCTION("""COMPUTED_VALUE"""),31.0)</f>
        <v>31</v>
      </c>
      <c r="D1482" t="str">
        <f>IFERROR(__xludf.DUMMYFUNCTION("""COMPUTED_VALUE"""),"Physical")</f>
        <v>Physical</v>
      </c>
      <c r="E1482" t="str">
        <f>IFERROR(__xludf.DUMMYFUNCTION("""COMPUTED_VALUE"""),"Dua Lipa")</f>
        <v>Dua Lipa</v>
      </c>
      <c r="F1482" t="str">
        <f>IFERROR(__xludf.DUMMYFUNCTION("""COMPUTED_VALUE"""),"Future Nostalgia")</f>
        <v>Future Nostalgia</v>
      </c>
      <c r="G1482">
        <f>IFERROR(__xludf.DUMMYFUNCTION("""COMPUTED_VALUE"""),0.0)</f>
        <v>0</v>
      </c>
      <c r="H1482" s="5">
        <f>IFERROR(__xludf.DUMMYFUNCTION("""COMPUTED_VALUE"""),0.13402777777810115)</f>
        <v>0.1340277778</v>
      </c>
    </row>
    <row r="1483">
      <c r="A1483" t="str">
        <f>IFERROR(__xludf.DUMMYFUNCTION("""COMPUTED_VALUE"""),"Ireland")</f>
        <v>Ireland</v>
      </c>
      <c r="B1483" t="str">
        <f>IFERROR(__xludf.DUMMYFUNCTION("""COMPUTED_VALUE"""),"Europe")</f>
        <v>Europe</v>
      </c>
      <c r="C1483">
        <f>IFERROR(__xludf.DUMMYFUNCTION("""COMPUTED_VALUE"""),32.0)</f>
        <v>32</v>
      </c>
      <c r="D1483" t="str">
        <f>IFERROR(__xludf.DUMMYFUNCTION("""COMPUTED_VALUE"""),"Say So")</f>
        <v>Say So</v>
      </c>
      <c r="E1483" t="str">
        <f>IFERROR(__xludf.DUMMYFUNCTION("""COMPUTED_VALUE"""),"Doja Cat")</f>
        <v>Doja Cat</v>
      </c>
      <c r="F1483" t="str">
        <f>IFERROR(__xludf.DUMMYFUNCTION("""COMPUTED_VALUE"""),"Hot Pink")</f>
        <v>Hot Pink</v>
      </c>
      <c r="G1483">
        <f>IFERROR(__xludf.DUMMYFUNCTION("""COMPUTED_VALUE"""),1.0)</f>
        <v>1</v>
      </c>
      <c r="H1483" s="5">
        <f>IFERROR(__xludf.DUMMYFUNCTION("""COMPUTED_VALUE"""),0.16458333333503106)</f>
        <v>0.1645833333</v>
      </c>
    </row>
    <row r="1484">
      <c r="A1484" t="str">
        <f>IFERROR(__xludf.DUMMYFUNCTION("""COMPUTED_VALUE"""),"Ireland")</f>
        <v>Ireland</v>
      </c>
      <c r="B1484" t="str">
        <f>IFERROR(__xludf.DUMMYFUNCTION("""COMPUTED_VALUE"""),"Europe")</f>
        <v>Europe</v>
      </c>
      <c r="C1484">
        <f>IFERROR(__xludf.DUMMYFUNCTION("""COMPUTED_VALUE"""),33.0)</f>
        <v>33</v>
      </c>
      <c r="D1484" t="str">
        <f>IFERROR(__xludf.DUMMYFUNCTION("""COMPUTED_VALUE"""),"ily (i love you baby) (feat. Emilee)")</f>
        <v>ily (i love you baby) (feat. Emilee)</v>
      </c>
      <c r="E1484" t="str">
        <f>IFERROR(__xludf.DUMMYFUNCTION("""COMPUTED_VALUE"""),"Surf Mesa, Emilee")</f>
        <v>Surf Mesa, Emilee</v>
      </c>
      <c r="F1484" t="str">
        <f>IFERROR(__xludf.DUMMYFUNCTION("""COMPUTED_VALUE"""),"ily (i love you baby) (feat. Emilee)")</f>
        <v>ily (i love you baby) (feat. Emilee)</v>
      </c>
      <c r="G1484">
        <f>IFERROR(__xludf.DUMMYFUNCTION("""COMPUTED_VALUE"""),0.0)</f>
        <v>0</v>
      </c>
      <c r="H1484" s="5">
        <f>IFERROR(__xludf.DUMMYFUNCTION("""COMPUTED_VALUE"""),0.12222222222044365)</f>
        <v>0.1222222222</v>
      </c>
    </row>
    <row r="1485">
      <c r="A1485" t="str">
        <f>IFERROR(__xludf.DUMMYFUNCTION("""COMPUTED_VALUE"""),"Ireland")</f>
        <v>Ireland</v>
      </c>
      <c r="B1485" t="str">
        <f>IFERROR(__xludf.DUMMYFUNCTION("""COMPUTED_VALUE"""),"Europe")</f>
        <v>Europe</v>
      </c>
      <c r="C1485">
        <f>IFERROR(__xludf.DUMMYFUNCTION("""COMPUTED_VALUE"""),34.0)</f>
        <v>34</v>
      </c>
      <c r="D1485" t="str">
        <f>IFERROR(__xludf.DUMMYFUNCTION("""COMPUTED_VALUE"""),"Dinner Guest (feat. MoStack)")</f>
        <v>Dinner Guest (feat. MoStack)</v>
      </c>
      <c r="E1485" t="str">
        <f>IFERROR(__xludf.DUMMYFUNCTION("""COMPUTED_VALUE"""),"AJ Tracey, MoStack")</f>
        <v>AJ Tracey, MoStack</v>
      </c>
      <c r="F1485" t="str">
        <f>IFERROR(__xludf.DUMMYFUNCTION("""COMPUTED_VALUE"""),"Dinner Guest (feat. MoStack)")</f>
        <v>Dinner Guest (feat. MoStack)</v>
      </c>
      <c r="G1485">
        <f>IFERROR(__xludf.DUMMYFUNCTION("""COMPUTED_VALUE"""),1.0)</f>
        <v>1</v>
      </c>
      <c r="H1485" s="5">
        <f>IFERROR(__xludf.DUMMYFUNCTION("""COMPUTED_VALUE"""),0.1375000000007276)</f>
        <v>0.1375</v>
      </c>
    </row>
    <row r="1486">
      <c r="A1486" t="str">
        <f>IFERROR(__xludf.DUMMYFUNCTION("""COMPUTED_VALUE"""),"Ireland")</f>
        <v>Ireland</v>
      </c>
      <c r="B1486" t="str">
        <f>IFERROR(__xludf.DUMMYFUNCTION("""COMPUTED_VALUE"""),"Europe")</f>
        <v>Europe</v>
      </c>
      <c r="C1486">
        <f>IFERROR(__xludf.DUMMYFUNCTION("""COMPUTED_VALUE"""),35.0)</f>
        <v>35</v>
      </c>
      <c r="D1486" t="str">
        <f>IFERROR(__xludf.DUMMYFUNCTION("""COMPUTED_VALUE"""),"Intentions (feat. Quavo)")</f>
        <v>Intentions (feat. Quavo)</v>
      </c>
      <c r="E1486" t="str">
        <f>IFERROR(__xludf.DUMMYFUNCTION("""COMPUTED_VALUE"""),"Justin Bieber, Quavo")</f>
        <v>Justin Bieber, Quavo</v>
      </c>
      <c r="F1486" t="str">
        <f>IFERROR(__xludf.DUMMYFUNCTION("""COMPUTED_VALUE"""),"Changes")</f>
        <v>Changes</v>
      </c>
      <c r="G1486">
        <f>IFERROR(__xludf.DUMMYFUNCTION("""COMPUTED_VALUE"""),0.0)</f>
        <v>0</v>
      </c>
      <c r="H1486" s="5">
        <f>IFERROR(__xludf.DUMMYFUNCTION("""COMPUTED_VALUE"""),0.14722222222189885)</f>
        <v>0.1472222222</v>
      </c>
    </row>
    <row r="1487">
      <c r="A1487" t="str">
        <f>IFERROR(__xludf.DUMMYFUNCTION("""COMPUTED_VALUE"""),"Ireland")</f>
        <v>Ireland</v>
      </c>
      <c r="B1487" t="str">
        <f>IFERROR(__xludf.DUMMYFUNCTION("""COMPUTED_VALUE"""),"Europe")</f>
        <v>Europe</v>
      </c>
      <c r="C1487">
        <f>IFERROR(__xludf.DUMMYFUNCTION("""COMPUTED_VALUE"""),36.0)</f>
        <v>36</v>
      </c>
      <c r="D1487" t="str">
        <f>IFERROR(__xludf.DUMMYFUNCTION("""COMPUTED_VALUE"""),"If the World Was Ending - feat. Julia Michaels")</f>
        <v>If the World Was Ending - feat. Julia Michaels</v>
      </c>
      <c r="E1487" t="str">
        <f>IFERROR(__xludf.DUMMYFUNCTION("""COMPUTED_VALUE"""),"JP Saxe, Julia Michaels")</f>
        <v>JP Saxe, Julia Michaels</v>
      </c>
      <c r="F1487" t="str">
        <f>IFERROR(__xludf.DUMMYFUNCTION("""COMPUTED_VALUE"""),"If the World Was Ending (feat. Julia Michaels)")</f>
        <v>If the World Was Ending (feat. Julia Michaels)</v>
      </c>
      <c r="G1487">
        <f>IFERROR(__xludf.DUMMYFUNCTION("""COMPUTED_VALUE"""),0.0)</f>
        <v>0</v>
      </c>
      <c r="H1487" s="5">
        <f>IFERROR(__xludf.DUMMYFUNCTION("""COMPUTED_VALUE"""),0.14444444444598048)</f>
        <v>0.1444444444</v>
      </c>
    </row>
    <row r="1488">
      <c r="A1488" t="str">
        <f>IFERROR(__xludf.DUMMYFUNCTION("""COMPUTED_VALUE"""),"Ireland")</f>
        <v>Ireland</v>
      </c>
      <c r="B1488" t="str">
        <f>IFERROR(__xludf.DUMMYFUNCTION("""COMPUTED_VALUE"""),"Europe")</f>
        <v>Europe</v>
      </c>
      <c r="C1488">
        <f>IFERROR(__xludf.DUMMYFUNCTION("""COMPUTED_VALUE"""),37.0)</f>
        <v>37</v>
      </c>
      <c r="D1488" t="str">
        <f>IFERROR(__xludf.DUMMYFUNCTION("""COMPUTED_VALUE"""),"After Party")</f>
        <v>After Party</v>
      </c>
      <c r="E1488" t="str">
        <f>IFERROR(__xludf.DUMMYFUNCTION("""COMPUTED_VALUE"""),"Don Toliver")</f>
        <v>Don Toliver</v>
      </c>
      <c r="F1488" t="str">
        <f>IFERROR(__xludf.DUMMYFUNCTION("""COMPUTED_VALUE"""),"Heaven Or Hell")</f>
        <v>Heaven Or Hell</v>
      </c>
      <c r="G1488">
        <f>IFERROR(__xludf.DUMMYFUNCTION("""COMPUTED_VALUE"""),1.0)</f>
        <v>1</v>
      </c>
      <c r="H1488" s="5">
        <f>IFERROR(__xludf.DUMMYFUNCTION("""COMPUTED_VALUE"""),0.11597222222189885)</f>
        <v>0.1159722222</v>
      </c>
    </row>
    <row r="1489">
      <c r="A1489" t="str">
        <f>IFERROR(__xludf.DUMMYFUNCTION("""COMPUTED_VALUE"""),"Ireland")</f>
        <v>Ireland</v>
      </c>
      <c r="B1489" t="str">
        <f>IFERROR(__xludf.DUMMYFUNCTION("""COMPUTED_VALUE"""),"Europe")</f>
        <v>Europe</v>
      </c>
      <c r="C1489">
        <f>IFERROR(__xludf.DUMMYFUNCTION("""COMPUTED_VALUE"""),38.0)</f>
        <v>38</v>
      </c>
      <c r="D1489" t="str">
        <f>IFERROR(__xludf.DUMMYFUNCTION("""COMPUTED_VALUE"""),"Circles")</f>
        <v>Circles</v>
      </c>
      <c r="E1489" t="str">
        <f>IFERROR(__xludf.DUMMYFUNCTION("""COMPUTED_VALUE"""),"Post Malone")</f>
        <v>Post Malone</v>
      </c>
      <c r="F1489" t="str">
        <f>IFERROR(__xludf.DUMMYFUNCTION("""COMPUTED_VALUE"""),"Hollywood's Bleeding")</f>
        <v>Hollywood's Bleeding</v>
      </c>
      <c r="G1489">
        <f>IFERROR(__xludf.DUMMYFUNCTION("""COMPUTED_VALUE"""),0.0)</f>
        <v>0</v>
      </c>
      <c r="H1489" s="5">
        <f>IFERROR(__xludf.DUMMYFUNCTION("""COMPUTED_VALUE"""),0.14930555555474712)</f>
        <v>0.1493055556</v>
      </c>
    </row>
    <row r="1490">
      <c r="A1490" t="str">
        <f>IFERROR(__xludf.DUMMYFUNCTION("""COMPUTED_VALUE"""),"Ireland")</f>
        <v>Ireland</v>
      </c>
      <c r="B1490" t="str">
        <f>IFERROR(__xludf.DUMMYFUNCTION("""COMPUTED_VALUE"""),"Europe")</f>
        <v>Europe</v>
      </c>
      <c r="C1490">
        <f>IFERROR(__xludf.DUMMYFUNCTION("""COMPUTED_VALUE"""),39.0)</f>
        <v>39</v>
      </c>
      <c r="D1490" t="str">
        <f>IFERROR(__xludf.DUMMYFUNCTION("""COMPUTED_VALUE"""),"Pour the Milk")</f>
        <v>Pour the Milk</v>
      </c>
      <c r="E1490" t="str">
        <f>IFERROR(__xludf.DUMMYFUNCTION("""COMPUTED_VALUE"""),"Robbie Doherty, Keees.")</f>
        <v>Robbie Doherty, Keees.</v>
      </c>
      <c r="F1490" t="str">
        <f>IFERROR(__xludf.DUMMYFUNCTION("""COMPUTED_VALUE"""),"Pour the Milk")</f>
        <v>Pour the Milk</v>
      </c>
      <c r="G1490">
        <f>IFERROR(__xludf.DUMMYFUNCTION("""COMPUTED_VALUE"""),0.0)</f>
        <v>0</v>
      </c>
      <c r="H1490" s="5">
        <f>IFERROR(__xludf.DUMMYFUNCTION("""COMPUTED_VALUE"""),0.11944444444452529)</f>
        <v>0.1194444444</v>
      </c>
    </row>
    <row r="1491">
      <c r="A1491" t="str">
        <f>IFERROR(__xludf.DUMMYFUNCTION("""COMPUTED_VALUE"""),"Ireland")</f>
        <v>Ireland</v>
      </c>
      <c r="B1491" t="str">
        <f>IFERROR(__xludf.DUMMYFUNCTION("""COMPUTED_VALUE"""),"Europe")</f>
        <v>Europe</v>
      </c>
      <c r="C1491">
        <f>IFERROR(__xludf.DUMMYFUNCTION("""COMPUTED_VALUE"""),40.0)</f>
        <v>40</v>
      </c>
      <c r="D1491" t="str">
        <f>IFERROR(__xludf.DUMMYFUNCTION("""COMPUTED_VALUE"""),"Falling")</f>
        <v>Falling</v>
      </c>
      <c r="E1491" t="str">
        <f>IFERROR(__xludf.DUMMYFUNCTION("""COMPUTED_VALUE"""),"Harry Styles")</f>
        <v>Harry Styles</v>
      </c>
      <c r="F1491" t="str">
        <f>IFERROR(__xludf.DUMMYFUNCTION("""COMPUTED_VALUE"""),"Fine Line")</f>
        <v>Fine Line</v>
      </c>
      <c r="G1491">
        <f>IFERROR(__xludf.DUMMYFUNCTION("""COMPUTED_VALUE"""),0.0)</f>
        <v>0</v>
      </c>
      <c r="H1491" s="5">
        <f>IFERROR(__xludf.DUMMYFUNCTION("""COMPUTED_VALUE"""),0.16666666666787933)</f>
        <v>0.1666666667</v>
      </c>
    </row>
    <row r="1492">
      <c r="A1492" t="str">
        <f>IFERROR(__xludf.DUMMYFUNCTION("""COMPUTED_VALUE"""),"Ireland")</f>
        <v>Ireland</v>
      </c>
      <c r="B1492" t="str">
        <f>IFERROR(__xludf.DUMMYFUNCTION("""COMPUTED_VALUE"""),"Europe")</f>
        <v>Europe</v>
      </c>
      <c r="C1492">
        <f>IFERROR(__xludf.DUMMYFUNCTION("""COMPUTED_VALUE"""),41.0)</f>
        <v>41</v>
      </c>
      <c r="D1492" t="str">
        <f>IFERROR(__xludf.DUMMYFUNCTION("""COMPUTED_VALUE"""),"Break Up Song")</f>
        <v>Break Up Song</v>
      </c>
      <c r="E1492" t="str">
        <f>IFERROR(__xludf.DUMMYFUNCTION("""COMPUTED_VALUE"""),"Little Mix")</f>
        <v>Little Mix</v>
      </c>
      <c r="F1492" t="str">
        <f>IFERROR(__xludf.DUMMYFUNCTION("""COMPUTED_VALUE"""),"Break Up Song")</f>
        <v>Break Up Song</v>
      </c>
      <c r="G1492">
        <f>IFERROR(__xludf.DUMMYFUNCTION("""COMPUTED_VALUE"""),0.0)</f>
        <v>0</v>
      </c>
      <c r="H1492" s="5">
        <f>IFERROR(__xludf.DUMMYFUNCTION("""COMPUTED_VALUE"""),0.13888888889050577)</f>
        <v>0.1388888889</v>
      </c>
    </row>
    <row r="1493">
      <c r="A1493" t="str">
        <f>IFERROR(__xludf.DUMMYFUNCTION("""COMPUTED_VALUE"""),"Ireland")</f>
        <v>Ireland</v>
      </c>
      <c r="B1493" t="str">
        <f>IFERROR(__xludf.DUMMYFUNCTION("""COMPUTED_VALUE"""),"Europe")</f>
        <v>Europe</v>
      </c>
      <c r="C1493">
        <f>IFERROR(__xludf.DUMMYFUNCTION("""COMPUTED_VALUE"""),42.0)</f>
        <v>42</v>
      </c>
      <c r="D1493" t="str">
        <f>IFERROR(__xludf.DUMMYFUNCTION("""COMPUTED_VALUE"""),"Tequila - Jax Jones &amp; Martin Solveig Present Europa")</f>
        <v>Tequila - Jax Jones &amp; Martin Solveig Present Europa</v>
      </c>
      <c r="E1493" t="str">
        <f>IFERROR(__xludf.DUMMYFUNCTION("""COMPUTED_VALUE"""),"Jax Jones, Martin Solveig, RAYE, Europa")</f>
        <v>Jax Jones, Martin Solveig, RAYE, Europa</v>
      </c>
      <c r="F1493" t="str">
        <f>IFERROR(__xludf.DUMMYFUNCTION("""COMPUTED_VALUE"""),"Snacks (Supersize)")</f>
        <v>Snacks (Supersize)</v>
      </c>
      <c r="G1493">
        <f>IFERROR(__xludf.DUMMYFUNCTION("""COMPUTED_VALUE"""),1.0)</f>
        <v>1</v>
      </c>
      <c r="H1493" s="5">
        <f>IFERROR(__xludf.DUMMYFUNCTION("""COMPUTED_VALUE"""),0.14583333333212067)</f>
        <v>0.1458333333</v>
      </c>
    </row>
    <row r="1494">
      <c r="A1494" t="str">
        <f>IFERROR(__xludf.DUMMYFUNCTION("""COMPUTED_VALUE"""),"Ireland")</f>
        <v>Ireland</v>
      </c>
      <c r="B1494" t="str">
        <f>IFERROR(__xludf.DUMMYFUNCTION("""COMPUTED_VALUE"""),"Europe")</f>
        <v>Europe</v>
      </c>
      <c r="C1494">
        <f>IFERROR(__xludf.DUMMYFUNCTION("""COMPUTED_VALUE"""),43.0)</f>
        <v>43</v>
      </c>
      <c r="D1494" t="str">
        <f>IFERROR(__xludf.DUMMYFUNCTION("""COMPUTED_VALUE"""),"WHATS POPPIN")</f>
        <v>WHATS POPPIN</v>
      </c>
      <c r="E1494" t="str">
        <f>IFERROR(__xludf.DUMMYFUNCTION("""COMPUTED_VALUE"""),"Jack Harlow")</f>
        <v>Jack Harlow</v>
      </c>
      <c r="F1494" t="str">
        <f>IFERROR(__xludf.DUMMYFUNCTION("""COMPUTED_VALUE"""),"Sweet Action")</f>
        <v>Sweet Action</v>
      </c>
      <c r="G1494">
        <f>IFERROR(__xludf.DUMMYFUNCTION("""COMPUTED_VALUE"""),1.0)</f>
        <v>1</v>
      </c>
      <c r="H1494" s="5">
        <f>IFERROR(__xludf.DUMMYFUNCTION("""COMPUTED_VALUE"""),0.09652777777955635)</f>
        <v>0.09652777778</v>
      </c>
    </row>
    <row r="1495">
      <c r="A1495" t="str">
        <f>IFERROR(__xludf.DUMMYFUNCTION("""COMPUTED_VALUE"""),"Ireland")</f>
        <v>Ireland</v>
      </c>
      <c r="B1495" t="str">
        <f>IFERROR(__xludf.DUMMYFUNCTION("""COMPUTED_VALUE"""),"Europe")</f>
        <v>Europe</v>
      </c>
      <c r="C1495">
        <f>IFERROR(__xludf.DUMMYFUNCTION("""COMPUTED_VALUE"""),44.0)</f>
        <v>44</v>
      </c>
      <c r="D1495" t="str">
        <f>IFERROR(__xludf.DUMMYFUNCTION("""COMPUTED_VALUE"""),"Outnumbered")</f>
        <v>Outnumbered</v>
      </c>
      <c r="E1495" t="str">
        <f>IFERROR(__xludf.DUMMYFUNCTION("""COMPUTED_VALUE"""),"Dermot Kennedy")</f>
        <v>Dermot Kennedy</v>
      </c>
      <c r="F1495" t="str">
        <f>IFERROR(__xludf.DUMMYFUNCTION("""COMPUTED_VALUE"""),"Without Fear")</f>
        <v>Without Fear</v>
      </c>
      <c r="G1495">
        <f>IFERROR(__xludf.DUMMYFUNCTION("""COMPUTED_VALUE"""),0.0)</f>
        <v>0</v>
      </c>
      <c r="H1495" s="5">
        <f>IFERROR(__xludf.DUMMYFUNCTION("""COMPUTED_VALUE"""),0.17013888889050577)</f>
        <v>0.1701388889</v>
      </c>
    </row>
    <row r="1496">
      <c r="A1496" t="str">
        <f>IFERROR(__xludf.DUMMYFUNCTION("""COMPUTED_VALUE"""),"Ireland")</f>
        <v>Ireland</v>
      </c>
      <c r="B1496" t="str">
        <f>IFERROR(__xludf.DUMMYFUNCTION("""COMPUTED_VALUE"""),"Europe")</f>
        <v>Europe</v>
      </c>
      <c r="C1496">
        <f>IFERROR(__xludf.DUMMYFUNCTION("""COMPUTED_VALUE"""),45.0)</f>
        <v>45</v>
      </c>
      <c r="D1496" t="str">
        <f>IFERROR(__xludf.DUMMYFUNCTION("""COMPUTED_VALUE"""),"No Judgement")</f>
        <v>No Judgement</v>
      </c>
      <c r="E1496" t="str">
        <f>IFERROR(__xludf.DUMMYFUNCTION("""COMPUTED_VALUE"""),"Niall Horan")</f>
        <v>Niall Horan</v>
      </c>
      <c r="F1496" t="str">
        <f>IFERROR(__xludf.DUMMYFUNCTION("""COMPUTED_VALUE"""),"Heartbreak Weather")</f>
        <v>Heartbreak Weather</v>
      </c>
      <c r="G1496">
        <f>IFERROR(__xludf.DUMMYFUNCTION("""COMPUTED_VALUE"""),0.0)</f>
        <v>0</v>
      </c>
      <c r="H1496" s="5">
        <f>IFERROR(__xludf.DUMMYFUNCTION("""COMPUTED_VALUE"""),0.12222222222044365)</f>
        <v>0.1222222222</v>
      </c>
    </row>
    <row r="1497">
      <c r="A1497" t="str">
        <f>IFERROR(__xludf.DUMMYFUNCTION("""COMPUTED_VALUE"""),"Ireland")</f>
        <v>Ireland</v>
      </c>
      <c r="B1497" t="str">
        <f>IFERROR(__xludf.DUMMYFUNCTION("""COMPUTED_VALUE"""),"Europe")</f>
        <v>Europe</v>
      </c>
      <c r="C1497">
        <f>IFERROR(__xludf.DUMMYFUNCTION("""COMPUTED_VALUE"""),46.0)</f>
        <v>46</v>
      </c>
      <c r="D1497" t="str">
        <f>IFERROR(__xludf.DUMMYFUNCTION("""COMPUTED_VALUE"""),"Boyfriend")</f>
        <v>Boyfriend</v>
      </c>
      <c r="E1497" t="str">
        <f>IFERROR(__xludf.DUMMYFUNCTION("""COMPUTED_VALUE"""),"Mabel")</f>
        <v>Mabel</v>
      </c>
      <c r="F1497" t="str">
        <f>IFERROR(__xludf.DUMMYFUNCTION("""COMPUTED_VALUE"""),"High Expectations")</f>
        <v>High Expectations</v>
      </c>
      <c r="G1497">
        <f>IFERROR(__xludf.DUMMYFUNCTION("""COMPUTED_VALUE"""),0.0)</f>
        <v>0</v>
      </c>
      <c r="H1497" s="5">
        <f>IFERROR(__xludf.DUMMYFUNCTION("""COMPUTED_VALUE"""),0.15625)</f>
        <v>0.15625</v>
      </c>
    </row>
    <row r="1498">
      <c r="A1498" t="str">
        <f>IFERROR(__xludf.DUMMYFUNCTION("""COMPUTED_VALUE"""),"Ireland")</f>
        <v>Ireland</v>
      </c>
      <c r="B1498" t="str">
        <f>IFERROR(__xludf.DUMMYFUNCTION("""COMPUTED_VALUE"""),"Europe")</f>
        <v>Europe</v>
      </c>
      <c r="C1498">
        <f>IFERROR(__xludf.DUMMYFUNCTION("""COMPUTED_VALUE"""),47.0)</f>
        <v>47</v>
      </c>
      <c r="D1498" t="str">
        <f>IFERROR(__xludf.DUMMYFUNCTION("""COMPUTED_VALUE"""),"Life Is Good (feat. Drake)")</f>
        <v>Life Is Good (feat. Drake)</v>
      </c>
      <c r="E1498" t="str">
        <f>IFERROR(__xludf.DUMMYFUNCTION("""COMPUTED_VALUE"""),"Future, Drake")</f>
        <v>Future, Drake</v>
      </c>
      <c r="F1498" t="str">
        <f>IFERROR(__xludf.DUMMYFUNCTION("""COMPUTED_VALUE"""),"High Off Life")</f>
        <v>High Off Life</v>
      </c>
      <c r="G1498">
        <f>IFERROR(__xludf.DUMMYFUNCTION("""COMPUTED_VALUE"""),1.0)</f>
        <v>1</v>
      </c>
      <c r="H1498" s="5">
        <f>IFERROR(__xludf.DUMMYFUNCTION("""COMPUTED_VALUE"""),0.16458333333503106)</f>
        <v>0.1645833333</v>
      </c>
    </row>
    <row r="1499">
      <c r="A1499" t="str">
        <f>IFERROR(__xludf.DUMMYFUNCTION("""COMPUTED_VALUE"""),"Ireland")</f>
        <v>Ireland</v>
      </c>
      <c r="B1499" t="str">
        <f>IFERROR(__xludf.DUMMYFUNCTION("""COMPUTED_VALUE"""),"Europe")</f>
        <v>Europe</v>
      </c>
      <c r="C1499">
        <f>IFERROR(__xludf.DUMMYFUNCTION("""COMPUTED_VALUE"""),48.0)</f>
        <v>48</v>
      </c>
      <c r="D1499" t="str">
        <f>IFERROR(__xludf.DUMMYFUNCTION("""COMPUTED_VALUE"""),"Cap (feat. Offset)")</f>
        <v>Cap (feat. Offset)</v>
      </c>
      <c r="E1499" t="str">
        <f>IFERROR(__xludf.DUMMYFUNCTION("""COMPUTED_VALUE"""),"KSI, Offset")</f>
        <v>KSI, Offset</v>
      </c>
      <c r="F1499" t="str">
        <f>IFERROR(__xludf.DUMMYFUNCTION("""COMPUTED_VALUE"""),"Dissimulation")</f>
        <v>Dissimulation</v>
      </c>
      <c r="G1499">
        <f>IFERROR(__xludf.DUMMYFUNCTION("""COMPUTED_VALUE"""),1.0)</f>
        <v>1</v>
      </c>
      <c r="H1499" s="5">
        <f>IFERROR(__xludf.DUMMYFUNCTION("""COMPUTED_VALUE"""),0.13263888888832298)</f>
        <v>0.1326388889</v>
      </c>
    </row>
    <row r="1500">
      <c r="A1500" t="str">
        <f>IFERROR(__xludf.DUMMYFUNCTION("""COMPUTED_VALUE"""),"Ireland")</f>
        <v>Ireland</v>
      </c>
      <c r="B1500" t="str">
        <f>IFERROR(__xludf.DUMMYFUNCTION("""COMPUTED_VALUE"""),"Europe")</f>
        <v>Europe</v>
      </c>
      <c r="C1500">
        <f>IFERROR(__xludf.DUMMYFUNCTION("""COMPUTED_VALUE"""),49.0)</f>
        <v>49</v>
      </c>
      <c r="D1500" t="str">
        <f>IFERROR(__xludf.DUMMYFUNCTION("""COMPUTED_VALUE"""),"goosebumps")</f>
        <v>goosebumps</v>
      </c>
      <c r="E1500" t="str">
        <f>IFERROR(__xludf.DUMMYFUNCTION("""COMPUTED_VALUE"""),"Travis Scott")</f>
        <v>Travis Scott</v>
      </c>
      <c r="F1500" t="str">
        <f>IFERROR(__xludf.DUMMYFUNCTION("""COMPUTED_VALUE"""),"Birds In The Trap Sing McKnight")</f>
        <v>Birds In The Trap Sing McKnight</v>
      </c>
      <c r="G1500">
        <f>IFERROR(__xludf.DUMMYFUNCTION("""COMPUTED_VALUE"""),1.0)</f>
        <v>1</v>
      </c>
      <c r="H1500" s="5">
        <f>IFERROR(__xludf.DUMMYFUNCTION("""COMPUTED_VALUE"""),0.1687500000007276)</f>
        <v>0.16875</v>
      </c>
    </row>
    <row r="1501">
      <c r="A1501" t="str">
        <f>IFERROR(__xludf.DUMMYFUNCTION("""COMPUTED_VALUE"""),"Ireland")</f>
        <v>Ireland</v>
      </c>
      <c r="B1501" t="str">
        <f>IFERROR(__xludf.DUMMYFUNCTION("""COMPUTED_VALUE"""),"Europe")</f>
        <v>Europe</v>
      </c>
      <c r="C1501">
        <f>IFERROR(__xludf.DUMMYFUNCTION("""COMPUTED_VALUE"""),50.0)</f>
        <v>50</v>
      </c>
      <c r="D1501" t="str">
        <f>IFERROR(__xludf.DUMMYFUNCTION("""COMPUTED_VALUE"""),"Killa Killa (feat. Aiyana Lee)")</f>
        <v>Killa Killa (feat. Aiyana Lee)</v>
      </c>
      <c r="E1501" t="str">
        <f>IFERROR(__xludf.DUMMYFUNCTION("""COMPUTED_VALUE"""),"KSI, Aiyana-Lee")</f>
        <v>KSI, Aiyana-Lee</v>
      </c>
      <c r="F1501" t="str">
        <f>IFERROR(__xludf.DUMMYFUNCTION("""COMPUTED_VALUE"""),"Dissimulation")</f>
        <v>Dissimulation</v>
      </c>
      <c r="G1501">
        <f>IFERROR(__xludf.DUMMYFUNCTION("""COMPUTED_VALUE"""),1.0)</f>
        <v>1</v>
      </c>
      <c r="H1501" s="5">
        <f>IFERROR(__xludf.DUMMYFUNCTION("""COMPUTED_VALUE"""),0.10486111111094942)</f>
        <v>0.1048611111</v>
      </c>
    </row>
    <row r="1502">
      <c r="A1502" t="str">
        <f>IFERROR(__xludf.DUMMYFUNCTION("""COMPUTED_VALUE"""),"Israel")</f>
        <v>Israel</v>
      </c>
      <c r="B1502" t="str">
        <f>IFERROR(__xludf.DUMMYFUNCTION("""COMPUTED_VALUE"""),"Asia")</f>
        <v>Asia</v>
      </c>
      <c r="C1502">
        <f>IFERROR(__xludf.DUMMYFUNCTION("""COMPUTED_VALUE"""),1.0)</f>
        <v>1</v>
      </c>
      <c r="D1502" t="str">
        <f>IFERROR(__xludf.DUMMYFUNCTION("""COMPUTED_VALUE"""),"Blinding Lights")</f>
        <v>Blinding Lights</v>
      </c>
      <c r="E1502" t="str">
        <f>IFERROR(__xludf.DUMMYFUNCTION("""COMPUTED_VALUE"""),"The Weeknd")</f>
        <v>The Weeknd</v>
      </c>
      <c r="F1502" t="str">
        <f>IFERROR(__xludf.DUMMYFUNCTION("""COMPUTED_VALUE"""),"After Hours")</f>
        <v>After Hours</v>
      </c>
      <c r="G1502">
        <f>IFERROR(__xludf.DUMMYFUNCTION("""COMPUTED_VALUE"""),0.0)</f>
        <v>0</v>
      </c>
      <c r="H1502" s="5">
        <f>IFERROR(__xludf.DUMMYFUNCTION("""COMPUTED_VALUE"""),0.13888888889050577)</f>
        <v>0.1388888889</v>
      </c>
    </row>
    <row r="1503">
      <c r="A1503" t="str">
        <f>IFERROR(__xludf.DUMMYFUNCTION("""COMPUTED_VALUE"""),"Israel")</f>
        <v>Israel</v>
      </c>
      <c r="B1503" t="str">
        <f>IFERROR(__xludf.DUMMYFUNCTION("""COMPUTED_VALUE"""),"Asia")</f>
        <v>Asia</v>
      </c>
      <c r="C1503">
        <f>IFERROR(__xludf.DUMMYFUNCTION("""COMPUTED_VALUE"""),2.0)</f>
        <v>2</v>
      </c>
      <c r="D1503" t="str">
        <f>IFERROR(__xludf.DUMMYFUNCTION("""COMPUTED_VALUE"""),"Toosie Slide")</f>
        <v>Toosie Slide</v>
      </c>
      <c r="E1503" t="str">
        <f>IFERROR(__xludf.DUMMYFUNCTION("""COMPUTED_VALUE"""),"Drake")</f>
        <v>Drake</v>
      </c>
      <c r="F1503" t="str">
        <f>IFERROR(__xludf.DUMMYFUNCTION("""COMPUTED_VALUE"""),"Dark Lane Demo Tapes")</f>
        <v>Dark Lane Demo Tapes</v>
      </c>
      <c r="G1503">
        <f>IFERROR(__xludf.DUMMYFUNCTION("""COMPUTED_VALUE"""),1.0)</f>
        <v>1</v>
      </c>
      <c r="H1503" s="5">
        <f>IFERROR(__xludf.DUMMYFUNCTION("""COMPUTED_VALUE"""),0.17152777777664596)</f>
        <v>0.1715277778</v>
      </c>
    </row>
    <row r="1504">
      <c r="A1504" t="str">
        <f>IFERROR(__xludf.DUMMYFUNCTION("""COMPUTED_VALUE"""),"Israel")</f>
        <v>Israel</v>
      </c>
      <c r="B1504" t="str">
        <f>IFERROR(__xludf.DUMMYFUNCTION("""COMPUTED_VALUE"""),"Asia")</f>
        <v>Asia</v>
      </c>
      <c r="C1504">
        <f>IFERROR(__xludf.DUMMYFUNCTION("""COMPUTED_VALUE"""),3.0)</f>
        <v>3</v>
      </c>
      <c r="D1504" t="str">
        <f>IFERROR(__xludf.DUMMYFUNCTION("""COMPUTED_VALUE"""),"Dance Monkey")</f>
        <v>Dance Monkey</v>
      </c>
      <c r="E1504" t="str">
        <f>IFERROR(__xludf.DUMMYFUNCTION("""COMPUTED_VALUE"""),"Tones And I")</f>
        <v>Tones And I</v>
      </c>
      <c r="F1504" t="str">
        <f>IFERROR(__xludf.DUMMYFUNCTION("""COMPUTED_VALUE"""),"Dance Monkey (Stripped Back) / Dance Monkey")</f>
        <v>Dance Monkey (Stripped Back) / Dance Monkey</v>
      </c>
      <c r="G1504">
        <f>IFERROR(__xludf.DUMMYFUNCTION("""COMPUTED_VALUE"""),0.0)</f>
        <v>0</v>
      </c>
      <c r="H1504" s="5">
        <f>IFERROR(__xludf.DUMMYFUNCTION("""COMPUTED_VALUE"""),0.14513888888905058)</f>
        <v>0.1451388889</v>
      </c>
    </row>
    <row r="1505">
      <c r="A1505" t="str">
        <f>IFERROR(__xludf.DUMMYFUNCTION("""COMPUTED_VALUE"""),"Israel")</f>
        <v>Israel</v>
      </c>
      <c r="B1505" t="str">
        <f>IFERROR(__xludf.DUMMYFUNCTION("""COMPUTED_VALUE"""),"Asia")</f>
        <v>Asia</v>
      </c>
      <c r="C1505">
        <f>IFERROR(__xludf.DUMMYFUNCTION("""COMPUTED_VALUE"""),4.0)</f>
        <v>4</v>
      </c>
      <c r="D1505" t="str">
        <f>IFERROR(__xludf.DUMMYFUNCTION("""COMPUTED_VALUE"""),"THE SCOTTS")</f>
        <v>THE SCOTTS</v>
      </c>
      <c r="E1505" t="str">
        <f>IFERROR(__xludf.DUMMYFUNCTION("""COMPUTED_VALUE"""),"THE SCOTTS, Travis Scott, Kid Cudi")</f>
        <v>THE SCOTTS, Travis Scott, Kid Cudi</v>
      </c>
      <c r="F1505" t="str">
        <f>IFERROR(__xludf.DUMMYFUNCTION("""COMPUTED_VALUE"""),"THE SCOTTS")</f>
        <v>THE SCOTTS</v>
      </c>
      <c r="G1505">
        <f>IFERROR(__xludf.DUMMYFUNCTION("""COMPUTED_VALUE"""),1.0)</f>
        <v>1</v>
      </c>
      <c r="H1505" s="5">
        <f>IFERROR(__xludf.DUMMYFUNCTION("""COMPUTED_VALUE"""),0.11458333333212067)</f>
        <v>0.1145833333</v>
      </c>
    </row>
    <row r="1506">
      <c r="A1506" t="str">
        <f>IFERROR(__xludf.DUMMYFUNCTION("""COMPUTED_VALUE"""),"Israel")</f>
        <v>Israel</v>
      </c>
      <c r="B1506" t="str">
        <f>IFERROR(__xludf.DUMMYFUNCTION("""COMPUTED_VALUE"""),"Asia")</f>
        <v>Asia</v>
      </c>
      <c r="C1506">
        <f>IFERROR(__xludf.DUMMYFUNCTION("""COMPUTED_VALUE"""),5.0)</f>
        <v>5</v>
      </c>
      <c r="D1506" t="str">
        <f>IFERROR(__xludf.DUMMYFUNCTION("""COMPUTED_VALUE"""),"Roses - Imanbek Remix")</f>
        <v>Roses - Imanbek Remix</v>
      </c>
      <c r="E1506" t="str">
        <f>IFERROR(__xludf.DUMMYFUNCTION("""COMPUTED_VALUE"""),"SAINt JHN, Imanbek")</f>
        <v>SAINt JHN, Imanbek</v>
      </c>
      <c r="F1506" t="str">
        <f>IFERROR(__xludf.DUMMYFUNCTION("""COMPUTED_VALUE"""),"Roses (Imanbek Remix)")</f>
        <v>Roses (Imanbek Remix)</v>
      </c>
      <c r="G1506">
        <f>IFERROR(__xludf.DUMMYFUNCTION("""COMPUTED_VALUE"""),1.0)</f>
        <v>1</v>
      </c>
      <c r="H1506" s="5">
        <f>IFERROR(__xludf.DUMMYFUNCTION("""COMPUTED_VALUE"""),0.12222222222044365)</f>
        <v>0.1222222222</v>
      </c>
    </row>
    <row r="1507">
      <c r="A1507" t="str">
        <f>IFERROR(__xludf.DUMMYFUNCTION("""COMPUTED_VALUE"""),"Israel")</f>
        <v>Israel</v>
      </c>
      <c r="B1507" t="str">
        <f>IFERROR(__xludf.DUMMYFUNCTION("""COMPUTED_VALUE"""),"Asia")</f>
        <v>Asia</v>
      </c>
      <c r="C1507">
        <f>IFERROR(__xludf.DUMMYFUNCTION("""COMPUTED_VALUE"""),6.0)</f>
        <v>6</v>
      </c>
      <c r="D1507" t="str">
        <f>IFERROR(__xludf.DUMMYFUNCTION("""COMPUTED_VALUE"""),"סטפן לגר")</f>
        <v>סטפן לגר</v>
      </c>
      <c r="E1507" t="str">
        <f>IFERROR(__xludf.DUMMYFUNCTION("""COMPUTED_VALUE"""),"Dudu Faruk")</f>
        <v>Dudu Faruk</v>
      </c>
      <c r="F1507" t="str">
        <f>IFERROR(__xludf.DUMMYFUNCTION("""COMPUTED_VALUE"""),"סטפן לגר")</f>
        <v>סטפן לגר</v>
      </c>
      <c r="G1507">
        <f>IFERROR(__xludf.DUMMYFUNCTION("""COMPUTED_VALUE"""),0.0)</f>
        <v>0</v>
      </c>
      <c r="H1507" s="5">
        <f>IFERROR(__xludf.DUMMYFUNCTION("""COMPUTED_VALUE"""),0.09166666666715173)</f>
        <v>0.09166666667</v>
      </c>
    </row>
    <row r="1508">
      <c r="A1508" t="str">
        <f>IFERROR(__xludf.DUMMYFUNCTION("""COMPUTED_VALUE"""),"Israel")</f>
        <v>Israel</v>
      </c>
      <c r="B1508" t="str">
        <f>IFERROR(__xludf.DUMMYFUNCTION("""COMPUTED_VALUE"""),"Asia")</f>
        <v>Asia</v>
      </c>
      <c r="C1508">
        <f>IFERROR(__xludf.DUMMYFUNCTION("""COMPUTED_VALUE"""),7.0)</f>
        <v>7</v>
      </c>
      <c r="D1508" t="str">
        <f>IFERROR(__xludf.DUMMYFUNCTION("""COMPUTED_VALUE"""),"Rain On Me (with Ariana Grande)")</f>
        <v>Rain On Me (with Ariana Grande)</v>
      </c>
      <c r="E1508" t="str">
        <f>IFERROR(__xludf.DUMMYFUNCTION("""COMPUTED_VALUE"""),"Lady Gaga, Ariana Grande")</f>
        <v>Lady Gaga, Ariana Grande</v>
      </c>
      <c r="F1508" t="str">
        <f>IFERROR(__xludf.DUMMYFUNCTION("""COMPUTED_VALUE"""),"Rain On Me (with Ariana Grande)")</f>
        <v>Rain On Me (with Ariana Grande)</v>
      </c>
      <c r="G1508">
        <f>IFERROR(__xludf.DUMMYFUNCTION("""COMPUTED_VALUE"""),0.0)</f>
        <v>0</v>
      </c>
      <c r="H1508" s="5">
        <f>IFERROR(__xludf.DUMMYFUNCTION("""COMPUTED_VALUE"""),0.12638888888977817)</f>
        <v>0.1263888889</v>
      </c>
    </row>
    <row r="1509">
      <c r="A1509" t="str">
        <f>IFERROR(__xludf.DUMMYFUNCTION("""COMPUTED_VALUE"""),"Israel")</f>
        <v>Israel</v>
      </c>
      <c r="B1509" t="str">
        <f>IFERROR(__xludf.DUMMYFUNCTION("""COMPUTED_VALUE"""),"Asia")</f>
        <v>Asia</v>
      </c>
      <c r="C1509">
        <f>IFERROR(__xludf.DUMMYFUNCTION("""COMPUTED_VALUE"""),8.0)</f>
        <v>8</v>
      </c>
      <c r="D1509" t="str">
        <f>IFERROR(__xludf.DUMMYFUNCTION("""COMPUTED_VALUE"""),"ROCKSTAR (feat. Roddy Ricch)")</f>
        <v>ROCKSTAR (feat. Roddy Ricch)</v>
      </c>
      <c r="E1509" t="str">
        <f>IFERROR(__xludf.DUMMYFUNCTION("""COMPUTED_VALUE"""),"DaBaby, Roddy Ricch")</f>
        <v>DaBaby, Roddy Ricch</v>
      </c>
      <c r="F1509" t="str">
        <f>IFERROR(__xludf.DUMMYFUNCTION("""COMPUTED_VALUE"""),"BLAME IT ON BABY")</f>
        <v>BLAME IT ON BABY</v>
      </c>
      <c r="G1509">
        <f>IFERROR(__xludf.DUMMYFUNCTION("""COMPUTED_VALUE"""),1.0)</f>
        <v>1</v>
      </c>
      <c r="H1509" s="5">
        <f>IFERROR(__xludf.DUMMYFUNCTION("""COMPUTED_VALUE"""),0.1256944444430701)</f>
        <v>0.1256944444</v>
      </c>
    </row>
    <row r="1510">
      <c r="A1510" t="str">
        <f>IFERROR(__xludf.DUMMYFUNCTION("""COMPUTED_VALUE"""),"Israel")</f>
        <v>Israel</v>
      </c>
      <c r="B1510" t="str">
        <f>IFERROR(__xludf.DUMMYFUNCTION("""COMPUTED_VALUE"""),"Asia")</f>
        <v>Asia</v>
      </c>
      <c r="C1510">
        <f>IFERROR(__xludf.DUMMYFUNCTION("""COMPUTED_VALUE"""),9.0)</f>
        <v>9</v>
      </c>
      <c r="D1510" t="str">
        <f>IFERROR(__xludf.DUMMYFUNCTION("""COMPUTED_VALUE"""),"Don't Start Now")</f>
        <v>Don't Start Now</v>
      </c>
      <c r="E1510" t="str">
        <f>IFERROR(__xludf.DUMMYFUNCTION("""COMPUTED_VALUE"""),"Dua Lipa")</f>
        <v>Dua Lipa</v>
      </c>
      <c r="F1510" t="str">
        <f>IFERROR(__xludf.DUMMYFUNCTION("""COMPUTED_VALUE"""),"Future Nostalgia")</f>
        <v>Future Nostalgia</v>
      </c>
      <c r="G1510">
        <f>IFERROR(__xludf.DUMMYFUNCTION("""COMPUTED_VALUE"""),0.0)</f>
        <v>0</v>
      </c>
      <c r="H1510" s="5">
        <f>IFERROR(__xludf.DUMMYFUNCTION("""COMPUTED_VALUE"""),0.12708333333284827)</f>
        <v>0.1270833333</v>
      </c>
    </row>
    <row r="1511">
      <c r="A1511" t="str">
        <f>IFERROR(__xludf.DUMMYFUNCTION("""COMPUTED_VALUE"""),"Israel")</f>
        <v>Israel</v>
      </c>
      <c r="B1511" t="str">
        <f>IFERROR(__xludf.DUMMYFUNCTION("""COMPUTED_VALUE"""),"Asia")</f>
        <v>Asia</v>
      </c>
      <c r="C1511">
        <f>IFERROR(__xludf.DUMMYFUNCTION("""COMPUTED_VALUE"""),10.0)</f>
        <v>10</v>
      </c>
      <c r="D1511" t="str">
        <f>IFERROR(__xludf.DUMMYFUNCTION("""COMPUTED_VALUE"""),"את חסרה לי")</f>
        <v>את חסרה לי</v>
      </c>
      <c r="E1511" t="str">
        <f>IFERROR(__xludf.DUMMYFUNCTION("""COMPUTED_VALUE"""),"Eden Hason")</f>
        <v>Eden Hason</v>
      </c>
      <c r="F1511" t="str">
        <f>IFERROR(__xludf.DUMMYFUNCTION("""COMPUTED_VALUE"""),"את חסרה לי")</f>
        <v>את חסרה לי</v>
      </c>
      <c r="G1511">
        <f>IFERROR(__xludf.DUMMYFUNCTION("""COMPUTED_VALUE"""),0.0)</f>
        <v>0</v>
      </c>
      <c r="H1511" s="5">
        <f>IFERROR(__xludf.DUMMYFUNCTION("""COMPUTED_VALUE"""),0.11736111111167702)</f>
        <v>0.1173611111</v>
      </c>
    </row>
    <row r="1512">
      <c r="A1512" t="str">
        <f>IFERROR(__xludf.DUMMYFUNCTION("""COMPUTED_VALUE"""),"Israel")</f>
        <v>Israel</v>
      </c>
      <c r="B1512" t="str">
        <f>IFERROR(__xludf.DUMMYFUNCTION("""COMPUTED_VALUE"""),"Asia")</f>
        <v>Asia</v>
      </c>
      <c r="C1512">
        <f>IFERROR(__xludf.DUMMYFUNCTION("""COMPUTED_VALUE"""),11.0)</f>
        <v>11</v>
      </c>
      <c r="D1512" t="str">
        <f>IFERROR(__xludf.DUMMYFUNCTION("""COMPUTED_VALUE"""),"מסע")</f>
        <v>מסע</v>
      </c>
      <c r="E1512" t="str">
        <f>IFERROR(__xludf.DUMMYFUNCTION("""COMPUTED_VALUE"""),"Eliad")</f>
        <v>Eliad</v>
      </c>
      <c r="F1512" t="str">
        <f>IFERROR(__xludf.DUMMYFUNCTION("""COMPUTED_VALUE"""),"מסע")</f>
        <v>מסע</v>
      </c>
      <c r="G1512">
        <f>IFERROR(__xludf.DUMMYFUNCTION("""COMPUTED_VALUE"""),0.0)</f>
        <v>0</v>
      </c>
      <c r="H1512" s="5">
        <f>IFERROR(__xludf.DUMMYFUNCTION("""COMPUTED_VALUE"""),0.1437499999992724)</f>
        <v>0.14375</v>
      </c>
    </row>
    <row r="1513">
      <c r="A1513" t="str">
        <f>IFERROR(__xludf.DUMMYFUNCTION("""COMPUTED_VALUE"""),"Israel")</f>
        <v>Israel</v>
      </c>
      <c r="B1513" t="str">
        <f>IFERROR(__xludf.DUMMYFUNCTION("""COMPUTED_VALUE"""),"Asia")</f>
        <v>Asia</v>
      </c>
      <c r="C1513">
        <f>IFERROR(__xludf.DUMMYFUNCTION("""COMPUTED_VALUE"""),12.0)</f>
        <v>12</v>
      </c>
      <c r="D1513" t="str">
        <f>IFERROR(__xludf.DUMMYFUNCTION("""COMPUTED_VALUE"""),"אלוף העולם")</f>
        <v>אלוף העולם</v>
      </c>
      <c r="E1513" t="str">
        <f>IFERROR(__xludf.DUMMYFUNCTION("""COMPUTED_VALUE"""),"Hanan Ben Ari")</f>
        <v>Hanan Ben Ari</v>
      </c>
      <c r="F1513" t="str">
        <f>IFERROR(__xludf.DUMMYFUNCTION("""COMPUTED_VALUE"""),"אלוף העולם")</f>
        <v>אלוף העולם</v>
      </c>
      <c r="G1513">
        <f>IFERROR(__xludf.DUMMYFUNCTION("""COMPUTED_VALUE"""),0.0)</f>
        <v>0</v>
      </c>
      <c r="H1513" s="5">
        <f>IFERROR(__xludf.DUMMYFUNCTION("""COMPUTED_VALUE"""),0.14930555555474712)</f>
        <v>0.1493055556</v>
      </c>
    </row>
    <row r="1514">
      <c r="A1514" t="str">
        <f>IFERROR(__xludf.DUMMYFUNCTION("""COMPUTED_VALUE"""),"Israel")</f>
        <v>Israel</v>
      </c>
      <c r="B1514" t="str">
        <f>IFERROR(__xludf.DUMMYFUNCTION("""COMPUTED_VALUE"""),"Asia")</f>
        <v>Asia</v>
      </c>
      <c r="C1514">
        <f>IFERROR(__xludf.DUMMYFUNCTION("""COMPUTED_VALUE"""),13.0)</f>
        <v>13</v>
      </c>
      <c r="D1514" t="str">
        <f>IFERROR(__xludf.DUMMYFUNCTION("""COMPUTED_VALUE"""),"אם תרצי")</f>
        <v>אם תרצי</v>
      </c>
      <c r="E1514" t="str">
        <f>IFERROR(__xludf.DUMMYFUNCTION("""COMPUTED_VALUE"""),"Hanan Ben Ari")</f>
        <v>Hanan Ben Ari</v>
      </c>
      <c r="F1514" t="str">
        <f>IFERROR(__xludf.DUMMYFUNCTION("""COMPUTED_VALUE"""),"אם תרצי")</f>
        <v>אם תרצי</v>
      </c>
      <c r="G1514">
        <f>IFERROR(__xludf.DUMMYFUNCTION("""COMPUTED_VALUE"""),0.0)</f>
        <v>0</v>
      </c>
      <c r="H1514" s="5">
        <f>IFERROR(__xludf.DUMMYFUNCTION("""COMPUTED_VALUE"""),0.12222222222044365)</f>
        <v>0.1222222222</v>
      </c>
    </row>
    <row r="1515">
      <c r="A1515" t="str">
        <f>IFERROR(__xludf.DUMMYFUNCTION("""COMPUTED_VALUE"""),"Israel")</f>
        <v>Israel</v>
      </c>
      <c r="B1515" t="str">
        <f>IFERROR(__xludf.DUMMYFUNCTION("""COMPUTED_VALUE"""),"Asia")</f>
        <v>Asia</v>
      </c>
      <c r="C1515">
        <f>IFERROR(__xludf.DUMMYFUNCTION("""COMPUTED_VALUE"""),14.0)</f>
        <v>14</v>
      </c>
      <c r="D1515" t="str">
        <f>IFERROR(__xludf.DUMMYFUNCTION("""COMPUTED_VALUE"""),"The Box")</f>
        <v>The Box</v>
      </c>
      <c r="E1515" t="str">
        <f>IFERROR(__xludf.DUMMYFUNCTION("""COMPUTED_VALUE"""),"Roddy Ricch")</f>
        <v>Roddy Ricch</v>
      </c>
      <c r="F1515" t="str">
        <f>IFERROR(__xludf.DUMMYFUNCTION("""COMPUTED_VALUE"""),"Please Excuse Me For Being Antisocial")</f>
        <v>Please Excuse Me For Being Antisocial</v>
      </c>
      <c r="G1515">
        <f>IFERROR(__xludf.DUMMYFUNCTION("""COMPUTED_VALUE"""),1.0)</f>
        <v>1</v>
      </c>
      <c r="H1515" s="5">
        <f>IFERROR(__xludf.DUMMYFUNCTION("""COMPUTED_VALUE"""),0.13611111111094942)</f>
        <v>0.1361111111</v>
      </c>
    </row>
    <row r="1516">
      <c r="A1516" t="str">
        <f>IFERROR(__xludf.DUMMYFUNCTION("""COMPUTED_VALUE"""),"Israel")</f>
        <v>Israel</v>
      </c>
      <c r="B1516" t="str">
        <f>IFERROR(__xludf.DUMMYFUNCTION("""COMPUTED_VALUE"""),"Asia")</f>
        <v>Asia</v>
      </c>
      <c r="C1516">
        <f>IFERROR(__xludf.DUMMYFUNCTION("""COMPUTED_VALUE"""),15.0)</f>
        <v>15</v>
      </c>
      <c r="D1516" t="str">
        <f>IFERROR(__xludf.DUMMYFUNCTION("""COMPUTED_VALUE"""),"חצי בשבילי")</f>
        <v>חצי בשבילי</v>
      </c>
      <c r="E1516" t="str">
        <f>IFERROR(__xludf.DUMMYFUNCTION("""COMPUTED_VALUE"""),"Itay Levi")</f>
        <v>Itay Levi</v>
      </c>
      <c r="F1516" t="str">
        <f>IFERROR(__xludf.DUMMYFUNCTION("""COMPUTED_VALUE"""),"חצי בשבילי")</f>
        <v>חצי בשבילי</v>
      </c>
      <c r="G1516">
        <f>IFERROR(__xludf.DUMMYFUNCTION("""COMPUTED_VALUE"""),0.0)</f>
        <v>0</v>
      </c>
      <c r="H1516" s="5">
        <f>IFERROR(__xludf.DUMMYFUNCTION("""COMPUTED_VALUE"""),0.14097222222335404)</f>
        <v>0.1409722222</v>
      </c>
    </row>
    <row r="1517">
      <c r="A1517" t="str">
        <f>IFERROR(__xludf.DUMMYFUNCTION("""COMPUTED_VALUE"""),"Israel")</f>
        <v>Israel</v>
      </c>
      <c r="B1517" t="str">
        <f>IFERROR(__xludf.DUMMYFUNCTION("""COMPUTED_VALUE"""),"Asia")</f>
        <v>Asia</v>
      </c>
      <c r="C1517">
        <f>IFERROR(__xludf.DUMMYFUNCTION("""COMPUTED_VALUE"""),16.0)</f>
        <v>16</v>
      </c>
      <c r="D1517" t="str">
        <f>IFERROR(__xludf.DUMMYFUNCTION("""COMPUTED_VALUE"""),"Stuck with U (with Justin Bieber)")</f>
        <v>Stuck with U (with Justin Bieber)</v>
      </c>
      <c r="E1517" t="str">
        <f>IFERROR(__xludf.DUMMYFUNCTION("""COMPUTED_VALUE"""),"Ariana Grande, Justin Bieber")</f>
        <v>Ariana Grande, Justin Bieber</v>
      </c>
      <c r="F1517" t="str">
        <f>IFERROR(__xludf.DUMMYFUNCTION("""COMPUTED_VALUE"""),"Stuck with U")</f>
        <v>Stuck with U</v>
      </c>
      <c r="G1517">
        <f>IFERROR(__xludf.DUMMYFUNCTION("""COMPUTED_VALUE"""),0.0)</f>
        <v>0</v>
      </c>
      <c r="H1517" s="5">
        <f>IFERROR(__xludf.DUMMYFUNCTION("""COMPUTED_VALUE"""),0.15833333333284827)</f>
        <v>0.1583333333</v>
      </c>
    </row>
    <row r="1518">
      <c r="A1518" t="str">
        <f>IFERROR(__xludf.DUMMYFUNCTION("""COMPUTED_VALUE"""),"Israel")</f>
        <v>Israel</v>
      </c>
      <c r="B1518" t="str">
        <f>IFERROR(__xludf.DUMMYFUNCTION("""COMPUTED_VALUE"""),"Asia")</f>
        <v>Asia</v>
      </c>
      <c r="C1518">
        <f>IFERROR(__xludf.DUMMYFUNCTION("""COMPUTED_VALUE"""),17.0)</f>
        <v>17</v>
      </c>
      <c r="D1518" t="str">
        <f>IFERROR(__xludf.DUMMYFUNCTION("""COMPUTED_VALUE"""),"נחכה לך")</f>
        <v>נחכה לך</v>
      </c>
      <c r="E1518" t="str">
        <f>IFERROR(__xludf.DUMMYFUNCTION("""COMPUTED_VALUE"""),"Nathan Goshen, Ishay Ribo")</f>
        <v>Nathan Goshen, Ishay Ribo</v>
      </c>
      <c r="F1518" t="str">
        <f>IFERROR(__xludf.DUMMYFUNCTION("""COMPUTED_VALUE"""),"באתי לחלום")</f>
        <v>באתי לחלום</v>
      </c>
      <c r="G1518">
        <f>IFERROR(__xludf.DUMMYFUNCTION("""COMPUTED_VALUE"""),0.0)</f>
        <v>0</v>
      </c>
      <c r="H1518" s="5">
        <f>IFERROR(__xludf.DUMMYFUNCTION("""COMPUTED_VALUE"""),0.1437499999992724)</f>
        <v>0.14375</v>
      </c>
    </row>
    <row r="1519">
      <c r="A1519" t="str">
        <f>IFERROR(__xludf.DUMMYFUNCTION("""COMPUTED_VALUE"""),"Israel")</f>
        <v>Israel</v>
      </c>
      <c r="B1519" t="str">
        <f>IFERROR(__xludf.DUMMYFUNCTION("""COMPUTED_VALUE"""),"Asia")</f>
        <v>Asia</v>
      </c>
      <c r="C1519">
        <f>IFERROR(__xludf.DUMMYFUNCTION("""COMPUTED_VALUE"""),18.0)</f>
        <v>18</v>
      </c>
      <c r="D1519" t="str">
        <f>IFERROR(__xludf.DUMMYFUNCTION("""COMPUTED_VALUE"""),"Break My Heart")</f>
        <v>Break My Heart</v>
      </c>
      <c r="E1519" t="str">
        <f>IFERROR(__xludf.DUMMYFUNCTION("""COMPUTED_VALUE"""),"Dua Lipa")</f>
        <v>Dua Lipa</v>
      </c>
      <c r="F1519" t="str">
        <f>IFERROR(__xludf.DUMMYFUNCTION("""COMPUTED_VALUE"""),"Future Nostalgia")</f>
        <v>Future Nostalgia</v>
      </c>
      <c r="G1519">
        <f>IFERROR(__xludf.DUMMYFUNCTION("""COMPUTED_VALUE"""),0.0)</f>
        <v>0</v>
      </c>
      <c r="H1519" s="5">
        <f>IFERROR(__xludf.DUMMYFUNCTION("""COMPUTED_VALUE"""),0.15347222222044365)</f>
        <v>0.1534722222</v>
      </c>
    </row>
    <row r="1520">
      <c r="A1520" t="str">
        <f>IFERROR(__xludf.DUMMYFUNCTION("""COMPUTED_VALUE"""),"Israel")</f>
        <v>Israel</v>
      </c>
      <c r="B1520" t="str">
        <f>IFERROR(__xludf.DUMMYFUNCTION("""COMPUTED_VALUE"""),"Asia")</f>
        <v>Asia</v>
      </c>
      <c r="C1520">
        <f>IFERROR(__xludf.DUMMYFUNCTION("""COMPUTED_VALUE"""),19.0)</f>
        <v>19</v>
      </c>
      <c r="D1520" t="str">
        <f>IFERROR(__xludf.DUMMYFUNCTION("""COMPUTED_VALUE"""),"death bed (coffee for your head) (feat. beabadoobee)")</f>
        <v>death bed (coffee for your head) (feat. beabadoobee)</v>
      </c>
      <c r="E1520" t="str">
        <f>IFERROR(__xludf.DUMMYFUNCTION("""COMPUTED_VALUE"""),"Powfu, beabadoobee")</f>
        <v>Powfu, beabadoobee</v>
      </c>
      <c r="F1520" t="str">
        <f>IFERROR(__xludf.DUMMYFUNCTION("""COMPUTED_VALUE"""),"death bed (coffee for your head) (feat. beabadoobee)")</f>
        <v>death bed (coffee for your head) (feat. beabadoobee)</v>
      </c>
      <c r="G1520">
        <f>IFERROR(__xludf.DUMMYFUNCTION("""COMPUTED_VALUE"""),0.0)</f>
        <v>0</v>
      </c>
      <c r="H1520" s="5">
        <f>IFERROR(__xludf.DUMMYFUNCTION("""COMPUTED_VALUE"""),0.12013888888759539)</f>
        <v>0.1201388889</v>
      </c>
    </row>
    <row r="1521">
      <c r="A1521" t="str">
        <f>IFERROR(__xludf.DUMMYFUNCTION("""COMPUTED_VALUE"""),"Israel")</f>
        <v>Israel</v>
      </c>
      <c r="B1521" t="str">
        <f>IFERROR(__xludf.DUMMYFUNCTION("""COMPUTED_VALUE"""),"Asia")</f>
        <v>Asia</v>
      </c>
      <c r="C1521">
        <f>IFERROR(__xludf.DUMMYFUNCTION("""COMPUTED_VALUE"""),20.0)</f>
        <v>20</v>
      </c>
      <c r="D1521" t="str">
        <f>IFERROR(__xludf.DUMMYFUNCTION("""COMPUTED_VALUE"""),"Blueberry Faygo")</f>
        <v>Blueberry Faygo</v>
      </c>
      <c r="E1521" t="str">
        <f>IFERROR(__xludf.DUMMYFUNCTION("""COMPUTED_VALUE"""),"Lil Mosey")</f>
        <v>Lil Mosey</v>
      </c>
      <c r="F1521" t="str">
        <f>IFERROR(__xludf.DUMMYFUNCTION("""COMPUTED_VALUE"""),"Certified Hitmaker")</f>
        <v>Certified Hitmaker</v>
      </c>
      <c r="G1521">
        <f>IFERROR(__xludf.DUMMYFUNCTION("""COMPUTED_VALUE"""),1.0)</f>
        <v>1</v>
      </c>
      <c r="H1521" s="5">
        <f>IFERROR(__xludf.DUMMYFUNCTION("""COMPUTED_VALUE"""),0.1124999999992724)</f>
        <v>0.1125</v>
      </c>
    </row>
    <row r="1522">
      <c r="A1522" t="str">
        <f>IFERROR(__xludf.DUMMYFUNCTION("""COMPUTED_VALUE"""),"Israel")</f>
        <v>Israel</v>
      </c>
      <c r="B1522" t="str">
        <f>IFERROR(__xludf.DUMMYFUNCTION("""COMPUTED_VALUE"""),"Asia")</f>
        <v>Asia</v>
      </c>
      <c r="C1522">
        <f>IFERROR(__xludf.DUMMYFUNCTION("""COMPUTED_VALUE"""),21.0)</f>
        <v>21</v>
      </c>
      <c r="D1522" t="str">
        <f>IFERROR(__xludf.DUMMYFUNCTION("""COMPUTED_VALUE"""),"Señorita")</f>
        <v>Señorita</v>
      </c>
      <c r="E1522" t="str">
        <f>IFERROR(__xludf.DUMMYFUNCTION("""COMPUTED_VALUE"""),"Shawn Mendes, Camila Cabello")</f>
        <v>Shawn Mendes, Camila Cabello</v>
      </c>
      <c r="F1522" t="str">
        <f>IFERROR(__xludf.DUMMYFUNCTION("""COMPUTED_VALUE"""),"Shawn Mendes (Deluxe)")</f>
        <v>Shawn Mendes (Deluxe)</v>
      </c>
      <c r="G1522">
        <f>IFERROR(__xludf.DUMMYFUNCTION("""COMPUTED_VALUE"""),0.0)</f>
        <v>0</v>
      </c>
      <c r="H1522" s="5">
        <f>IFERROR(__xludf.DUMMYFUNCTION("""COMPUTED_VALUE"""),0.13194444444525288)</f>
        <v>0.1319444444</v>
      </c>
    </row>
    <row r="1523">
      <c r="A1523" t="str">
        <f>IFERROR(__xludf.DUMMYFUNCTION("""COMPUTED_VALUE"""),"Israel")</f>
        <v>Israel</v>
      </c>
      <c r="B1523" t="str">
        <f>IFERROR(__xludf.DUMMYFUNCTION("""COMPUTED_VALUE"""),"Asia")</f>
        <v>Asia</v>
      </c>
      <c r="C1523">
        <f>IFERROR(__xludf.DUMMYFUNCTION("""COMPUTED_VALUE"""),22.0)</f>
        <v>22</v>
      </c>
      <c r="D1523" t="str">
        <f>IFERROR(__xludf.DUMMYFUNCTION("""COMPUTED_VALUE"""),"לשוב הביתה")</f>
        <v>לשוב הביתה</v>
      </c>
      <c r="E1523" t="str">
        <f>IFERROR(__xludf.DUMMYFUNCTION("""COMPUTED_VALUE"""),"Ishay Ribo")</f>
        <v>Ishay Ribo</v>
      </c>
      <c r="F1523" t="str">
        <f>IFERROR(__xludf.DUMMYFUNCTION("""COMPUTED_VALUE"""),"שטח אפור")</f>
        <v>שטח אפור</v>
      </c>
      <c r="G1523">
        <f>IFERROR(__xludf.DUMMYFUNCTION("""COMPUTED_VALUE"""),0.0)</f>
        <v>0</v>
      </c>
      <c r="H1523" s="5">
        <f>IFERROR(__xludf.DUMMYFUNCTION("""COMPUTED_VALUE"""),0.13680555555401952)</f>
        <v>0.1368055556</v>
      </c>
    </row>
    <row r="1524">
      <c r="A1524" t="str">
        <f>IFERROR(__xludf.DUMMYFUNCTION("""COMPUTED_VALUE"""),"Israel")</f>
        <v>Israel</v>
      </c>
      <c r="B1524" t="str">
        <f>IFERROR(__xludf.DUMMYFUNCTION("""COMPUTED_VALUE"""),"Asia")</f>
        <v>Asia</v>
      </c>
      <c r="C1524">
        <f>IFERROR(__xludf.DUMMYFUNCTION("""COMPUTED_VALUE"""),23.0)</f>
        <v>23</v>
      </c>
      <c r="D1524" t="str">
        <f>IFERROR(__xludf.DUMMYFUNCTION("""COMPUTED_VALUE"""),"Life Is Good (feat. Drake)")</f>
        <v>Life Is Good (feat. Drake)</v>
      </c>
      <c r="E1524" t="str">
        <f>IFERROR(__xludf.DUMMYFUNCTION("""COMPUTED_VALUE"""),"Future, Drake")</f>
        <v>Future, Drake</v>
      </c>
      <c r="F1524" t="str">
        <f>IFERROR(__xludf.DUMMYFUNCTION("""COMPUTED_VALUE"""),"High Off Life")</f>
        <v>High Off Life</v>
      </c>
      <c r="G1524">
        <f>IFERROR(__xludf.DUMMYFUNCTION("""COMPUTED_VALUE"""),1.0)</f>
        <v>1</v>
      </c>
      <c r="H1524" s="5">
        <f>IFERROR(__xludf.DUMMYFUNCTION("""COMPUTED_VALUE"""),0.16458333333503106)</f>
        <v>0.1645833333</v>
      </c>
    </row>
    <row r="1525">
      <c r="A1525" t="str">
        <f>IFERROR(__xludf.DUMMYFUNCTION("""COMPUTED_VALUE"""),"Israel")</f>
        <v>Israel</v>
      </c>
      <c r="B1525" t="str">
        <f>IFERROR(__xludf.DUMMYFUNCTION("""COMPUTED_VALUE"""),"Asia")</f>
        <v>Asia</v>
      </c>
      <c r="C1525">
        <f>IFERROR(__xludf.DUMMYFUNCTION("""COMPUTED_VALUE"""),24.0)</f>
        <v>24</v>
      </c>
      <c r="D1525" t="str">
        <f>IFERROR(__xludf.DUMMYFUNCTION("""COMPUTED_VALUE"""),"Falling")</f>
        <v>Falling</v>
      </c>
      <c r="E1525" t="str">
        <f>IFERROR(__xludf.DUMMYFUNCTION("""COMPUTED_VALUE"""),"Trevor Daniel")</f>
        <v>Trevor Daniel</v>
      </c>
      <c r="F1525" t="str">
        <f>IFERROR(__xludf.DUMMYFUNCTION("""COMPUTED_VALUE"""),"Nicotine")</f>
        <v>Nicotine</v>
      </c>
      <c r="G1525">
        <f>IFERROR(__xludf.DUMMYFUNCTION("""COMPUTED_VALUE"""),0.0)</f>
        <v>0</v>
      </c>
      <c r="H1525" s="5">
        <f>IFERROR(__xludf.DUMMYFUNCTION("""COMPUTED_VALUE"""),0.11041666666642413)</f>
        <v>0.1104166667</v>
      </c>
    </row>
    <row r="1526">
      <c r="A1526" t="str">
        <f>IFERROR(__xludf.DUMMYFUNCTION("""COMPUTED_VALUE"""),"Israel")</f>
        <v>Israel</v>
      </c>
      <c r="B1526" t="str">
        <f>IFERROR(__xludf.DUMMYFUNCTION("""COMPUTED_VALUE"""),"Asia")</f>
        <v>Asia</v>
      </c>
      <c r="C1526">
        <f>IFERROR(__xludf.DUMMYFUNCTION("""COMPUTED_VALUE"""),25.0)</f>
        <v>25</v>
      </c>
      <c r="D1526" t="str">
        <f>IFERROR(__xludf.DUMMYFUNCTION("""COMPUTED_VALUE"""),"GOOBA")</f>
        <v>GOOBA</v>
      </c>
      <c r="E1526" t="str">
        <f>IFERROR(__xludf.DUMMYFUNCTION("""COMPUTED_VALUE"""),"6ix9ine")</f>
        <v>6ix9ine</v>
      </c>
      <c r="F1526" t="str">
        <f>IFERROR(__xludf.DUMMYFUNCTION("""COMPUTED_VALUE"""),"GOOBA")</f>
        <v>GOOBA</v>
      </c>
      <c r="G1526">
        <f>IFERROR(__xludf.DUMMYFUNCTION("""COMPUTED_VALUE"""),1.0)</f>
        <v>1</v>
      </c>
      <c r="H1526" s="5">
        <f>IFERROR(__xludf.DUMMYFUNCTION("""COMPUTED_VALUE"""),0.09166666666715173)</f>
        <v>0.09166666667</v>
      </c>
    </row>
    <row r="1527">
      <c r="A1527" t="str">
        <f>IFERROR(__xludf.DUMMYFUNCTION("""COMPUTED_VALUE"""),"Israel")</f>
        <v>Israel</v>
      </c>
      <c r="B1527" t="str">
        <f>IFERROR(__xludf.DUMMYFUNCTION("""COMPUTED_VALUE"""),"Asia")</f>
        <v>Asia</v>
      </c>
      <c r="C1527">
        <f>IFERROR(__xludf.DUMMYFUNCTION("""COMPUTED_VALUE"""),26.0)</f>
        <v>26</v>
      </c>
      <c r="D1527" t="str">
        <f>IFERROR(__xludf.DUMMYFUNCTION("""COMPUTED_VALUE"""),"In Your Eyes")</f>
        <v>In Your Eyes</v>
      </c>
      <c r="E1527" t="str">
        <f>IFERROR(__xludf.DUMMYFUNCTION("""COMPUTED_VALUE"""),"The Weeknd")</f>
        <v>The Weeknd</v>
      </c>
      <c r="F1527" t="str">
        <f>IFERROR(__xludf.DUMMYFUNCTION("""COMPUTED_VALUE"""),"After Hours")</f>
        <v>After Hours</v>
      </c>
      <c r="G1527">
        <f>IFERROR(__xludf.DUMMYFUNCTION("""COMPUTED_VALUE"""),1.0)</f>
        <v>1</v>
      </c>
      <c r="H1527" s="5">
        <f>IFERROR(__xludf.DUMMYFUNCTION("""COMPUTED_VALUE"""),0.16458333333503106)</f>
        <v>0.1645833333</v>
      </c>
    </row>
    <row r="1528">
      <c r="A1528" t="str">
        <f>IFERROR(__xludf.DUMMYFUNCTION("""COMPUTED_VALUE"""),"Israel")</f>
        <v>Israel</v>
      </c>
      <c r="B1528" t="str">
        <f>IFERROR(__xludf.DUMMYFUNCTION("""COMPUTED_VALUE"""),"Asia")</f>
        <v>Asia</v>
      </c>
      <c r="C1528">
        <f>IFERROR(__xludf.DUMMYFUNCTION("""COMPUTED_VALUE"""),27.0)</f>
        <v>27</v>
      </c>
      <c r="D1528" t="str">
        <f>IFERROR(__xludf.DUMMYFUNCTION("""COMPUTED_VALUE"""),"goosebumps")</f>
        <v>goosebumps</v>
      </c>
      <c r="E1528" t="str">
        <f>IFERROR(__xludf.DUMMYFUNCTION("""COMPUTED_VALUE"""),"Travis Scott")</f>
        <v>Travis Scott</v>
      </c>
      <c r="F1528" t="str">
        <f>IFERROR(__xludf.DUMMYFUNCTION("""COMPUTED_VALUE"""),"Birds In The Trap Sing McKnight")</f>
        <v>Birds In The Trap Sing McKnight</v>
      </c>
      <c r="G1528">
        <f>IFERROR(__xludf.DUMMYFUNCTION("""COMPUTED_VALUE"""),1.0)</f>
        <v>1</v>
      </c>
      <c r="H1528" s="5">
        <f>IFERROR(__xludf.DUMMYFUNCTION("""COMPUTED_VALUE"""),0.1687500000007276)</f>
        <v>0.16875</v>
      </c>
    </row>
    <row r="1529">
      <c r="A1529" t="str">
        <f>IFERROR(__xludf.DUMMYFUNCTION("""COMPUTED_VALUE"""),"Israel")</f>
        <v>Israel</v>
      </c>
      <c r="B1529" t="str">
        <f>IFERROR(__xludf.DUMMYFUNCTION("""COMPUTED_VALUE"""),"Asia")</f>
        <v>Asia</v>
      </c>
      <c r="C1529">
        <f>IFERROR(__xludf.DUMMYFUNCTION("""COMPUTED_VALUE"""),28.0)</f>
        <v>28</v>
      </c>
      <c r="D1529" t="str">
        <f>IFERROR(__xludf.DUMMYFUNCTION("""COMPUTED_VALUE"""),"SICKO MODE")</f>
        <v>SICKO MODE</v>
      </c>
      <c r="E1529" t="str">
        <f>IFERROR(__xludf.DUMMYFUNCTION("""COMPUTED_VALUE"""),"Travis Scott")</f>
        <v>Travis Scott</v>
      </c>
      <c r="F1529" t="str">
        <f>IFERROR(__xludf.DUMMYFUNCTION("""COMPUTED_VALUE"""),"ASTROWORLD")</f>
        <v>ASTROWORLD</v>
      </c>
      <c r="G1529">
        <f>IFERROR(__xludf.DUMMYFUNCTION("""COMPUTED_VALUE"""),1.0)</f>
        <v>1</v>
      </c>
      <c r="H1529" s="5">
        <f>IFERROR(__xludf.DUMMYFUNCTION("""COMPUTED_VALUE"""),0.21666666666715173)</f>
        <v>0.2166666667</v>
      </c>
    </row>
    <row r="1530">
      <c r="A1530" t="str">
        <f>IFERROR(__xludf.DUMMYFUNCTION("""COMPUTED_VALUE"""),"Israel")</f>
        <v>Israel</v>
      </c>
      <c r="B1530" t="str">
        <f>IFERROR(__xludf.DUMMYFUNCTION("""COMPUTED_VALUE"""),"Asia")</f>
        <v>Asia</v>
      </c>
      <c r="C1530">
        <f>IFERROR(__xludf.DUMMYFUNCTION("""COMPUTED_VALUE"""),29.0)</f>
        <v>29</v>
      </c>
      <c r="D1530" t="str">
        <f>IFERROR(__xludf.DUMMYFUNCTION("""COMPUTED_VALUE"""),"bad guy")</f>
        <v>bad guy</v>
      </c>
      <c r="E1530" t="str">
        <f>IFERROR(__xludf.DUMMYFUNCTION("""COMPUTED_VALUE"""),"Billie Eilish")</f>
        <v>Billie Eilish</v>
      </c>
      <c r="F1530" t="str">
        <f>IFERROR(__xludf.DUMMYFUNCTION("""COMPUTED_VALUE"""),"WHEN WE ALL FALL ASLEEP, WHERE DO WE GO?")</f>
        <v>WHEN WE ALL FALL ASLEEP, WHERE DO WE GO?</v>
      </c>
      <c r="G1530">
        <f>IFERROR(__xludf.DUMMYFUNCTION("""COMPUTED_VALUE"""),0.0)</f>
        <v>0</v>
      </c>
      <c r="H1530" s="5">
        <f>IFERROR(__xludf.DUMMYFUNCTION("""COMPUTED_VALUE"""),0.13472222222117125)</f>
        <v>0.1347222222</v>
      </c>
    </row>
    <row r="1531">
      <c r="A1531" t="str">
        <f>IFERROR(__xludf.DUMMYFUNCTION("""COMPUTED_VALUE"""),"Israel")</f>
        <v>Israel</v>
      </c>
      <c r="B1531" t="str">
        <f>IFERROR(__xludf.DUMMYFUNCTION("""COMPUTED_VALUE"""),"Asia")</f>
        <v>Asia</v>
      </c>
      <c r="C1531">
        <f>IFERROR(__xludf.DUMMYFUNCTION("""COMPUTED_VALUE"""),30.0)</f>
        <v>30</v>
      </c>
      <c r="D1531" t="str">
        <f>IFERROR(__xludf.DUMMYFUNCTION("""COMPUTED_VALUE"""),"אין יותר מועדונים")</f>
        <v>אין יותר מועדונים</v>
      </c>
      <c r="E1531" t="str">
        <f>IFERROR(__xludf.DUMMYFUNCTION("""COMPUTED_VALUE"""),"Eden Hason")</f>
        <v>Eden Hason</v>
      </c>
      <c r="F1531" t="str">
        <f>IFERROR(__xludf.DUMMYFUNCTION("""COMPUTED_VALUE"""),"שמישהו יעצור אותי")</f>
        <v>שמישהו יעצור אותי</v>
      </c>
      <c r="G1531">
        <f>IFERROR(__xludf.DUMMYFUNCTION("""COMPUTED_VALUE"""),0.0)</f>
        <v>0</v>
      </c>
      <c r="H1531" s="5">
        <f>IFERROR(__xludf.DUMMYFUNCTION("""COMPUTED_VALUE"""),0.12777777777955635)</f>
        <v>0.1277777778</v>
      </c>
    </row>
    <row r="1532">
      <c r="A1532" t="str">
        <f>IFERROR(__xludf.DUMMYFUNCTION("""COMPUTED_VALUE"""),"Israel")</f>
        <v>Israel</v>
      </c>
      <c r="B1532" t="str">
        <f>IFERROR(__xludf.DUMMYFUNCTION("""COMPUTED_VALUE"""),"Asia")</f>
        <v>Asia</v>
      </c>
      <c r="C1532">
        <f>IFERROR(__xludf.DUMMYFUNCTION("""COMPUTED_VALUE"""),31.0)</f>
        <v>31</v>
      </c>
      <c r="D1532" t="str">
        <f>IFERROR(__xludf.DUMMYFUNCTION("""COMPUTED_VALUE"""),"Someone You Loved")</f>
        <v>Someone You Loved</v>
      </c>
      <c r="E1532" t="str">
        <f>IFERROR(__xludf.DUMMYFUNCTION("""COMPUTED_VALUE"""),"Lewis Capaldi")</f>
        <v>Lewis Capaldi</v>
      </c>
      <c r="F1532" t="str">
        <f>IFERROR(__xludf.DUMMYFUNCTION("""COMPUTED_VALUE"""),"Divinely Uninspired To A Hellish Extent")</f>
        <v>Divinely Uninspired To A Hellish Extent</v>
      </c>
      <c r="G1532">
        <f>IFERROR(__xludf.DUMMYFUNCTION("""COMPUTED_VALUE"""),0.0)</f>
        <v>0</v>
      </c>
      <c r="H1532" s="5">
        <f>IFERROR(__xludf.DUMMYFUNCTION("""COMPUTED_VALUE"""),0.12638888888977817)</f>
        <v>0.1263888889</v>
      </c>
    </row>
    <row r="1533">
      <c r="A1533" t="str">
        <f>IFERROR(__xludf.DUMMYFUNCTION("""COMPUTED_VALUE"""),"Israel")</f>
        <v>Israel</v>
      </c>
      <c r="B1533" t="str">
        <f>IFERROR(__xludf.DUMMYFUNCTION("""COMPUTED_VALUE"""),"Asia")</f>
        <v>Asia</v>
      </c>
      <c r="C1533">
        <f>IFERROR(__xludf.DUMMYFUNCTION("""COMPUTED_VALUE"""),32.0)</f>
        <v>32</v>
      </c>
      <c r="D1533" t="str">
        <f>IFERROR(__xludf.DUMMYFUNCTION("""COMPUTED_VALUE"""),"שגרה מפוארת")</f>
        <v>שגרה מפוארת</v>
      </c>
      <c r="E1533" t="str">
        <f>IFERROR(__xludf.DUMMYFUNCTION("""COMPUTED_VALUE"""),"Omer Adam")</f>
        <v>Omer Adam</v>
      </c>
      <c r="F1533" t="str">
        <f>IFERROR(__xludf.DUMMYFUNCTION("""COMPUTED_VALUE"""),"עומר")</f>
        <v>עומר</v>
      </c>
      <c r="G1533">
        <f>IFERROR(__xludf.DUMMYFUNCTION("""COMPUTED_VALUE"""),0.0)</f>
        <v>0</v>
      </c>
      <c r="H1533" s="5">
        <f>IFERROR(__xludf.DUMMYFUNCTION("""COMPUTED_VALUE"""),0.11944444444452529)</f>
        <v>0.1194444444</v>
      </c>
    </row>
    <row r="1534">
      <c r="A1534" t="str">
        <f>IFERROR(__xludf.DUMMYFUNCTION("""COMPUTED_VALUE"""),"Israel")</f>
        <v>Israel</v>
      </c>
      <c r="B1534" t="str">
        <f>IFERROR(__xludf.DUMMYFUNCTION("""COMPUTED_VALUE"""),"Asia")</f>
        <v>Asia</v>
      </c>
      <c r="C1534">
        <f>IFERROR(__xludf.DUMMYFUNCTION("""COMPUTED_VALUE"""),33.0)</f>
        <v>33</v>
      </c>
      <c r="D1534" t="str">
        <f>IFERROR(__xludf.DUMMYFUNCTION("""COMPUTED_VALUE"""),"חלק מהזמן")</f>
        <v>חלק מהזמן</v>
      </c>
      <c r="E1534" t="str">
        <f>IFERROR(__xludf.DUMMYFUNCTION("""COMPUTED_VALUE"""),"Idan Amedi")</f>
        <v>Idan Amedi</v>
      </c>
      <c r="F1534" t="str">
        <f>IFERROR(__xludf.DUMMYFUNCTION("""COMPUTED_VALUE"""),"חלק מהזמן")</f>
        <v>חלק מהזמן</v>
      </c>
      <c r="G1534">
        <f>IFERROR(__xludf.DUMMYFUNCTION("""COMPUTED_VALUE"""),0.0)</f>
        <v>0</v>
      </c>
      <c r="H1534" s="5">
        <f>IFERROR(__xludf.DUMMYFUNCTION("""COMPUTED_VALUE"""),0.15486111111022183)</f>
        <v>0.1548611111</v>
      </c>
    </row>
    <row r="1535">
      <c r="A1535" t="str">
        <f>IFERROR(__xludf.DUMMYFUNCTION("""COMPUTED_VALUE"""),"Israel")</f>
        <v>Israel</v>
      </c>
      <c r="B1535" t="str">
        <f>IFERROR(__xludf.DUMMYFUNCTION("""COMPUTED_VALUE"""),"Asia")</f>
        <v>Asia</v>
      </c>
      <c r="C1535">
        <f>IFERROR(__xludf.DUMMYFUNCTION("""COMPUTED_VALUE"""),34.0)</f>
        <v>34</v>
      </c>
      <c r="D1535" t="str">
        <f>IFERROR(__xludf.DUMMYFUNCTION("""COMPUTED_VALUE"""),"מישהו איתי כאן")</f>
        <v>מישהו איתי כאן</v>
      </c>
      <c r="E1535" t="str">
        <f>IFERROR(__xludf.DUMMYFUNCTION("""COMPUTED_VALUE"""),"Benaia Barabi")</f>
        <v>Benaia Barabi</v>
      </c>
      <c r="F1535" t="str">
        <f>IFERROR(__xludf.DUMMYFUNCTION("""COMPUTED_VALUE"""),"מישהו איתי כאן")</f>
        <v>מישהו איתי כאן</v>
      </c>
      <c r="G1535">
        <f>IFERROR(__xludf.DUMMYFUNCTION("""COMPUTED_VALUE"""),0.0)</f>
        <v>0</v>
      </c>
      <c r="H1535" s="5">
        <f>IFERROR(__xludf.DUMMYFUNCTION("""COMPUTED_VALUE"""),0.15138888888759539)</f>
        <v>0.1513888889</v>
      </c>
    </row>
    <row r="1536">
      <c r="A1536" t="str">
        <f>IFERROR(__xludf.DUMMYFUNCTION("""COMPUTED_VALUE"""),"Israel")</f>
        <v>Israel</v>
      </c>
      <c r="B1536" t="str">
        <f>IFERROR(__xludf.DUMMYFUNCTION("""COMPUTED_VALUE"""),"Asia")</f>
        <v>Asia</v>
      </c>
      <c r="C1536">
        <f>IFERROR(__xludf.DUMMYFUNCTION("""COMPUTED_VALUE"""),35.0)</f>
        <v>35</v>
      </c>
      <c r="D1536" t="str">
        <f>IFERROR(__xludf.DUMMYFUNCTION("""COMPUTED_VALUE"""),"HIGHEST IN THE ROOM")</f>
        <v>HIGHEST IN THE ROOM</v>
      </c>
      <c r="E1536" t="str">
        <f>IFERROR(__xludf.DUMMYFUNCTION("""COMPUTED_VALUE"""),"Travis Scott")</f>
        <v>Travis Scott</v>
      </c>
      <c r="F1536" t="str">
        <f>IFERROR(__xludf.DUMMYFUNCTION("""COMPUTED_VALUE"""),"HIGHEST IN THE ROOM")</f>
        <v>HIGHEST IN THE ROOM</v>
      </c>
      <c r="G1536">
        <f>IFERROR(__xludf.DUMMYFUNCTION("""COMPUTED_VALUE"""),1.0)</f>
        <v>1</v>
      </c>
      <c r="H1536" s="5">
        <f>IFERROR(__xludf.DUMMYFUNCTION("""COMPUTED_VALUE"""),0.12152777777737356)</f>
        <v>0.1215277778</v>
      </c>
    </row>
    <row r="1537">
      <c r="A1537" t="str">
        <f>IFERROR(__xludf.DUMMYFUNCTION("""COMPUTED_VALUE"""),"Israel")</f>
        <v>Israel</v>
      </c>
      <c r="B1537" t="str">
        <f>IFERROR(__xludf.DUMMYFUNCTION("""COMPUTED_VALUE"""),"Asia")</f>
        <v>Asia</v>
      </c>
      <c r="C1537">
        <f>IFERROR(__xludf.DUMMYFUNCTION("""COMPUTED_VALUE"""),36.0)</f>
        <v>36</v>
      </c>
      <c r="D1537" t="str">
        <f>IFERROR(__xludf.DUMMYFUNCTION("""COMPUTED_VALUE"""),"Ve'Eem Tavo'ee Elay (And If You Will Come To Me)")</f>
        <v>Ve'Eem Tavo'ee Elay (And If You Will Come To Me)</v>
      </c>
      <c r="E1537" t="str">
        <f>IFERROR(__xludf.DUMMYFUNCTION("""COMPUTED_VALUE"""),"Idan Raichel")</f>
        <v>Idan Raichel</v>
      </c>
      <c r="F1537" t="str">
        <f>IFERROR(__xludf.DUMMYFUNCTION("""COMPUTED_VALUE"""),"And If You Will Come To Me")</f>
        <v>And If You Will Come To Me</v>
      </c>
      <c r="G1537">
        <f>IFERROR(__xludf.DUMMYFUNCTION("""COMPUTED_VALUE"""),0.0)</f>
        <v>0</v>
      </c>
      <c r="H1537" s="5">
        <f>IFERROR(__xludf.DUMMYFUNCTION("""COMPUTED_VALUE"""),0.14722222222189885)</f>
        <v>0.1472222222</v>
      </c>
    </row>
    <row r="1538">
      <c r="A1538" t="str">
        <f>IFERROR(__xludf.DUMMYFUNCTION("""COMPUTED_VALUE"""),"Israel")</f>
        <v>Israel</v>
      </c>
      <c r="B1538" t="str">
        <f>IFERROR(__xludf.DUMMYFUNCTION("""COMPUTED_VALUE"""),"Asia")</f>
        <v>Asia</v>
      </c>
      <c r="C1538">
        <f>IFERROR(__xludf.DUMMYFUNCTION("""COMPUTED_VALUE"""),37.0)</f>
        <v>37</v>
      </c>
      <c r="D1538" t="str">
        <f>IFERROR(__xludf.DUMMYFUNCTION("""COMPUTED_VALUE"""),"אגרוף")</f>
        <v>אגרוף</v>
      </c>
      <c r="E1538" t="str">
        <f>IFERROR(__xludf.DUMMYFUNCTION("""COMPUTED_VALUE"""),"Eden Ben Zaken")</f>
        <v>Eden Ben Zaken</v>
      </c>
      <c r="F1538" t="str">
        <f>IFERROR(__xludf.DUMMYFUNCTION("""COMPUTED_VALUE"""),"אגרוף")</f>
        <v>אגרוף</v>
      </c>
      <c r="G1538">
        <f>IFERROR(__xludf.DUMMYFUNCTION("""COMPUTED_VALUE"""),0.0)</f>
        <v>0</v>
      </c>
      <c r="H1538" s="5">
        <f>IFERROR(__xludf.DUMMYFUNCTION("""COMPUTED_VALUE"""),0.1312499999985448)</f>
        <v>0.13125</v>
      </c>
    </row>
    <row r="1539">
      <c r="A1539" t="str">
        <f>IFERROR(__xludf.DUMMYFUNCTION("""COMPUTED_VALUE"""),"Israel")</f>
        <v>Israel</v>
      </c>
      <c r="B1539" t="str">
        <f>IFERROR(__xludf.DUMMYFUNCTION("""COMPUTED_VALUE"""),"Asia")</f>
        <v>Asia</v>
      </c>
      <c r="C1539">
        <f>IFERROR(__xludf.DUMMYFUNCTION("""COMPUTED_VALUE"""),38.0)</f>
        <v>38</v>
      </c>
      <c r="D1539" t="str">
        <f>IFERROR(__xludf.DUMMYFUNCTION("""COMPUTED_VALUE"""),"ROXANNE")</f>
        <v>ROXANNE</v>
      </c>
      <c r="E1539" t="str">
        <f>IFERROR(__xludf.DUMMYFUNCTION("""COMPUTED_VALUE"""),"Arizona Zervas")</f>
        <v>Arizona Zervas</v>
      </c>
      <c r="F1539" t="str">
        <f>IFERROR(__xludf.DUMMYFUNCTION("""COMPUTED_VALUE"""),"ROXANNE")</f>
        <v>ROXANNE</v>
      </c>
      <c r="G1539">
        <f>IFERROR(__xludf.DUMMYFUNCTION("""COMPUTED_VALUE"""),1.0)</f>
        <v>1</v>
      </c>
      <c r="H1539" s="5">
        <f>IFERROR(__xludf.DUMMYFUNCTION("""COMPUTED_VALUE"""),0.11319444444598048)</f>
        <v>0.1131944444</v>
      </c>
    </row>
    <row r="1540">
      <c r="A1540" t="str">
        <f>IFERROR(__xludf.DUMMYFUNCTION("""COMPUTED_VALUE"""),"Israel")</f>
        <v>Israel</v>
      </c>
      <c r="B1540" t="str">
        <f>IFERROR(__xludf.DUMMYFUNCTION("""COMPUTED_VALUE"""),"Asia")</f>
        <v>Asia</v>
      </c>
      <c r="C1540">
        <f>IFERROR(__xludf.DUMMYFUNCTION("""COMPUTED_VALUE"""),39.0)</f>
        <v>39</v>
      </c>
      <c r="D1540" t="str">
        <f>IFERROR(__xludf.DUMMYFUNCTION("""COMPUTED_VALUE"""),"איתך")</f>
        <v>איתך</v>
      </c>
      <c r="E1540" t="str">
        <f>IFERROR(__xludf.DUMMYFUNCTION("""COMPUTED_VALUE"""),"Eden Hason")</f>
        <v>Eden Hason</v>
      </c>
      <c r="F1540" t="str">
        <f>IFERROR(__xludf.DUMMYFUNCTION("""COMPUTED_VALUE"""),"איתך")</f>
        <v>איתך</v>
      </c>
      <c r="G1540">
        <f>IFERROR(__xludf.DUMMYFUNCTION("""COMPUTED_VALUE"""),0.0)</f>
        <v>0</v>
      </c>
      <c r="H1540" s="5">
        <f>IFERROR(__xludf.DUMMYFUNCTION("""COMPUTED_VALUE"""),0.11319444444598048)</f>
        <v>0.1131944444</v>
      </c>
    </row>
    <row r="1541">
      <c r="A1541" t="str">
        <f>IFERROR(__xludf.DUMMYFUNCTION("""COMPUTED_VALUE"""),"Israel")</f>
        <v>Israel</v>
      </c>
      <c r="B1541" t="str">
        <f>IFERROR(__xludf.DUMMYFUNCTION("""COMPUTED_VALUE"""),"Asia")</f>
        <v>Asia</v>
      </c>
      <c r="C1541">
        <f>IFERROR(__xludf.DUMMYFUNCTION("""COMPUTED_VALUE"""),40.0)</f>
        <v>40</v>
      </c>
      <c r="D1541" t="str">
        <f>IFERROR(__xludf.DUMMYFUNCTION("""COMPUTED_VALUE"""),"Sunday Best")</f>
        <v>Sunday Best</v>
      </c>
      <c r="E1541" t="str">
        <f>IFERROR(__xludf.DUMMYFUNCTION("""COMPUTED_VALUE"""),"Surfaces")</f>
        <v>Surfaces</v>
      </c>
      <c r="F1541" t="str">
        <f>IFERROR(__xludf.DUMMYFUNCTION("""COMPUTED_VALUE"""),"Where the Light Is")</f>
        <v>Where the Light Is</v>
      </c>
      <c r="G1541">
        <f>IFERROR(__xludf.DUMMYFUNCTION("""COMPUTED_VALUE"""),0.0)</f>
        <v>0</v>
      </c>
      <c r="H1541" s="5">
        <f>IFERROR(__xludf.DUMMYFUNCTION("""COMPUTED_VALUE"""),0.10972222222335404)</f>
        <v>0.1097222222</v>
      </c>
    </row>
    <row r="1542">
      <c r="A1542" t="str">
        <f>IFERROR(__xludf.DUMMYFUNCTION("""COMPUTED_VALUE"""),"Israel")</f>
        <v>Israel</v>
      </c>
      <c r="B1542" t="str">
        <f>IFERROR(__xludf.DUMMYFUNCTION("""COMPUTED_VALUE"""),"Asia")</f>
        <v>Asia</v>
      </c>
      <c r="C1542">
        <f>IFERROR(__xludf.DUMMYFUNCTION("""COMPUTED_VALUE"""),41.0)</f>
        <v>41</v>
      </c>
      <c r="D1542" t="str">
        <f>IFERROR(__xludf.DUMMYFUNCTION("""COMPUTED_VALUE"""),"הלב שלי")</f>
        <v>הלב שלי</v>
      </c>
      <c r="E1542" t="str">
        <f>IFERROR(__xludf.DUMMYFUNCTION("""COMPUTED_VALUE"""),"Ishay Ribo")</f>
        <v>Ishay Ribo</v>
      </c>
      <c r="F1542" t="str">
        <f>IFERROR(__xludf.DUMMYFUNCTION("""COMPUTED_VALUE"""),"אלול תשע״ט")</f>
        <v>אלול תשע״ט</v>
      </c>
      <c r="G1542">
        <f>IFERROR(__xludf.DUMMYFUNCTION("""COMPUTED_VALUE"""),0.0)</f>
        <v>0</v>
      </c>
      <c r="H1542" s="5">
        <f>IFERROR(__xludf.DUMMYFUNCTION("""COMPUTED_VALUE"""),0.16597222222117125)</f>
        <v>0.1659722222</v>
      </c>
    </row>
    <row r="1543">
      <c r="A1543" t="str">
        <f>IFERROR(__xludf.DUMMYFUNCTION("""COMPUTED_VALUE"""),"Israel")</f>
        <v>Israel</v>
      </c>
      <c r="B1543" t="str">
        <f>IFERROR(__xludf.DUMMYFUNCTION("""COMPUTED_VALUE"""),"Asia")</f>
        <v>Asia</v>
      </c>
      <c r="C1543">
        <f>IFERROR(__xludf.DUMMYFUNCTION("""COMPUTED_VALUE"""),42.0)</f>
        <v>42</v>
      </c>
      <c r="D1543" t="str">
        <f>IFERROR(__xludf.DUMMYFUNCTION("""COMPUTED_VALUE"""),"עברו חודשיים")</f>
        <v>עברו חודשיים</v>
      </c>
      <c r="E1543" t="str">
        <f>IFERROR(__xludf.DUMMYFUNCTION("""COMPUTED_VALUE"""),"Agam Buhbut, Gal Adam")</f>
        <v>Agam Buhbut, Gal Adam</v>
      </c>
      <c r="F1543" t="str">
        <f>IFERROR(__xludf.DUMMYFUNCTION("""COMPUTED_VALUE"""),"עברו חודשיים")</f>
        <v>עברו חודשיים</v>
      </c>
      <c r="G1543">
        <f>IFERROR(__xludf.DUMMYFUNCTION("""COMPUTED_VALUE"""),0.0)</f>
        <v>0</v>
      </c>
      <c r="H1543" s="5">
        <f>IFERROR(__xludf.DUMMYFUNCTION("""COMPUTED_VALUE"""),0.11666666666496894)</f>
        <v>0.1166666667</v>
      </c>
    </row>
    <row r="1544">
      <c r="A1544" t="str">
        <f>IFERROR(__xludf.DUMMYFUNCTION("""COMPUTED_VALUE"""),"Israel")</f>
        <v>Israel</v>
      </c>
      <c r="B1544" t="str">
        <f>IFERROR(__xludf.DUMMYFUNCTION("""COMPUTED_VALUE"""),"Asia")</f>
        <v>Asia</v>
      </c>
      <c r="C1544">
        <f>IFERROR(__xludf.DUMMYFUNCTION("""COMPUTED_VALUE"""),43.0)</f>
        <v>43</v>
      </c>
      <c r="D1544" t="str">
        <f>IFERROR(__xludf.DUMMYFUNCTION("""COMPUTED_VALUE"""),"ממה את מפחדת")</f>
        <v>ממה את מפחדת</v>
      </c>
      <c r="E1544" t="str">
        <f>IFERROR(__xludf.DUMMYFUNCTION("""COMPUTED_VALUE"""),"Eyal Golan, Benaia Barabi")</f>
        <v>Eyal Golan, Benaia Barabi</v>
      </c>
      <c r="F1544" t="str">
        <f>IFERROR(__xludf.DUMMYFUNCTION("""COMPUTED_VALUE"""),"הפוך מהיקום - חלק שני")</f>
        <v>הפוך מהיקום - חלק שני</v>
      </c>
      <c r="G1544">
        <f>IFERROR(__xludf.DUMMYFUNCTION("""COMPUTED_VALUE"""),0.0)</f>
        <v>0</v>
      </c>
      <c r="H1544" s="5">
        <f>IFERROR(__xludf.DUMMYFUNCTION("""COMPUTED_VALUE"""),0.13263888888832298)</f>
        <v>0.1326388889</v>
      </c>
    </row>
    <row r="1545">
      <c r="A1545" t="str">
        <f>IFERROR(__xludf.DUMMYFUNCTION("""COMPUTED_VALUE"""),"Israel")</f>
        <v>Israel</v>
      </c>
      <c r="B1545" t="str">
        <f>IFERROR(__xludf.DUMMYFUNCTION("""COMPUTED_VALUE"""),"Asia")</f>
        <v>Asia</v>
      </c>
      <c r="C1545">
        <f>IFERROR(__xludf.DUMMYFUNCTION("""COMPUTED_VALUE"""),44.0)</f>
        <v>44</v>
      </c>
      <c r="D1545" t="str">
        <f>IFERROR(__xludf.DUMMYFUNCTION("""COMPUTED_VALUE"""),"מתגעגעת")</f>
        <v>מתגעגעת</v>
      </c>
      <c r="E1545" t="str">
        <f>IFERROR(__xludf.DUMMYFUNCTION("""COMPUTED_VALUE"""),"Nathan Goshen")</f>
        <v>Nathan Goshen</v>
      </c>
      <c r="F1545" t="str">
        <f>IFERROR(__xludf.DUMMYFUNCTION("""COMPUTED_VALUE"""),"באתי לחלום")</f>
        <v>באתי לחלום</v>
      </c>
      <c r="G1545">
        <f>IFERROR(__xludf.DUMMYFUNCTION("""COMPUTED_VALUE"""),0.0)</f>
        <v>0</v>
      </c>
      <c r="H1545" s="5">
        <f>IFERROR(__xludf.DUMMYFUNCTION("""COMPUTED_VALUE"""),0.1256944444430701)</f>
        <v>0.1256944444</v>
      </c>
    </row>
    <row r="1546">
      <c r="A1546" t="str">
        <f>IFERROR(__xludf.DUMMYFUNCTION("""COMPUTED_VALUE"""),"Israel")</f>
        <v>Israel</v>
      </c>
      <c r="B1546" t="str">
        <f>IFERROR(__xludf.DUMMYFUNCTION("""COMPUTED_VALUE"""),"Asia")</f>
        <v>Asia</v>
      </c>
      <c r="C1546">
        <f>IFERROR(__xludf.DUMMYFUNCTION("""COMPUTED_VALUE"""),45.0)</f>
        <v>45</v>
      </c>
      <c r="D1546" t="str">
        <f>IFERROR(__xludf.DUMMYFUNCTION("""COMPUTED_VALUE"""),"אם אתה גבר")</f>
        <v>אם אתה גבר</v>
      </c>
      <c r="E1546" t="str">
        <f>IFERROR(__xludf.DUMMYFUNCTION("""COMPUTED_VALUE"""),"Noa Kirel")</f>
        <v>Noa Kirel</v>
      </c>
      <c r="F1546" t="str">
        <f>IFERROR(__xludf.DUMMYFUNCTION("""COMPUTED_VALUE"""),"אם אתה גבר")</f>
        <v>אם אתה גבר</v>
      </c>
      <c r="G1546">
        <f>IFERROR(__xludf.DUMMYFUNCTION("""COMPUTED_VALUE"""),0.0)</f>
        <v>0</v>
      </c>
      <c r="H1546" s="5">
        <f>IFERROR(__xludf.DUMMYFUNCTION("""COMPUTED_VALUE"""),0.13541666666787933)</f>
        <v>0.1354166667</v>
      </c>
    </row>
    <row r="1547">
      <c r="A1547" t="str">
        <f>IFERROR(__xludf.DUMMYFUNCTION("""COMPUTED_VALUE"""),"Israel")</f>
        <v>Israel</v>
      </c>
      <c r="B1547" t="str">
        <f>IFERROR(__xludf.DUMMYFUNCTION("""COMPUTED_VALUE"""),"Asia")</f>
        <v>Asia</v>
      </c>
      <c r="C1547">
        <f>IFERROR(__xludf.DUMMYFUNCTION("""COMPUTED_VALUE"""),46.0)</f>
        <v>46</v>
      </c>
      <c r="D1547" t="str">
        <f>IFERROR(__xludf.DUMMYFUNCTION("""COMPUTED_VALUE"""),"Intentions (feat. Quavo)")</f>
        <v>Intentions (feat. Quavo)</v>
      </c>
      <c r="E1547" t="str">
        <f>IFERROR(__xludf.DUMMYFUNCTION("""COMPUTED_VALUE"""),"Justin Bieber, Quavo")</f>
        <v>Justin Bieber, Quavo</v>
      </c>
      <c r="F1547" t="str">
        <f>IFERROR(__xludf.DUMMYFUNCTION("""COMPUTED_VALUE"""),"Changes")</f>
        <v>Changes</v>
      </c>
      <c r="G1547">
        <f>IFERROR(__xludf.DUMMYFUNCTION("""COMPUTED_VALUE"""),0.0)</f>
        <v>0</v>
      </c>
      <c r="H1547" s="5">
        <f>IFERROR(__xludf.DUMMYFUNCTION("""COMPUTED_VALUE"""),0.14722222222189885)</f>
        <v>0.1472222222</v>
      </c>
    </row>
    <row r="1548">
      <c r="A1548" t="str">
        <f>IFERROR(__xludf.DUMMYFUNCTION("""COMPUTED_VALUE"""),"Israel")</f>
        <v>Israel</v>
      </c>
      <c r="B1548" t="str">
        <f>IFERROR(__xludf.DUMMYFUNCTION("""COMPUTED_VALUE"""),"Asia")</f>
        <v>Asia</v>
      </c>
      <c r="C1548">
        <f>IFERROR(__xludf.DUMMYFUNCTION("""COMPUTED_VALUE"""),47.0)</f>
        <v>47</v>
      </c>
      <c r="D1548" t="str">
        <f>IFERROR(__xludf.DUMMYFUNCTION("""COMPUTED_VALUE"""),"Circles")</f>
        <v>Circles</v>
      </c>
      <c r="E1548" t="str">
        <f>IFERROR(__xludf.DUMMYFUNCTION("""COMPUTED_VALUE"""),"Post Malone")</f>
        <v>Post Malone</v>
      </c>
      <c r="F1548" t="str">
        <f>IFERROR(__xludf.DUMMYFUNCTION("""COMPUTED_VALUE"""),"Hollywood's Bleeding")</f>
        <v>Hollywood's Bleeding</v>
      </c>
      <c r="G1548">
        <f>IFERROR(__xludf.DUMMYFUNCTION("""COMPUTED_VALUE"""),0.0)</f>
        <v>0</v>
      </c>
      <c r="H1548" s="5">
        <f>IFERROR(__xludf.DUMMYFUNCTION("""COMPUTED_VALUE"""),0.14930555555474712)</f>
        <v>0.1493055556</v>
      </c>
    </row>
    <row r="1549">
      <c r="A1549" t="str">
        <f>IFERROR(__xludf.DUMMYFUNCTION("""COMPUTED_VALUE"""),"Israel")</f>
        <v>Israel</v>
      </c>
      <c r="B1549" t="str">
        <f>IFERROR(__xludf.DUMMYFUNCTION("""COMPUTED_VALUE"""),"Asia")</f>
        <v>Asia</v>
      </c>
      <c r="C1549">
        <f>IFERROR(__xludf.DUMMYFUNCTION("""COMPUTED_VALUE"""),48.0)</f>
        <v>48</v>
      </c>
      <c r="D1549" t="str">
        <f>IFERROR(__xludf.DUMMYFUNCTION("""COMPUTED_VALUE"""),"עד מחר")</f>
        <v>עד מחר</v>
      </c>
      <c r="E1549" t="str">
        <f>IFERROR(__xludf.DUMMYFUNCTION("""COMPUTED_VALUE"""),"Eviatar Banai")</f>
        <v>Eviatar Banai</v>
      </c>
      <c r="F1549" t="str">
        <f>IFERROR(__xludf.DUMMYFUNCTION("""COMPUTED_VALUE"""),"לילה כיום יאיר")</f>
        <v>לילה כיום יאיר</v>
      </c>
      <c r="G1549">
        <f>IFERROR(__xludf.DUMMYFUNCTION("""COMPUTED_VALUE"""),0.0)</f>
        <v>0</v>
      </c>
      <c r="H1549" s="5">
        <f>IFERROR(__xludf.DUMMYFUNCTION("""COMPUTED_VALUE"""),0.18541666666715173)</f>
        <v>0.1854166667</v>
      </c>
    </row>
    <row r="1550">
      <c r="A1550" t="str">
        <f>IFERROR(__xludf.DUMMYFUNCTION("""COMPUTED_VALUE"""),"Israel")</f>
        <v>Israel</v>
      </c>
      <c r="B1550" t="str">
        <f>IFERROR(__xludf.DUMMYFUNCTION("""COMPUTED_VALUE"""),"Asia")</f>
        <v>Asia</v>
      </c>
      <c r="C1550">
        <f>IFERROR(__xludf.DUMMYFUNCTION("""COMPUTED_VALUE"""),49.0)</f>
        <v>49</v>
      </c>
      <c r="D1550" t="str">
        <f>IFERROR(__xludf.DUMMYFUNCTION("""COMPUTED_VALUE"""),"Godzilla (feat. Juice WRLD)")</f>
        <v>Godzilla (feat. Juice WRLD)</v>
      </c>
      <c r="E1550" t="str">
        <f>IFERROR(__xludf.DUMMYFUNCTION("""COMPUTED_VALUE"""),"Eminem, Juice WRLD")</f>
        <v>Eminem, Juice WRLD</v>
      </c>
      <c r="F1550" t="str">
        <f>IFERROR(__xludf.DUMMYFUNCTION("""COMPUTED_VALUE"""),"Music To Be Murdered By")</f>
        <v>Music To Be Murdered By</v>
      </c>
      <c r="G1550">
        <f>IFERROR(__xludf.DUMMYFUNCTION("""COMPUTED_VALUE"""),1.0)</f>
        <v>1</v>
      </c>
      <c r="H1550" s="5">
        <f>IFERROR(__xludf.DUMMYFUNCTION("""COMPUTED_VALUE"""),0.14583333333212067)</f>
        <v>0.1458333333</v>
      </c>
    </row>
    <row r="1551">
      <c r="A1551" t="str">
        <f>IFERROR(__xludf.DUMMYFUNCTION("""COMPUTED_VALUE"""),"Israel")</f>
        <v>Israel</v>
      </c>
      <c r="B1551" t="str">
        <f>IFERROR(__xludf.DUMMYFUNCTION("""COMPUTED_VALUE"""),"Asia")</f>
        <v>Asia</v>
      </c>
      <c r="C1551">
        <f>IFERROR(__xludf.DUMMYFUNCTION("""COMPUTED_VALUE"""),50.0)</f>
        <v>50</v>
      </c>
      <c r="D1551" t="str">
        <f>IFERROR(__xludf.DUMMYFUNCTION("""COMPUTED_VALUE"""),"שמש")</f>
        <v>שמש</v>
      </c>
      <c r="E1551" t="str">
        <f>IFERROR(__xludf.DUMMYFUNCTION("""COMPUTED_VALUE"""),"Hanan Ben Ari")</f>
        <v>Hanan Ben Ari</v>
      </c>
      <c r="F1551" t="str">
        <f>IFERROR(__xludf.DUMMYFUNCTION("""COMPUTED_VALUE"""),"שמש")</f>
        <v>שמש</v>
      </c>
      <c r="G1551">
        <f>IFERROR(__xludf.DUMMYFUNCTION("""COMPUTED_VALUE"""),0.0)</f>
        <v>0</v>
      </c>
      <c r="H1551" s="5">
        <f>IFERROR(__xludf.DUMMYFUNCTION("""COMPUTED_VALUE"""),0.16527777777810115)</f>
        <v>0.1652777778</v>
      </c>
    </row>
    <row r="1552">
      <c r="A1552" t="str">
        <f>IFERROR(__xludf.DUMMYFUNCTION("""COMPUTED_VALUE"""),"Italy")</f>
        <v>Italy</v>
      </c>
      <c r="B1552" t="str">
        <f>IFERROR(__xludf.DUMMYFUNCTION("""COMPUTED_VALUE"""),"Europe")</f>
        <v>Europe</v>
      </c>
      <c r="C1552">
        <f>IFERROR(__xludf.DUMMYFUNCTION("""COMPUTED_VALUE"""),1.0)</f>
        <v>1</v>
      </c>
      <c r="D1552" t="str">
        <f>IFERROR(__xludf.DUMMYFUNCTION("""COMPUTED_VALUE"""),"Good Times")</f>
        <v>Good Times</v>
      </c>
      <c r="E1552" t="str">
        <f>IFERROR(__xludf.DUMMYFUNCTION("""COMPUTED_VALUE"""),"Ghali")</f>
        <v>Ghali</v>
      </c>
      <c r="F1552" t="str">
        <f>IFERROR(__xludf.DUMMYFUNCTION("""COMPUTED_VALUE"""),"DNA")</f>
        <v>DNA</v>
      </c>
      <c r="G1552">
        <f>IFERROR(__xludf.DUMMYFUNCTION("""COMPUTED_VALUE"""),0.0)</f>
        <v>0</v>
      </c>
      <c r="H1552" s="5">
        <f>IFERROR(__xludf.DUMMYFUNCTION("""COMPUTED_VALUE"""),0.11319444444598048)</f>
        <v>0.1131944444</v>
      </c>
    </row>
    <row r="1553">
      <c r="A1553" t="str">
        <f>IFERROR(__xludf.DUMMYFUNCTION("""COMPUTED_VALUE"""),"Italy")</f>
        <v>Italy</v>
      </c>
      <c r="B1553" t="str">
        <f>IFERROR(__xludf.DUMMYFUNCTION("""COMPUTED_VALUE"""),"Europe")</f>
        <v>Europe</v>
      </c>
      <c r="C1553">
        <f>IFERROR(__xludf.DUMMYFUNCTION("""COMPUTED_VALUE"""),2.0)</f>
        <v>2</v>
      </c>
      <c r="D1553" t="str">
        <f>IFERROR(__xludf.DUMMYFUNCTION("""COMPUTED_VALUE"""),"Mediterranea")</f>
        <v>Mediterranea</v>
      </c>
      <c r="E1553" t="str">
        <f>IFERROR(__xludf.DUMMYFUNCTION("""COMPUTED_VALUE"""),"Irama")</f>
        <v>Irama</v>
      </c>
      <c r="F1553" t="str">
        <f>IFERROR(__xludf.DUMMYFUNCTION("""COMPUTED_VALUE"""),"Mediterranea")</f>
        <v>Mediterranea</v>
      </c>
      <c r="G1553">
        <f>IFERROR(__xludf.DUMMYFUNCTION("""COMPUTED_VALUE"""),0.0)</f>
        <v>0</v>
      </c>
      <c r="H1553" s="5">
        <f>IFERROR(__xludf.DUMMYFUNCTION("""COMPUTED_VALUE"""),0.12291666666715173)</f>
        <v>0.1229166667</v>
      </c>
    </row>
    <row r="1554">
      <c r="A1554" t="str">
        <f>IFERROR(__xludf.DUMMYFUNCTION("""COMPUTED_VALUE"""),"Italy")</f>
        <v>Italy</v>
      </c>
      <c r="B1554" t="str">
        <f>IFERROR(__xludf.DUMMYFUNCTION("""COMPUTED_VALUE"""),"Europe")</f>
        <v>Europe</v>
      </c>
      <c r="C1554">
        <f>IFERROR(__xludf.DUMMYFUNCTION("""COMPUTED_VALUE"""),3.0)</f>
        <v>3</v>
      </c>
      <c r="D1554" t="str">
        <f>IFERROR(__xludf.DUMMYFUNCTION("""COMPUTED_VALUE"""),"ELEGANTE (feat. Sfera Ebbasta)")</f>
        <v>ELEGANTE (feat. Sfera Ebbasta)</v>
      </c>
      <c r="E1554" t="str">
        <f>IFERROR(__xludf.DUMMYFUNCTION("""COMPUTED_VALUE"""),"DrefGold, Sfera Ebbasta")</f>
        <v>DrefGold, Sfera Ebbasta</v>
      </c>
      <c r="F1554" t="str">
        <f>IFERROR(__xludf.DUMMYFUNCTION("""COMPUTED_VALUE"""),"ELO")</f>
        <v>ELO</v>
      </c>
      <c r="G1554">
        <f>IFERROR(__xludf.DUMMYFUNCTION("""COMPUTED_VALUE"""),1.0)</f>
        <v>1</v>
      </c>
      <c r="H1554" s="5">
        <f>IFERROR(__xludf.DUMMYFUNCTION("""COMPUTED_VALUE"""),0.15277777777737356)</f>
        <v>0.1527777778</v>
      </c>
    </row>
    <row r="1555">
      <c r="A1555" t="str">
        <f>IFERROR(__xludf.DUMMYFUNCTION("""COMPUTED_VALUE"""),"Italy")</f>
        <v>Italy</v>
      </c>
      <c r="B1555" t="str">
        <f>IFERROR(__xludf.DUMMYFUNCTION("""COMPUTED_VALUE"""),"Europe")</f>
        <v>Europe</v>
      </c>
      <c r="C1555">
        <f>IFERROR(__xludf.DUMMYFUNCTION("""COMPUTED_VALUE"""),4.0)</f>
        <v>4</v>
      </c>
      <c r="D1555" t="str">
        <f>IFERROR(__xludf.DUMMYFUNCTION("""COMPUTED_VALUE"""),"Spigoli")</f>
        <v>Spigoli</v>
      </c>
      <c r="E1555" t="str">
        <f>IFERROR(__xludf.DUMMYFUNCTION("""COMPUTED_VALUE"""),"Carl Brave, Mara Sattei, tha Supreme")</f>
        <v>Carl Brave, Mara Sattei, tha Supreme</v>
      </c>
      <c r="F1555" t="str">
        <f>IFERROR(__xludf.DUMMYFUNCTION("""COMPUTED_VALUE"""),"Spigoli")</f>
        <v>Spigoli</v>
      </c>
      <c r="G1555">
        <f>IFERROR(__xludf.DUMMYFUNCTION("""COMPUTED_VALUE"""),0.0)</f>
        <v>0</v>
      </c>
      <c r="H1555" s="5">
        <f>IFERROR(__xludf.DUMMYFUNCTION("""COMPUTED_VALUE"""),0.17777777777882875)</f>
        <v>0.1777777778</v>
      </c>
    </row>
    <row r="1556">
      <c r="A1556" t="str">
        <f>IFERROR(__xludf.DUMMYFUNCTION("""COMPUTED_VALUE"""),"Italy")</f>
        <v>Italy</v>
      </c>
      <c r="B1556" t="str">
        <f>IFERROR(__xludf.DUMMYFUNCTION("""COMPUTED_VALUE"""),"Europe")</f>
        <v>Europe</v>
      </c>
      <c r="C1556">
        <f>IFERROR(__xludf.DUMMYFUNCTION("""COMPUTED_VALUE"""),5.0)</f>
        <v>5</v>
      </c>
      <c r="D1556" t="str">
        <f>IFERROR(__xludf.DUMMYFUNCTION("""COMPUTED_VALUE"""),"MAMACITA")</f>
        <v>MAMACITA</v>
      </c>
      <c r="E1556" t="str">
        <f>IFERROR(__xludf.DUMMYFUNCTION("""COMPUTED_VALUE"""),"Black Eyed Peas, Ozuna, J. Rey Soul")</f>
        <v>Black Eyed Peas, Ozuna, J. Rey Soul</v>
      </c>
      <c r="F1556" t="str">
        <f>IFERROR(__xludf.DUMMYFUNCTION("""COMPUTED_VALUE"""),"MAMACITA")</f>
        <v>MAMACITA</v>
      </c>
      <c r="G1556">
        <f>IFERROR(__xludf.DUMMYFUNCTION("""COMPUTED_VALUE"""),1.0)</f>
        <v>1</v>
      </c>
      <c r="H1556" s="5">
        <f>IFERROR(__xludf.DUMMYFUNCTION("""COMPUTED_VALUE"""),0.17291666666642413)</f>
        <v>0.1729166667</v>
      </c>
    </row>
    <row r="1557">
      <c r="A1557" t="str">
        <f>IFERROR(__xludf.DUMMYFUNCTION("""COMPUTED_VALUE"""),"Italy")</f>
        <v>Italy</v>
      </c>
      <c r="B1557" t="str">
        <f>IFERROR(__xludf.DUMMYFUNCTION("""COMPUTED_VALUE"""),"Europe")</f>
        <v>Europe</v>
      </c>
      <c r="C1557">
        <f>IFERROR(__xludf.DUMMYFUNCTION("""COMPUTED_VALUE"""),6.0)</f>
        <v>6</v>
      </c>
      <c r="D1557" t="str">
        <f>IFERROR(__xludf.DUMMYFUNCTION("""COMPUTED_VALUE"""),"Fiori di Chernobyl")</f>
        <v>Fiori di Chernobyl</v>
      </c>
      <c r="E1557" t="str">
        <f>IFERROR(__xludf.DUMMYFUNCTION("""COMPUTED_VALUE"""),"Mr.Rain")</f>
        <v>Mr.Rain</v>
      </c>
      <c r="F1557" t="str">
        <f>IFERROR(__xludf.DUMMYFUNCTION("""COMPUTED_VALUE"""),"Fiori di Chernobyl")</f>
        <v>Fiori di Chernobyl</v>
      </c>
      <c r="G1557">
        <f>IFERROR(__xludf.DUMMYFUNCTION("""COMPUTED_VALUE"""),0.0)</f>
        <v>0</v>
      </c>
      <c r="H1557" s="5">
        <f>IFERROR(__xludf.DUMMYFUNCTION("""COMPUTED_VALUE"""),0.12152777777737356)</f>
        <v>0.1215277778</v>
      </c>
    </row>
    <row r="1558">
      <c r="A1558" t="str">
        <f>IFERROR(__xludf.DUMMYFUNCTION("""COMPUTED_VALUE"""),"Italy")</f>
        <v>Italy</v>
      </c>
      <c r="B1558" t="str">
        <f>IFERROR(__xludf.DUMMYFUNCTION("""COMPUTED_VALUE"""),"Europe")</f>
        <v>Europe</v>
      </c>
      <c r="C1558">
        <f>IFERROR(__xludf.DUMMYFUNCTION("""COMPUTED_VALUE"""),7.0)</f>
        <v>7</v>
      </c>
      <c r="D1558" t="str">
        <f>IFERROR(__xludf.DUMMYFUNCTION("""COMPUTED_VALUE"""),"Roses - Imanbek Remix")</f>
        <v>Roses - Imanbek Remix</v>
      </c>
      <c r="E1558" t="str">
        <f>IFERROR(__xludf.DUMMYFUNCTION("""COMPUTED_VALUE"""),"SAINt JHN, Imanbek")</f>
        <v>SAINt JHN, Imanbek</v>
      </c>
      <c r="F1558" t="str">
        <f>IFERROR(__xludf.DUMMYFUNCTION("""COMPUTED_VALUE"""),"Roses (Imanbek Remix)")</f>
        <v>Roses (Imanbek Remix)</v>
      </c>
      <c r="G1558">
        <f>IFERROR(__xludf.DUMMYFUNCTION("""COMPUTED_VALUE"""),1.0)</f>
        <v>1</v>
      </c>
      <c r="H1558" s="5">
        <f>IFERROR(__xludf.DUMMYFUNCTION("""COMPUTED_VALUE"""),0.12222222222044365)</f>
        <v>0.1222222222</v>
      </c>
    </row>
    <row r="1559">
      <c r="A1559" t="str">
        <f>IFERROR(__xludf.DUMMYFUNCTION("""COMPUTED_VALUE"""),"Italy")</f>
        <v>Italy</v>
      </c>
      <c r="B1559" t="str">
        <f>IFERROR(__xludf.DUMMYFUNCTION("""COMPUTED_VALUE"""),"Europe")</f>
        <v>Europe</v>
      </c>
      <c r="C1559">
        <f>IFERROR(__xludf.DUMMYFUNCTION("""COMPUTED_VALUE"""),8.0)</f>
        <v>8</v>
      </c>
      <c r="D1559" t="str">
        <f>IFERROR(__xludf.DUMMYFUNCTION("""COMPUTED_VALUE"""),"Auto Blu")</f>
        <v>Auto Blu</v>
      </c>
      <c r="E1559" t="str">
        <f>IFERROR(__xludf.DUMMYFUNCTION("""COMPUTED_VALUE"""),"Shiva, Eiffel 65")</f>
        <v>Shiva, Eiffel 65</v>
      </c>
      <c r="F1559" t="str">
        <f>IFERROR(__xludf.DUMMYFUNCTION("""COMPUTED_VALUE"""),"Auto Blu")</f>
        <v>Auto Blu</v>
      </c>
      <c r="G1559">
        <f>IFERROR(__xludf.DUMMYFUNCTION("""COMPUTED_VALUE"""),1.0)</f>
        <v>1</v>
      </c>
      <c r="H1559" s="5">
        <f>IFERROR(__xludf.DUMMYFUNCTION("""COMPUTED_VALUE"""),0.11527777777882875)</f>
        <v>0.1152777778</v>
      </c>
    </row>
    <row r="1560">
      <c r="A1560" t="str">
        <f>IFERROR(__xludf.DUMMYFUNCTION("""COMPUTED_VALUE"""),"Italy")</f>
        <v>Italy</v>
      </c>
      <c r="B1560" t="str">
        <f>IFERROR(__xludf.DUMMYFUNCTION("""COMPUTED_VALUE"""),"Europe")</f>
        <v>Europe</v>
      </c>
      <c r="C1560">
        <f>IFERROR(__xludf.DUMMYFUNCTION("""COMPUTED_VALUE"""),9.0)</f>
        <v>9</v>
      </c>
      <c r="D1560" t="str">
        <f>IFERROR(__xludf.DUMMYFUNCTION("""COMPUTED_VALUE"""),"death bed (coffee for your head) (feat. beabadoobee)")</f>
        <v>death bed (coffee for your head) (feat. beabadoobee)</v>
      </c>
      <c r="E1560" t="str">
        <f>IFERROR(__xludf.DUMMYFUNCTION("""COMPUTED_VALUE"""),"Powfu, beabadoobee")</f>
        <v>Powfu, beabadoobee</v>
      </c>
      <c r="F1560" t="str">
        <f>IFERROR(__xludf.DUMMYFUNCTION("""COMPUTED_VALUE"""),"death bed (coffee for your head) (feat. beabadoobee)")</f>
        <v>death bed (coffee for your head) (feat. beabadoobee)</v>
      </c>
      <c r="G1560">
        <f>IFERROR(__xludf.DUMMYFUNCTION("""COMPUTED_VALUE"""),0.0)</f>
        <v>0</v>
      </c>
      <c r="H1560" s="5">
        <f>IFERROR(__xludf.DUMMYFUNCTION("""COMPUTED_VALUE"""),0.12013888888759539)</f>
        <v>0.1201388889</v>
      </c>
    </row>
    <row r="1561">
      <c r="A1561" t="str">
        <f>IFERROR(__xludf.DUMMYFUNCTION("""COMPUTED_VALUE"""),"Italy")</f>
        <v>Italy</v>
      </c>
      <c r="B1561" t="str">
        <f>IFERROR(__xludf.DUMMYFUNCTION("""COMPUTED_VALUE"""),"Europe")</f>
        <v>Europe</v>
      </c>
      <c r="C1561">
        <f>IFERROR(__xludf.DUMMYFUNCTION("""COMPUTED_VALUE"""),10.0)</f>
        <v>10</v>
      </c>
      <c r="D1561" t="str">
        <f>IFERROR(__xludf.DUMMYFUNCTION("""COMPUTED_VALUE"""),"Il bacio di Klimt")</f>
        <v>Il bacio di Klimt</v>
      </c>
      <c r="E1561" t="str">
        <f>IFERROR(__xludf.DUMMYFUNCTION("""COMPUTED_VALUE"""),"Emanuele Aloia")</f>
        <v>Emanuele Aloia</v>
      </c>
      <c r="F1561" t="str">
        <f>IFERROR(__xludf.DUMMYFUNCTION("""COMPUTED_VALUE"""),"Il bacio di Klimt")</f>
        <v>Il bacio di Klimt</v>
      </c>
      <c r="G1561">
        <f>IFERROR(__xludf.DUMMYFUNCTION("""COMPUTED_VALUE"""),0.0)</f>
        <v>0</v>
      </c>
      <c r="H1561" s="5">
        <f>IFERROR(__xludf.DUMMYFUNCTION("""COMPUTED_VALUE"""),0.12291666666715173)</f>
        <v>0.1229166667</v>
      </c>
    </row>
    <row r="1562">
      <c r="A1562" t="str">
        <f>IFERROR(__xludf.DUMMYFUNCTION("""COMPUTED_VALUE"""),"Italy")</f>
        <v>Italy</v>
      </c>
      <c r="B1562" t="str">
        <f>IFERROR(__xludf.DUMMYFUNCTION("""COMPUTED_VALUE"""),"Europe")</f>
        <v>Europe</v>
      </c>
      <c r="C1562">
        <f>IFERROR(__xludf.DUMMYFUNCTION("""COMPUTED_VALUE"""),11.0)</f>
        <v>11</v>
      </c>
      <c r="D1562" t="str">
        <f>IFERROR(__xludf.DUMMYFUNCTION("""COMPUTED_VALUE"""),"GOOBA")</f>
        <v>GOOBA</v>
      </c>
      <c r="E1562" t="str">
        <f>IFERROR(__xludf.DUMMYFUNCTION("""COMPUTED_VALUE"""),"6ix9ine")</f>
        <v>6ix9ine</v>
      </c>
      <c r="F1562" t="str">
        <f>IFERROR(__xludf.DUMMYFUNCTION("""COMPUTED_VALUE"""),"GOOBA")</f>
        <v>GOOBA</v>
      </c>
      <c r="G1562">
        <f>IFERROR(__xludf.DUMMYFUNCTION("""COMPUTED_VALUE"""),1.0)</f>
        <v>1</v>
      </c>
      <c r="H1562" s="5">
        <f>IFERROR(__xludf.DUMMYFUNCTION("""COMPUTED_VALUE"""),0.09166666666715173)</f>
        <v>0.09166666667</v>
      </c>
    </row>
    <row r="1563">
      <c r="A1563" t="str">
        <f>IFERROR(__xludf.DUMMYFUNCTION("""COMPUTED_VALUE"""),"Italy")</f>
        <v>Italy</v>
      </c>
      <c r="B1563" t="str">
        <f>IFERROR(__xludf.DUMMYFUNCTION("""COMPUTED_VALUE"""),"Europe")</f>
        <v>Europe</v>
      </c>
      <c r="C1563">
        <f>IFERROR(__xludf.DUMMYFUNCTION("""COMPUTED_VALUE"""),12.0)</f>
        <v>12</v>
      </c>
      <c r="D1563" t="str">
        <f>IFERROR(__xludf.DUMMYFUNCTION("""COMPUTED_VALUE"""),"TesTa TrA Le NuVoLE, pT. 2")</f>
        <v>TesTa TrA Le NuVoLE, pT. 2</v>
      </c>
      <c r="E1563" t="str">
        <f>IFERROR(__xludf.DUMMYFUNCTION("""COMPUTED_VALUE"""),"Alfa, Yanomi")</f>
        <v>Alfa, Yanomi</v>
      </c>
      <c r="F1563" t="str">
        <f>IFERROR(__xludf.DUMMYFUNCTION("""COMPUTED_VALUE"""),"TesTa TrA Le NuVoLE, pT. 2")</f>
        <v>TesTa TrA Le NuVoLE, pT. 2</v>
      </c>
      <c r="G1563">
        <f>IFERROR(__xludf.DUMMYFUNCTION("""COMPUTED_VALUE"""),0.0)</f>
        <v>0</v>
      </c>
      <c r="H1563" s="5">
        <f>IFERROR(__xludf.DUMMYFUNCTION("""COMPUTED_VALUE"""),0.125)</f>
        <v>0.125</v>
      </c>
    </row>
    <row r="1564">
      <c r="A1564" t="str">
        <f>IFERROR(__xludf.DUMMYFUNCTION("""COMPUTED_VALUE"""),"Italy")</f>
        <v>Italy</v>
      </c>
      <c r="B1564" t="str">
        <f>IFERROR(__xludf.DUMMYFUNCTION("""COMPUTED_VALUE"""),"Europe")</f>
        <v>Europe</v>
      </c>
      <c r="C1564">
        <f>IFERROR(__xludf.DUMMYFUNCTION("""COMPUTED_VALUE"""),13.0)</f>
        <v>13</v>
      </c>
      <c r="D1564" t="str">
        <f>IFERROR(__xludf.DUMMYFUNCTION("""COMPUTED_VALUE"""),"Nena (feat. Geolier &amp; Andry The Hitmaker)")</f>
        <v>Nena (feat. Geolier &amp; Andry The Hitmaker)</v>
      </c>
      <c r="E1564" t="str">
        <f>IFERROR(__xludf.DUMMYFUNCTION("""COMPUTED_VALUE"""),"Boro Boro, Geolier, Andry The Hitmaker")</f>
        <v>Boro Boro, Geolier, Andry The Hitmaker</v>
      </c>
      <c r="F1564" t="str">
        <f>IFERROR(__xludf.DUMMYFUNCTION("""COMPUTED_VALUE"""),"Nena (feat. Geolier &amp; Andry The Hitmaker)")</f>
        <v>Nena (feat. Geolier &amp; Andry The Hitmaker)</v>
      </c>
      <c r="G1564">
        <f>IFERROR(__xludf.DUMMYFUNCTION("""COMPUTED_VALUE"""),1.0)</f>
        <v>1</v>
      </c>
      <c r="H1564" s="5">
        <f>IFERROR(__xludf.DUMMYFUNCTION("""COMPUTED_VALUE"""),0.10347222222117125)</f>
        <v>0.1034722222</v>
      </c>
    </row>
    <row r="1565">
      <c r="A1565" t="str">
        <f>IFERROR(__xludf.DUMMYFUNCTION("""COMPUTED_VALUE"""),"Italy")</f>
        <v>Italy</v>
      </c>
      <c r="B1565" t="str">
        <f>IFERROR(__xludf.DUMMYFUNCTION("""COMPUTED_VALUE"""),"Europe")</f>
        <v>Europe</v>
      </c>
      <c r="C1565">
        <f>IFERROR(__xludf.DUMMYFUNCTION("""COMPUTED_VALUE"""),14.0)</f>
        <v>14</v>
      </c>
      <c r="D1565" t="str">
        <f>IFERROR(__xludf.DUMMYFUNCTION("""COMPUTED_VALUE"""),"OPPS (feat. Capo Plaza)")</f>
        <v>OPPS (feat. Capo Plaza)</v>
      </c>
      <c r="E1565" t="str">
        <f>IFERROR(__xludf.DUMMYFUNCTION("""COMPUTED_VALUE"""),"DrefGold, Capo Plaza")</f>
        <v>DrefGold, Capo Plaza</v>
      </c>
      <c r="F1565" t="str">
        <f>IFERROR(__xludf.DUMMYFUNCTION("""COMPUTED_VALUE"""),"ELO")</f>
        <v>ELO</v>
      </c>
      <c r="G1565">
        <f>IFERROR(__xludf.DUMMYFUNCTION("""COMPUTED_VALUE"""),1.0)</f>
        <v>1</v>
      </c>
      <c r="H1565" s="5">
        <f>IFERROR(__xludf.DUMMYFUNCTION("""COMPUTED_VALUE"""),0.13472222222117125)</f>
        <v>0.1347222222</v>
      </c>
    </row>
    <row r="1566">
      <c r="A1566" t="str">
        <f>IFERROR(__xludf.DUMMYFUNCTION("""COMPUTED_VALUE"""),"Italy")</f>
        <v>Italy</v>
      </c>
      <c r="B1566" t="str">
        <f>IFERROR(__xludf.DUMMYFUNCTION("""COMPUTED_VALUE"""),"Europe")</f>
        <v>Europe</v>
      </c>
      <c r="C1566">
        <f>IFERROR(__xludf.DUMMYFUNCTION("""COMPUTED_VALUE"""),15.0)</f>
        <v>15</v>
      </c>
      <c r="D1566" t="str">
        <f>IFERROR(__xludf.DUMMYFUNCTION("""COMPUTED_VALUE"""),"Problemi Con Tutti (Giuda)")</f>
        <v>Problemi Con Tutti (Giuda)</v>
      </c>
      <c r="E1566" t="str">
        <f>IFERROR(__xludf.DUMMYFUNCTION("""COMPUTED_VALUE"""),"Fedez")</f>
        <v>Fedez</v>
      </c>
      <c r="F1566" t="str">
        <f>IFERROR(__xludf.DUMMYFUNCTION("""COMPUTED_VALUE"""),"Problemi Con Tutti (Giuda)")</f>
        <v>Problemi Con Tutti (Giuda)</v>
      </c>
      <c r="G1566">
        <f>IFERROR(__xludf.DUMMYFUNCTION("""COMPUTED_VALUE"""),0.0)</f>
        <v>0</v>
      </c>
      <c r="H1566" s="5">
        <f>IFERROR(__xludf.DUMMYFUNCTION("""COMPUTED_VALUE"""),0.0930555555569299)</f>
        <v>0.09305555556</v>
      </c>
    </row>
    <row r="1567">
      <c r="A1567" t="str">
        <f>IFERROR(__xludf.DUMMYFUNCTION("""COMPUTED_VALUE"""),"Italy")</f>
        <v>Italy</v>
      </c>
      <c r="B1567" t="str">
        <f>IFERROR(__xludf.DUMMYFUNCTION("""COMPUTED_VALUE"""),"Europe")</f>
        <v>Europe</v>
      </c>
      <c r="C1567">
        <f>IFERROR(__xludf.DUMMYFUNCTION("""COMPUTED_VALUE"""),16.0)</f>
        <v>16</v>
      </c>
      <c r="D1567" t="str">
        <f>IFERROR(__xludf.DUMMYFUNCTION("""COMPUTED_VALUE"""),"Tusa")</f>
        <v>Tusa</v>
      </c>
      <c r="E1567" t="str">
        <f>IFERROR(__xludf.DUMMYFUNCTION("""COMPUTED_VALUE"""),"KAROL G, Nicki Minaj")</f>
        <v>KAROL G, Nicki Minaj</v>
      </c>
      <c r="F1567" t="str">
        <f>IFERROR(__xludf.DUMMYFUNCTION("""COMPUTED_VALUE"""),"Tusa")</f>
        <v>Tusa</v>
      </c>
      <c r="G1567">
        <f>IFERROR(__xludf.DUMMYFUNCTION("""COMPUTED_VALUE"""),0.0)</f>
        <v>0</v>
      </c>
      <c r="H1567" s="5">
        <f>IFERROR(__xludf.DUMMYFUNCTION("""COMPUTED_VALUE"""),0.13888888889050577)</f>
        <v>0.1388888889</v>
      </c>
    </row>
    <row r="1568">
      <c r="A1568" t="str">
        <f>IFERROR(__xludf.DUMMYFUNCTION("""COMPUTED_VALUE"""),"Italy")</f>
        <v>Italy</v>
      </c>
      <c r="B1568" t="str">
        <f>IFERROR(__xludf.DUMMYFUNCTION("""COMPUTED_VALUE"""),"Europe")</f>
        <v>Europe</v>
      </c>
      <c r="C1568">
        <f>IFERROR(__xludf.DUMMYFUNCTION("""COMPUTED_VALUE"""),17.0)</f>
        <v>17</v>
      </c>
      <c r="D1568" t="str">
        <f>IFERROR(__xludf.DUMMYFUNCTION("""COMPUTED_VALUE"""),"Blinding Lights")</f>
        <v>Blinding Lights</v>
      </c>
      <c r="E1568" t="str">
        <f>IFERROR(__xludf.DUMMYFUNCTION("""COMPUTED_VALUE"""),"The Weeknd")</f>
        <v>The Weeknd</v>
      </c>
      <c r="F1568" t="str">
        <f>IFERROR(__xludf.DUMMYFUNCTION("""COMPUTED_VALUE"""),"After Hours")</f>
        <v>After Hours</v>
      </c>
      <c r="G1568">
        <f>IFERROR(__xludf.DUMMYFUNCTION("""COMPUTED_VALUE"""),0.0)</f>
        <v>0</v>
      </c>
      <c r="H1568" s="5">
        <f>IFERROR(__xludf.DUMMYFUNCTION("""COMPUTED_VALUE"""),0.13888888889050577)</f>
        <v>0.1388888889</v>
      </c>
    </row>
    <row r="1569">
      <c r="A1569" t="str">
        <f>IFERROR(__xludf.DUMMYFUNCTION("""COMPUTED_VALUE"""),"Italy")</f>
        <v>Italy</v>
      </c>
      <c r="B1569" t="str">
        <f>IFERROR(__xludf.DUMMYFUNCTION("""COMPUTED_VALUE"""),"Europe")</f>
        <v>Europe</v>
      </c>
      <c r="C1569">
        <f>IFERROR(__xludf.DUMMYFUNCTION("""COMPUTED_VALUE"""),18.0)</f>
        <v>18</v>
      </c>
      <c r="D1569" t="str">
        <f>IFERROR(__xludf.DUMMYFUNCTION("""COMPUTED_VALUE"""),"Chega")</f>
        <v>Chega</v>
      </c>
      <c r="E1569" t="str">
        <f>IFERROR(__xludf.DUMMYFUNCTION("""COMPUTED_VALUE"""),"Gaia")</f>
        <v>Gaia</v>
      </c>
      <c r="F1569" t="str">
        <f>IFERROR(__xludf.DUMMYFUNCTION("""COMPUTED_VALUE"""),"Genesi")</f>
        <v>Genesi</v>
      </c>
      <c r="G1569">
        <f>IFERROR(__xludf.DUMMYFUNCTION("""COMPUTED_VALUE"""),0.0)</f>
        <v>0</v>
      </c>
      <c r="H1569" s="5">
        <f>IFERROR(__xludf.DUMMYFUNCTION("""COMPUTED_VALUE"""),0.12777777777955635)</f>
        <v>0.1277777778</v>
      </c>
    </row>
    <row r="1570">
      <c r="A1570" t="str">
        <f>IFERROR(__xludf.DUMMYFUNCTION("""COMPUTED_VALUE"""),"Italy")</f>
        <v>Italy</v>
      </c>
      <c r="B1570" t="str">
        <f>IFERROR(__xludf.DUMMYFUNCTION("""COMPUTED_VALUE"""),"Europe")</f>
        <v>Europe</v>
      </c>
      <c r="C1570">
        <f>IFERROR(__xludf.DUMMYFUNCTION("""COMPUTED_VALUE"""),19.0)</f>
        <v>19</v>
      </c>
      <c r="D1570" t="str">
        <f>IFERROR(__xludf.DUMMYFUNCTION("""COMPUTED_VALUE"""),"Boogieman (feat. Salmo)")</f>
        <v>Boogieman (feat. Salmo)</v>
      </c>
      <c r="E1570" t="str">
        <f>IFERROR(__xludf.DUMMYFUNCTION("""COMPUTED_VALUE"""),"Ghali, Salmo")</f>
        <v>Ghali, Salmo</v>
      </c>
      <c r="F1570" t="str">
        <f>IFERROR(__xludf.DUMMYFUNCTION("""COMPUTED_VALUE"""),"DNA")</f>
        <v>DNA</v>
      </c>
      <c r="G1570">
        <f>IFERROR(__xludf.DUMMYFUNCTION("""COMPUTED_VALUE"""),1.0)</f>
        <v>1</v>
      </c>
      <c r="H1570" s="5">
        <f>IFERROR(__xludf.DUMMYFUNCTION("""COMPUTED_VALUE"""),0.11041666666642413)</f>
        <v>0.1104166667</v>
      </c>
    </row>
    <row r="1571">
      <c r="A1571" t="str">
        <f>IFERROR(__xludf.DUMMYFUNCTION("""COMPUTED_VALUE"""),"Italy")</f>
        <v>Italy</v>
      </c>
      <c r="B1571" t="str">
        <f>IFERROR(__xludf.DUMMYFUNCTION("""COMPUTED_VALUE"""),"Europe")</f>
        <v>Europe</v>
      </c>
      <c r="C1571">
        <f>IFERROR(__xludf.DUMMYFUNCTION("""COMPUTED_VALUE"""),20.0)</f>
        <v>20</v>
      </c>
      <c r="D1571" t="str">
        <f>IFERROR(__xludf.DUMMYFUNCTION("""COMPUTED_VALUE"""),"THE SCOTTS")</f>
        <v>THE SCOTTS</v>
      </c>
      <c r="E1571" t="str">
        <f>IFERROR(__xludf.DUMMYFUNCTION("""COMPUTED_VALUE"""),"THE SCOTTS, Travis Scott, Kid Cudi")</f>
        <v>THE SCOTTS, Travis Scott, Kid Cudi</v>
      </c>
      <c r="F1571" t="str">
        <f>IFERROR(__xludf.DUMMYFUNCTION("""COMPUTED_VALUE"""),"THE SCOTTS")</f>
        <v>THE SCOTTS</v>
      </c>
      <c r="G1571">
        <f>IFERROR(__xludf.DUMMYFUNCTION("""COMPUTED_VALUE"""),1.0)</f>
        <v>1</v>
      </c>
      <c r="H1571" s="5">
        <f>IFERROR(__xludf.DUMMYFUNCTION("""COMPUTED_VALUE"""),0.11458333333212067)</f>
        <v>0.1145833333</v>
      </c>
    </row>
    <row r="1572">
      <c r="A1572" t="str">
        <f>IFERROR(__xludf.DUMMYFUNCTION("""COMPUTED_VALUE"""),"Italy")</f>
        <v>Italy</v>
      </c>
      <c r="B1572" t="str">
        <f>IFERROR(__xludf.DUMMYFUNCTION("""COMPUTED_VALUE"""),"Europe")</f>
        <v>Europe</v>
      </c>
      <c r="C1572">
        <f>IFERROR(__xludf.DUMMYFUNCTION("""COMPUTED_VALUE"""),21.0)</f>
        <v>21</v>
      </c>
      <c r="D1572" t="str">
        <f>IFERROR(__xludf.DUMMYFUNCTION("""COMPUTED_VALUE"""),"Le Feste Di Pablo (con Fedez)")</f>
        <v>Le Feste Di Pablo (con Fedez)</v>
      </c>
      <c r="E1572" t="str">
        <f>IFERROR(__xludf.DUMMYFUNCTION("""COMPUTED_VALUE"""),"CARA, Fedez")</f>
        <v>CARA, Fedez</v>
      </c>
      <c r="F1572" t="str">
        <f>IFERROR(__xludf.DUMMYFUNCTION("""COMPUTED_VALUE"""),"Le Feste Di Pablo (con Fedez)")</f>
        <v>Le Feste Di Pablo (con Fedez)</v>
      </c>
      <c r="G1572">
        <f>IFERROR(__xludf.DUMMYFUNCTION("""COMPUTED_VALUE"""),0.0)</f>
        <v>0</v>
      </c>
      <c r="H1572" s="5">
        <f>IFERROR(__xludf.DUMMYFUNCTION("""COMPUTED_VALUE"""),0.13402777777810115)</f>
        <v>0.1340277778</v>
      </c>
    </row>
    <row r="1573">
      <c r="A1573" t="str">
        <f>IFERROR(__xludf.DUMMYFUNCTION("""COMPUTED_VALUE"""),"Italy")</f>
        <v>Italy</v>
      </c>
      <c r="B1573" t="str">
        <f>IFERROR(__xludf.DUMMYFUNCTION("""COMPUTED_VALUE"""),"Europe")</f>
        <v>Europe</v>
      </c>
      <c r="C1573">
        <f>IFERROR(__xludf.DUMMYFUNCTION("""COMPUTED_VALUE"""),22.0)</f>
        <v>22</v>
      </c>
      <c r="D1573" t="str">
        <f>IFERROR(__xludf.DUMMYFUNCTION("""COMPUTED_VALUE"""),"Per sentirmi vivo")</f>
        <v>Per sentirmi vivo</v>
      </c>
      <c r="E1573" t="str">
        <f>IFERROR(__xludf.DUMMYFUNCTION("""COMPUTED_VALUE"""),"Fasma, GG")</f>
        <v>Fasma, GG</v>
      </c>
      <c r="F1573" t="str">
        <f>IFERROR(__xludf.DUMMYFUNCTION("""COMPUTED_VALUE"""),"Io sono Fasma")</f>
        <v>Io sono Fasma</v>
      </c>
      <c r="G1573">
        <f>IFERROR(__xludf.DUMMYFUNCTION("""COMPUTED_VALUE"""),0.0)</f>
        <v>0</v>
      </c>
      <c r="H1573" s="5">
        <f>IFERROR(__xludf.DUMMYFUNCTION("""COMPUTED_VALUE"""),0.12291666666715173)</f>
        <v>0.1229166667</v>
      </c>
    </row>
    <row r="1574">
      <c r="A1574" t="str">
        <f>IFERROR(__xludf.DUMMYFUNCTION("""COMPUTED_VALUE"""),"Italy")</f>
        <v>Italy</v>
      </c>
      <c r="B1574" t="str">
        <f>IFERROR(__xludf.DUMMYFUNCTION("""COMPUTED_VALUE"""),"Europe")</f>
        <v>Europe</v>
      </c>
      <c r="C1574">
        <f>IFERROR(__xludf.DUMMYFUNCTION("""COMPUTED_VALUE"""),23.0)</f>
        <v>23</v>
      </c>
      <c r="D1574" t="str">
        <f>IFERROR(__xludf.DUMMYFUNCTION("""COMPUTED_VALUE"""),"ENJOY (feat. Tedua)")</f>
        <v>ENJOY (feat. Tedua)</v>
      </c>
      <c r="E1574" t="str">
        <f>IFERROR(__xludf.DUMMYFUNCTION("""COMPUTED_VALUE"""),"DrefGold, Tedua")</f>
        <v>DrefGold, Tedua</v>
      </c>
      <c r="F1574" t="str">
        <f>IFERROR(__xludf.DUMMYFUNCTION("""COMPUTED_VALUE"""),"ELO")</f>
        <v>ELO</v>
      </c>
      <c r="G1574">
        <f>IFERROR(__xludf.DUMMYFUNCTION("""COMPUTED_VALUE"""),1.0)</f>
        <v>1</v>
      </c>
      <c r="H1574" s="5">
        <f>IFERROR(__xludf.DUMMYFUNCTION("""COMPUTED_VALUE"""),0.12986111111240461)</f>
        <v>0.1298611111</v>
      </c>
    </row>
    <row r="1575">
      <c r="A1575" t="str">
        <f>IFERROR(__xludf.DUMMYFUNCTION("""COMPUTED_VALUE"""),"Italy")</f>
        <v>Italy</v>
      </c>
      <c r="B1575" t="str">
        <f>IFERROR(__xludf.DUMMYFUNCTION("""COMPUTED_VALUE"""),"Europe")</f>
        <v>Europe</v>
      </c>
      <c r="C1575">
        <f>IFERROR(__xludf.DUMMYFUNCTION("""COMPUTED_VALUE"""),24.0)</f>
        <v>24</v>
      </c>
      <c r="D1575" t="str">
        <f>IFERROR(__xludf.DUMMYFUNCTION("""COMPUTED_VALUE"""),"Moonlight Popolare (feat. Massimo Pericolo)")</f>
        <v>Moonlight Popolare (feat. Massimo Pericolo)</v>
      </c>
      <c r="E1575" t="str">
        <f>IFERROR(__xludf.DUMMYFUNCTION("""COMPUTED_VALUE"""),"Mahmood, Massimo Pericolo")</f>
        <v>Mahmood, Massimo Pericolo</v>
      </c>
      <c r="F1575" t="str">
        <f>IFERROR(__xludf.DUMMYFUNCTION("""COMPUTED_VALUE"""),"Moonlight Popolare (feat. Massimo Pericolo)")</f>
        <v>Moonlight Popolare (feat. Massimo Pericolo)</v>
      </c>
      <c r="G1575">
        <f>IFERROR(__xludf.DUMMYFUNCTION("""COMPUTED_VALUE"""),0.0)</f>
        <v>0</v>
      </c>
      <c r="H1575" s="5">
        <f>IFERROR(__xludf.DUMMYFUNCTION("""COMPUTED_VALUE"""),0.14930555555474712)</f>
        <v>0.1493055556</v>
      </c>
    </row>
    <row r="1576">
      <c r="A1576" t="str">
        <f>IFERROR(__xludf.DUMMYFUNCTION("""COMPUTED_VALUE"""),"Italy")</f>
        <v>Italy</v>
      </c>
      <c r="B1576" t="str">
        <f>IFERROR(__xludf.DUMMYFUNCTION("""COMPUTED_VALUE"""),"Europe")</f>
        <v>Europe</v>
      </c>
      <c r="C1576">
        <f>IFERROR(__xludf.DUMMYFUNCTION("""COMPUTED_VALUE"""),25.0)</f>
        <v>25</v>
      </c>
      <c r="D1576" t="str">
        <f>IFERROR(__xludf.DUMMYFUNCTION("""COMPUTED_VALUE"""),"Una volta ancora (feat. Ana Mena)")</f>
        <v>Una volta ancora (feat. Ana Mena)</v>
      </c>
      <c r="E1576" t="str">
        <f>IFERROR(__xludf.DUMMYFUNCTION("""COMPUTED_VALUE"""),"Fred De Palma, Ana Mena")</f>
        <v>Fred De Palma, Ana Mena</v>
      </c>
      <c r="F1576" t="str">
        <f>IFERROR(__xludf.DUMMYFUNCTION("""COMPUTED_VALUE"""),"Uebe")</f>
        <v>Uebe</v>
      </c>
      <c r="G1576">
        <f>IFERROR(__xludf.DUMMYFUNCTION("""COMPUTED_VALUE"""),0.0)</f>
        <v>0</v>
      </c>
      <c r="H1576" s="5">
        <f>IFERROR(__xludf.DUMMYFUNCTION("""COMPUTED_VALUE"""),0.12083333333430346)</f>
        <v>0.1208333333</v>
      </c>
    </row>
    <row r="1577">
      <c r="A1577" t="str">
        <f>IFERROR(__xludf.DUMMYFUNCTION("""COMPUTED_VALUE"""),"Italy")</f>
        <v>Italy</v>
      </c>
      <c r="B1577" t="str">
        <f>IFERROR(__xludf.DUMMYFUNCTION("""COMPUTED_VALUE"""),"Europe")</f>
        <v>Europe</v>
      </c>
      <c r="C1577">
        <f>IFERROR(__xludf.DUMMYFUNCTION("""COMPUTED_VALUE"""),26.0)</f>
        <v>26</v>
      </c>
      <c r="D1577" t="str">
        <f>IFERROR(__xludf.DUMMYFUNCTION("""COMPUTED_VALUE"""),"Dilemme (with tha Supreme &amp; Mara Sattei)")</f>
        <v>Dilemme (with tha Supreme &amp; Mara Sattei)</v>
      </c>
      <c r="E1577" t="str">
        <f>IFERROR(__xludf.DUMMYFUNCTION("""COMPUTED_VALUE"""),"Lous and The Yakuza, tha Supreme, Mara Sattei")</f>
        <v>Lous and The Yakuza, tha Supreme, Mara Sattei</v>
      </c>
      <c r="F1577" t="str">
        <f>IFERROR(__xludf.DUMMYFUNCTION("""COMPUTED_VALUE"""),"Dilemme (with tha Supreme &amp; Mara Sattei)")</f>
        <v>Dilemme (with tha Supreme &amp; Mara Sattei)</v>
      </c>
      <c r="G1577">
        <f>IFERROR(__xludf.DUMMYFUNCTION("""COMPUTED_VALUE"""),0.0)</f>
        <v>0</v>
      </c>
      <c r="H1577" s="5">
        <f>IFERROR(__xludf.DUMMYFUNCTION("""COMPUTED_VALUE"""),0.16041666666569654)</f>
        <v>0.1604166667</v>
      </c>
    </row>
    <row r="1578">
      <c r="A1578" t="str">
        <f>IFERROR(__xludf.DUMMYFUNCTION("""COMPUTED_VALUE"""),"Italy")</f>
        <v>Italy</v>
      </c>
      <c r="B1578" t="str">
        <f>IFERROR(__xludf.DUMMYFUNCTION("""COMPUTED_VALUE"""),"Europe")</f>
        <v>Europe</v>
      </c>
      <c r="C1578">
        <f>IFERROR(__xludf.DUMMYFUNCTION("""COMPUTED_VALUE"""),27.0)</f>
        <v>27</v>
      </c>
      <c r="D1578" t="str">
        <f>IFERROR(__xludf.DUMMYFUNCTION("""COMPUTED_VALUE"""),"Rapide")</f>
        <v>Rapide</v>
      </c>
      <c r="E1578" t="str">
        <f>IFERROR(__xludf.DUMMYFUNCTION("""COMPUTED_VALUE"""),"Mahmood")</f>
        <v>Mahmood</v>
      </c>
      <c r="F1578" t="str">
        <f>IFERROR(__xludf.DUMMYFUNCTION("""COMPUTED_VALUE"""),"Rapide")</f>
        <v>Rapide</v>
      </c>
      <c r="G1578">
        <f>IFERROR(__xludf.DUMMYFUNCTION("""COMPUTED_VALUE"""),0.0)</f>
        <v>0</v>
      </c>
      <c r="H1578" s="5">
        <f>IFERROR(__xludf.DUMMYFUNCTION("""COMPUTED_VALUE"""),0.1687500000007276)</f>
        <v>0.16875</v>
      </c>
    </row>
    <row r="1579">
      <c r="A1579" t="str">
        <f>IFERROR(__xludf.DUMMYFUNCTION("""COMPUTED_VALUE"""),"Italy")</f>
        <v>Italy</v>
      </c>
      <c r="B1579" t="str">
        <f>IFERROR(__xludf.DUMMYFUNCTION("""COMPUTED_VALUE"""),"Europe")</f>
        <v>Europe</v>
      </c>
      <c r="C1579">
        <f>IFERROR(__xludf.DUMMYFUNCTION("""COMPUTED_VALUE"""),28.0)</f>
        <v>28</v>
      </c>
      <c r="D1579" t="str">
        <f>IFERROR(__xludf.DUMMYFUNCTION("""COMPUTED_VALUE"""),"blun7 a swishland")</f>
        <v>blun7 a swishland</v>
      </c>
      <c r="E1579" t="str">
        <f>IFERROR(__xludf.DUMMYFUNCTION("""COMPUTED_VALUE"""),"tha Supreme")</f>
        <v>tha Supreme</v>
      </c>
      <c r="F1579" t="str">
        <f>IFERROR(__xludf.DUMMYFUNCTION("""COMPUTED_VALUE"""),"23 6451")</f>
        <v>23 6451</v>
      </c>
      <c r="G1579">
        <f>IFERROR(__xludf.DUMMYFUNCTION("""COMPUTED_VALUE"""),1.0)</f>
        <v>1</v>
      </c>
      <c r="H1579" s="5">
        <f>IFERROR(__xludf.DUMMYFUNCTION("""COMPUTED_VALUE"""),0.11597222222189885)</f>
        <v>0.1159722222</v>
      </c>
    </row>
    <row r="1580">
      <c r="A1580" t="str">
        <f>IFERROR(__xludf.DUMMYFUNCTION("""COMPUTED_VALUE"""),"Italy")</f>
        <v>Italy</v>
      </c>
      <c r="B1580" t="str">
        <f>IFERROR(__xludf.DUMMYFUNCTION("""COMPUTED_VALUE"""),"Europe")</f>
        <v>Europe</v>
      </c>
      <c r="C1580">
        <f>IFERROR(__xludf.DUMMYFUNCTION("""COMPUTED_VALUE"""),29.0)</f>
        <v>29</v>
      </c>
      <c r="D1580" t="str">
        <f>IFERROR(__xludf.DUMMYFUNCTION("""COMPUTED_VALUE"""),"PUSSY (feat. Lazza &amp; Salmo)")</f>
        <v>PUSSY (feat. Lazza &amp; Salmo)</v>
      </c>
      <c r="E1580" t="str">
        <f>IFERROR(__xludf.DUMMYFUNCTION("""COMPUTED_VALUE"""),"Dark Polo Gang, Tony Effe, Lazza, Salmo")</f>
        <v>Dark Polo Gang, Tony Effe, Lazza, Salmo</v>
      </c>
      <c r="F1580" t="str">
        <f>IFERROR(__xludf.DUMMYFUNCTION("""COMPUTED_VALUE"""),"DARK BOYS CLUB")</f>
        <v>DARK BOYS CLUB</v>
      </c>
      <c r="G1580">
        <f>IFERROR(__xludf.DUMMYFUNCTION("""COMPUTED_VALUE"""),1.0)</f>
        <v>1</v>
      </c>
      <c r="H1580" s="5">
        <f>IFERROR(__xludf.DUMMYFUNCTION("""COMPUTED_VALUE"""),0.11180555555620231)</f>
        <v>0.1118055556</v>
      </c>
    </row>
    <row r="1581">
      <c r="A1581" t="str">
        <f>IFERROR(__xludf.DUMMYFUNCTION("""COMPUTED_VALUE"""),"Italy")</f>
        <v>Italy</v>
      </c>
      <c r="B1581" t="str">
        <f>IFERROR(__xludf.DUMMYFUNCTION("""COMPUTED_VALUE"""),"Europe")</f>
        <v>Europe</v>
      </c>
      <c r="C1581">
        <f>IFERROR(__xludf.DUMMYFUNCTION("""COMPUTED_VALUE"""),30.0)</f>
        <v>30</v>
      </c>
      <c r="D1581" t="str">
        <f>IFERROR(__xludf.DUMMYFUNCTION("""COMPUTED_VALUE"""),"Toosie Slide")</f>
        <v>Toosie Slide</v>
      </c>
      <c r="E1581" t="str">
        <f>IFERROR(__xludf.DUMMYFUNCTION("""COMPUTED_VALUE"""),"Drake")</f>
        <v>Drake</v>
      </c>
      <c r="F1581" t="str">
        <f>IFERROR(__xludf.DUMMYFUNCTION("""COMPUTED_VALUE"""),"Dark Lane Demo Tapes")</f>
        <v>Dark Lane Demo Tapes</v>
      </c>
      <c r="G1581">
        <f>IFERROR(__xludf.DUMMYFUNCTION("""COMPUTED_VALUE"""),1.0)</f>
        <v>1</v>
      </c>
      <c r="H1581" s="5">
        <f>IFERROR(__xludf.DUMMYFUNCTION("""COMPUTED_VALUE"""),0.17152777777664596)</f>
        <v>0.1715277778</v>
      </c>
    </row>
    <row r="1582">
      <c r="A1582" t="str">
        <f>IFERROR(__xludf.DUMMYFUNCTION("""COMPUTED_VALUE"""),"Italy")</f>
        <v>Italy</v>
      </c>
      <c r="B1582" t="str">
        <f>IFERROR(__xludf.DUMMYFUNCTION("""COMPUTED_VALUE"""),"Europe")</f>
        <v>Europe</v>
      </c>
      <c r="C1582">
        <f>IFERROR(__xludf.DUMMYFUNCTION("""COMPUTED_VALUE"""),31.0)</f>
        <v>31</v>
      </c>
      <c r="D1582" t="str">
        <f>IFERROR(__xludf.DUMMYFUNCTION("""COMPUTED_VALUE"""),"AMIRI BOYS (feat. Capo Plaza)")</f>
        <v>AMIRI BOYS (feat. Capo Plaza)</v>
      </c>
      <c r="E1582" t="str">
        <f>IFERROR(__xludf.DUMMYFUNCTION("""COMPUTED_VALUE"""),"Dark Polo Gang, Tony Effe, Capo Plaza")</f>
        <v>Dark Polo Gang, Tony Effe, Capo Plaza</v>
      </c>
      <c r="F1582" t="str">
        <f>IFERROR(__xludf.DUMMYFUNCTION("""COMPUTED_VALUE"""),"DARK BOYS CLUB")</f>
        <v>DARK BOYS CLUB</v>
      </c>
      <c r="G1582">
        <f>IFERROR(__xludf.DUMMYFUNCTION("""COMPUTED_VALUE"""),1.0)</f>
        <v>1</v>
      </c>
      <c r="H1582" s="5">
        <f>IFERROR(__xludf.DUMMYFUNCTION("""COMPUTED_VALUE"""),0.10763888889050577)</f>
        <v>0.1076388889</v>
      </c>
    </row>
    <row r="1583">
      <c r="A1583" t="str">
        <f>IFERROR(__xludf.DUMMYFUNCTION("""COMPUTED_VALUE"""),"Italy")</f>
        <v>Italy</v>
      </c>
      <c r="B1583" t="str">
        <f>IFERROR(__xludf.DUMMYFUNCTION("""COMPUTED_VALUE"""),"Europe")</f>
        <v>Europe</v>
      </c>
      <c r="C1583">
        <f>IFERROR(__xludf.DUMMYFUNCTION("""COMPUTED_VALUE"""),32.0)</f>
        <v>32</v>
      </c>
      <c r="D1583" t="str">
        <f>IFERROR(__xludf.DUMMYFUNCTION("""COMPUTED_VALUE"""),"SNITCH E IMPICCI (feat. FSK SATELLITE)")</f>
        <v>SNITCH E IMPICCI (feat. FSK SATELLITE)</v>
      </c>
      <c r="E1583" t="str">
        <f>IFERROR(__xludf.DUMMYFUNCTION("""COMPUTED_VALUE"""),"DrefGold, FSK SATELLITE")</f>
        <v>DrefGold, FSK SATELLITE</v>
      </c>
      <c r="F1583" t="str">
        <f>IFERROR(__xludf.DUMMYFUNCTION("""COMPUTED_VALUE"""),"ELO")</f>
        <v>ELO</v>
      </c>
      <c r="G1583">
        <f>IFERROR(__xludf.DUMMYFUNCTION("""COMPUTED_VALUE"""),1.0)</f>
        <v>1</v>
      </c>
      <c r="H1583" s="5">
        <f>IFERROR(__xludf.DUMMYFUNCTION("""COMPUTED_VALUE"""),0.14027777777664596)</f>
        <v>0.1402777778</v>
      </c>
    </row>
    <row r="1584">
      <c r="A1584" t="str">
        <f>IFERROR(__xludf.DUMMYFUNCTION("""COMPUTED_VALUE"""),"Italy")</f>
        <v>Italy</v>
      </c>
      <c r="B1584" t="str">
        <f>IFERROR(__xludf.DUMMYFUNCTION("""COMPUTED_VALUE"""),"Europe")</f>
        <v>Europe</v>
      </c>
      <c r="C1584">
        <f>IFERROR(__xludf.DUMMYFUNCTION("""COMPUTED_VALUE"""),33.0)</f>
        <v>33</v>
      </c>
      <c r="D1584" t="str">
        <f>IFERROR(__xludf.DUMMYFUNCTION("""COMPUTED_VALUE"""),"Bando")</f>
        <v>Bando</v>
      </c>
      <c r="E1584" t="str">
        <f>IFERROR(__xludf.DUMMYFUNCTION("""COMPUTED_VALUE"""),"ANNA")</f>
        <v>ANNA</v>
      </c>
      <c r="F1584" t="str">
        <f>IFERROR(__xludf.DUMMYFUNCTION("""COMPUTED_VALUE"""),"Bando")</f>
        <v>Bando</v>
      </c>
      <c r="G1584">
        <f>IFERROR(__xludf.DUMMYFUNCTION("""COMPUTED_VALUE"""),0.0)</f>
        <v>0</v>
      </c>
      <c r="H1584" s="5">
        <f>IFERROR(__xludf.DUMMYFUNCTION("""COMPUTED_VALUE"""),0.11666666666496894)</f>
        <v>0.1166666667</v>
      </c>
    </row>
    <row r="1585">
      <c r="A1585" t="str">
        <f>IFERROR(__xludf.DUMMYFUNCTION("""COMPUTED_VALUE"""),"Italy")</f>
        <v>Italy</v>
      </c>
      <c r="B1585" t="str">
        <f>IFERROR(__xludf.DUMMYFUNCTION("""COMPUTED_VALUE"""),"Europe")</f>
        <v>Europe</v>
      </c>
      <c r="C1585">
        <f>IFERROR(__xludf.DUMMYFUNCTION("""COMPUTED_VALUE"""),34.0)</f>
        <v>34</v>
      </c>
      <c r="D1585" t="str">
        <f>IFERROR(__xludf.DUMMYFUNCTION("""COMPUTED_VALUE"""),"Missili")</f>
        <v>Missili</v>
      </c>
      <c r="E1585" t="str">
        <f>IFERROR(__xludf.DUMMYFUNCTION("""COMPUTED_VALUE"""),"Frah Quintale, Giorgio Poi")</f>
        <v>Frah Quintale, Giorgio Poi</v>
      </c>
      <c r="F1585" t="str">
        <f>IFERROR(__xludf.DUMMYFUNCTION("""COMPUTED_VALUE"""),"Lungolinea.")</f>
        <v>Lungolinea.</v>
      </c>
      <c r="G1585">
        <f>IFERROR(__xludf.DUMMYFUNCTION("""COMPUTED_VALUE"""),0.0)</f>
        <v>0</v>
      </c>
      <c r="H1585" s="5">
        <f>IFERROR(__xludf.DUMMYFUNCTION("""COMPUTED_VALUE"""),0.13541666666787933)</f>
        <v>0.1354166667</v>
      </c>
    </row>
    <row r="1586">
      <c r="A1586" t="str">
        <f>IFERROR(__xludf.DUMMYFUNCTION("""COMPUTED_VALUE"""),"Italy")</f>
        <v>Italy</v>
      </c>
      <c r="B1586" t="str">
        <f>IFERROR(__xludf.DUMMYFUNCTION("""COMPUTED_VALUE"""),"Europe")</f>
        <v>Europe</v>
      </c>
      <c r="C1586">
        <f>IFERROR(__xludf.DUMMYFUNCTION("""COMPUTED_VALUE"""),35.0)</f>
        <v>35</v>
      </c>
      <c r="D1586" t="str">
        <f>IFERROR(__xludf.DUMMYFUNCTION("""COMPUTED_VALUE"""),"ROCKSTAR (feat. Roddy Ricch)")</f>
        <v>ROCKSTAR (feat. Roddy Ricch)</v>
      </c>
      <c r="E1586" t="str">
        <f>IFERROR(__xludf.DUMMYFUNCTION("""COMPUTED_VALUE"""),"DaBaby, Roddy Ricch")</f>
        <v>DaBaby, Roddy Ricch</v>
      </c>
      <c r="F1586" t="str">
        <f>IFERROR(__xludf.DUMMYFUNCTION("""COMPUTED_VALUE"""),"BLAME IT ON BABY")</f>
        <v>BLAME IT ON BABY</v>
      </c>
      <c r="G1586">
        <f>IFERROR(__xludf.DUMMYFUNCTION("""COMPUTED_VALUE"""),1.0)</f>
        <v>1</v>
      </c>
      <c r="H1586" s="5">
        <f>IFERROR(__xludf.DUMMYFUNCTION("""COMPUTED_VALUE"""),0.1256944444430701)</f>
        <v>0.1256944444</v>
      </c>
    </row>
    <row r="1587">
      <c r="A1587" t="str">
        <f>IFERROR(__xludf.DUMMYFUNCTION("""COMPUTED_VALUE"""),"Italy")</f>
        <v>Italy</v>
      </c>
      <c r="B1587" t="str">
        <f>IFERROR(__xludf.DUMMYFUNCTION("""COMPUTED_VALUE"""),"Europe")</f>
        <v>Europe</v>
      </c>
      <c r="C1587">
        <f>IFERROR(__xludf.DUMMYFUNCTION("""COMPUTED_VALUE"""),36.0)</f>
        <v>36</v>
      </c>
      <c r="D1587" t="str">
        <f>IFERROR(__xludf.DUMMYFUNCTION("""COMPUTED_VALUE"""),"Boss Bitch")</f>
        <v>Boss Bitch</v>
      </c>
      <c r="E1587" t="str">
        <f>IFERROR(__xludf.DUMMYFUNCTION("""COMPUTED_VALUE"""),"Doja Cat")</f>
        <v>Doja Cat</v>
      </c>
      <c r="F1587" t="str">
        <f>IFERROR(__xludf.DUMMYFUNCTION("""COMPUTED_VALUE"""),"Boss Bitch")</f>
        <v>Boss Bitch</v>
      </c>
      <c r="G1587">
        <f>IFERROR(__xludf.DUMMYFUNCTION("""COMPUTED_VALUE"""),0.0)</f>
        <v>0</v>
      </c>
      <c r="H1587" s="5">
        <f>IFERROR(__xludf.DUMMYFUNCTION("""COMPUTED_VALUE"""),0.0930555555569299)</f>
        <v>0.09305555556</v>
      </c>
    </row>
    <row r="1588">
      <c r="A1588" t="str">
        <f>IFERROR(__xludf.DUMMYFUNCTION("""COMPUTED_VALUE"""),"Italy")</f>
        <v>Italy</v>
      </c>
      <c r="B1588" t="str">
        <f>IFERROR(__xludf.DUMMYFUNCTION("""COMPUTED_VALUE"""),"Europe")</f>
        <v>Europe</v>
      </c>
      <c r="C1588">
        <f>IFERROR(__xludf.DUMMYFUNCTION("""COMPUTED_VALUE"""),37.0)</f>
        <v>37</v>
      </c>
      <c r="D1588" t="str">
        <f>IFERROR(__xludf.DUMMYFUNCTION("""COMPUTED_VALUE"""),"goosebumps")</f>
        <v>goosebumps</v>
      </c>
      <c r="E1588" t="str">
        <f>IFERROR(__xludf.DUMMYFUNCTION("""COMPUTED_VALUE"""),"Travis Scott")</f>
        <v>Travis Scott</v>
      </c>
      <c r="F1588" t="str">
        <f>IFERROR(__xludf.DUMMYFUNCTION("""COMPUTED_VALUE"""),"Birds In The Trap Sing McKnight")</f>
        <v>Birds In The Trap Sing McKnight</v>
      </c>
      <c r="G1588">
        <f>IFERROR(__xludf.DUMMYFUNCTION("""COMPUTED_VALUE"""),1.0)</f>
        <v>1</v>
      </c>
      <c r="H1588" s="5">
        <f>IFERROR(__xludf.DUMMYFUNCTION("""COMPUTED_VALUE"""),0.1687500000007276)</f>
        <v>0.16875</v>
      </c>
    </row>
    <row r="1589">
      <c r="A1589" t="str">
        <f>IFERROR(__xludf.DUMMYFUNCTION("""COMPUTED_VALUE"""),"Italy")</f>
        <v>Italy</v>
      </c>
      <c r="B1589" t="str">
        <f>IFERROR(__xludf.DUMMYFUNCTION("""COMPUTED_VALUE"""),"Europe")</f>
        <v>Europe</v>
      </c>
      <c r="C1589">
        <f>IFERROR(__xludf.DUMMYFUNCTION("""COMPUTED_VALUE"""),38.0)</f>
        <v>38</v>
      </c>
      <c r="D1589" t="str">
        <f>IFERROR(__xludf.DUMMYFUNCTION("""COMPUTED_VALUE"""),"Chiasso")</f>
        <v>Chiasso</v>
      </c>
      <c r="E1589" t="str">
        <f>IFERROR(__xludf.DUMMYFUNCTION("""COMPUTED_VALUE"""),"Random")</f>
        <v>Random</v>
      </c>
      <c r="F1589" t="str">
        <f>IFERROR(__xludf.DUMMYFUNCTION("""COMPUTED_VALUE"""),"Chiasso")</f>
        <v>Chiasso</v>
      </c>
      <c r="G1589">
        <f>IFERROR(__xludf.DUMMYFUNCTION("""COMPUTED_VALUE"""),0.0)</f>
        <v>0</v>
      </c>
      <c r="H1589" s="5">
        <f>IFERROR(__xludf.DUMMYFUNCTION("""COMPUTED_VALUE"""),0.12638888888977817)</f>
        <v>0.1263888889</v>
      </c>
    </row>
    <row r="1590">
      <c r="A1590" t="str">
        <f>IFERROR(__xludf.DUMMYFUNCTION("""COMPUTED_VALUE"""),"Italy")</f>
        <v>Italy</v>
      </c>
      <c r="B1590" t="str">
        <f>IFERROR(__xludf.DUMMYFUNCTION("""COMPUTED_VALUE"""),"Europe")</f>
        <v>Europe</v>
      </c>
      <c r="C1590">
        <f>IFERROR(__xludf.DUMMYFUNCTION("""COMPUTED_VALUE"""),39.0)</f>
        <v>39</v>
      </c>
      <c r="D1590" t="str">
        <f>IFERROR(__xludf.DUMMYFUNCTION("""COMPUTED_VALUE"""),"Ringo Starr")</f>
        <v>Ringo Starr</v>
      </c>
      <c r="E1590" t="str">
        <f>IFERROR(__xludf.DUMMYFUNCTION("""COMPUTED_VALUE"""),"Pinguini Tattici Nucleari")</f>
        <v>Pinguini Tattici Nucleari</v>
      </c>
      <c r="F1590" t="str">
        <f>IFERROR(__xludf.DUMMYFUNCTION("""COMPUTED_VALUE"""),"Fuori dall'Hype Ringo Starr")</f>
        <v>Fuori dall'Hype Ringo Starr</v>
      </c>
      <c r="G1590">
        <f>IFERROR(__xludf.DUMMYFUNCTION("""COMPUTED_VALUE"""),0.0)</f>
        <v>0</v>
      </c>
      <c r="H1590" s="5">
        <f>IFERROR(__xludf.DUMMYFUNCTION("""COMPUTED_VALUE"""),0.12708333333284827)</f>
        <v>0.1270833333</v>
      </c>
    </row>
    <row r="1591">
      <c r="A1591" t="str">
        <f>IFERROR(__xludf.DUMMYFUNCTION("""COMPUTED_VALUE"""),"Italy")</f>
        <v>Italy</v>
      </c>
      <c r="B1591" t="str">
        <f>IFERROR(__xludf.DUMMYFUNCTION("""COMPUTED_VALUE"""),"Europe")</f>
        <v>Europe</v>
      </c>
      <c r="C1591">
        <f>IFERROR(__xludf.DUMMYFUNCTION("""COMPUTED_VALUE"""),40.0)</f>
        <v>40</v>
      </c>
      <c r="D1591" t="str">
        <f>IFERROR(__xludf.DUMMYFUNCTION("""COMPUTED_VALUE"""),"BANKROLL (feat. Luchè)")</f>
        <v>BANKROLL (feat. Luchè)</v>
      </c>
      <c r="E1591" t="str">
        <f>IFERROR(__xludf.DUMMYFUNCTION("""COMPUTED_VALUE"""),"DrefGold, Luche")</f>
        <v>DrefGold, Luche</v>
      </c>
      <c r="F1591" t="str">
        <f>IFERROR(__xludf.DUMMYFUNCTION("""COMPUTED_VALUE"""),"ELO")</f>
        <v>ELO</v>
      </c>
      <c r="G1591">
        <f>IFERROR(__xludf.DUMMYFUNCTION("""COMPUTED_VALUE"""),1.0)</f>
        <v>1</v>
      </c>
      <c r="H1591" s="5">
        <f>IFERROR(__xludf.DUMMYFUNCTION("""COMPUTED_VALUE"""),0.11527777777882875)</f>
        <v>0.1152777778</v>
      </c>
    </row>
    <row r="1592">
      <c r="A1592" t="str">
        <f>IFERROR(__xludf.DUMMYFUNCTION("""COMPUTED_VALUE"""),"Italy")</f>
        <v>Italy</v>
      </c>
      <c r="B1592" t="str">
        <f>IFERROR(__xludf.DUMMYFUNCTION("""COMPUTED_VALUE"""),"Europe")</f>
        <v>Europe</v>
      </c>
      <c r="C1592">
        <f>IFERROR(__xludf.DUMMYFUNCTION("""COMPUTED_VALUE"""),41.0)</f>
        <v>41</v>
      </c>
      <c r="D1592" t="str">
        <f>IFERROR(__xludf.DUMMYFUNCTION("""COMPUTED_VALUE"""),"SICKO MODE")</f>
        <v>SICKO MODE</v>
      </c>
      <c r="E1592" t="str">
        <f>IFERROR(__xludf.DUMMYFUNCTION("""COMPUTED_VALUE"""),"Travis Scott")</f>
        <v>Travis Scott</v>
      </c>
      <c r="F1592" t="str">
        <f>IFERROR(__xludf.DUMMYFUNCTION("""COMPUTED_VALUE"""),"ASTROWORLD")</f>
        <v>ASTROWORLD</v>
      </c>
      <c r="G1592">
        <f>IFERROR(__xludf.DUMMYFUNCTION("""COMPUTED_VALUE"""),1.0)</f>
        <v>1</v>
      </c>
      <c r="H1592" s="5">
        <f>IFERROR(__xludf.DUMMYFUNCTION("""COMPUTED_VALUE"""),0.21666666666715173)</f>
        <v>0.2166666667</v>
      </c>
    </row>
    <row r="1593">
      <c r="A1593" t="str">
        <f>IFERROR(__xludf.DUMMYFUNCTION("""COMPUTED_VALUE"""),"Italy")</f>
        <v>Italy</v>
      </c>
      <c r="B1593" t="str">
        <f>IFERROR(__xludf.DUMMYFUNCTION("""COMPUTED_VALUE"""),"Europe")</f>
        <v>Europe</v>
      </c>
      <c r="C1593">
        <f>IFERROR(__xludf.DUMMYFUNCTION("""COMPUTED_VALUE"""),42.0)</f>
        <v>42</v>
      </c>
      <c r="D1593" t="str">
        <f>IFERROR(__xludf.DUMMYFUNCTION("""COMPUTED_VALUE"""),"Rain On Me (with Ariana Grande)")</f>
        <v>Rain On Me (with Ariana Grande)</v>
      </c>
      <c r="E1593" t="str">
        <f>IFERROR(__xludf.DUMMYFUNCTION("""COMPUTED_VALUE"""),"Lady Gaga, Ariana Grande")</f>
        <v>Lady Gaga, Ariana Grande</v>
      </c>
      <c r="F1593" t="str">
        <f>IFERROR(__xludf.DUMMYFUNCTION("""COMPUTED_VALUE"""),"Rain On Me (with Ariana Grande)")</f>
        <v>Rain On Me (with Ariana Grande)</v>
      </c>
      <c r="G1593">
        <f>IFERROR(__xludf.DUMMYFUNCTION("""COMPUTED_VALUE"""),0.0)</f>
        <v>0</v>
      </c>
      <c r="H1593" s="5">
        <f>IFERROR(__xludf.DUMMYFUNCTION("""COMPUTED_VALUE"""),0.12638888888977817)</f>
        <v>0.1263888889</v>
      </c>
    </row>
    <row r="1594">
      <c r="A1594" t="str">
        <f>IFERROR(__xludf.DUMMYFUNCTION("""COMPUTED_VALUE"""),"Italy")</f>
        <v>Italy</v>
      </c>
      <c r="B1594" t="str">
        <f>IFERROR(__xludf.DUMMYFUNCTION("""COMPUTED_VALUE"""),"Europe")</f>
        <v>Europe</v>
      </c>
      <c r="C1594">
        <f>IFERROR(__xludf.DUMMYFUNCTION("""COMPUTED_VALUE"""),43.0)</f>
        <v>43</v>
      </c>
      <c r="D1594" t="str">
        <f>IFERROR(__xludf.DUMMYFUNCTION("""COMPUTED_VALUE"""),"16 Marzo (feat. Gow Tribe)")</f>
        <v>16 Marzo (feat. Gow Tribe)</v>
      </c>
      <c r="E1594" t="str">
        <f>IFERROR(__xludf.DUMMYFUNCTION("""COMPUTED_VALUE"""),"Achille Lauro, Gow Tribe")</f>
        <v>Achille Lauro, Gow Tribe</v>
      </c>
      <c r="F1594" t="str">
        <f>IFERROR(__xludf.DUMMYFUNCTION("""COMPUTED_VALUE"""),"16 Marzo (feat. Gow Tribe)")</f>
        <v>16 Marzo (feat. Gow Tribe)</v>
      </c>
      <c r="G1594">
        <f>IFERROR(__xludf.DUMMYFUNCTION("""COMPUTED_VALUE"""),0.0)</f>
        <v>0</v>
      </c>
      <c r="H1594" s="5">
        <f>IFERROR(__xludf.DUMMYFUNCTION("""COMPUTED_VALUE"""),0.1618055555554747)</f>
        <v>0.1618055556</v>
      </c>
    </row>
    <row r="1595">
      <c r="A1595" t="str">
        <f>IFERROR(__xludf.DUMMYFUNCTION("""COMPUTED_VALUE"""),"Italy")</f>
        <v>Italy</v>
      </c>
      <c r="B1595" t="str">
        <f>IFERROR(__xludf.DUMMYFUNCTION("""COMPUTED_VALUE"""),"Europe")</f>
        <v>Europe</v>
      </c>
      <c r="C1595">
        <f>IFERROR(__xludf.DUMMYFUNCTION("""COMPUTED_VALUE"""),44.0)</f>
        <v>44</v>
      </c>
      <c r="D1595" t="str">
        <f>IFERROR(__xludf.DUMMYFUNCTION("""COMPUTED_VALUE"""),"Musica (E Il Resto Scompare)")</f>
        <v>Musica (E Il Resto Scompare)</v>
      </c>
      <c r="E1595" t="str">
        <f>IFERROR(__xludf.DUMMYFUNCTION("""COMPUTED_VALUE"""),"Elettra Lamborghini")</f>
        <v>Elettra Lamborghini</v>
      </c>
      <c r="F1595" t="str">
        <f>IFERROR(__xludf.DUMMYFUNCTION("""COMPUTED_VALUE"""),"Twerking Queen")</f>
        <v>Twerking Queen</v>
      </c>
      <c r="G1595">
        <f>IFERROR(__xludf.DUMMYFUNCTION("""COMPUTED_VALUE"""),0.0)</f>
        <v>0</v>
      </c>
      <c r="H1595" s="5">
        <f>IFERROR(__xludf.DUMMYFUNCTION("""COMPUTED_VALUE"""),0.13472222222117125)</f>
        <v>0.1347222222</v>
      </c>
    </row>
    <row r="1596">
      <c r="A1596" t="str">
        <f>IFERROR(__xludf.DUMMYFUNCTION("""COMPUTED_VALUE"""),"Italy")</f>
        <v>Italy</v>
      </c>
      <c r="B1596" t="str">
        <f>IFERROR(__xludf.DUMMYFUNCTION("""COMPUTED_VALUE"""),"Europe")</f>
        <v>Europe</v>
      </c>
      <c r="C1596">
        <f>IFERROR(__xludf.DUMMYFUNCTION("""COMPUTED_VALUE"""),45.0)</f>
        <v>45</v>
      </c>
      <c r="D1596" t="str">
        <f>IFERROR(__xludf.DUMMYFUNCTION("""COMPUTED_VALUE"""),"Ti volevo dedicare (feat. J-AX &amp; Boomdabash)")</f>
        <v>Ti volevo dedicare (feat. J-AX &amp; Boomdabash)</v>
      </c>
      <c r="E1596" t="str">
        <f>IFERROR(__xludf.DUMMYFUNCTION("""COMPUTED_VALUE"""),"Rocco Hunt, J-AX, Boomdabash")</f>
        <v>Rocco Hunt, J-AX, Boomdabash</v>
      </c>
      <c r="F1596" t="str">
        <f>IFERROR(__xludf.DUMMYFUNCTION("""COMPUTED_VALUE"""),"Libertà")</f>
        <v>Libertà</v>
      </c>
      <c r="G1596">
        <f>IFERROR(__xludf.DUMMYFUNCTION("""COMPUTED_VALUE"""),0.0)</f>
        <v>0</v>
      </c>
      <c r="H1596" s="5">
        <f>IFERROR(__xludf.DUMMYFUNCTION("""COMPUTED_VALUE"""),0.14444444444598048)</f>
        <v>0.1444444444</v>
      </c>
    </row>
    <row r="1597">
      <c r="A1597" t="str">
        <f>IFERROR(__xludf.DUMMYFUNCTION("""COMPUTED_VALUE"""),"Italy")</f>
        <v>Italy</v>
      </c>
      <c r="B1597" t="str">
        <f>IFERROR(__xludf.DUMMYFUNCTION("""COMPUTED_VALUE"""),"Europe")</f>
        <v>Europe</v>
      </c>
      <c r="C1597">
        <f>IFERROR(__xludf.DUMMYFUNCTION("""COMPUTED_VALUE"""),46.0)</f>
        <v>46</v>
      </c>
      <c r="D1597" t="str">
        <f>IFERROR(__xludf.DUMMYFUNCTION("""COMPUTED_VALUE"""),"ZERO+ZERO (feat. Lazza)")</f>
        <v>ZERO+ZERO (feat. Lazza)</v>
      </c>
      <c r="E1597" t="str">
        <f>IFERROR(__xludf.DUMMYFUNCTION("""COMPUTED_VALUE"""),"DrefGold, Lazza")</f>
        <v>DrefGold, Lazza</v>
      </c>
      <c r="F1597" t="str">
        <f>IFERROR(__xludf.DUMMYFUNCTION("""COMPUTED_VALUE"""),"ELO")</f>
        <v>ELO</v>
      </c>
      <c r="G1597">
        <f>IFERROR(__xludf.DUMMYFUNCTION("""COMPUTED_VALUE"""),1.0)</f>
        <v>1</v>
      </c>
      <c r="H1597" s="5">
        <f>IFERROR(__xludf.DUMMYFUNCTION("""COMPUTED_VALUE"""),0.10416666666787933)</f>
        <v>0.1041666667</v>
      </c>
    </row>
    <row r="1598">
      <c r="A1598" t="str">
        <f>IFERROR(__xludf.DUMMYFUNCTION("""COMPUTED_VALUE"""),"Italy")</f>
        <v>Italy</v>
      </c>
      <c r="B1598" t="str">
        <f>IFERROR(__xludf.DUMMYFUNCTION("""COMPUTED_VALUE"""),"Europe")</f>
        <v>Europe</v>
      </c>
      <c r="C1598">
        <f>IFERROR(__xludf.DUMMYFUNCTION("""COMPUTED_VALUE"""),47.0)</f>
        <v>47</v>
      </c>
      <c r="D1598" t="str">
        <f>IFERROR(__xludf.DUMMYFUNCTION("""COMPUTED_VALUE"""),"Dance Monkey")</f>
        <v>Dance Monkey</v>
      </c>
      <c r="E1598" t="str">
        <f>IFERROR(__xludf.DUMMYFUNCTION("""COMPUTED_VALUE"""),"Tones And I")</f>
        <v>Tones And I</v>
      </c>
      <c r="F1598" t="str">
        <f>IFERROR(__xludf.DUMMYFUNCTION("""COMPUTED_VALUE"""),"Dance Monkey (Stripped Back) / Dance Monkey")</f>
        <v>Dance Monkey (Stripped Back) / Dance Monkey</v>
      </c>
      <c r="G1598">
        <f>IFERROR(__xludf.DUMMYFUNCTION("""COMPUTED_VALUE"""),0.0)</f>
        <v>0</v>
      </c>
      <c r="H1598" s="5">
        <f>IFERROR(__xludf.DUMMYFUNCTION("""COMPUTED_VALUE"""),0.14513888888905058)</f>
        <v>0.1451388889</v>
      </c>
    </row>
    <row r="1599">
      <c r="A1599" t="str">
        <f>IFERROR(__xludf.DUMMYFUNCTION("""COMPUTED_VALUE"""),"Italy")</f>
        <v>Italy</v>
      </c>
      <c r="B1599" t="str">
        <f>IFERROR(__xludf.DUMMYFUNCTION("""COMPUTED_VALUE"""),"Europe")</f>
        <v>Europe</v>
      </c>
      <c r="C1599">
        <f>IFERROR(__xludf.DUMMYFUNCTION("""COMPUTED_VALUE"""),48.0)</f>
        <v>48</v>
      </c>
      <c r="D1599" t="str">
        <f>IFERROR(__xludf.DUMMYFUNCTION("""COMPUTED_VALUE"""),"Sono un bravo ragazzo un po' fuori di testa")</f>
        <v>Sono un bravo ragazzo un po' fuori di testa</v>
      </c>
      <c r="E1599" t="str">
        <f>IFERROR(__xludf.DUMMYFUNCTION("""COMPUTED_VALUE"""),"Random")</f>
        <v>Random</v>
      </c>
      <c r="F1599" t="str">
        <f>IFERROR(__xludf.DUMMYFUNCTION("""COMPUTED_VALUE"""),"Sono un bravo ragazzo un po' fuori di testa")</f>
        <v>Sono un bravo ragazzo un po' fuori di testa</v>
      </c>
      <c r="G1599">
        <f>IFERROR(__xludf.DUMMYFUNCTION("""COMPUTED_VALUE"""),0.0)</f>
        <v>0</v>
      </c>
      <c r="H1599" s="5">
        <f>IFERROR(__xludf.DUMMYFUNCTION("""COMPUTED_VALUE"""),0.11805555555474712)</f>
        <v>0.1180555556</v>
      </c>
    </row>
    <row r="1600">
      <c r="A1600" t="str">
        <f>IFERROR(__xludf.DUMMYFUNCTION("""COMPUTED_VALUE"""),"Italy")</f>
        <v>Italy</v>
      </c>
      <c r="B1600" t="str">
        <f>IFERROR(__xludf.DUMMYFUNCTION("""COMPUTED_VALUE"""),"Europe")</f>
        <v>Europe</v>
      </c>
      <c r="C1600">
        <f>IFERROR(__xludf.DUMMYFUNCTION("""COMPUTED_VALUE"""),49.0)</f>
        <v>49</v>
      </c>
      <c r="D1600" t="str">
        <f>IFERROR(__xludf.DUMMYFUNCTION("""COMPUTED_VALUE"""),"El Efecto")</f>
        <v>El Efecto</v>
      </c>
      <c r="E1600" t="str">
        <f>IFERROR(__xludf.DUMMYFUNCTION("""COMPUTED_VALUE"""),"Rauw Alejandro, Chencho Corleone")</f>
        <v>Rauw Alejandro, Chencho Corleone</v>
      </c>
      <c r="F1600" t="str">
        <f>IFERROR(__xludf.DUMMYFUNCTION("""COMPUTED_VALUE"""),"El Efecto")</f>
        <v>El Efecto</v>
      </c>
      <c r="G1600">
        <f>IFERROR(__xludf.DUMMYFUNCTION("""COMPUTED_VALUE"""),0.0)</f>
        <v>0</v>
      </c>
      <c r="H1600" s="5">
        <f>IFERROR(__xludf.DUMMYFUNCTION("""COMPUTED_VALUE"""),0.1506944444445253)</f>
        <v>0.1506944444</v>
      </c>
    </row>
    <row r="1601">
      <c r="A1601" t="str">
        <f>IFERROR(__xludf.DUMMYFUNCTION("""COMPUTED_VALUE"""),"Italy")</f>
        <v>Italy</v>
      </c>
      <c r="B1601" t="str">
        <f>IFERROR(__xludf.DUMMYFUNCTION("""COMPUTED_VALUE"""),"Europe")</f>
        <v>Europe</v>
      </c>
      <c r="C1601">
        <f>IFERROR(__xludf.DUMMYFUNCTION("""COMPUTED_VALUE"""),50.0)</f>
        <v>50</v>
      </c>
      <c r="D1601" t="str">
        <f>IFERROR(__xludf.DUMMYFUNCTION("""COMPUTED_VALUE"""),"NEON - Le Ali (feat. Elisa)")</f>
        <v>NEON - Le Ali (feat. Elisa)</v>
      </c>
      <c r="E1601" t="str">
        <f>IFERROR(__xludf.DUMMYFUNCTION("""COMPUTED_VALUE"""),"Marracash, Elisa")</f>
        <v>Marracash, Elisa</v>
      </c>
      <c r="F1601" t="str">
        <f>IFERROR(__xludf.DUMMYFUNCTION("""COMPUTED_VALUE"""),"Persona")</f>
        <v>Persona</v>
      </c>
      <c r="G1601">
        <f>IFERROR(__xludf.DUMMYFUNCTION("""COMPUTED_VALUE"""),1.0)</f>
        <v>1</v>
      </c>
      <c r="H1601" s="5">
        <f>IFERROR(__xludf.DUMMYFUNCTION("""COMPUTED_VALUE"""),0.1437499999992724)</f>
        <v>0.14375</v>
      </c>
    </row>
    <row r="1602">
      <c r="A1602" t="str">
        <f>IFERROR(__xludf.DUMMYFUNCTION("""COMPUTED_VALUE"""),"Japan")</f>
        <v>Japan</v>
      </c>
      <c r="B1602" t="str">
        <f>IFERROR(__xludf.DUMMYFUNCTION("""COMPUTED_VALUE"""),"Asia")</f>
        <v>Asia</v>
      </c>
      <c r="C1602">
        <f>IFERROR(__xludf.DUMMYFUNCTION("""COMPUTED_VALUE"""),1.0)</f>
        <v>1</v>
      </c>
      <c r="D1602" t="str">
        <f>IFERROR(__xludf.DUMMYFUNCTION("""COMPUTED_VALUE"""),"夜に駆ける")</f>
        <v>夜に駆ける</v>
      </c>
      <c r="E1602" t="str">
        <f>IFERROR(__xludf.DUMMYFUNCTION("""COMPUTED_VALUE"""),"YOASOBI")</f>
        <v>YOASOBI</v>
      </c>
      <c r="F1602" t="str">
        <f>IFERROR(__xludf.DUMMYFUNCTION("""COMPUTED_VALUE"""),"夜に駆ける")</f>
        <v>夜に駆ける</v>
      </c>
      <c r="G1602">
        <f>IFERROR(__xludf.DUMMYFUNCTION("""COMPUTED_VALUE"""),0.0)</f>
        <v>0</v>
      </c>
      <c r="H1602" s="5">
        <f>IFERROR(__xludf.DUMMYFUNCTION("""COMPUTED_VALUE"""),0.1812500000014552)</f>
        <v>0.18125</v>
      </c>
    </row>
    <row r="1603">
      <c r="A1603" t="str">
        <f>IFERROR(__xludf.DUMMYFUNCTION("""COMPUTED_VALUE"""),"Japan")</f>
        <v>Japan</v>
      </c>
      <c r="B1603" t="str">
        <f>IFERROR(__xludf.DUMMYFUNCTION("""COMPUTED_VALUE"""),"Asia")</f>
        <v>Asia</v>
      </c>
      <c r="C1603">
        <f>IFERROR(__xludf.DUMMYFUNCTION("""COMPUTED_VALUE"""),2.0)</f>
        <v>2</v>
      </c>
      <c r="D1603" t="str">
        <f>IFERROR(__xludf.DUMMYFUNCTION("""COMPUTED_VALUE"""),"Pretender")</f>
        <v>Pretender</v>
      </c>
      <c r="E1603" t="str">
        <f>IFERROR(__xludf.DUMMYFUNCTION("""COMPUTED_VALUE"""),"Official HIGE DANdism")</f>
        <v>Official HIGE DANdism</v>
      </c>
      <c r="F1603" t="str">
        <f>IFERROR(__xludf.DUMMYFUNCTION("""COMPUTED_VALUE"""),"Traveler")</f>
        <v>Traveler</v>
      </c>
      <c r="G1603">
        <f>IFERROR(__xludf.DUMMYFUNCTION("""COMPUTED_VALUE"""),0.0)</f>
        <v>0</v>
      </c>
      <c r="H1603" s="5">
        <f>IFERROR(__xludf.DUMMYFUNCTION("""COMPUTED_VALUE"""),0.22638888888832298)</f>
        <v>0.2263888889</v>
      </c>
    </row>
    <row r="1604">
      <c r="A1604" t="str">
        <f>IFERROR(__xludf.DUMMYFUNCTION("""COMPUTED_VALUE"""),"Japan")</f>
        <v>Japan</v>
      </c>
      <c r="B1604" t="str">
        <f>IFERROR(__xludf.DUMMYFUNCTION("""COMPUTED_VALUE"""),"Asia")</f>
        <v>Asia</v>
      </c>
      <c r="C1604">
        <f>IFERROR(__xludf.DUMMYFUNCTION("""COMPUTED_VALUE"""),3.0)</f>
        <v>3</v>
      </c>
      <c r="D1604" t="str">
        <f>IFERROR(__xludf.DUMMYFUNCTION("""COMPUTED_VALUE"""),"kousui")</f>
        <v>kousui</v>
      </c>
      <c r="E1604" t="str">
        <f>IFERROR(__xludf.DUMMYFUNCTION("""COMPUTED_VALUE"""),"Eito")</f>
        <v>Eito</v>
      </c>
      <c r="F1604" t="str">
        <f>IFERROR(__xludf.DUMMYFUNCTION("""COMPUTED_VALUE"""),"kousui")</f>
        <v>kousui</v>
      </c>
      <c r="G1604">
        <f>IFERROR(__xludf.DUMMYFUNCTION("""COMPUTED_VALUE"""),0.0)</f>
        <v>0</v>
      </c>
      <c r="H1604" s="5">
        <f>IFERROR(__xludf.DUMMYFUNCTION("""COMPUTED_VALUE"""),0.1749999999992724)</f>
        <v>0.175</v>
      </c>
    </row>
    <row r="1605">
      <c r="A1605" t="str">
        <f>IFERROR(__xludf.DUMMYFUNCTION("""COMPUTED_VALUE"""),"Japan")</f>
        <v>Japan</v>
      </c>
      <c r="B1605" t="str">
        <f>IFERROR(__xludf.DUMMYFUNCTION("""COMPUTED_VALUE"""),"Asia")</f>
        <v>Asia</v>
      </c>
      <c r="C1605">
        <f>IFERROR(__xludf.DUMMYFUNCTION("""COMPUTED_VALUE"""),4.0)</f>
        <v>4</v>
      </c>
      <c r="D1605" t="str">
        <f>IFERROR(__xludf.DUMMYFUNCTION("""COMPUTED_VALUE"""),"I Love...")</f>
        <v>I Love...</v>
      </c>
      <c r="E1605" t="str">
        <f>IFERROR(__xludf.DUMMYFUNCTION("""COMPUTED_VALUE"""),"Official HIGE DANdism")</f>
        <v>Official HIGE DANdism</v>
      </c>
      <c r="F1605" t="str">
        <f>IFERROR(__xludf.DUMMYFUNCTION("""COMPUTED_VALUE"""),"I Love...")</f>
        <v>I Love...</v>
      </c>
      <c r="G1605">
        <f>IFERROR(__xludf.DUMMYFUNCTION("""COMPUTED_VALUE"""),0.0)</f>
        <v>0</v>
      </c>
      <c r="H1605" s="5">
        <f>IFERROR(__xludf.DUMMYFUNCTION("""COMPUTED_VALUE"""),0.19583333333503106)</f>
        <v>0.1958333333</v>
      </c>
    </row>
    <row r="1606">
      <c r="A1606" t="str">
        <f>IFERROR(__xludf.DUMMYFUNCTION("""COMPUTED_VALUE"""),"Japan")</f>
        <v>Japan</v>
      </c>
      <c r="B1606" t="str">
        <f>IFERROR(__xludf.DUMMYFUNCTION("""COMPUTED_VALUE"""),"Asia")</f>
        <v>Asia</v>
      </c>
      <c r="C1606">
        <f>IFERROR(__xludf.DUMMYFUNCTION("""COMPUTED_VALUE"""),5.0)</f>
        <v>5</v>
      </c>
      <c r="D1606" t="str">
        <f>IFERROR(__xludf.DUMMYFUNCTION("""COMPUTED_VALUE"""),"Hakujitsu")</f>
        <v>Hakujitsu</v>
      </c>
      <c r="E1606" t="str">
        <f>IFERROR(__xludf.DUMMYFUNCTION("""COMPUTED_VALUE"""),"King Gnu")</f>
        <v>King Gnu</v>
      </c>
      <c r="F1606" t="str">
        <f>IFERROR(__xludf.DUMMYFUNCTION("""COMPUTED_VALUE"""),"Ceremony")</f>
        <v>Ceremony</v>
      </c>
      <c r="G1606">
        <f>IFERROR(__xludf.DUMMYFUNCTION("""COMPUTED_VALUE"""),0.0)</f>
        <v>0</v>
      </c>
      <c r="H1606" s="5">
        <f>IFERROR(__xludf.DUMMYFUNCTION("""COMPUTED_VALUE"""),0.19166666666569654)</f>
        <v>0.1916666667</v>
      </c>
    </row>
    <row r="1607">
      <c r="A1607" t="str">
        <f>IFERROR(__xludf.DUMMYFUNCTION("""COMPUTED_VALUE"""),"Japan")</f>
        <v>Japan</v>
      </c>
      <c r="B1607" t="str">
        <f>IFERROR(__xludf.DUMMYFUNCTION("""COMPUTED_VALUE"""),"Asia")</f>
        <v>Asia</v>
      </c>
      <c r="C1607">
        <f>IFERROR(__xludf.DUMMYFUNCTION("""COMPUTED_VALUE"""),6.0)</f>
        <v>6</v>
      </c>
      <c r="D1607" t="str">
        <f>IFERROR(__xludf.DUMMYFUNCTION("""COMPUTED_VALUE"""),"Shukumei")</f>
        <v>Shukumei</v>
      </c>
      <c r="E1607" t="str">
        <f>IFERROR(__xludf.DUMMYFUNCTION("""COMPUTED_VALUE"""),"Official HIGE DANdism")</f>
        <v>Official HIGE DANdism</v>
      </c>
      <c r="F1607" t="str">
        <f>IFERROR(__xludf.DUMMYFUNCTION("""COMPUTED_VALUE"""),"Traveler")</f>
        <v>Traveler</v>
      </c>
      <c r="G1607">
        <f>IFERROR(__xludf.DUMMYFUNCTION("""COMPUTED_VALUE"""),0.0)</f>
        <v>0</v>
      </c>
      <c r="H1607" s="5">
        <f>IFERROR(__xludf.DUMMYFUNCTION("""COMPUTED_VALUE"""),0.19444444444525288)</f>
        <v>0.1944444444</v>
      </c>
    </row>
    <row r="1608">
      <c r="A1608" t="str">
        <f>IFERROR(__xludf.DUMMYFUNCTION("""COMPUTED_VALUE"""),"Japan")</f>
        <v>Japan</v>
      </c>
      <c r="B1608" t="str">
        <f>IFERROR(__xludf.DUMMYFUNCTION("""COMPUTED_VALUE"""),"Asia")</f>
        <v>Asia</v>
      </c>
      <c r="C1608">
        <f>IFERROR(__xludf.DUMMYFUNCTION("""COMPUTED_VALUE"""),7.0)</f>
        <v>7</v>
      </c>
      <c r="D1608" t="str">
        <f>IFERROR(__xludf.DUMMYFUNCTION("""COMPUTED_VALUE"""),"115万キロのフィルム")</f>
        <v>115万キロのフィルム</v>
      </c>
      <c r="E1608" t="str">
        <f>IFERROR(__xludf.DUMMYFUNCTION("""COMPUTED_VALUE"""),"Official HIGE DANdism")</f>
        <v>Official HIGE DANdism</v>
      </c>
      <c r="F1608" t="str">
        <f>IFERROR(__xludf.DUMMYFUNCTION("""COMPUTED_VALUE"""),"エスカパレード")</f>
        <v>エスカパレード</v>
      </c>
      <c r="G1608">
        <f>IFERROR(__xludf.DUMMYFUNCTION("""COMPUTED_VALUE"""),0.0)</f>
        <v>0</v>
      </c>
      <c r="H1608" s="5">
        <f>IFERROR(__xludf.DUMMYFUNCTION("""COMPUTED_VALUE"""),0.2249999999985448)</f>
        <v>0.225</v>
      </c>
    </row>
    <row r="1609">
      <c r="A1609" t="str">
        <f>IFERROR(__xludf.DUMMYFUNCTION("""COMPUTED_VALUE"""),"Japan")</f>
        <v>Japan</v>
      </c>
      <c r="B1609" t="str">
        <f>IFERROR(__xludf.DUMMYFUNCTION("""COMPUTED_VALUE"""),"Asia")</f>
        <v>Asia</v>
      </c>
      <c r="C1609">
        <f>IFERROR(__xludf.DUMMYFUNCTION("""COMPUTED_VALUE"""),8.0)</f>
        <v>8</v>
      </c>
      <c r="D1609" t="str">
        <f>IFERROR(__xludf.DUMMYFUNCTION("""COMPUTED_VALUE"""),"Gurenge")</f>
        <v>Gurenge</v>
      </c>
      <c r="E1609" t="str">
        <f>IFERROR(__xludf.DUMMYFUNCTION("""COMPUTED_VALUE"""),"LiSA")</f>
        <v>LiSA</v>
      </c>
      <c r="F1609" t="str">
        <f>IFERROR(__xludf.DUMMYFUNCTION("""COMPUTED_VALUE"""),"Gurenge")</f>
        <v>Gurenge</v>
      </c>
      <c r="G1609">
        <f>IFERROR(__xludf.DUMMYFUNCTION("""COMPUTED_VALUE"""),0.0)</f>
        <v>0</v>
      </c>
      <c r="H1609" s="5">
        <f>IFERROR(__xludf.DUMMYFUNCTION("""COMPUTED_VALUE"""),0.16527777777810115)</f>
        <v>0.1652777778</v>
      </c>
    </row>
    <row r="1610">
      <c r="A1610" t="str">
        <f>IFERROR(__xludf.DUMMYFUNCTION("""COMPUTED_VALUE"""),"Japan")</f>
        <v>Japan</v>
      </c>
      <c r="B1610" t="str">
        <f>IFERROR(__xludf.DUMMYFUNCTION("""COMPUTED_VALUE"""),"Asia")</f>
        <v>Asia</v>
      </c>
      <c r="C1610">
        <f>IFERROR(__xludf.DUMMYFUNCTION("""COMPUTED_VALUE"""),9.0)</f>
        <v>9</v>
      </c>
      <c r="D1610" t="str">
        <f>IFERROR(__xludf.DUMMYFUNCTION("""COMPUTED_VALUE"""),"Yesterday")</f>
        <v>Yesterday</v>
      </c>
      <c r="E1610" t="str">
        <f>IFERROR(__xludf.DUMMYFUNCTION("""COMPUTED_VALUE"""),"Official HIGE DANdism")</f>
        <v>Official HIGE DANdism</v>
      </c>
      <c r="F1610" t="str">
        <f>IFERROR(__xludf.DUMMYFUNCTION("""COMPUTED_VALUE"""),"Traveler")</f>
        <v>Traveler</v>
      </c>
      <c r="G1610">
        <f>IFERROR(__xludf.DUMMYFUNCTION("""COMPUTED_VALUE"""),0.0)</f>
        <v>0</v>
      </c>
      <c r="H1610" s="5">
        <f>IFERROR(__xludf.DUMMYFUNCTION("""COMPUTED_VALUE"""),0.20763888888905058)</f>
        <v>0.2076388889</v>
      </c>
    </row>
    <row r="1611">
      <c r="A1611" t="str">
        <f>IFERROR(__xludf.DUMMYFUNCTION("""COMPUTED_VALUE"""),"Japan")</f>
        <v>Japan</v>
      </c>
      <c r="B1611" t="str">
        <f>IFERROR(__xludf.DUMMYFUNCTION("""COMPUTED_VALUE"""),"Asia")</f>
        <v>Asia</v>
      </c>
      <c r="C1611">
        <f>IFERROR(__xludf.DUMMYFUNCTION("""COMPUTED_VALUE"""),10.0)</f>
        <v>10</v>
      </c>
      <c r="D1611" t="str">
        <f>IFERROR(__xludf.DUMMYFUNCTION("""COMPUTED_VALUE"""),"ノーダウト")</f>
        <v>ノーダウト</v>
      </c>
      <c r="E1611" t="str">
        <f>IFERROR(__xludf.DUMMYFUNCTION("""COMPUTED_VALUE"""),"Official HIGE DANdism")</f>
        <v>Official HIGE DANdism</v>
      </c>
      <c r="F1611" t="str">
        <f>IFERROR(__xludf.DUMMYFUNCTION("""COMPUTED_VALUE"""),"エスカパレード")</f>
        <v>エスカパレード</v>
      </c>
      <c r="G1611">
        <f>IFERROR(__xludf.DUMMYFUNCTION("""COMPUTED_VALUE"""),0.0)</f>
        <v>0</v>
      </c>
      <c r="H1611" s="5">
        <f>IFERROR(__xludf.DUMMYFUNCTION("""COMPUTED_VALUE"""),0.14027777777664596)</f>
        <v>0.1402777778</v>
      </c>
    </row>
    <row r="1612">
      <c r="A1612" t="str">
        <f>IFERROR(__xludf.DUMMYFUNCTION("""COMPUTED_VALUE"""),"Japan")</f>
        <v>Japan</v>
      </c>
      <c r="B1612" t="str">
        <f>IFERROR(__xludf.DUMMYFUNCTION("""COMPUTED_VALUE"""),"Asia")</f>
        <v>Asia</v>
      </c>
      <c r="C1612">
        <f>IFERROR(__xludf.DUMMYFUNCTION("""COMPUTED_VALUE"""),11.0)</f>
        <v>11</v>
      </c>
      <c r="D1612" t="str">
        <f>IFERROR(__xludf.DUMMYFUNCTION("""COMPUTED_VALUE"""),"Machigaisagashi")</f>
        <v>Machigaisagashi</v>
      </c>
      <c r="E1612" t="str">
        <f>IFERROR(__xludf.DUMMYFUNCTION("""COMPUTED_VALUE"""),"Masaki Suda")</f>
        <v>Masaki Suda</v>
      </c>
      <c r="F1612" t="str">
        <f>IFERROR(__xludf.DUMMYFUNCTION("""COMPUTED_VALUE"""),"LOVE")</f>
        <v>LOVE</v>
      </c>
      <c r="G1612">
        <f>IFERROR(__xludf.DUMMYFUNCTION("""COMPUTED_VALUE"""),0.0)</f>
        <v>0</v>
      </c>
      <c r="H1612" s="5">
        <f>IFERROR(__xludf.DUMMYFUNCTION("""COMPUTED_VALUE"""),0.15486111111022183)</f>
        <v>0.1548611111</v>
      </c>
    </row>
    <row r="1613">
      <c r="A1613" t="str">
        <f>IFERROR(__xludf.DUMMYFUNCTION("""COMPUTED_VALUE"""),"Japan")</f>
        <v>Japan</v>
      </c>
      <c r="B1613" t="str">
        <f>IFERROR(__xludf.DUMMYFUNCTION("""COMPUTED_VALUE"""),"Asia")</f>
        <v>Asia</v>
      </c>
      <c r="C1613">
        <f>IFERROR(__xludf.DUMMYFUNCTION("""COMPUTED_VALUE"""),12.0)</f>
        <v>12</v>
      </c>
      <c r="D1613" t="str">
        <f>IFERROR(__xludf.DUMMYFUNCTION("""COMPUTED_VALUE"""),"Marigold")</f>
        <v>Marigold</v>
      </c>
      <c r="E1613" t="str">
        <f>IFERROR(__xludf.DUMMYFUNCTION("""COMPUTED_VALUE"""),"Aimyon")</f>
        <v>Aimyon</v>
      </c>
      <c r="F1613" t="str">
        <f>IFERROR(__xludf.DUMMYFUNCTION("""COMPUTED_VALUE"""),"Momentary Sixth Sense")</f>
        <v>Momentary Sixth Sense</v>
      </c>
      <c r="G1613">
        <f>IFERROR(__xludf.DUMMYFUNCTION("""COMPUTED_VALUE"""),0.0)</f>
        <v>0</v>
      </c>
      <c r="H1613" s="5">
        <f>IFERROR(__xludf.DUMMYFUNCTION("""COMPUTED_VALUE"""),0.2125000000014552)</f>
        <v>0.2125</v>
      </c>
    </row>
    <row r="1614">
      <c r="A1614" t="str">
        <f>IFERROR(__xludf.DUMMYFUNCTION("""COMPUTED_VALUE"""),"Japan")</f>
        <v>Japan</v>
      </c>
      <c r="B1614" t="str">
        <f>IFERROR(__xludf.DUMMYFUNCTION("""COMPUTED_VALUE"""),"Asia")</f>
        <v>Asia</v>
      </c>
      <c r="C1614">
        <f>IFERROR(__xludf.DUMMYFUNCTION("""COMPUTED_VALUE"""),13.0)</f>
        <v>13</v>
      </c>
      <c r="D1614" t="str">
        <f>IFERROR(__xludf.DUMMYFUNCTION("""COMPUTED_VALUE"""),"ただ君に晴れ")</f>
        <v>ただ君に晴れ</v>
      </c>
      <c r="E1614" t="str">
        <f>IFERROR(__xludf.DUMMYFUNCTION("""COMPUTED_VALUE"""),"Yorushika")</f>
        <v>Yorushika</v>
      </c>
      <c r="F1614" t="str">
        <f>IFERROR(__xludf.DUMMYFUNCTION("""COMPUTED_VALUE"""),"負け犬にアンコールはいらない")</f>
        <v>負け犬にアンコールはいらない</v>
      </c>
      <c r="G1614">
        <f>IFERROR(__xludf.DUMMYFUNCTION("""COMPUTED_VALUE"""),0.0)</f>
        <v>0</v>
      </c>
      <c r="H1614" s="5">
        <f>IFERROR(__xludf.DUMMYFUNCTION("""COMPUTED_VALUE"""),0.1375000000007276)</f>
        <v>0.1375</v>
      </c>
    </row>
    <row r="1615">
      <c r="A1615" t="str">
        <f>IFERROR(__xludf.DUMMYFUNCTION("""COMPUTED_VALUE"""),"Japan")</f>
        <v>Japan</v>
      </c>
      <c r="B1615" t="str">
        <f>IFERROR(__xludf.DUMMYFUNCTION("""COMPUTED_VALUE"""),"Asia")</f>
        <v>Asia</v>
      </c>
      <c r="C1615">
        <f>IFERROR(__xludf.DUMMYFUNCTION("""COMPUTED_VALUE"""),14.0)</f>
        <v>14</v>
      </c>
      <c r="D1615" t="str">
        <f>IFERROR(__xludf.DUMMYFUNCTION("""COMPUTED_VALUE"""),"snow jam")</f>
        <v>snow jam</v>
      </c>
      <c r="E1615" t="str">
        <f>IFERROR(__xludf.DUMMYFUNCTION("""COMPUTED_VALUE"""),"Rin音")</f>
        <v>Rin音</v>
      </c>
      <c r="F1615" t="str">
        <f>IFERROR(__xludf.DUMMYFUNCTION("""COMPUTED_VALUE"""),"snow jam")</f>
        <v>snow jam</v>
      </c>
      <c r="G1615">
        <f>IFERROR(__xludf.DUMMYFUNCTION("""COMPUTED_VALUE"""),0.0)</f>
        <v>0</v>
      </c>
      <c r="H1615" s="5">
        <f>IFERROR(__xludf.DUMMYFUNCTION("""COMPUTED_VALUE"""),0.12777777777955635)</f>
        <v>0.1277777778</v>
      </c>
    </row>
    <row r="1616">
      <c r="A1616" t="str">
        <f>IFERROR(__xludf.DUMMYFUNCTION("""COMPUTED_VALUE"""),"Japan")</f>
        <v>Japan</v>
      </c>
      <c r="B1616" t="str">
        <f>IFERROR(__xludf.DUMMYFUNCTION("""COMPUTED_VALUE"""),"Asia")</f>
        <v>Asia</v>
      </c>
      <c r="C1616">
        <f>IFERROR(__xludf.DUMMYFUNCTION("""COMPUTED_VALUE"""),15.0)</f>
        <v>15</v>
      </c>
      <c r="D1616" t="str">
        <f>IFERROR(__xludf.DUMMYFUNCTION("""COMPUTED_VALUE"""),"Parabola")</f>
        <v>Parabola</v>
      </c>
      <c r="E1616" t="str">
        <f>IFERROR(__xludf.DUMMYFUNCTION("""COMPUTED_VALUE"""),"Official HIGE DANdism")</f>
        <v>Official HIGE DANdism</v>
      </c>
      <c r="F1616" t="str">
        <f>IFERROR(__xludf.DUMMYFUNCTION("""COMPUTED_VALUE"""),"Parabola")</f>
        <v>Parabola</v>
      </c>
      <c r="G1616">
        <f>IFERROR(__xludf.DUMMYFUNCTION("""COMPUTED_VALUE"""),0.0)</f>
        <v>0</v>
      </c>
      <c r="H1616" s="5">
        <f>IFERROR(__xludf.DUMMYFUNCTION("""COMPUTED_VALUE"""),0.20902777777882875)</f>
        <v>0.2090277778</v>
      </c>
    </row>
    <row r="1617">
      <c r="A1617" t="str">
        <f>IFERROR(__xludf.DUMMYFUNCTION("""COMPUTED_VALUE"""),"Japan")</f>
        <v>Japan</v>
      </c>
      <c r="B1617" t="str">
        <f>IFERROR(__xludf.DUMMYFUNCTION("""COMPUTED_VALUE"""),"Asia")</f>
        <v>Asia</v>
      </c>
      <c r="C1617">
        <f>IFERROR(__xludf.DUMMYFUNCTION("""COMPUTED_VALUE"""),16.0)</f>
        <v>16</v>
      </c>
      <c r="D1617" t="str">
        <f>IFERROR(__xludf.DUMMYFUNCTION("""COMPUTED_VALUE"""),"Sayonara Elegy")</f>
        <v>Sayonara Elegy</v>
      </c>
      <c r="E1617" t="str">
        <f>IFERROR(__xludf.DUMMYFUNCTION("""COMPUTED_VALUE"""),"Masaki Suda")</f>
        <v>Masaki Suda</v>
      </c>
      <c r="F1617" t="str">
        <f>IFERROR(__xludf.DUMMYFUNCTION("""COMPUTED_VALUE"""),"Play")</f>
        <v>Play</v>
      </c>
      <c r="G1617">
        <f>IFERROR(__xludf.DUMMYFUNCTION("""COMPUTED_VALUE"""),0.0)</f>
        <v>0</v>
      </c>
      <c r="H1617" s="5">
        <f>IFERROR(__xludf.DUMMYFUNCTION("""COMPUTED_VALUE"""),0.17847222222189885)</f>
        <v>0.1784722222</v>
      </c>
    </row>
    <row r="1618">
      <c r="A1618" t="str">
        <f>IFERROR(__xludf.DUMMYFUNCTION("""COMPUTED_VALUE"""),"Japan")</f>
        <v>Japan</v>
      </c>
      <c r="B1618" t="str">
        <f>IFERROR(__xludf.DUMMYFUNCTION("""COMPUTED_VALUE"""),"Asia")</f>
        <v>Asia</v>
      </c>
      <c r="C1618">
        <f>IFERROR(__xludf.DUMMYFUNCTION("""COMPUTED_VALUE"""),17.0)</f>
        <v>17</v>
      </c>
      <c r="D1618" t="str">
        <f>IFERROR(__xludf.DUMMYFUNCTION("""COMPUTED_VALUE"""),"僕のこと")</f>
        <v>僕のこと</v>
      </c>
      <c r="E1618" t="str">
        <f>IFERROR(__xludf.DUMMYFUNCTION("""COMPUTED_VALUE"""),"Mrs. GREEN APPLE")</f>
        <v>Mrs. GREEN APPLE</v>
      </c>
      <c r="F1618" t="str">
        <f>IFERROR(__xludf.DUMMYFUNCTION("""COMPUTED_VALUE"""),"Attitude")</f>
        <v>Attitude</v>
      </c>
      <c r="G1618">
        <f>IFERROR(__xludf.DUMMYFUNCTION("""COMPUTED_VALUE"""),0.0)</f>
        <v>0</v>
      </c>
      <c r="H1618" s="5">
        <f>IFERROR(__xludf.DUMMYFUNCTION("""COMPUTED_VALUE"""),0.22291666666569654)</f>
        <v>0.2229166667</v>
      </c>
    </row>
    <row r="1619">
      <c r="A1619" t="str">
        <f>IFERROR(__xludf.DUMMYFUNCTION("""COMPUTED_VALUE"""),"Japan")</f>
        <v>Japan</v>
      </c>
      <c r="B1619" t="str">
        <f>IFERROR(__xludf.DUMMYFUNCTION("""COMPUTED_VALUE"""),"Asia")</f>
        <v>Asia</v>
      </c>
      <c r="C1619">
        <f>IFERROR(__xludf.DUMMYFUNCTION("""COMPUTED_VALUE"""),18.0)</f>
        <v>18</v>
      </c>
      <c r="D1619" t="str">
        <f>IFERROR(__xludf.DUMMYFUNCTION("""COMPUTED_VALUE"""),"Harunohi")</f>
        <v>Harunohi</v>
      </c>
      <c r="E1619" t="str">
        <f>IFERROR(__xludf.DUMMYFUNCTION("""COMPUTED_VALUE"""),"Aimyon")</f>
        <v>Aimyon</v>
      </c>
      <c r="F1619" t="str">
        <f>IFERROR(__xludf.DUMMYFUNCTION("""COMPUTED_VALUE"""),"Harunohi")</f>
        <v>Harunohi</v>
      </c>
      <c r="G1619">
        <f>IFERROR(__xludf.DUMMYFUNCTION("""COMPUTED_VALUE"""),0.0)</f>
        <v>0</v>
      </c>
      <c r="H1619" s="5">
        <f>IFERROR(__xludf.DUMMYFUNCTION("""COMPUTED_VALUE"""),0.22638888888832298)</f>
        <v>0.2263888889</v>
      </c>
    </row>
    <row r="1620">
      <c r="A1620" t="str">
        <f>IFERROR(__xludf.DUMMYFUNCTION("""COMPUTED_VALUE"""),"Japan")</f>
        <v>Japan</v>
      </c>
      <c r="B1620" t="str">
        <f>IFERROR(__xludf.DUMMYFUNCTION("""COMPUTED_VALUE"""),"Asia")</f>
        <v>Asia</v>
      </c>
      <c r="C1620">
        <f>IFERROR(__xludf.DUMMYFUNCTION("""COMPUTED_VALUE"""),19.0)</f>
        <v>19</v>
      </c>
      <c r="D1620" t="str">
        <f>IFERROR(__xludf.DUMMYFUNCTION("""COMPUTED_VALUE"""),"高嶺の花子さん")</f>
        <v>高嶺の花子さん</v>
      </c>
      <c r="E1620" t="str">
        <f>IFERROR(__xludf.DUMMYFUNCTION("""COMPUTED_VALUE"""),"back number")</f>
        <v>back number</v>
      </c>
      <c r="F1620" t="str">
        <f>IFERROR(__xludf.DUMMYFUNCTION("""COMPUTED_VALUE"""),"ラブストーリー")</f>
        <v>ラブストーリー</v>
      </c>
      <c r="G1620">
        <f>IFERROR(__xludf.DUMMYFUNCTION("""COMPUTED_VALUE"""),0.0)</f>
        <v>0</v>
      </c>
      <c r="H1620" s="5">
        <f>IFERROR(__xludf.DUMMYFUNCTION("""COMPUTED_VALUE"""),0.20416666666642413)</f>
        <v>0.2041666667</v>
      </c>
    </row>
    <row r="1621">
      <c r="A1621" t="str">
        <f>IFERROR(__xludf.DUMMYFUNCTION("""COMPUTED_VALUE"""),"Japan")</f>
        <v>Japan</v>
      </c>
      <c r="B1621" t="str">
        <f>IFERROR(__xludf.DUMMYFUNCTION("""COMPUTED_VALUE"""),"Asia")</f>
        <v>Asia</v>
      </c>
      <c r="C1621">
        <f>IFERROR(__xludf.DUMMYFUNCTION("""COMPUTED_VALUE"""),20.0)</f>
        <v>20</v>
      </c>
      <c r="D1621" t="str">
        <f>IFERROR(__xludf.DUMMYFUNCTION("""COMPUTED_VALUE"""),"Walking with you")</f>
        <v>Walking with you</v>
      </c>
      <c r="E1621" t="str">
        <f>IFERROR(__xludf.DUMMYFUNCTION("""COMPUTED_VALUE"""),"Novelbright")</f>
        <v>Novelbright</v>
      </c>
      <c r="F1621" t="str">
        <f>IFERROR(__xludf.DUMMYFUNCTION("""COMPUTED_VALUE"""),"SKYWALK")</f>
        <v>SKYWALK</v>
      </c>
      <c r="G1621">
        <f>IFERROR(__xludf.DUMMYFUNCTION("""COMPUTED_VALUE"""),0.0)</f>
        <v>0</v>
      </c>
      <c r="H1621" s="5">
        <f>IFERROR(__xludf.DUMMYFUNCTION("""COMPUTED_VALUE"""),0.15486111111022183)</f>
        <v>0.1548611111</v>
      </c>
    </row>
    <row r="1622">
      <c r="A1622" t="str">
        <f>IFERROR(__xludf.DUMMYFUNCTION("""COMPUTED_VALUE"""),"Japan")</f>
        <v>Japan</v>
      </c>
      <c r="B1622" t="str">
        <f>IFERROR(__xludf.DUMMYFUNCTION("""COMPUTED_VALUE"""),"Asia")</f>
        <v>Asia</v>
      </c>
      <c r="C1622">
        <f>IFERROR(__xludf.DUMMYFUNCTION("""COMPUTED_VALUE"""),21.0)</f>
        <v>21</v>
      </c>
      <c r="D1622" t="str">
        <f>IFERROR(__xludf.DUMMYFUNCTION("""COMPUTED_VALUE"""),"インフェルノ")</f>
        <v>インフェルノ</v>
      </c>
      <c r="E1622" t="str">
        <f>IFERROR(__xludf.DUMMYFUNCTION("""COMPUTED_VALUE"""),"Mrs. GREEN APPLE")</f>
        <v>Mrs. GREEN APPLE</v>
      </c>
      <c r="F1622" t="str">
        <f>IFERROR(__xludf.DUMMYFUNCTION("""COMPUTED_VALUE"""),"Attitude")</f>
        <v>Attitude</v>
      </c>
      <c r="G1622">
        <f>IFERROR(__xludf.DUMMYFUNCTION("""COMPUTED_VALUE"""),0.0)</f>
        <v>0</v>
      </c>
      <c r="H1622" s="5">
        <f>IFERROR(__xludf.DUMMYFUNCTION("""COMPUTED_VALUE"""),0.14652777777882875)</f>
        <v>0.1465277778</v>
      </c>
    </row>
    <row r="1623">
      <c r="A1623" t="str">
        <f>IFERROR(__xludf.DUMMYFUNCTION("""COMPUTED_VALUE"""),"Japan")</f>
        <v>Japan</v>
      </c>
      <c r="B1623" t="str">
        <f>IFERROR(__xludf.DUMMYFUNCTION("""COMPUTED_VALUE"""),"Asia")</f>
        <v>Asia</v>
      </c>
      <c r="C1623">
        <f>IFERROR(__xludf.DUMMYFUNCTION("""COMPUTED_VALUE"""),22.0)</f>
        <v>22</v>
      </c>
      <c r="D1623" t="str">
        <f>IFERROR(__xludf.DUMMYFUNCTION("""COMPUTED_VALUE"""),"Stand By You")</f>
        <v>Stand By You</v>
      </c>
      <c r="E1623" t="str">
        <f>IFERROR(__xludf.DUMMYFUNCTION("""COMPUTED_VALUE"""),"Official HIGE DANdism")</f>
        <v>Official HIGE DANdism</v>
      </c>
      <c r="F1623" t="str">
        <f>IFERROR(__xludf.DUMMYFUNCTION("""COMPUTED_VALUE"""),"Traveler")</f>
        <v>Traveler</v>
      </c>
      <c r="G1623">
        <f>IFERROR(__xludf.DUMMYFUNCTION("""COMPUTED_VALUE"""),0.0)</f>
        <v>0</v>
      </c>
      <c r="H1623" s="5">
        <f>IFERROR(__xludf.DUMMYFUNCTION("""COMPUTED_VALUE"""),0.17777777777882875)</f>
        <v>0.1777777778</v>
      </c>
    </row>
    <row r="1624">
      <c r="A1624" t="str">
        <f>IFERROR(__xludf.DUMMYFUNCTION("""COMPUTED_VALUE"""),"Japan")</f>
        <v>Japan</v>
      </c>
      <c r="B1624" t="str">
        <f>IFERROR(__xludf.DUMMYFUNCTION("""COMPUTED_VALUE"""),"Asia")</f>
        <v>Asia</v>
      </c>
      <c r="C1624">
        <f>IFERROR(__xludf.DUMMYFUNCTION("""COMPUTED_VALUE"""),23.0)</f>
        <v>23</v>
      </c>
      <c r="D1624" t="str">
        <f>IFERROR(__xludf.DUMMYFUNCTION("""COMPUTED_VALUE"""),"点描の唄")</f>
        <v>点描の唄</v>
      </c>
      <c r="E1624" t="str">
        <f>IFERROR(__xludf.DUMMYFUNCTION("""COMPUTED_VALUE"""),"Mrs. GREEN APPLE, Sonoko Inoue")</f>
        <v>Mrs. GREEN APPLE, Sonoko Inoue</v>
      </c>
      <c r="F1624" t="str">
        <f>IFERROR(__xludf.DUMMYFUNCTION("""COMPUTED_VALUE"""),"青と夏")</f>
        <v>青と夏</v>
      </c>
      <c r="G1624">
        <f>IFERROR(__xludf.DUMMYFUNCTION("""COMPUTED_VALUE"""),0.0)</f>
        <v>0</v>
      </c>
      <c r="H1624" s="5">
        <f>IFERROR(__xludf.DUMMYFUNCTION("""COMPUTED_VALUE"""),0.2131944444445253)</f>
        <v>0.2131944444</v>
      </c>
    </row>
    <row r="1625">
      <c r="A1625" t="str">
        <f>IFERROR(__xludf.DUMMYFUNCTION("""COMPUTED_VALUE"""),"Japan")</f>
        <v>Japan</v>
      </c>
      <c r="B1625" t="str">
        <f>IFERROR(__xludf.DUMMYFUNCTION("""COMPUTED_VALUE"""),"Asia")</f>
        <v>Asia</v>
      </c>
      <c r="C1625">
        <f>IFERROR(__xludf.DUMMYFUNCTION("""COMPUTED_VALUE"""),24.0)</f>
        <v>24</v>
      </c>
      <c r="D1625" t="str">
        <f>IFERROR(__xludf.DUMMYFUNCTION("""COMPUTED_VALUE"""),"青と夏")</f>
        <v>青と夏</v>
      </c>
      <c r="E1625" t="str">
        <f>IFERROR(__xludf.DUMMYFUNCTION("""COMPUTED_VALUE"""),"Mrs. GREEN APPLE")</f>
        <v>Mrs. GREEN APPLE</v>
      </c>
      <c r="F1625" t="str">
        <f>IFERROR(__xludf.DUMMYFUNCTION("""COMPUTED_VALUE"""),"Attitude")</f>
        <v>Attitude</v>
      </c>
      <c r="G1625">
        <f>IFERROR(__xludf.DUMMYFUNCTION("""COMPUTED_VALUE"""),0.0)</f>
        <v>0</v>
      </c>
      <c r="H1625" s="5">
        <f>IFERROR(__xludf.DUMMYFUNCTION("""COMPUTED_VALUE"""),0.1875)</f>
        <v>0.1875</v>
      </c>
    </row>
    <row r="1626">
      <c r="A1626" t="str">
        <f>IFERROR(__xludf.DUMMYFUNCTION("""COMPUTED_VALUE"""),"Japan")</f>
        <v>Japan</v>
      </c>
      <c r="B1626" t="str">
        <f>IFERROR(__xludf.DUMMYFUNCTION("""COMPUTED_VALUE"""),"Asia")</f>
        <v>Asia</v>
      </c>
      <c r="C1626">
        <f>IFERROR(__xludf.DUMMYFUNCTION("""COMPUTED_VALUE"""),25.0)</f>
        <v>25</v>
      </c>
      <c r="D1626" t="str">
        <f>IFERROR(__xludf.DUMMYFUNCTION("""COMPUTED_VALUE"""),"Anataga Iru Kotode")</f>
        <v>Anataga Iru Kotode</v>
      </c>
      <c r="E1626" t="str">
        <f>IFERROR(__xludf.DUMMYFUNCTION("""COMPUTED_VALUE"""),"Uru")</f>
        <v>Uru</v>
      </c>
      <c r="F1626" t="str">
        <f>IFERROR(__xludf.DUMMYFUNCTION("""COMPUTED_VALUE"""),"Orion Blue (Special Edition)")</f>
        <v>Orion Blue (Special Edition)</v>
      </c>
      <c r="G1626">
        <f>IFERROR(__xludf.DUMMYFUNCTION("""COMPUTED_VALUE"""),0.0)</f>
        <v>0</v>
      </c>
      <c r="H1626" s="5">
        <f>IFERROR(__xludf.DUMMYFUNCTION("""COMPUTED_VALUE"""),0.2194444444430701)</f>
        <v>0.2194444444</v>
      </c>
    </row>
    <row r="1627">
      <c r="A1627" t="str">
        <f>IFERROR(__xludf.DUMMYFUNCTION("""COMPUTED_VALUE"""),"Japan")</f>
        <v>Japan</v>
      </c>
      <c r="B1627" t="str">
        <f>IFERROR(__xludf.DUMMYFUNCTION("""COMPUTED_VALUE"""),"Asia")</f>
        <v>Asia</v>
      </c>
      <c r="C1627">
        <f>IFERROR(__xludf.DUMMYFUNCTION("""COMPUTED_VALUE"""),26.0)</f>
        <v>26</v>
      </c>
      <c r="D1627" t="str">
        <f>IFERROR(__xludf.DUMMYFUNCTION("""COMPUTED_VALUE"""),"裸の心")</f>
        <v>裸の心</v>
      </c>
      <c r="E1627" t="str">
        <f>IFERROR(__xludf.DUMMYFUNCTION("""COMPUTED_VALUE"""),"Aimyon")</f>
        <v>Aimyon</v>
      </c>
      <c r="F1627" t="str">
        <f>IFERROR(__xludf.DUMMYFUNCTION("""COMPUTED_VALUE"""),"裸の心")</f>
        <v>裸の心</v>
      </c>
      <c r="G1627">
        <f>IFERROR(__xludf.DUMMYFUNCTION("""COMPUTED_VALUE"""),0.0)</f>
        <v>0</v>
      </c>
      <c r="H1627" s="5">
        <f>IFERROR(__xludf.DUMMYFUNCTION("""COMPUTED_VALUE"""),0.2055555555562023)</f>
        <v>0.2055555556</v>
      </c>
    </row>
    <row r="1628">
      <c r="A1628" t="str">
        <f>IFERROR(__xludf.DUMMYFUNCTION("""COMPUTED_VALUE"""),"Japan")</f>
        <v>Japan</v>
      </c>
      <c r="B1628" t="str">
        <f>IFERROR(__xludf.DUMMYFUNCTION("""COMPUTED_VALUE"""),"Asia")</f>
        <v>Asia</v>
      </c>
      <c r="C1628">
        <f>IFERROR(__xludf.DUMMYFUNCTION("""COMPUTED_VALUE"""),27.0)</f>
        <v>27</v>
      </c>
      <c r="D1628" t="str">
        <f>IFERROR(__xludf.DUMMYFUNCTION("""COMPUTED_VALUE"""),"君はロックを聴かない")</f>
        <v>君はロックを聴かない</v>
      </c>
      <c r="E1628" t="str">
        <f>IFERROR(__xludf.DUMMYFUNCTION("""COMPUTED_VALUE"""),"Aimyon")</f>
        <v>Aimyon</v>
      </c>
      <c r="F1628" t="str">
        <f>IFERROR(__xludf.DUMMYFUNCTION("""COMPUTED_VALUE"""),"青春のエキサイトメント")</f>
        <v>青春のエキサイトメント</v>
      </c>
      <c r="G1628">
        <f>IFERROR(__xludf.DUMMYFUNCTION("""COMPUTED_VALUE"""),0.0)</f>
        <v>0</v>
      </c>
      <c r="H1628" s="5">
        <f>IFERROR(__xludf.DUMMYFUNCTION("""COMPUTED_VALUE"""),0.17083333333357587)</f>
        <v>0.1708333333</v>
      </c>
    </row>
    <row r="1629">
      <c r="A1629" t="str">
        <f>IFERROR(__xludf.DUMMYFUNCTION("""COMPUTED_VALUE"""),"Japan")</f>
        <v>Japan</v>
      </c>
      <c r="B1629" t="str">
        <f>IFERROR(__xludf.DUMMYFUNCTION("""COMPUTED_VALUE"""),"Asia")</f>
        <v>Asia</v>
      </c>
      <c r="C1629">
        <f>IFERROR(__xludf.DUMMYFUNCTION("""COMPUTED_VALUE"""),28.0)</f>
        <v>28</v>
      </c>
      <c r="D1629" t="str">
        <f>IFERROR(__xludf.DUMMYFUNCTION("""COMPUTED_VALUE"""),"Hikoutei")</f>
        <v>Hikoutei</v>
      </c>
      <c r="E1629" t="str">
        <f>IFERROR(__xludf.DUMMYFUNCTION("""COMPUTED_VALUE"""),"King Gnu")</f>
        <v>King Gnu</v>
      </c>
      <c r="F1629" t="str">
        <f>IFERROR(__xludf.DUMMYFUNCTION("""COMPUTED_VALUE"""),"Ceremony")</f>
        <v>Ceremony</v>
      </c>
      <c r="G1629">
        <f>IFERROR(__xludf.DUMMYFUNCTION("""COMPUTED_VALUE"""),0.0)</f>
        <v>0</v>
      </c>
      <c r="H1629" s="5">
        <f>IFERROR(__xludf.DUMMYFUNCTION("""COMPUTED_VALUE"""),0.18055555555474712)</f>
        <v>0.1805555556</v>
      </c>
    </row>
    <row r="1630">
      <c r="A1630" t="str">
        <f>IFERROR(__xludf.DUMMYFUNCTION("""COMPUTED_VALUE"""),"Japan")</f>
        <v>Japan</v>
      </c>
      <c r="B1630" t="str">
        <f>IFERROR(__xludf.DUMMYFUNCTION("""COMPUTED_VALUE"""),"Asia")</f>
        <v>Asia</v>
      </c>
      <c r="C1630">
        <f>IFERROR(__xludf.DUMMYFUNCTION("""COMPUTED_VALUE"""),29.0)</f>
        <v>29</v>
      </c>
      <c r="D1630" t="str">
        <f>IFERROR(__xludf.DUMMYFUNCTION("""COMPUTED_VALUE"""),"未完成")</f>
        <v>未完成</v>
      </c>
      <c r="E1630" t="str">
        <f>IFERROR(__xludf.DUMMYFUNCTION("""COMPUTED_VALUE"""),"Leo Ieiri")</f>
        <v>Leo Ieiri</v>
      </c>
      <c r="F1630" t="str">
        <f>IFERROR(__xludf.DUMMYFUNCTION("""COMPUTED_VALUE"""),"未完成")</f>
        <v>未完成</v>
      </c>
      <c r="G1630">
        <f>IFERROR(__xludf.DUMMYFUNCTION("""COMPUTED_VALUE"""),0.0)</f>
        <v>0</v>
      </c>
      <c r="H1630" s="5">
        <f>IFERROR(__xludf.DUMMYFUNCTION("""COMPUTED_VALUE"""),0.16666666666787933)</f>
        <v>0.1666666667</v>
      </c>
    </row>
    <row r="1631">
      <c r="A1631" t="str">
        <f>IFERROR(__xludf.DUMMYFUNCTION("""COMPUTED_VALUE"""),"Japan")</f>
        <v>Japan</v>
      </c>
      <c r="B1631" t="str">
        <f>IFERROR(__xludf.DUMMYFUNCTION("""COMPUTED_VALUE"""),"Asia")</f>
        <v>Asia</v>
      </c>
      <c r="C1631">
        <f>IFERROR(__xludf.DUMMYFUNCTION("""COMPUTED_VALUE"""),30.0)</f>
        <v>30</v>
      </c>
      <c r="D1631" t="str">
        <f>IFERROR(__xludf.DUMMYFUNCTION("""COMPUTED_VALUE"""),"bad guy")</f>
        <v>bad guy</v>
      </c>
      <c r="E1631" t="str">
        <f>IFERROR(__xludf.DUMMYFUNCTION("""COMPUTED_VALUE"""),"Billie Eilish")</f>
        <v>Billie Eilish</v>
      </c>
      <c r="F1631" t="str">
        <f>IFERROR(__xludf.DUMMYFUNCTION("""COMPUTED_VALUE"""),"WHEN WE ALL FALL ASLEEP, WHERE DO WE GO?")</f>
        <v>WHEN WE ALL FALL ASLEEP, WHERE DO WE GO?</v>
      </c>
      <c r="G1631">
        <f>IFERROR(__xludf.DUMMYFUNCTION("""COMPUTED_VALUE"""),0.0)</f>
        <v>0</v>
      </c>
      <c r="H1631" s="5">
        <f>IFERROR(__xludf.DUMMYFUNCTION("""COMPUTED_VALUE"""),0.13472222222117125)</f>
        <v>0.1347222222</v>
      </c>
    </row>
    <row r="1632">
      <c r="A1632" t="str">
        <f>IFERROR(__xludf.DUMMYFUNCTION("""COMPUTED_VALUE"""),"Japan")</f>
        <v>Japan</v>
      </c>
      <c r="B1632" t="str">
        <f>IFERROR(__xludf.DUMMYFUNCTION("""COMPUTED_VALUE"""),"Asia")</f>
        <v>Asia</v>
      </c>
      <c r="C1632">
        <f>IFERROR(__xludf.DUMMYFUNCTION("""COMPUTED_VALUE"""),31.0)</f>
        <v>31</v>
      </c>
      <c r="D1632" t="str">
        <f>IFERROR(__xludf.DUMMYFUNCTION("""COMPUTED_VALUE"""),"KAIBUTSUSAN (feat. Aimyon)")</f>
        <v>KAIBUTSUSAN (feat. Aimyon)</v>
      </c>
      <c r="E1632" t="str">
        <f>IFERROR(__xludf.DUMMYFUNCTION("""COMPUTED_VALUE"""),"Ken Hirai, Aimyon")</f>
        <v>Ken Hirai, Aimyon</v>
      </c>
      <c r="F1632" t="str">
        <f>IFERROR(__xludf.DUMMYFUNCTION("""COMPUTED_VALUE"""),"KAIBUTSUSAN (feat. Aimyon)")</f>
        <v>KAIBUTSUSAN (feat. Aimyon)</v>
      </c>
      <c r="G1632">
        <f>IFERROR(__xludf.DUMMYFUNCTION("""COMPUTED_VALUE"""),0.0)</f>
        <v>0</v>
      </c>
      <c r="H1632" s="5">
        <f>IFERROR(__xludf.DUMMYFUNCTION("""COMPUTED_VALUE"""),0.1694444444437977)</f>
        <v>0.1694444444</v>
      </c>
    </row>
    <row r="1633">
      <c r="A1633" t="str">
        <f>IFERROR(__xludf.DUMMYFUNCTION("""COMPUTED_VALUE"""),"Japan")</f>
        <v>Japan</v>
      </c>
      <c r="B1633" t="str">
        <f>IFERROR(__xludf.DUMMYFUNCTION("""COMPUTED_VALUE"""),"Asia")</f>
        <v>Asia</v>
      </c>
      <c r="C1633">
        <f>IFERROR(__xludf.DUMMYFUNCTION("""COMPUTED_VALUE"""),32.0)</f>
        <v>32</v>
      </c>
      <c r="D1633" t="str">
        <f>IFERROR(__xludf.DUMMYFUNCTION("""COMPUTED_VALUE"""),"Doron")</f>
        <v>Doron</v>
      </c>
      <c r="E1633" t="str">
        <f>IFERROR(__xludf.DUMMYFUNCTION("""COMPUTED_VALUE"""),"King Gnu")</f>
        <v>King Gnu</v>
      </c>
      <c r="F1633" t="str">
        <f>IFERROR(__xludf.DUMMYFUNCTION("""COMPUTED_VALUE"""),"Ceremony")</f>
        <v>Ceremony</v>
      </c>
      <c r="G1633">
        <f>IFERROR(__xludf.DUMMYFUNCTION("""COMPUTED_VALUE"""),0.0)</f>
        <v>0</v>
      </c>
      <c r="H1633" s="5">
        <f>IFERROR(__xludf.DUMMYFUNCTION("""COMPUTED_VALUE"""),0.12638888888977817)</f>
        <v>0.1263888889</v>
      </c>
    </row>
    <row r="1634">
      <c r="A1634" t="str">
        <f>IFERROR(__xludf.DUMMYFUNCTION("""COMPUTED_VALUE"""),"Japan")</f>
        <v>Japan</v>
      </c>
      <c r="B1634" t="str">
        <f>IFERROR(__xludf.DUMMYFUNCTION("""COMPUTED_VALUE"""),"Asia")</f>
        <v>Asia</v>
      </c>
      <c r="C1634">
        <f>IFERROR(__xludf.DUMMYFUNCTION("""COMPUTED_VALUE"""),33.0)</f>
        <v>33</v>
      </c>
      <c r="D1634" t="str">
        <f>IFERROR(__xludf.DUMMYFUNCTION("""COMPUTED_VALUE"""),"ロマンチシズム")</f>
        <v>ロマンチシズム</v>
      </c>
      <c r="E1634" t="str">
        <f>IFERROR(__xludf.DUMMYFUNCTION("""COMPUTED_VALUE"""),"Mrs. GREEN APPLE")</f>
        <v>Mrs. GREEN APPLE</v>
      </c>
      <c r="F1634" t="str">
        <f>IFERROR(__xludf.DUMMYFUNCTION("""COMPUTED_VALUE"""),"Attitude")</f>
        <v>Attitude</v>
      </c>
      <c r="G1634">
        <f>IFERROR(__xludf.DUMMYFUNCTION("""COMPUTED_VALUE"""),0.0)</f>
        <v>0</v>
      </c>
      <c r="H1634" s="5">
        <f>IFERROR(__xludf.DUMMYFUNCTION("""COMPUTED_VALUE"""),0.14791666666496894)</f>
        <v>0.1479166667</v>
      </c>
    </row>
    <row r="1635">
      <c r="A1635" t="str">
        <f>IFERROR(__xludf.DUMMYFUNCTION("""COMPUTED_VALUE"""),"Japan")</f>
        <v>Japan</v>
      </c>
      <c r="B1635" t="str">
        <f>IFERROR(__xludf.DUMMYFUNCTION("""COMPUTED_VALUE"""),"Asia")</f>
        <v>Asia</v>
      </c>
      <c r="C1635">
        <f>IFERROR(__xludf.DUMMYFUNCTION("""COMPUTED_VALUE"""),34.0)</f>
        <v>34</v>
      </c>
      <c r="D1635" t="str">
        <f>IFERROR(__xludf.DUMMYFUNCTION("""COMPUTED_VALUE"""),"No Regret")</f>
        <v>No Regret</v>
      </c>
      <c r="E1635" t="str">
        <f>IFERROR(__xludf.DUMMYFUNCTION("""COMPUTED_VALUE"""),"wacci")</f>
        <v>wacci</v>
      </c>
      <c r="F1635" t="str">
        <f>IFERROR(__xludf.DUMMYFUNCTION("""COMPUTED_VALUE"""),"Gunjo Refrain")</f>
        <v>Gunjo Refrain</v>
      </c>
      <c r="G1635">
        <f>IFERROR(__xludf.DUMMYFUNCTION("""COMPUTED_VALUE"""),0.0)</f>
        <v>0</v>
      </c>
      <c r="H1635" s="5">
        <f>IFERROR(__xludf.DUMMYFUNCTION("""COMPUTED_VALUE"""),0.21111111111167702)</f>
        <v>0.2111111111</v>
      </c>
    </row>
    <row r="1636">
      <c r="A1636" t="str">
        <f>IFERROR(__xludf.DUMMYFUNCTION("""COMPUTED_VALUE"""),"Japan")</f>
        <v>Japan</v>
      </c>
      <c r="B1636" t="str">
        <f>IFERROR(__xludf.DUMMYFUNCTION("""COMPUTED_VALUE"""),"Asia")</f>
        <v>Asia</v>
      </c>
      <c r="C1636">
        <f>IFERROR(__xludf.DUMMYFUNCTION("""COMPUTED_VALUE"""),35.0)</f>
        <v>35</v>
      </c>
      <c r="D1636" t="str">
        <f>IFERROR(__xludf.DUMMYFUNCTION("""COMPUTED_VALUE"""),"Teenager Forever")</f>
        <v>Teenager Forever</v>
      </c>
      <c r="E1636" t="str">
        <f>IFERROR(__xludf.DUMMYFUNCTION("""COMPUTED_VALUE"""),"King Gnu")</f>
        <v>King Gnu</v>
      </c>
      <c r="F1636" t="str">
        <f>IFERROR(__xludf.DUMMYFUNCTION("""COMPUTED_VALUE"""),"Ceremony")</f>
        <v>Ceremony</v>
      </c>
      <c r="G1636">
        <f>IFERROR(__xludf.DUMMYFUNCTION("""COMPUTED_VALUE"""),0.0)</f>
        <v>0</v>
      </c>
      <c r="H1636" s="5">
        <f>IFERROR(__xludf.DUMMYFUNCTION("""COMPUTED_VALUE"""),0.1312499999985448)</f>
        <v>0.13125</v>
      </c>
    </row>
    <row r="1637">
      <c r="A1637" t="str">
        <f>IFERROR(__xludf.DUMMYFUNCTION("""COMPUTED_VALUE"""),"Japan")</f>
        <v>Japan</v>
      </c>
      <c r="B1637" t="str">
        <f>IFERROR(__xludf.DUMMYFUNCTION("""COMPUTED_VALUE"""),"Asia")</f>
        <v>Asia</v>
      </c>
      <c r="C1637">
        <f>IFERROR(__xludf.DUMMYFUNCTION("""COMPUTED_VALUE"""),36.0)</f>
        <v>36</v>
      </c>
      <c r="D1637" t="str">
        <f>IFERROR(__xludf.DUMMYFUNCTION("""COMPUTED_VALUE"""),"HANABI")</f>
        <v>HANABI</v>
      </c>
      <c r="E1637" t="str">
        <f>IFERROR(__xludf.DUMMYFUNCTION("""COMPUTED_VALUE"""),"Mr.Children")</f>
        <v>Mr.Children</v>
      </c>
      <c r="F1637" t="str">
        <f>IFERROR(__xludf.DUMMYFUNCTION("""COMPUTED_VALUE"""),"SUPERMARKET FANTASY")</f>
        <v>SUPERMARKET FANTASY</v>
      </c>
      <c r="G1637">
        <f>IFERROR(__xludf.DUMMYFUNCTION("""COMPUTED_VALUE"""),0.0)</f>
        <v>0</v>
      </c>
      <c r="H1637" s="5">
        <f>IFERROR(__xludf.DUMMYFUNCTION("""COMPUTED_VALUE"""),0.2374999999992724)</f>
        <v>0.2375</v>
      </c>
    </row>
    <row r="1638">
      <c r="A1638" t="str">
        <f>IFERROR(__xludf.DUMMYFUNCTION("""COMPUTED_VALUE"""),"Japan")</f>
        <v>Japan</v>
      </c>
      <c r="B1638" t="str">
        <f>IFERROR(__xludf.DUMMYFUNCTION("""COMPUTED_VALUE"""),"Asia")</f>
        <v>Asia</v>
      </c>
      <c r="C1638">
        <f>IFERROR(__xludf.DUMMYFUNCTION("""COMPUTED_VALUE"""),37.0)</f>
        <v>37</v>
      </c>
      <c r="D1638" t="str">
        <f>IFERROR(__xludf.DUMMYFUNCTION("""COMPUTED_VALUE"""),"Let the Night")</f>
        <v>Let the Night</v>
      </c>
      <c r="E1638" t="str">
        <f>IFERROR(__xludf.DUMMYFUNCTION("""COMPUTED_VALUE"""),"Aimyon")</f>
        <v>Aimyon</v>
      </c>
      <c r="F1638" t="str">
        <f>IFERROR(__xludf.DUMMYFUNCTION("""COMPUTED_VALUE"""),"Momentary Sixth Sense")</f>
        <v>Momentary Sixth Sense</v>
      </c>
      <c r="G1638">
        <f>IFERROR(__xludf.DUMMYFUNCTION("""COMPUTED_VALUE"""),0.0)</f>
        <v>0</v>
      </c>
      <c r="H1638" s="5">
        <f>IFERROR(__xludf.DUMMYFUNCTION("""COMPUTED_VALUE"""),0.16527777777810115)</f>
        <v>0.1652777778</v>
      </c>
    </row>
    <row r="1639">
      <c r="A1639" t="str">
        <f>IFERROR(__xludf.DUMMYFUNCTION("""COMPUTED_VALUE"""),"Japan")</f>
        <v>Japan</v>
      </c>
      <c r="B1639" t="str">
        <f>IFERROR(__xludf.DUMMYFUNCTION("""COMPUTED_VALUE"""),"Asia")</f>
        <v>Asia</v>
      </c>
      <c r="C1639">
        <f>IFERROR(__xludf.DUMMYFUNCTION("""COMPUTED_VALUE"""),38.0)</f>
        <v>38</v>
      </c>
      <c r="D1639" t="str">
        <f>IFERROR(__xludf.DUMMYFUNCTION("""COMPUTED_VALUE"""),"奏(かなで)")</f>
        <v>奏(かなで)</v>
      </c>
      <c r="E1639" t="str">
        <f>IFERROR(__xludf.DUMMYFUNCTION("""COMPUTED_VALUE"""),"Sukima Switch")</f>
        <v>Sukima Switch</v>
      </c>
      <c r="F1639" t="str">
        <f>IFERROR(__xludf.DUMMYFUNCTION("""COMPUTED_VALUE"""),"夏雲ノイズ")</f>
        <v>夏雲ノイズ</v>
      </c>
      <c r="G1639">
        <f>IFERROR(__xludf.DUMMYFUNCTION("""COMPUTED_VALUE"""),0.0)</f>
        <v>0</v>
      </c>
      <c r="H1639" s="5">
        <f>IFERROR(__xludf.DUMMYFUNCTION("""COMPUTED_VALUE"""),0.22777777777810115)</f>
        <v>0.2277777778</v>
      </c>
    </row>
    <row r="1640">
      <c r="A1640" t="str">
        <f>IFERROR(__xludf.DUMMYFUNCTION("""COMPUTED_VALUE"""),"Japan")</f>
        <v>Japan</v>
      </c>
      <c r="B1640" t="str">
        <f>IFERROR(__xludf.DUMMYFUNCTION("""COMPUTED_VALUE"""),"Asia")</f>
        <v>Asia</v>
      </c>
      <c r="C1640">
        <f>IFERROR(__xludf.DUMMYFUNCTION("""COMPUTED_VALUE"""),39.0)</f>
        <v>39</v>
      </c>
      <c r="D1640" t="str">
        <f>IFERROR(__xludf.DUMMYFUNCTION("""COMPUTED_VALUE"""),"ハッピーエンド")</f>
        <v>ハッピーエンド</v>
      </c>
      <c r="E1640" t="str">
        <f>IFERROR(__xludf.DUMMYFUNCTION("""COMPUTED_VALUE"""),"back number")</f>
        <v>back number</v>
      </c>
      <c r="F1640" t="str">
        <f>IFERROR(__xludf.DUMMYFUNCTION("""COMPUTED_VALUE"""),"アンコール")</f>
        <v>アンコール</v>
      </c>
      <c r="G1640">
        <f>IFERROR(__xludf.DUMMYFUNCTION("""COMPUTED_VALUE"""),0.0)</f>
        <v>0</v>
      </c>
      <c r="H1640" s="5">
        <f>IFERROR(__xludf.DUMMYFUNCTION("""COMPUTED_VALUE"""),0.2180555555569299)</f>
        <v>0.2180555556</v>
      </c>
    </row>
    <row r="1641">
      <c r="A1641" t="str">
        <f>IFERROR(__xludf.DUMMYFUNCTION("""COMPUTED_VALUE"""),"Japan")</f>
        <v>Japan</v>
      </c>
      <c r="B1641" t="str">
        <f>IFERROR(__xludf.DUMMYFUNCTION("""COMPUTED_VALUE"""),"Asia")</f>
        <v>Asia</v>
      </c>
      <c r="C1641">
        <f>IFERROR(__xludf.DUMMYFUNCTION("""COMPUTED_VALUE"""),40.0)</f>
        <v>40</v>
      </c>
      <c r="D1641" t="str">
        <f>IFERROR(__xludf.DUMMYFUNCTION("""COMPUTED_VALUE"""),"Time")</f>
        <v>Time</v>
      </c>
      <c r="E1641" t="str">
        <f>IFERROR(__xludf.DUMMYFUNCTION("""COMPUTED_VALUE"""),"Hikaru Utada")</f>
        <v>Hikaru Utada</v>
      </c>
      <c r="F1641" t="str">
        <f>IFERROR(__xludf.DUMMYFUNCTION("""COMPUTED_VALUE"""),"Time")</f>
        <v>Time</v>
      </c>
      <c r="G1641">
        <f>IFERROR(__xludf.DUMMYFUNCTION("""COMPUTED_VALUE"""),0.0)</f>
        <v>0</v>
      </c>
      <c r="H1641" s="5">
        <f>IFERROR(__xludf.DUMMYFUNCTION("""COMPUTED_VALUE"""),0.2062499999992724)</f>
        <v>0.20625</v>
      </c>
    </row>
    <row r="1642">
      <c r="A1642" t="str">
        <f>IFERROR(__xludf.DUMMYFUNCTION("""COMPUTED_VALUE"""),"Japan")</f>
        <v>Japan</v>
      </c>
      <c r="B1642" t="str">
        <f>IFERROR(__xludf.DUMMYFUNCTION("""COMPUTED_VALUE"""),"Asia")</f>
        <v>Asia</v>
      </c>
      <c r="C1642">
        <f>IFERROR(__xludf.DUMMYFUNCTION("""COMPUTED_VALUE"""),41.0)</f>
        <v>41</v>
      </c>
      <c r="D1642" t="str">
        <f>IFERROR(__xludf.DUMMYFUNCTION("""COMPUTED_VALUE"""),"Turning Up")</f>
        <v>Turning Up</v>
      </c>
      <c r="E1642" t="str">
        <f>IFERROR(__xludf.DUMMYFUNCTION("""COMPUTED_VALUE"""),"ARASHI")</f>
        <v>ARASHI</v>
      </c>
      <c r="F1642" t="str">
        <f>IFERROR(__xludf.DUMMYFUNCTION("""COMPUTED_VALUE"""),"Turning Up")</f>
        <v>Turning Up</v>
      </c>
      <c r="G1642">
        <f>IFERROR(__xludf.DUMMYFUNCTION("""COMPUTED_VALUE"""),0.0)</f>
        <v>0</v>
      </c>
      <c r="H1642" s="5">
        <f>IFERROR(__xludf.DUMMYFUNCTION("""COMPUTED_VALUE"""),0.12638888888977817)</f>
        <v>0.1263888889</v>
      </c>
    </row>
    <row r="1643">
      <c r="A1643" t="str">
        <f>IFERROR(__xludf.DUMMYFUNCTION("""COMPUTED_VALUE"""),"Japan")</f>
        <v>Japan</v>
      </c>
      <c r="B1643" t="str">
        <f>IFERROR(__xludf.DUMMYFUNCTION("""COMPUTED_VALUE"""),"Asia")</f>
        <v>Asia</v>
      </c>
      <c r="C1643">
        <f>IFERROR(__xludf.DUMMYFUNCTION("""COMPUTED_VALUE"""),42.0)</f>
        <v>42</v>
      </c>
      <c r="D1643" t="str">
        <f>IFERROR(__xludf.DUMMYFUNCTION("""COMPUTED_VALUE"""),"小さな恋のうた")</f>
        <v>小さな恋のうた</v>
      </c>
      <c r="E1643" t="str">
        <f>IFERROR(__xludf.DUMMYFUNCTION("""COMPUTED_VALUE"""),"MONGOL800")</f>
        <v>MONGOL800</v>
      </c>
      <c r="F1643" t="str">
        <f>IFERROR(__xludf.DUMMYFUNCTION("""COMPUTED_VALUE"""),"MESSAGE")</f>
        <v>MESSAGE</v>
      </c>
      <c r="G1643">
        <f>IFERROR(__xludf.DUMMYFUNCTION("""COMPUTED_VALUE"""),0.0)</f>
        <v>0</v>
      </c>
      <c r="H1643" s="5">
        <f>IFERROR(__xludf.DUMMYFUNCTION("""COMPUTED_VALUE"""),0.15416666666715173)</f>
        <v>0.1541666667</v>
      </c>
    </row>
    <row r="1644">
      <c r="A1644" t="str">
        <f>IFERROR(__xludf.DUMMYFUNCTION("""COMPUTED_VALUE"""),"Japan")</f>
        <v>Japan</v>
      </c>
      <c r="B1644" t="str">
        <f>IFERROR(__xludf.DUMMYFUNCTION("""COMPUTED_VALUE"""),"Asia")</f>
        <v>Asia</v>
      </c>
      <c r="C1644">
        <f>IFERROR(__xludf.DUMMYFUNCTION("""COMPUTED_VALUE"""),43.0)</f>
        <v>43</v>
      </c>
      <c r="D1644" t="str">
        <f>IFERROR(__xludf.DUMMYFUNCTION("""COMPUTED_VALUE"""),"366日")</f>
        <v>366日</v>
      </c>
      <c r="E1644" t="str">
        <f>IFERROR(__xludf.DUMMYFUNCTION("""COMPUTED_VALUE"""),"HY")</f>
        <v>HY</v>
      </c>
      <c r="F1644" t="str">
        <f>IFERROR(__xludf.DUMMYFUNCTION("""COMPUTED_VALUE"""),"HeartY")</f>
        <v>HeartY</v>
      </c>
      <c r="G1644">
        <f>IFERROR(__xludf.DUMMYFUNCTION("""COMPUTED_VALUE"""),0.0)</f>
        <v>0</v>
      </c>
      <c r="H1644" s="5">
        <f>IFERROR(__xludf.DUMMYFUNCTION("""COMPUTED_VALUE"""),0.2444444444445253)</f>
        <v>0.2444444444</v>
      </c>
    </row>
    <row r="1645">
      <c r="A1645" t="str">
        <f>IFERROR(__xludf.DUMMYFUNCTION("""COMPUTED_VALUE"""),"Japan")</f>
        <v>Japan</v>
      </c>
      <c r="B1645" t="str">
        <f>IFERROR(__xludf.DUMMYFUNCTION("""COMPUTED_VALUE"""),"Asia")</f>
        <v>Asia</v>
      </c>
      <c r="C1645">
        <f>IFERROR(__xludf.DUMMYFUNCTION("""COMPUTED_VALUE"""),44.0)</f>
        <v>44</v>
      </c>
      <c r="D1645" t="str">
        <f>IFERROR(__xludf.DUMMYFUNCTION("""COMPUTED_VALUE"""),"ワタリドリ")</f>
        <v>ワタリドリ</v>
      </c>
      <c r="E1645" t="str">
        <f>IFERROR(__xludf.DUMMYFUNCTION("""COMPUTED_VALUE"""),"[Alexandros]")</f>
        <v>[Alexandros]</v>
      </c>
      <c r="F1645" t="str">
        <f>IFERROR(__xludf.DUMMYFUNCTION("""COMPUTED_VALUE"""),"ALXD")</f>
        <v>ALXD</v>
      </c>
      <c r="G1645">
        <f>IFERROR(__xludf.DUMMYFUNCTION("""COMPUTED_VALUE"""),0.0)</f>
        <v>0</v>
      </c>
      <c r="H1645" s="5">
        <f>IFERROR(__xludf.DUMMYFUNCTION("""COMPUTED_VALUE"""),0.17222222222335404)</f>
        <v>0.1722222222</v>
      </c>
    </row>
    <row r="1646">
      <c r="A1646" t="str">
        <f>IFERROR(__xludf.DUMMYFUNCTION("""COMPUTED_VALUE"""),"Japan")</f>
        <v>Japan</v>
      </c>
      <c r="B1646" t="str">
        <f>IFERROR(__xludf.DUMMYFUNCTION("""COMPUTED_VALUE"""),"Asia")</f>
        <v>Asia</v>
      </c>
      <c r="C1646">
        <f>IFERROR(__xludf.DUMMYFUNCTION("""COMPUTED_VALUE"""),45.0)</f>
        <v>45</v>
      </c>
      <c r="D1646" t="str">
        <f>IFERROR(__xludf.DUMMYFUNCTION("""COMPUTED_VALUE"""),"Wherever you are")</f>
        <v>Wherever you are</v>
      </c>
      <c r="E1646" t="str">
        <f>IFERROR(__xludf.DUMMYFUNCTION("""COMPUTED_VALUE"""),"ONE OK ROCK")</f>
        <v>ONE OK ROCK</v>
      </c>
      <c r="F1646" t="str">
        <f>IFERROR(__xludf.DUMMYFUNCTION("""COMPUTED_VALUE"""),"Niche Syndrome")</f>
        <v>Niche Syndrome</v>
      </c>
      <c r="G1646">
        <f>IFERROR(__xludf.DUMMYFUNCTION("""COMPUTED_VALUE"""),0.0)</f>
        <v>0</v>
      </c>
      <c r="H1646" s="5">
        <f>IFERROR(__xludf.DUMMYFUNCTION("""COMPUTED_VALUE"""),0.20486111110949423)</f>
        <v>0.2048611111</v>
      </c>
    </row>
    <row r="1647">
      <c r="A1647" t="str">
        <f>IFERROR(__xludf.DUMMYFUNCTION("""COMPUTED_VALUE"""),"Japan")</f>
        <v>Japan</v>
      </c>
      <c r="B1647" t="str">
        <f>IFERROR(__xludf.DUMMYFUNCTION("""COMPUTED_VALUE"""),"Asia")</f>
        <v>Asia</v>
      </c>
      <c r="C1647">
        <f>IFERROR(__xludf.DUMMYFUNCTION("""COMPUTED_VALUE"""),46.0)</f>
        <v>46</v>
      </c>
      <c r="D1647" t="str">
        <f>IFERROR(__xludf.DUMMYFUNCTION("""COMPUTED_VALUE"""),"Vintage")</f>
        <v>Vintage</v>
      </c>
      <c r="E1647" t="str">
        <f>IFERROR(__xludf.DUMMYFUNCTION("""COMPUTED_VALUE"""),"Official HIGE DANdism")</f>
        <v>Official HIGE DANdism</v>
      </c>
      <c r="F1647" t="str">
        <f>IFERROR(__xludf.DUMMYFUNCTION("""COMPUTED_VALUE"""),"Traveler")</f>
        <v>Traveler</v>
      </c>
      <c r="G1647">
        <f>IFERROR(__xludf.DUMMYFUNCTION("""COMPUTED_VALUE"""),0.0)</f>
        <v>0</v>
      </c>
      <c r="H1647" s="5">
        <f>IFERROR(__xludf.DUMMYFUNCTION("""COMPUTED_VALUE"""),0.1749999999992724)</f>
        <v>0.175</v>
      </c>
    </row>
    <row r="1648">
      <c r="A1648" t="str">
        <f>IFERROR(__xludf.DUMMYFUNCTION("""COMPUTED_VALUE"""),"Japan")</f>
        <v>Japan</v>
      </c>
      <c r="B1648" t="str">
        <f>IFERROR(__xludf.DUMMYFUNCTION("""COMPUTED_VALUE"""),"Asia")</f>
        <v>Asia</v>
      </c>
      <c r="C1648">
        <f>IFERROR(__xludf.DUMMYFUNCTION("""COMPUTED_VALUE"""),47.0)</f>
        <v>47</v>
      </c>
      <c r="D1648" t="str">
        <f>IFERROR(__xludf.DUMMYFUNCTION("""COMPUTED_VALUE"""),"Umbrella")</f>
        <v>Umbrella</v>
      </c>
      <c r="E1648" t="str">
        <f>IFERROR(__xludf.DUMMYFUNCTION("""COMPUTED_VALUE"""),"King Gnu")</f>
        <v>King Gnu</v>
      </c>
      <c r="F1648" t="str">
        <f>IFERROR(__xludf.DUMMYFUNCTION("""COMPUTED_VALUE"""),"Ceremony")</f>
        <v>Ceremony</v>
      </c>
      <c r="G1648">
        <f>IFERROR(__xludf.DUMMYFUNCTION("""COMPUTED_VALUE"""),0.0)</f>
        <v>0</v>
      </c>
      <c r="H1648" s="5">
        <f>IFERROR(__xludf.DUMMYFUNCTION("""COMPUTED_VALUE"""),0.14097222222335404)</f>
        <v>0.1409722222</v>
      </c>
    </row>
    <row r="1649">
      <c r="A1649" t="str">
        <f>IFERROR(__xludf.DUMMYFUNCTION("""COMPUTED_VALUE"""),"Japan")</f>
        <v>Japan</v>
      </c>
      <c r="B1649" t="str">
        <f>IFERROR(__xludf.DUMMYFUNCTION("""COMPUTED_VALUE"""),"Asia")</f>
        <v>Asia</v>
      </c>
      <c r="C1649">
        <f>IFERROR(__xludf.DUMMYFUNCTION("""COMPUTED_VALUE"""),48.0)</f>
        <v>48</v>
      </c>
      <c r="D1649" t="str">
        <f>IFERROR(__xludf.DUMMYFUNCTION("""COMPUTED_VALUE"""),"打上花火")</f>
        <v>打上花火</v>
      </c>
      <c r="E1649" t="str">
        <f>IFERROR(__xludf.DUMMYFUNCTION("""COMPUTED_VALUE"""),"DAOKO, Kenshi Yonezu")</f>
        <v>DAOKO, Kenshi Yonezu</v>
      </c>
      <c r="F1649" t="str">
        <f>IFERROR(__xludf.DUMMYFUNCTION("""COMPUTED_VALUE"""),"THANK YOU BLUE")</f>
        <v>THANK YOU BLUE</v>
      </c>
      <c r="G1649">
        <f>IFERROR(__xludf.DUMMYFUNCTION("""COMPUTED_VALUE"""),0.0)</f>
        <v>0</v>
      </c>
      <c r="H1649" s="5">
        <f>IFERROR(__xludf.DUMMYFUNCTION("""COMPUTED_VALUE"""),0.2006944444437977)</f>
        <v>0.2006944444</v>
      </c>
    </row>
    <row r="1650">
      <c r="A1650" t="str">
        <f>IFERROR(__xludf.DUMMYFUNCTION("""COMPUTED_VALUE"""),"Japan")</f>
        <v>Japan</v>
      </c>
      <c r="B1650" t="str">
        <f>IFERROR(__xludf.DUMMYFUNCTION("""COMPUTED_VALUE"""),"Asia")</f>
        <v>Asia</v>
      </c>
      <c r="C1650">
        <f>IFERROR(__xludf.DUMMYFUNCTION("""COMPUTED_VALUE"""),49.0)</f>
        <v>49</v>
      </c>
      <c r="D1650" t="str">
        <f>IFERROR(__xludf.DUMMYFUNCTION("""COMPUTED_VALUE"""),"Closer - Tokyo Remix")</f>
        <v>Closer - Tokyo Remix</v>
      </c>
      <c r="E1650" t="str">
        <f>IFERROR(__xludf.DUMMYFUNCTION("""COMPUTED_VALUE"""),"The Chainsmokers, Mackenyu Arata")</f>
        <v>The Chainsmokers, Mackenyu Arata</v>
      </c>
      <c r="F1650" t="str">
        <f>IFERROR(__xludf.DUMMYFUNCTION("""COMPUTED_VALUE"""),"World War Joy (Japan Edition)")</f>
        <v>World War Joy (Japan Edition)</v>
      </c>
      <c r="G1650">
        <f>IFERROR(__xludf.DUMMYFUNCTION("""COMPUTED_VALUE"""),0.0)</f>
        <v>0</v>
      </c>
      <c r="H1650" s="5">
        <f>IFERROR(__xludf.DUMMYFUNCTION("""COMPUTED_VALUE"""),0.17083333333357587)</f>
        <v>0.1708333333</v>
      </c>
    </row>
    <row r="1651">
      <c r="A1651" t="str">
        <f>IFERROR(__xludf.DUMMYFUNCTION("""COMPUTED_VALUE"""),"Japan")</f>
        <v>Japan</v>
      </c>
      <c r="B1651" t="str">
        <f>IFERROR(__xludf.DUMMYFUNCTION("""COMPUTED_VALUE"""),"Asia")</f>
        <v>Asia</v>
      </c>
      <c r="C1651">
        <f>IFERROR(__xludf.DUMMYFUNCTION("""COMPUTED_VALUE"""),50.0)</f>
        <v>50</v>
      </c>
      <c r="D1651" t="str">
        <f>IFERROR(__xludf.DUMMYFUNCTION("""COMPUTED_VALUE"""),"愛をこめて花束を")</f>
        <v>愛をこめて花束を</v>
      </c>
      <c r="E1651" t="str">
        <f>IFERROR(__xludf.DUMMYFUNCTION("""COMPUTED_VALUE"""),"Superfly")</f>
        <v>Superfly</v>
      </c>
      <c r="F1651" t="str">
        <f>IFERROR(__xludf.DUMMYFUNCTION("""COMPUTED_VALUE"""),"LOVE, PEACE &amp; FIRE")</f>
        <v>LOVE, PEACE &amp; FIRE</v>
      </c>
      <c r="G1651">
        <f>IFERROR(__xludf.DUMMYFUNCTION("""COMPUTED_VALUE"""),0.0)</f>
        <v>0</v>
      </c>
      <c r="H1651" s="5">
        <f>IFERROR(__xludf.DUMMYFUNCTION("""COMPUTED_VALUE"""),0.2055555555562023)</f>
        <v>0.2055555556</v>
      </c>
    </row>
    <row r="1652">
      <c r="A1652" t="str">
        <f>IFERROR(__xludf.DUMMYFUNCTION("""COMPUTED_VALUE"""),"Latvia")</f>
        <v>Latvia</v>
      </c>
      <c r="B1652" t="str">
        <f>IFERROR(__xludf.DUMMYFUNCTION("""COMPUTED_VALUE"""),"Europe")</f>
        <v>Europe</v>
      </c>
      <c r="C1652">
        <f>IFERROR(__xludf.DUMMYFUNCTION("""COMPUTED_VALUE"""),1.0)</f>
        <v>1</v>
      </c>
      <c r="D1652" t="str">
        <f>IFERROR(__xludf.DUMMYFUNCTION("""COMPUTED_VALUE"""),"Roses - Imanbek Remix")</f>
        <v>Roses - Imanbek Remix</v>
      </c>
      <c r="E1652" t="str">
        <f>IFERROR(__xludf.DUMMYFUNCTION("""COMPUTED_VALUE"""),"SAINt JHN, Imanbek")</f>
        <v>SAINt JHN, Imanbek</v>
      </c>
      <c r="F1652" t="str">
        <f>IFERROR(__xludf.DUMMYFUNCTION("""COMPUTED_VALUE"""),"Roses (Imanbek Remix)")</f>
        <v>Roses (Imanbek Remix)</v>
      </c>
      <c r="G1652">
        <f>IFERROR(__xludf.DUMMYFUNCTION("""COMPUTED_VALUE"""),1.0)</f>
        <v>1</v>
      </c>
      <c r="H1652" s="5">
        <f>IFERROR(__xludf.DUMMYFUNCTION("""COMPUTED_VALUE"""),0.12222222222044365)</f>
        <v>0.1222222222</v>
      </c>
    </row>
    <row r="1653">
      <c r="A1653" t="str">
        <f>IFERROR(__xludf.DUMMYFUNCTION("""COMPUTED_VALUE"""),"Latvia")</f>
        <v>Latvia</v>
      </c>
      <c r="B1653" t="str">
        <f>IFERROR(__xludf.DUMMYFUNCTION("""COMPUTED_VALUE"""),"Europe")</f>
        <v>Europe</v>
      </c>
      <c r="C1653">
        <f>IFERROR(__xludf.DUMMYFUNCTION("""COMPUTED_VALUE"""),2.0)</f>
        <v>2</v>
      </c>
      <c r="D1653" t="str">
        <f>IFERROR(__xludf.DUMMYFUNCTION("""COMPUTED_VALUE"""),"Blinding Lights")</f>
        <v>Blinding Lights</v>
      </c>
      <c r="E1653" t="str">
        <f>IFERROR(__xludf.DUMMYFUNCTION("""COMPUTED_VALUE"""),"The Weeknd")</f>
        <v>The Weeknd</v>
      </c>
      <c r="F1653" t="str">
        <f>IFERROR(__xludf.DUMMYFUNCTION("""COMPUTED_VALUE"""),"After Hours")</f>
        <v>After Hours</v>
      </c>
      <c r="G1653">
        <f>IFERROR(__xludf.DUMMYFUNCTION("""COMPUTED_VALUE"""),0.0)</f>
        <v>0</v>
      </c>
      <c r="H1653" s="5">
        <f>IFERROR(__xludf.DUMMYFUNCTION("""COMPUTED_VALUE"""),0.13888888889050577)</f>
        <v>0.1388888889</v>
      </c>
    </row>
    <row r="1654">
      <c r="A1654" t="str">
        <f>IFERROR(__xludf.DUMMYFUNCTION("""COMPUTED_VALUE"""),"Latvia")</f>
        <v>Latvia</v>
      </c>
      <c r="B1654" t="str">
        <f>IFERROR(__xludf.DUMMYFUNCTION("""COMPUTED_VALUE"""),"Europe")</f>
        <v>Europe</v>
      </c>
      <c r="C1654">
        <f>IFERROR(__xludf.DUMMYFUNCTION("""COMPUTED_VALUE"""),3.0)</f>
        <v>3</v>
      </c>
      <c r="D1654" t="str">
        <f>IFERROR(__xludf.DUMMYFUNCTION("""COMPUTED_VALUE"""),"ROCKSTAR (feat. Roddy Ricch)")</f>
        <v>ROCKSTAR (feat. Roddy Ricch)</v>
      </c>
      <c r="E1654" t="str">
        <f>IFERROR(__xludf.DUMMYFUNCTION("""COMPUTED_VALUE"""),"DaBaby, Roddy Ricch")</f>
        <v>DaBaby, Roddy Ricch</v>
      </c>
      <c r="F1654" t="str">
        <f>IFERROR(__xludf.DUMMYFUNCTION("""COMPUTED_VALUE"""),"BLAME IT ON BABY")</f>
        <v>BLAME IT ON BABY</v>
      </c>
      <c r="G1654">
        <f>IFERROR(__xludf.DUMMYFUNCTION("""COMPUTED_VALUE"""),1.0)</f>
        <v>1</v>
      </c>
      <c r="H1654" s="5">
        <f>IFERROR(__xludf.DUMMYFUNCTION("""COMPUTED_VALUE"""),0.1256944444430701)</f>
        <v>0.1256944444</v>
      </c>
    </row>
    <row r="1655">
      <c r="A1655" t="str">
        <f>IFERROR(__xludf.DUMMYFUNCTION("""COMPUTED_VALUE"""),"Latvia")</f>
        <v>Latvia</v>
      </c>
      <c r="B1655" t="str">
        <f>IFERROR(__xludf.DUMMYFUNCTION("""COMPUTED_VALUE"""),"Europe")</f>
        <v>Europe</v>
      </c>
      <c r="C1655">
        <f>IFERROR(__xludf.DUMMYFUNCTION("""COMPUTED_VALUE"""),4.0)</f>
        <v>4</v>
      </c>
      <c r="D1655" t="str">
        <f>IFERROR(__xludf.DUMMYFUNCTION("""COMPUTED_VALUE"""),"GOOBA")</f>
        <v>GOOBA</v>
      </c>
      <c r="E1655" t="str">
        <f>IFERROR(__xludf.DUMMYFUNCTION("""COMPUTED_VALUE"""),"6ix9ine")</f>
        <v>6ix9ine</v>
      </c>
      <c r="F1655" t="str">
        <f>IFERROR(__xludf.DUMMYFUNCTION("""COMPUTED_VALUE"""),"GOOBA")</f>
        <v>GOOBA</v>
      </c>
      <c r="G1655">
        <f>IFERROR(__xludf.DUMMYFUNCTION("""COMPUTED_VALUE"""),1.0)</f>
        <v>1</v>
      </c>
      <c r="H1655" s="5">
        <f>IFERROR(__xludf.DUMMYFUNCTION("""COMPUTED_VALUE"""),0.09166666666715173)</f>
        <v>0.09166666667</v>
      </c>
    </row>
    <row r="1656">
      <c r="A1656" t="str">
        <f>IFERROR(__xludf.DUMMYFUNCTION("""COMPUTED_VALUE"""),"Latvia")</f>
        <v>Latvia</v>
      </c>
      <c r="B1656" t="str">
        <f>IFERROR(__xludf.DUMMYFUNCTION("""COMPUTED_VALUE"""),"Europe")</f>
        <v>Europe</v>
      </c>
      <c r="C1656">
        <f>IFERROR(__xludf.DUMMYFUNCTION("""COMPUTED_VALUE"""),5.0)</f>
        <v>5</v>
      </c>
      <c r="D1656" t="str">
        <f>IFERROR(__xludf.DUMMYFUNCTION("""COMPUTED_VALUE"""),"THE SCOTTS")</f>
        <v>THE SCOTTS</v>
      </c>
      <c r="E1656" t="str">
        <f>IFERROR(__xludf.DUMMYFUNCTION("""COMPUTED_VALUE"""),"THE SCOTTS, Travis Scott, Kid Cudi")</f>
        <v>THE SCOTTS, Travis Scott, Kid Cudi</v>
      </c>
      <c r="F1656" t="str">
        <f>IFERROR(__xludf.DUMMYFUNCTION("""COMPUTED_VALUE"""),"THE SCOTTS")</f>
        <v>THE SCOTTS</v>
      </c>
      <c r="G1656">
        <f>IFERROR(__xludf.DUMMYFUNCTION("""COMPUTED_VALUE"""),1.0)</f>
        <v>1</v>
      </c>
      <c r="H1656" s="5">
        <f>IFERROR(__xludf.DUMMYFUNCTION("""COMPUTED_VALUE"""),0.11458333333212067)</f>
        <v>0.1145833333</v>
      </c>
    </row>
    <row r="1657">
      <c r="A1657" t="str">
        <f>IFERROR(__xludf.DUMMYFUNCTION("""COMPUTED_VALUE"""),"Latvia")</f>
        <v>Latvia</v>
      </c>
      <c r="B1657" t="str">
        <f>IFERROR(__xludf.DUMMYFUNCTION("""COMPUTED_VALUE"""),"Europe")</f>
        <v>Europe</v>
      </c>
      <c r="C1657">
        <f>IFERROR(__xludf.DUMMYFUNCTION("""COMPUTED_VALUE"""),6.0)</f>
        <v>6</v>
      </c>
      <c r="D1657" t="str">
        <f>IFERROR(__xludf.DUMMYFUNCTION("""COMPUTED_VALUE"""),"Rain On Me (with Ariana Grande)")</f>
        <v>Rain On Me (with Ariana Grande)</v>
      </c>
      <c r="E1657" t="str">
        <f>IFERROR(__xludf.DUMMYFUNCTION("""COMPUTED_VALUE"""),"Lady Gaga, Ariana Grande")</f>
        <v>Lady Gaga, Ariana Grande</v>
      </c>
      <c r="F1657" t="str">
        <f>IFERROR(__xludf.DUMMYFUNCTION("""COMPUTED_VALUE"""),"Rain On Me (with Ariana Grande)")</f>
        <v>Rain On Me (with Ariana Grande)</v>
      </c>
      <c r="G1657">
        <f>IFERROR(__xludf.DUMMYFUNCTION("""COMPUTED_VALUE"""),0.0)</f>
        <v>0</v>
      </c>
      <c r="H1657" s="5">
        <f>IFERROR(__xludf.DUMMYFUNCTION("""COMPUTED_VALUE"""),0.12638888888977817)</f>
        <v>0.1263888889</v>
      </c>
    </row>
    <row r="1658">
      <c r="A1658" t="str">
        <f>IFERROR(__xludf.DUMMYFUNCTION("""COMPUTED_VALUE"""),"Latvia")</f>
        <v>Latvia</v>
      </c>
      <c r="B1658" t="str">
        <f>IFERROR(__xludf.DUMMYFUNCTION("""COMPUTED_VALUE"""),"Europe")</f>
        <v>Europe</v>
      </c>
      <c r="C1658">
        <f>IFERROR(__xludf.DUMMYFUNCTION("""COMPUTED_VALUE"""),7.0)</f>
        <v>7</v>
      </c>
      <c r="D1658" t="str">
        <f>IFERROR(__xludf.DUMMYFUNCTION("""COMPUTED_VALUE"""),"Toosie Slide")</f>
        <v>Toosie Slide</v>
      </c>
      <c r="E1658" t="str">
        <f>IFERROR(__xludf.DUMMYFUNCTION("""COMPUTED_VALUE"""),"Drake")</f>
        <v>Drake</v>
      </c>
      <c r="F1658" t="str">
        <f>IFERROR(__xludf.DUMMYFUNCTION("""COMPUTED_VALUE"""),"Dark Lane Demo Tapes")</f>
        <v>Dark Lane Demo Tapes</v>
      </c>
      <c r="G1658">
        <f>IFERROR(__xludf.DUMMYFUNCTION("""COMPUTED_VALUE"""),1.0)</f>
        <v>1</v>
      </c>
      <c r="H1658" s="5">
        <f>IFERROR(__xludf.DUMMYFUNCTION("""COMPUTED_VALUE"""),0.17152777777664596)</f>
        <v>0.1715277778</v>
      </c>
    </row>
    <row r="1659">
      <c r="A1659" t="str">
        <f>IFERROR(__xludf.DUMMYFUNCTION("""COMPUTED_VALUE"""),"Latvia")</f>
        <v>Latvia</v>
      </c>
      <c r="B1659" t="str">
        <f>IFERROR(__xludf.DUMMYFUNCTION("""COMPUTED_VALUE"""),"Europe")</f>
        <v>Europe</v>
      </c>
      <c r="C1659">
        <f>IFERROR(__xludf.DUMMYFUNCTION("""COMPUTED_VALUE"""),8.0)</f>
        <v>8</v>
      </c>
      <c r="D1659" t="str">
        <f>IFERROR(__xludf.DUMMYFUNCTION("""COMPUTED_VALUE"""),"The Box")</f>
        <v>The Box</v>
      </c>
      <c r="E1659" t="str">
        <f>IFERROR(__xludf.DUMMYFUNCTION("""COMPUTED_VALUE"""),"Roddy Ricch")</f>
        <v>Roddy Ricch</v>
      </c>
      <c r="F1659" t="str">
        <f>IFERROR(__xludf.DUMMYFUNCTION("""COMPUTED_VALUE"""),"Please Excuse Me For Being Antisocial")</f>
        <v>Please Excuse Me For Being Antisocial</v>
      </c>
      <c r="G1659">
        <f>IFERROR(__xludf.DUMMYFUNCTION("""COMPUTED_VALUE"""),1.0)</f>
        <v>1</v>
      </c>
      <c r="H1659" s="5">
        <f>IFERROR(__xludf.DUMMYFUNCTION("""COMPUTED_VALUE"""),0.13611111111094942)</f>
        <v>0.1361111111</v>
      </c>
    </row>
    <row r="1660">
      <c r="A1660" t="str">
        <f>IFERROR(__xludf.DUMMYFUNCTION("""COMPUTED_VALUE"""),"Latvia")</f>
        <v>Latvia</v>
      </c>
      <c r="B1660" t="str">
        <f>IFERROR(__xludf.DUMMYFUNCTION("""COMPUTED_VALUE"""),"Europe")</f>
        <v>Europe</v>
      </c>
      <c r="C1660">
        <f>IFERROR(__xludf.DUMMYFUNCTION("""COMPUTED_VALUE"""),9.0)</f>
        <v>9</v>
      </c>
      <c r="D1660" t="str">
        <f>IFERROR(__xludf.DUMMYFUNCTION("""COMPUTED_VALUE"""),"Blueberry Faygo")</f>
        <v>Blueberry Faygo</v>
      </c>
      <c r="E1660" t="str">
        <f>IFERROR(__xludf.DUMMYFUNCTION("""COMPUTED_VALUE"""),"Lil Mosey")</f>
        <v>Lil Mosey</v>
      </c>
      <c r="F1660" t="str">
        <f>IFERROR(__xludf.DUMMYFUNCTION("""COMPUTED_VALUE"""),"Certified Hitmaker")</f>
        <v>Certified Hitmaker</v>
      </c>
      <c r="G1660">
        <f>IFERROR(__xludf.DUMMYFUNCTION("""COMPUTED_VALUE"""),1.0)</f>
        <v>1</v>
      </c>
      <c r="H1660" s="5">
        <f>IFERROR(__xludf.DUMMYFUNCTION("""COMPUTED_VALUE"""),0.1124999999992724)</f>
        <v>0.1125</v>
      </c>
    </row>
    <row r="1661">
      <c r="A1661" t="str">
        <f>IFERROR(__xludf.DUMMYFUNCTION("""COMPUTED_VALUE"""),"Latvia")</f>
        <v>Latvia</v>
      </c>
      <c r="B1661" t="str">
        <f>IFERROR(__xludf.DUMMYFUNCTION("""COMPUTED_VALUE"""),"Europe")</f>
        <v>Europe</v>
      </c>
      <c r="C1661">
        <f>IFERROR(__xludf.DUMMYFUNCTION("""COMPUTED_VALUE"""),10.0)</f>
        <v>10</v>
      </c>
      <c r="D1661" t="str">
        <f>IFERROR(__xludf.DUMMYFUNCTION("""COMPUTED_VALUE"""),"death bed (coffee for your head) (feat. beabadoobee)")</f>
        <v>death bed (coffee for your head) (feat. beabadoobee)</v>
      </c>
      <c r="E1661" t="str">
        <f>IFERROR(__xludf.DUMMYFUNCTION("""COMPUTED_VALUE"""),"Powfu, beabadoobee")</f>
        <v>Powfu, beabadoobee</v>
      </c>
      <c r="F1661" t="str">
        <f>IFERROR(__xludf.DUMMYFUNCTION("""COMPUTED_VALUE"""),"death bed (coffee for your head) (feat. beabadoobee)")</f>
        <v>death bed (coffee for your head) (feat. beabadoobee)</v>
      </c>
      <c r="G1661">
        <f>IFERROR(__xludf.DUMMYFUNCTION("""COMPUTED_VALUE"""),0.0)</f>
        <v>0</v>
      </c>
      <c r="H1661" s="5">
        <f>IFERROR(__xludf.DUMMYFUNCTION("""COMPUTED_VALUE"""),0.12013888888759539)</f>
        <v>0.1201388889</v>
      </c>
    </row>
    <row r="1662">
      <c r="A1662" t="str">
        <f>IFERROR(__xludf.DUMMYFUNCTION("""COMPUTED_VALUE"""),"Latvia")</f>
        <v>Latvia</v>
      </c>
      <c r="B1662" t="str">
        <f>IFERROR(__xludf.DUMMYFUNCTION("""COMPUTED_VALUE"""),"Europe")</f>
        <v>Europe</v>
      </c>
      <c r="C1662">
        <f>IFERROR(__xludf.DUMMYFUNCTION("""COMPUTED_VALUE"""),11.0)</f>
        <v>11</v>
      </c>
      <c r="D1662" t="str">
        <f>IFERROR(__xludf.DUMMYFUNCTION("""COMPUTED_VALUE"""),"WHATS POPPIN")</f>
        <v>WHATS POPPIN</v>
      </c>
      <c r="E1662" t="str">
        <f>IFERROR(__xludf.DUMMYFUNCTION("""COMPUTED_VALUE"""),"Jack Harlow")</f>
        <v>Jack Harlow</v>
      </c>
      <c r="F1662" t="str">
        <f>IFERROR(__xludf.DUMMYFUNCTION("""COMPUTED_VALUE"""),"Sweet Action")</f>
        <v>Sweet Action</v>
      </c>
      <c r="G1662">
        <f>IFERROR(__xludf.DUMMYFUNCTION("""COMPUTED_VALUE"""),1.0)</f>
        <v>1</v>
      </c>
      <c r="H1662" s="5">
        <f>IFERROR(__xludf.DUMMYFUNCTION("""COMPUTED_VALUE"""),0.09652777777955635)</f>
        <v>0.09652777778</v>
      </c>
    </row>
    <row r="1663">
      <c r="A1663" t="str">
        <f>IFERROR(__xludf.DUMMYFUNCTION("""COMPUTED_VALUE"""),"Latvia")</f>
        <v>Latvia</v>
      </c>
      <c r="B1663" t="str">
        <f>IFERROR(__xludf.DUMMYFUNCTION("""COMPUTED_VALUE"""),"Europe")</f>
        <v>Europe</v>
      </c>
      <c r="C1663">
        <f>IFERROR(__xludf.DUMMYFUNCTION("""COMPUTED_VALUE"""),12.0)</f>
        <v>12</v>
      </c>
      <c r="D1663" t="str">
        <f>IFERROR(__xludf.DUMMYFUNCTION("""COMPUTED_VALUE"""),"ily (i love you baby) (feat. Emilee)")</f>
        <v>ily (i love you baby) (feat. Emilee)</v>
      </c>
      <c r="E1663" t="str">
        <f>IFERROR(__xludf.DUMMYFUNCTION("""COMPUTED_VALUE"""),"Surf Mesa, Emilee")</f>
        <v>Surf Mesa, Emilee</v>
      </c>
      <c r="F1663" t="str">
        <f>IFERROR(__xludf.DUMMYFUNCTION("""COMPUTED_VALUE"""),"ily (i love you baby) (feat. Emilee)")</f>
        <v>ily (i love you baby) (feat. Emilee)</v>
      </c>
      <c r="G1663">
        <f>IFERROR(__xludf.DUMMYFUNCTION("""COMPUTED_VALUE"""),0.0)</f>
        <v>0</v>
      </c>
      <c r="H1663" s="5">
        <f>IFERROR(__xludf.DUMMYFUNCTION("""COMPUTED_VALUE"""),0.12222222222044365)</f>
        <v>0.1222222222</v>
      </c>
    </row>
    <row r="1664">
      <c r="A1664" t="str">
        <f>IFERROR(__xludf.DUMMYFUNCTION("""COMPUTED_VALUE"""),"Latvia")</f>
        <v>Latvia</v>
      </c>
      <c r="B1664" t="str">
        <f>IFERROR(__xludf.DUMMYFUNCTION("""COMPUTED_VALUE"""),"Europe")</f>
        <v>Europe</v>
      </c>
      <c r="C1664">
        <f>IFERROR(__xludf.DUMMYFUNCTION("""COMPUTED_VALUE"""),13.0)</f>
        <v>13</v>
      </c>
      <c r="D1664" t="str">
        <f>IFERROR(__xludf.DUMMYFUNCTION("""COMPUTED_VALUE"""),"Sunday Best")</f>
        <v>Sunday Best</v>
      </c>
      <c r="E1664" t="str">
        <f>IFERROR(__xludf.DUMMYFUNCTION("""COMPUTED_VALUE"""),"Surfaces")</f>
        <v>Surfaces</v>
      </c>
      <c r="F1664" t="str">
        <f>IFERROR(__xludf.DUMMYFUNCTION("""COMPUTED_VALUE"""),"Where the Light Is")</f>
        <v>Where the Light Is</v>
      </c>
      <c r="G1664">
        <f>IFERROR(__xludf.DUMMYFUNCTION("""COMPUTED_VALUE"""),0.0)</f>
        <v>0</v>
      </c>
      <c r="H1664" s="5">
        <f>IFERROR(__xludf.DUMMYFUNCTION("""COMPUTED_VALUE"""),0.10972222222335404)</f>
        <v>0.1097222222</v>
      </c>
    </row>
    <row r="1665">
      <c r="A1665" t="str">
        <f>IFERROR(__xludf.DUMMYFUNCTION("""COMPUTED_VALUE"""),"Latvia")</f>
        <v>Latvia</v>
      </c>
      <c r="B1665" t="str">
        <f>IFERROR(__xludf.DUMMYFUNCTION("""COMPUTED_VALUE"""),"Europe")</f>
        <v>Europe</v>
      </c>
      <c r="C1665">
        <f>IFERROR(__xludf.DUMMYFUNCTION("""COMPUTED_VALUE"""),14.0)</f>
        <v>14</v>
      </c>
      <c r="D1665" t="str">
        <f>IFERROR(__xludf.DUMMYFUNCTION("""COMPUTED_VALUE"""),"Don't Start Now")</f>
        <v>Don't Start Now</v>
      </c>
      <c r="E1665" t="str">
        <f>IFERROR(__xludf.DUMMYFUNCTION("""COMPUTED_VALUE"""),"Dua Lipa")</f>
        <v>Dua Lipa</v>
      </c>
      <c r="F1665" t="str">
        <f>IFERROR(__xludf.DUMMYFUNCTION("""COMPUTED_VALUE"""),"Future Nostalgia")</f>
        <v>Future Nostalgia</v>
      </c>
      <c r="G1665">
        <f>IFERROR(__xludf.DUMMYFUNCTION("""COMPUTED_VALUE"""),0.0)</f>
        <v>0</v>
      </c>
      <c r="H1665" s="5">
        <f>IFERROR(__xludf.DUMMYFUNCTION("""COMPUTED_VALUE"""),0.12708333333284827)</f>
        <v>0.1270833333</v>
      </c>
    </row>
    <row r="1666">
      <c r="A1666" t="str">
        <f>IFERROR(__xludf.DUMMYFUNCTION("""COMPUTED_VALUE"""),"Latvia")</f>
        <v>Latvia</v>
      </c>
      <c r="B1666" t="str">
        <f>IFERROR(__xludf.DUMMYFUNCTION("""COMPUTED_VALUE"""),"Europe")</f>
        <v>Europe</v>
      </c>
      <c r="C1666">
        <f>IFERROR(__xludf.DUMMYFUNCTION("""COMPUTED_VALUE"""),15.0)</f>
        <v>15</v>
      </c>
      <c r="D1666" t="str">
        <f>IFERROR(__xludf.DUMMYFUNCTION("""COMPUTED_VALUE"""),"Watermelon Sugar")</f>
        <v>Watermelon Sugar</v>
      </c>
      <c r="E1666" t="str">
        <f>IFERROR(__xludf.DUMMYFUNCTION("""COMPUTED_VALUE"""),"Harry Styles")</f>
        <v>Harry Styles</v>
      </c>
      <c r="F1666" t="str">
        <f>IFERROR(__xludf.DUMMYFUNCTION("""COMPUTED_VALUE"""),"Fine Line")</f>
        <v>Fine Line</v>
      </c>
      <c r="G1666">
        <f>IFERROR(__xludf.DUMMYFUNCTION("""COMPUTED_VALUE"""),0.0)</f>
        <v>0</v>
      </c>
      <c r="H1666" s="5">
        <f>IFERROR(__xludf.DUMMYFUNCTION("""COMPUTED_VALUE"""),0.12083333333430346)</f>
        <v>0.1208333333</v>
      </c>
    </row>
    <row r="1667">
      <c r="A1667" t="str">
        <f>IFERROR(__xludf.DUMMYFUNCTION("""COMPUTED_VALUE"""),"Latvia")</f>
        <v>Latvia</v>
      </c>
      <c r="B1667" t="str">
        <f>IFERROR(__xludf.DUMMYFUNCTION("""COMPUTED_VALUE"""),"Europe")</f>
        <v>Europe</v>
      </c>
      <c r="C1667">
        <f>IFERROR(__xludf.DUMMYFUNCTION("""COMPUTED_VALUE"""),16.0)</f>
        <v>16</v>
      </c>
      <c r="D1667" t="str">
        <f>IFERROR(__xludf.DUMMYFUNCTION("""COMPUTED_VALUE"""),"Falling")</f>
        <v>Falling</v>
      </c>
      <c r="E1667" t="str">
        <f>IFERROR(__xludf.DUMMYFUNCTION("""COMPUTED_VALUE"""),"Trevor Daniel")</f>
        <v>Trevor Daniel</v>
      </c>
      <c r="F1667" t="str">
        <f>IFERROR(__xludf.DUMMYFUNCTION("""COMPUTED_VALUE"""),"Nicotine")</f>
        <v>Nicotine</v>
      </c>
      <c r="G1667">
        <f>IFERROR(__xludf.DUMMYFUNCTION("""COMPUTED_VALUE"""),0.0)</f>
        <v>0</v>
      </c>
      <c r="H1667" s="5">
        <f>IFERROR(__xludf.DUMMYFUNCTION("""COMPUTED_VALUE"""),0.11041666666642413)</f>
        <v>0.1104166667</v>
      </c>
    </row>
    <row r="1668">
      <c r="A1668" t="str">
        <f>IFERROR(__xludf.DUMMYFUNCTION("""COMPUTED_VALUE"""),"Latvia")</f>
        <v>Latvia</v>
      </c>
      <c r="B1668" t="str">
        <f>IFERROR(__xludf.DUMMYFUNCTION("""COMPUTED_VALUE"""),"Europe")</f>
        <v>Europe</v>
      </c>
      <c r="C1668">
        <f>IFERROR(__xludf.DUMMYFUNCTION("""COMPUTED_VALUE"""),17.0)</f>
        <v>17</v>
      </c>
      <c r="D1668" t="str">
        <f>IFERROR(__xludf.DUMMYFUNCTION("""COMPUTED_VALUE"""),"Boss Bitch")</f>
        <v>Boss Bitch</v>
      </c>
      <c r="E1668" t="str">
        <f>IFERROR(__xludf.DUMMYFUNCTION("""COMPUTED_VALUE"""),"Doja Cat")</f>
        <v>Doja Cat</v>
      </c>
      <c r="F1668" t="str">
        <f>IFERROR(__xludf.DUMMYFUNCTION("""COMPUTED_VALUE"""),"Boss Bitch")</f>
        <v>Boss Bitch</v>
      </c>
      <c r="G1668">
        <f>IFERROR(__xludf.DUMMYFUNCTION("""COMPUTED_VALUE"""),0.0)</f>
        <v>0</v>
      </c>
      <c r="H1668" s="5">
        <f>IFERROR(__xludf.DUMMYFUNCTION("""COMPUTED_VALUE"""),0.0930555555569299)</f>
        <v>0.09305555556</v>
      </c>
    </row>
    <row r="1669">
      <c r="A1669" t="str">
        <f>IFERROR(__xludf.DUMMYFUNCTION("""COMPUTED_VALUE"""),"Latvia")</f>
        <v>Latvia</v>
      </c>
      <c r="B1669" t="str">
        <f>IFERROR(__xludf.DUMMYFUNCTION("""COMPUTED_VALUE"""),"Europe")</f>
        <v>Europe</v>
      </c>
      <c r="C1669">
        <f>IFERROR(__xludf.DUMMYFUNCTION("""COMPUTED_VALUE"""),18.0)</f>
        <v>18</v>
      </c>
      <c r="D1669" t="str">
        <f>IFERROR(__xludf.DUMMYFUNCTION("""COMPUTED_VALUE"""),"Supalonely")</f>
        <v>Supalonely</v>
      </c>
      <c r="E1669" t="str">
        <f>IFERROR(__xludf.DUMMYFUNCTION("""COMPUTED_VALUE"""),"BENEE, Gus Dapperton")</f>
        <v>BENEE, Gus Dapperton</v>
      </c>
      <c r="F1669" t="str">
        <f>IFERROR(__xludf.DUMMYFUNCTION("""COMPUTED_VALUE"""),"STELLA &amp; STEVE")</f>
        <v>STELLA &amp; STEVE</v>
      </c>
      <c r="G1669">
        <f>IFERROR(__xludf.DUMMYFUNCTION("""COMPUTED_VALUE"""),1.0)</f>
        <v>1</v>
      </c>
      <c r="H1669" s="5">
        <f>IFERROR(__xludf.DUMMYFUNCTION("""COMPUTED_VALUE"""),0.15486111111022183)</f>
        <v>0.1548611111</v>
      </c>
    </row>
    <row r="1670">
      <c r="A1670" t="str">
        <f>IFERROR(__xludf.DUMMYFUNCTION("""COMPUTED_VALUE"""),"Latvia")</f>
        <v>Latvia</v>
      </c>
      <c r="B1670" t="str">
        <f>IFERROR(__xludf.DUMMYFUNCTION("""COMPUTED_VALUE"""),"Europe")</f>
        <v>Europe</v>
      </c>
      <c r="C1670">
        <f>IFERROR(__xludf.DUMMYFUNCTION("""COMPUTED_VALUE"""),19.0)</f>
        <v>19</v>
      </c>
      <c r="D1670" t="str">
        <f>IFERROR(__xludf.DUMMYFUNCTION("""COMPUTED_VALUE"""),"Circles")</f>
        <v>Circles</v>
      </c>
      <c r="E1670" t="str">
        <f>IFERROR(__xludf.DUMMYFUNCTION("""COMPUTED_VALUE"""),"Post Malone")</f>
        <v>Post Malone</v>
      </c>
      <c r="F1670" t="str">
        <f>IFERROR(__xludf.DUMMYFUNCTION("""COMPUTED_VALUE"""),"Hollywood's Bleeding")</f>
        <v>Hollywood's Bleeding</v>
      </c>
      <c r="G1670">
        <f>IFERROR(__xludf.DUMMYFUNCTION("""COMPUTED_VALUE"""),0.0)</f>
        <v>0</v>
      </c>
      <c r="H1670" s="5">
        <f>IFERROR(__xludf.DUMMYFUNCTION("""COMPUTED_VALUE"""),0.14930555555474712)</f>
        <v>0.1493055556</v>
      </c>
    </row>
    <row r="1671">
      <c r="A1671" t="str">
        <f>IFERROR(__xludf.DUMMYFUNCTION("""COMPUTED_VALUE"""),"Latvia")</f>
        <v>Latvia</v>
      </c>
      <c r="B1671" t="str">
        <f>IFERROR(__xludf.DUMMYFUNCTION("""COMPUTED_VALUE"""),"Europe")</f>
        <v>Europe</v>
      </c>
      <c r="C1671">
        <f>IFERROR(__xludf.DUMMYFUNCTION("""COMPUTED_VALUE"""),20.0)</f>
        <v>20</v>
      </c>
      <c r="D1671" t="str">
        <f>IFERROR(__xludf.DUMMYFUNCTION("""COMPUTED_VALUE"""),"After Party")</f>
        <v>After Party</v>
      </c>
      <c r="E1671" t="str">
        <f>IFERROR(__xludf.DUMMYFUNCTION("""COMPUTED_VALUE"""),"Don Toliver")</f>
        <v>Don Toliver</v>
      </c>
      <c r="F1671" t="str">
        <f>IFERROR(__xludf.DUMMYFUNCTION("""COMPUTED_VALUE"""),"Heaven Or Hell")</f>
        <v>Heaven Or Hell</v>
      </c>
      <c r="G1671">
        <f>IFERROR(__xludf.DUMMYFUNCTION("""COMPUTED_VALUE"""),1.0)</f>
        <v>1</v>
      </c>
      <c r="H1671" s="5">
        <f>IFERROR(__xludf.DUMMYFUNCTION("""COMPUTED_VALUE"""),0.11597222222189885)</f>
        <v>0.1159722222</v>
      </c>
    </row>
    <row r="1672">
      <c r="A1672" t="str">
        <f>IFERROR(__xludf.DUMMYFUNCTION("""COMPUTED_VALUE"""),"Latvia")</f>
        <v>Latvia</v>
      </c>
      <c r="B1672" t="str">
        <f>IFERROR(__xludf.DUMMYFUNCTION("""COMPUTED_VALUE"""),"Europe")</f>
        <v>Europe</v>
      </c>
      <c r="C1672">
        <f>IFERROR(__xludf.DUMMYFUNCTION("""COMPUTED_VALUE"""),21.0)</f>
        <v>21</v>
      </c>
      <c r="D1672" t="str">
        <f>IFERROR(__xludf.DUMMYFUNCTION("""COMPUTED_VALUE"""),"HIGHEST IN THE ROOM")</f>
        <v>HIGHEST IN THE ROOM</v>
      </c>
      <c r="E1672" t="str">
        <f>IFERROR(__xludf.DUMMYFUNCTION("""COMPUTED_VALUE"""),"Travis Scott")</f>
        <v>Travis Scott</v>
      </c>
      <c r="F1672" t="str">
        <f>IFERROR(__xludf.DUMMYFUNCTION("""COMPUTED_VALUE"""),"HIGHEST IN THE ROOM")</f>
        <v>HIGHEST IN THE ROOM</v>
      </c>
      <c r="G1672">
        <f>IFERROR(__xludf.DUMMYFUNCTION("""COMPUTED_VALUE"""),1.0)</f>
        <v>1</v>
      </c>
      <c r="H1672" s="5">
        <f>IFERROR(__xludf.DUMMYFUNCTION("""COMPUTED_VALUE"""),0.12152777777737356)</f>
        <v>0.1215277778</v>
      </c>
    </row>
    <row r="1673">
      <c r="A1673" t="str">
        <f>IFERROR(__xludf.DUMMYFUNCTION("""COMPUTED_VALUE"""),"Latvia")</f>
        <v>Latvia</v>
      </c>
      <c r="B1673" t="str">
        <f>IFERROR(__xludf.DUMMYFUNCTION("""COMPUTED_VALUE"""),"Europe")</f>
        <v>Europe</v>
      </c>
      <c r="C1673">
        <f>IFERROR(__xludf.DUMMYFUNCTION("""COMPUTED_VALUE"""),22.0)</f>
        <v>22</v>
      </c>
      <c r="D1673" t="str">
        <f>IFERROR(__xludf.DUMMYFUNCTION("""COMPUTED_VALUE"""),"Life Is Good (feat. Drake)")</f>
        <v>Life Is Good (feat. Drake)</v>
      </c>
      <c r="E1673" t="str">
        <f>IFERROR(__xludf.DUMMYFUNCTION("""COMPUTED_VALUE"""),"Future, Drake")</f>
        <v>Future, Drake</v>
      </c>
      <c r="F1673" t="str">
        <f>IFERROR(__xludf.DUMMYFUNCTION("""COMPUTED_VALUE"""),"High Off Life")</f>
        <v>High Off Life</v>
      </c>
      <c r="G1673">
        <f>IFERROR(__xludf.DUMMYFUNCTION("""COMPUTED_VALUE"""),1.0)</f>
        <v>1</v>
      </c>
      <c r="H1673" s="5">
        <f>IFERROR(__xludf.DUMMYFUNCTION("""COMPUTED_VALUE"""),0.16458333333503106)</f>
        <v>0.1645833333</v>
      </c>
    </row>
    <row r="1674">
      <c r="A1674" t="str">
        <f>IFERROR(__xludf.DUMMYFUNCTION("""COMPUTED_VALUE"""),"Latvia")</f>
        <v>Latvia</v>
      </c>
      <c r="B1674" t="str">
        <f>IFERROR(__xludf.DUMMYFUNCTION("""COMPUTED_VALUE"""),"Europe")</f>
        <v>Europe</v>
      </c>
      <c r="C1674">
        <f>IFERROR(__xludf.DUMMYFUNCTION("""COMPUTED_VALUE"""),23.0)</f>
        <v>23</v>
      </c>
      <c r="D1674" t="str">
        <f>IFERROR(__xludf.DUMMYFUNCTION("""COMPUTED_VALUE"""),"Break My Heart")</f>
        <v>Break My Heart</v>
      </c>
      <c r="E1674" t="str">
        <f>IFERROR(__xludf.DUMMYFUNCTION("""COMPUTED_VALUE"""),"Dua Lipa")</f>
        <v>Dua Lipa</v>
      </c>
      <c r="F1674" t="str">
        <f>IFERROR(__xludf.DUMMYFUNCTION("""COMPUTED_VALUE"""),"Future Nostalgia")</f>
        <v>Future Nostalgia</v>
      </c>
      <c r="G1674">
        <f>IFERROR(__xludf.DUMMYFUNCTION("""COMPUTED_VALUE"""),0.0)</f>
        <v>0</v>
      </c>
      <c r="H1674" s="5">
        <f>IFERROR(__xludf.DUMMYFUNCTION("""COMPUTED_VALUE"""),0.15347222222044365)</f>
        <v>0.1534722222</v>
      </c>
    </row>
    <row r="1675">
      <c r="A1675" t="str">
        <f>IFERROR(__xludf.DUMMYFUNCTION("""COMPUTED_VALUE"""),"Latvia")</f>
        <v>Latvia</v>
      </c>
      <c r="B1675" t="str">
        <f>IFERROR(__xludf.DUMMYFUNCTION("""COMPUTED_VALUE"""),"Europe")</f>
        <v>Europe</v>
      </c>
      <c r="C1675">
        <f>IFERROR(__xludf.DUMMYFUNCTION("""COMPUTED_VALUE"""),24.0)</f>
        <v>24</v>
      </c>
      <c r="D1675" t="str">
        <f>IFERROR(__xludf.DUMMYFUNCTION("""COMPUTED_VALUE"""),"In Your Eyes")</f>
        <v>In Your Eyes</v>
      </c>
      <c r="E1675" t="str">
        <f>IFERROR(__xludf.DUMMYFUNCTION("""COMPUTED_VALUE"""),"The Weeknd")</f>
        <v>The Weeknd</v>
      </c>
      <c r="F1675" t="str">
        <f>IFERROR(__xludf.DUMMYFUNCTION("""COMPUTED_VALUE"""),"After Hours")</f>
        <v>After Hours</v>
      </c>
      <c r="G1675">
        <f>IFERROR(__xludf.DUMMYFUNCTION("""COMPUTED_VALUE"""),1.0)</f>
        <v>1</v>
      </c>
      <c r="H1675" s="5">
        <f>IFERROR(__xludf.DUMMYFUNCTION("""COMPUTED_VALUE"""),0.16458333333503106)</f>
        <v>0.1645833333</v>
      </c>
    </row>
    <row r="1676">
      <c r="A1676" t="str">
        <f>IFERROR(__xludf.DUMMYFUNCTION("""COMPUTED_VALUE"""),"Latvia")</f>
        <v>Latvia</v>
      </c>
      <c r="B1676" t="str">
        <f>IFERROR(__xludf.DUMMYFUNCTION("""COMPUTED_VALUE"""),"Europe")</f>
        <v>Europe</v>
      </c>
      <c r="C1676">
        <f>IFERROR(__xludf.DUMMYFUNCTION("""COMPUTED_VALUE"""),25.0)</f>
        <v>25</v>
      </c>
      <c r="D1676" t="str">
        <f>IFERROR(__xludf.DUMMYFUNCTION("""COMPUTED_VALUE"""),"Breaking Me")</f>
        <v>Breaking Me</v>
      </c>
      <c r="E1676" t="str">
        <f>IFERROR(__xludf.DUMMYFUNCTION("""COMPUTED_VALUE"""),"Topic, A7S")</f>
        <v>Topic, A7S</v>
      </c>
      <c r="F1676" t="str">
        <f>IFERROR(__xludf.DUMMYFUNCTION("""COMPUTED_VALUE"""),"Breaking Me")</f>
        <v>Breaking Me</v>
      </c>
      <c r="G1676">
        <f>IFERROR(__xludf.DUMMYFUNCTION("""COMPUTED_VALUE"""),0.0)</f>
        <v>0</v>
      </c>
      <c r="H1676" s="5">
        <f>IFERROR(__xludf.DUMMYFUNCTION("""COMPUTED_VALUE"""),0.11527777777882875)</f>
        <v>0.1152777778</v>
      </c>
    </row>
    <row r="1677">
      <c r="A1677" t="str">
        <f>IFERROR(__xludf.DUMMYFUNCTION("""COMPUTED_VALUE"""),"Latvia")</f>
        <v>Latvia</v>
      </c>
      <c r="B1677" t="str">
        <f>IFERROR(__xludf.DUMMYFUNCTION("""COMPUTED_VALUE"""),"Europe")</f>
        <v>Europe</v>
      </c>
      <c r="C1677">
        <f>IFERROR(__xludf.DUMMYFUNCTION("""COMPUTED_VALUE"""),26.0)</f>
        <v>26</v>
      </c>
      <c r="D1677" t="str">
        <f>IFERROR(__xludf.DUMMYFUNCTION("""COMPUTED_VALUE"""),"Say So")</f>
        <v>Say So</v>
      </c>
      <c r="E1677" t="str">
        <f>IFERROR(__xludf.DUMMYFUNCTION("""COMPUTED_VALUE"""),"Doja Cat")</f>
        <v>Doja Cat</v>
      </c>
      <c r="F1677" t="str">
        <f>IFERROR(__xludf.DUMMYFUNCTION("""COMPUTED_VALUE"""),"Hot Pink")</f>
        <v>Hot Pink</v>
      </c>
      <c r="G1677">
        <f>IFERROR(__xludf.DUMMYFUNCTION("""COMPUTED_VALUE"""),1.0)</f>
        <v>1</v>
      </c>
      <c r="H1677" s="5">
        <f>IFERROR(__xludf.DUMMYFUNCTION("""COMPUTED_VALUE"""),0.16458333333503106)</f>
        <v>0.1645833333</v>
      </c>
    </row>
    <row r="1678">
      <c r="A1678" t="str">
        <f>IFERROR(__xludf.DUMMYFUNCTION("""COMPUTED_VALUE"""),"Latvia")</f>
        <v>Latvia</v>
      </c>
      <c r="B1678" t="str">
        <f>IFERROR(__xludf.DUMMYFUNCTION("""COMPUTED_VALUE"""),"Europe")</f>
        <v>Europe</v>
      </c>
      <c r="C1678">
        <f>IFERROR(__xludf.DUMMYFUNCTION("""COMPUTED_VALUE"""),27.0)</f>
        <v>27</v>
      </c>
      <c r="D1678" t="str">
        <f>IFERROR(__xludf.DUMMYFUNCTION("""COMPUTED_VALUE"""),"Stuck with U (with Justin Bieber)")</f>
        <v>Stuck with U (with Justin Bieber)</v>
      </c>
      <c r="E1678" t="str">
        <f>IFERROR(__xludf.DUMMYFUNCTION("""COMPUTED_VALUE"""),"Ariana Grande, Justin Bieber")</f>
        <v>Ariana Grande, Justin Bieber</v>
      </c>
      <c r="F1678" t="str">
        <f>IFERROR(__xludf.DUMMYFUNCTION("""COMPUTED_VALUE"""),"Stuck with U")</f>
        <v>Stuck with U</v>
      </c>
      <c r="G1678">
        <f>IFERROR(__xludf.DUMMYFUNCTION("""COMPUTED_VALUE"""),0.0)</f>
        <v>0</v>
      </c>
      <c r="H1678" s="5">
        <f>IFERROR(__xludf.DUMMYFUNCTION("""COMPUTED_VALUE"""),0.15833333333284827)</f>
        <v>0.1583333333</v>
      </c>
    </row>
    <row r="1679">
      <c r="A1679" t="str">
        <f>IFERROR(__xludf.DUMMYFUNCTION("""COMPUTED_VALUE"""),"Latvia")</f>
        <v>Latvia</v>
      </c>
      <c r="B1679" t="str">
        <f>IFERROR(__xludf.DUMMYFUNCTION("""COMPUTED_VALUE"""),"Europe")</f>
        <v>Europe</v>
      </c>
      <c r="C1679">
        <f>IFERROR(__xludf.DUMMYFUNCTION("""COMPUTED_VALUE"""),28.0)</f>
        <v>28</v>
      </c>
      <c r="D1679" t="str">
        <f>IFERROR(__xludf.DUMMYFUNCTION("""COMPUTED_VALUE"""),"Party Girl")</f>
        <v>Party Girl</v>
      </c>
      <c r="E1679" t="str">
        <f>IFERROR(__xludf.DUMMYFUNCTION("""COMPUTED_VALUE"""),"StaySolidRocky")</f>
        <v>StaySolidRocky</v>
      </c>
      <c r="F1679" t="str">
        <f>IFERROR(__xludf.DUMMYFUNCTION("""COMPUTED_VALUE"""),"Party Girl")</f>
        <v>Party Girl</v>
      </c>
      <c r="G1679">
        <f>IFERROR(__xludf.DUMMYFUNCTION("""COMPUTED_VALUE"""),0.0)</f>
        <v>0</v>
      </c>
      <c r="H1679" s="5">
        <f>IFERROR(__xludf.DUMMYFUNCTION("""COMPUTED_VALUE"""),0.10208333333503106)</f>
        <v>0.1020833333</v>
      </c>
    </row>
    <row r="1680">
      <c r="A1680" t="str">
        <f>IFERROR(__xludf.DUMMYFUNCTION("""COMPUTED_VALUE"""),"Latvia")</f>
        <v>Latvia</v>
      </c>
      <c r="B1680" t="str">
        <f>IFERROR(__xludf.DUMMYFUNCTION("""COMPUTED_VALUE"""),"Europe")</f>
        <v>Europe</v>
      </c>
      <c r="C1680">
        <f>IFERROR(__xludf.DUMMYFUNCTION("""COMPUTED_VALUE"""),29.0)</f>
        <v>29</v>
      </c>
      <c r="D1680" t="str">
        <f>IFERROR(__xludf.DUMMYFUNCTION("""COMPUTED_VALUE"""),"Dance Monkey")</f>
        <v>Dance Monkey</v>
      </c>
      <c r="E1680" t="str">
        <f>IFERROR(__xludf.DUMMYFUNCTION("""COMPUTED_VALUE"""),"Tones And I")</f>
        <v>Tones And I</v>
      </c>
      <c r="F1680" t="str">
        <f>IFERROR(__xludf.DUMMYFUNCTION("""COMPUTED_VALUE"""),"Dance Monkey (Stripped Back) / Dance Monkey")</f>
        <v>Dance Monkey (Stripped Back) / Dance Monkey</v>
      </c>
      <c r="G1680">
        <f>IFERROR(__xludf.DUMMYFUNCTION("""COMPUTED_VALUE"""),0.0)</f>
        <v>0</v>
      </c>
      <c r="H1680" s="5">
        <f>IFERROR(__xludf.DUMMYFUNCTION("""COMPUTED_VALUE"""),0.14513888888905058)</f>
        <v>0.1451388889</v>
      </c>
    </row>
    <row r="1681">
      <c r="A1681" t="str">
        <f>IFERROR(__xludf.DUMMYFUNCTION("""COMPUTED_VALUE"""),"Latvia")</f>
        <v>Latvia</v>
      </c>
      <c r="B1681" t="str">
        <f>IFERROR(__xludf.DUMMYFUNCTION("""COMPUTED_VALUE"""),"Europe")</f>
        <v>Europe</v>
      </c>
      <c r="C1681">
        <f>IFERROR(__xludf.DUMMYFUNCTION("""COMPUTED_VALUE"""),30.0)</f>
        <v>30</v>
      </c>
      <c r="D1681" t="str">
        <f>IFERROR(__xludf.DUMMYFUNCTION("""COMPUTED_VALUE"""),"ROXANNE")</f>
        <v>ROXANNE</v>
      </c>
      <c r="E1681" t="str">
        <f>IFERROR(__xludf.DUMMYFUNCTION("""COMPUTED_VALUE"""),"Arizona Zervas")</f>
        <v>Arizona Zervas</v>
      </c>
      <c r="F1681" t="str">
        <f>IFERROR(__xludf.DUMMYFUNCTION("""COMPUTED_VALUE"""),"ROXANNE")</f>
        <v>ROXANNE</v>
      </c>
      <c r="G1681">
        <f>IFERROR(__xludf.DUMMYFUNCTION("""COMPUTED_VALUE"""),1.0)</f>
        <v>1</v>
      </c>
      <c r="H1681" s="5">
        <f>IFERROR(__xludf.DUMMYFUNCTION("""COMPUTED_VALUE"""),0.11319444444598048)</f>
        <v>0.1131944444</v>
      </c>
    </row>
    <row r="1682">
      <c r="A1682" t="str">
        <f>IFERROR(__xludf.DUMMYFUNCTION("""COMPUTED_VALUE"""),"Latvia")</f>
        <v>Latvia</v>
      </c>
      <c r="B1682" t="str">
        <f>IFERROR(__xludf.DUMMYFUNCTION("""COMPUTED_VALUE"""),"Europe")</f>
        <v>Europe</v>
      </c>
      <c r="C1682">
        <f>IFERROR(__xludf.DUMMYFUNCTION("""COMPUTED_VALUE"""),31.0)</f>
        <v>31</v>
      </c>
      <c r="D1682" t="str">
        <f>IFERROR(__xludf.DUMMYFUNCTION("""COMPUTED_VALUE"""),"Adore You")</f>
        <v>Adore You</v>
      </c>
      <c r="E1682" t="str">
        <f>IFERROR(__xludf.DUMMYFUNCTION("""COMPUTED_VALUE"""),"Harry Styles")</f>
        <v>Harry Styles</v>
      </c>
      <c r="F1682" t="str">
        <f>IFERROR(__xludf.DUMMYFUNCTION("""COMPUTED_VALUE"""),"Fine Line")</f>
        <v>Fine Line</v>
      </c>
      <c r="G1682">
        <f>IFERROR(__xludf.DUMMYFUNCTION("""COMPUTED_VALUE"""),0.0)</f>
        <v>0</v>
      </c>
      <c r="H1682" s="5">
        <f>IFERROR(__xludf.DUMMYFUNCTION("""COMPUTED_VALUE"""),0.1437499999992724)</f>
        <v>0.14375</v>
      </c>
    </row>
    <row r="1683">
      <c r="A1683" t="str">
        <f>IFERROR(__xludf.DUMMYFUNCTION("""COMPUTED_VALUE"""),"Latvia")</f>
        <v>Latvia</v>
      </c>
      <c r="B1683" t="str">
        <f>IFERROR(__xludf.DUMMYFUNCTION("""COMPUTED_VALUE"""),"Europe")</f>
        <v>Europe</v>
      </c>
      <c r="C1683">
        <f>IFERROR(__xludf.DUMMYFUNCTION("""COMPUTED_VALUE"""),32.0)</f>
        <v>32</v>
      </c>
      <c r="D1683" t="str">
        <f>IFERROR(__xludf.DUMMYFUNCTION("""COMPUTED_VALUE"""),"Daechwita")</f>
        <v>Daechwita</v>
      </c>
      <c r="E1683" t="str">
        <f>IFERROR(__xludf.DUMMYFUNCTION("""COMPUTED_VALUE"""),"Agust D")</f>
        <v>Agust D</v>
      </c>
      <c r="F1683" t="str">
        <f>IFERROR(__xludf.DUMMYFUNCTION("""COMPUTED_VALUE"""),"D-2")</f>
        <v>D-2</v>
      </c>
      <c r="G1683">
        <f>IFERROR(__xludf.DUMMYFUNCTION("""COMPUTED_VALUE"""),1.0)</f>
        <v>1</v>
      </c>
      <c r="H1683" s="5">
        <f>IFERROR(__xludf.DUMMYFUNCTION("""COMPUTED_VALUE"""),0.15625)</f>
        <v>0.15625</v>
      </c>
    </row>
    <row r="1684">
      <c r="A1684" t="str">
        <f>IFERROR(__xludf.DUMMYFUNCTION("""COMPUTED_VALUE"""),"Latvia")</f>
        <v>Latvia</v>
      </c>
      <c r="B1684" t="str">
        <f>IFERROR(__xludf.DUMMYFUNCTION("""COMPUTED_VALUE"""),"Europe")</f>
        <v>Europe</v>
      </c>
      <c r="C1684">
        <f>IFERROR(__xludf.DUMMYFUNCTION("""COMPUTED_VALUE"""),33.0)</f>
        <v>33</v>
      </c>
      <c r="D1684" t="str">
        <f>IFERROR(__xludf.DUMMYFUNCTION("""COMPUTED_VALUE"""),"goosebumps")</f>
        <v>goosebumps</v>
      </c>
      <c r="E1684" t="str">
        <f>IFERROR(__xludf.DUMMYFUNCTION("""COMPUTED_VALUE"""),"Travis Scott")</f>
        <v>Travis Scott</v>
      </c>
      <c r="F1684" t="str">
        <f>IFERROR(__xludf.DUMMYFUNCTION("""COMPUTED_VALUE"""),"Birds In The Trap Sing McKnight")</f>
        <v>Birds In The Trap Sing McKnight</v>
      </c>
      <c r="G1684">
        <f>IFERROR(__xludf.DUMMYFUNCTION("""COMPUTED_VALUE"""),1.0)</f>
        <v>1</v>
      </c>
      <c r="H1684" s="5">
        <f>IFERROR(__xludf.DUMMYFUNCTION("""COMPUTED_VALUE"""),0.1687500000007276)</f>
        <v>0.16875</v>
      </c>
    </row>
    <row r="1685">
      <c r="A1685" t="str">
        <f>IFERROR(__xludf.DUMMYFUNCTION("""COMPUTED_VALUE"""),"Latvia")</f>
        <v>Latvia</v>
      </c>
      <c r="B1685" t="str">
        <f>IFERROR(__xludf.DUMMYFUNCTION("""COMPUTED_VALUE"""),"Europe")</f>
        <v>Europe</v>
      </c>
      <c r="C1685">
        <f>IFERROR(__xludf.DUMMYFUNCTION("""COMPUTED_VALUE"""),34.0)</f>
        <v>34</v>
      </c>
      <c r="D1685" t="str">
        <f>IFERROR(__xludf.DUMMYFUNCTION("""COMPUTED_VALUE"""),"Play Date")</f>
        <v>Play Date</v>
      </c>
      <c r="E1685" t="str">
        <f>IFERROR(__xludf.DUMMYFUNCTION("""COMPUTED_VALUE"""),"Melanie Martinez")</f>
        <v>Melanie Martinez</v>
      </c>
      <c r="F1685" t="str">
        <f>IFERROR(__xludf.DUMMYFUNCTION("""COMPUTED_VALUE"""),"Cry Baby (Deluxe Edition)")</f>
        <v>Cry Baby (Deluxe Edition)</v>
      </c>
      <c r="G1685">
        <f>IFERROR(__xludf.DUMMYFUNCTION("""COMPUTED_VALUE"""),1.0)</f>
        <v>1</v>
      </c>
      <c r="H1685" s="5">
        <f>IFERROR(__xludf.DUMMYFUNCTION("""COMPUTED_VALUE"""),0.1243055555569299)</f>
        <v>0.1243055556</v>
      </c>
    </row>
    <row r="1686">
      <c r="A1686" t="str">
        <f>IFERROR(__xludf.DUMMYFUNCTION("""COMPUTED_VALUE"""),"Latvia")</f>
        <v>Latvia</v>
      </c>
      <c r="B1686" t="str">
        <f>IFERROR(__xludf.DUMMYFUNCTION("""COMPUTED_VALUE"""),"Europe")</f>
        <v>Europe</v>
      </c>
      <c r="C1686">
        <f>IFERROR(__xludf.DUMMYFUNCTION("""COMPUTED_VALUE"""),35.0)</f>
        <v>35</v>
      </c>
      <c r="D1686" t="str">
        <f>IFERROR(__xludf.DUMMYFUNCTION("""COMPUTED_VALUE"""),"Be Kind (with Halsey)")</f>
        <v>Be Kind (with Halsey)</v>
      </c>
      <c r="E1686" t="str">
        <f>IFERROR(__xludf.DUMMYFUNCTION("""COMPUTED_VALUE"""),"Marshmello, Halsey")</f>
        <v>Marshmello, Halsey</v>
      </c>
      <c r="F1686" t="str">
        <f>IFERROR(__xludf.DUMMYFUNCTION("""COMPUTED_VALUE"""),"Be Kind (with Halsey)")</f>
        <v>Be Kind (with Halsey)</v>
      </c>
      <c r="G1686">
        <f>IFERROR(__xludf.DUMMYFUNCTION("""COMPUTED_VALUE"""),0.0)</f>
        <v>0</v>
      </c>
      <c r="H1686" s="5">
        <f>IFERROR(__xludf.DUMMYFUNCTION("""COMPUTED_VALUE"""),0.11944444444452529)</f>
        <v>0.1194444444</v>
      </c>
    </row>
    <row r="1687">
      <c r="A1687" t="str">
        <f>IFERROR(__xludf.DUMMYFUNCTION("""COMPUTED_VALUE"""),"Latvia")</f>
        <v>Latvia</v>
      </c>
      <c r="B1687" t="str">
        <f>IFERROR(__xludf.DUMMYFUNCTION("""COMPUTED_VALUE"""),"Europe")</f>
        <v>Europe</v>
      </c>
      <c r="C1687">
        <f>IFERROR(__xludf.DUMMYFUNCTION("""COMPUTED_VALUE"""),36.0)</f>
        <v>36</v>
      </c>
      <c r="D1687" t="str">
        <f>IFERROR(__xludf.DUMMYFUNCTION("""COMPUTED_VALUE"""),"Righteous")</f>
        <v>Righteous</v>
      </c>
      <c r="E1687" t="str">
        <f>IFERROR(__xludf.DUMMYFUNCTION("""COMPUTED_VALUE"""),"Juice WRLD")</f>
        <v>Juice WRLD</v>
      </c>
      <c r="F1687" t="str">
        <f>IFERROR(__xludf.DUMMYFUNCTION("""COMPUTED_VALUE"""),"Righteous")</f>
        <v>Righteous</v>
      </c>
      <c r="G1687">
        <f>IFERROR(__xludf.DUMMYFUNCTION("""COMPUTED_VALUE"""),1.0)</f>
        <v>1</v>
      </c>
      <c r="H1687" s="5">
        <f>IFERROR(__xludf.DUMMYFUNCTION("""COMPUTED_VALUE"""),0.1687500000007276)</f>
        <v>0.16875</v>
      </c>
    </row>
    <row r="1688">
      <c r="A1688" t="str">
        <f>IFERROR(__xludf.DUMMYFUNCTION("""COMPUTED_VALUE"""),"Latvia")</f>
        <v>Latvia</v>
      </c>
      <c r="B1688" t="str">
        <f>IFERROR(__xludf.DUMMYFUNCTION("""COMPUTED_VALUE"""),"Europe")</f>
        <v>Europe</v>
      </c>
      <c r="C1688">
        <f>IFERROR(__xludf.DUMMYFUNCTION("""COMPUTED_VALUE"""),37.0)</f>
        <v>37</v>
      </c>
      <c r="D1688" t="str">
        <f>IFERROR(__xludf.DUMMYFUNCTION("""COMPUTED_VALUE"""),"everything i wanted")</f>
        <v>everything i wanted</v>
      </c>
      <c r="E1688" t="str">
        <f>IFERROR(__xludf.DUMMYFUNCTION("""COMPUTED_VALUE"""),"Billie Eilish")</f>
        <v>Billie Eilish</v>
      </c>
      <c r="F1688" t="str">
        <f>IFERROR(__xludf.DUMMYFUNCTION("""COMPUTED_VALUE"""),"everything i wanted")</f>
        <v>everything i wanted</v>
      </c>
      <c r="G1688">
        <f>IFERROR(__xludf.DUMMYFUNCTION("""COMPUTED_VALUE"""),0.0)</f>
        <v>0</v>
      </c>
      <c r="H1688" s="5">
        <f>IFERROR(__xludf.DUMMYFUNCTION("""COMPUTED_VALUE"""),0.17013888889050577)</f>
        <v>0.1701388889</v>
      </c>
    </row>
    <row r="1689">
      <c r="A1689" t="str">
        <f>IFERROR(__xludf.DUMMYFUNCTION("""COMPUTED_VALUE"""),"Latvia")</f>
        <v>Latvia</v>
      </c>
      <c r="B1689" t="str">
        <f>IFERROR(__xludf.DUMMYFUNCTION("""COMPUTED_VALUE"""),"Europe")</f>
        <v>Europe</v>
      </c>
      <c r="C1689">
        <f>IFERROR(__xludf.DUMMYFUNCTION("""COMPUTED_VALUE"""),38.0)</f>
        <v>38</v>
      </c>
      <c r="D1689" t="str">
        <f>IFERROR(__xludf.DUMMYFUNCTION("""COMPUTED_VALUE"""),"Intentions (feat. Quavo)")</f>
        <v>Intentions (feat. Quavo)</v>
      </c>
      <c r="E1689" t="str">
        <f>IFERROR(__xludf.DUMMYFUNCTION("""COMPUTED_VALUE"""),"Justin Bieber, Quavo")</f>
        <v>Justin Bieber, Quavo</v>
      </c>
      <c r="F1689" t="str">
        <f>IFERROR(__xludf.DUMMYFUNCTION("""COMPUTED_VALUE"""),"Changes")</f>
        <v>Changes</v>
      </c>
      <c r="G1689">
        <f>IFERROR(__xludf.DUMMYFUNCTION("""COMPUTED_VALUE"""),0.0)</f>
        <v>0</v>
      </c>
      <c r="H1689" s="5">
        <f>IFERROR(__xludf.DUMMYFUNCTION("""COMPUTED_VALUE"""),0.14722222222189885)</f>
        <v>0.1472222222</v>
      </c>
    </row>
    <row r="1690">
      <c r="A1690" t="str">
        <f>IFERROR(__xludf.DUMMYFUNCTION("""COMPUTED_VALUE"""),"Latvia")</f>
        <v>Latvia</v>
      </c>
      <c r="B1690" t="str">
        <f>IFERROR(__xludf.DUMMYFUNCTION("""COMPUTED_VALUE"""),"Europe")</f>
        <v>Europe</v>
      </c>
      <c r="C1690">
        <f>IFERROR(__xludf.DUMMYFUNCTION("""COMPUTED_VALUE"""),39.0)</f>
        <v>39</v>
      </c>
      <c r="D1690" t="str">
        <f>IFERROR(__xludf.DUMMYFUNCTION("""COMPUTED_VALUE"""),"Say So (feat. Nicki Minaj)")</f>
        <v>Say So (feat. Nicki Minaj)</v>
      </c>
      <c r="E1690" t="str">
        <f>IFERROR(__xludf.DUMMYFUNCTION("""COMPUTED_VALUE"""),"Doja Cat, Nicki Minaj")</f>
        <v>Doja Cat, Nicki Minaj</v>
      </c>
      <c r="F1690" t="str">
        <f>IFERROR(__xludf.DUMMYFUNCTION("""COMPUTED_VALUE"""),"Say So (feat. Nicki Minaj)")</f>
        <v>Say So (feat. Nicki Minaj)</v>
      </c>
      <c r="G1690">
        <f>IFERROR(__xludf.DUMMYFUNCTION("""COMPUTED_VALUE"""),1.0)</f>
        <v>1</v>
      </c>
      <c r="H1690" s="5">
        <f>IFERROR(__xludf.DUMMYFUNCTION("""COMPUTED_VALUE"""),0.1430555555562023)</f>
        <v>0.1430555556</v>
      </c>
    </row>
    <row r="1691">
      <c r="A1691" t="str">
        <f>IFERROR(__xludf.DUMMYFUNCTION("""COMPUTED_VALUE"""),"Latvia")</f>
        <v>Latvia</v>
      </c>
      <c r="B1691" t="str">
        <f>IFERROR(__xludf.DUMMYFUNCTION("""COMPUTED_VALUE"""),"Europe")</f>
        <v>Europe</v>
      </c>
      <c r="C1691">
        <f>IFERROR(__xludf.DUMMYFUNCTION("""COMPUTED_VALUE"""),40.0)</f>
        <v>40</v>
      </c>
      <c r="D1691" t="str">
        <f>IFERROR(__xludf.DUMMYFUNCTION("""COMPUTED_VALUE"""),"SICKO MODE")</f>
        <v>SICKO MODE</v>
      </c>
      <c r="E1691" t="str">
        <f>IFERROR(__xludf.DUMMYFUNCTION("""COMPUTED_VALUE"""),"Travis Scott")</f>
        <v>Travis Scott</v>
      </c>
      <c r="F1691" t="str">
        <f>IFERROR(__xludf.DUMMYFUNCTION("""COMPUTED_VALUE"""),"ASTROWORLD")</f>
        <v>ASTROWORLD</v>
      </c>
      <c r="G1691">
        <f>IFERROR(__xludf.DUMMYFUNCTION("""COMPUTED_VALUE"""),1.0)</f>
        <v>1</v>
      </c>
      <c r="H1691" s="5">
        <f>IFERROR(__xludf.DUMMYFUNCTION("""COMPUTED_VALUE"""),0.21666666666715173)</f>
        <v>0.2166666667</v>
      </c>
    </row>
    <row r="1692">
      <c r="A1692" t="str">
        <f>IFERROR(__xludf.DUMMYFUNCTION("""COMPUTED_VALUE"""),"Latvia")</f>
        <v>Latvia</v>
      </c>
      <c r="B1692" t="str">
        <f>IFERROR(__xludf.DUMMYFUNCTION("""COMPUTED_VALUE"""),"Europe")</f>
        <v>Europe</v>
      </c>
      <c r="C1692">
        <f>IFERROR(__xludf.DUMMYFUNCTION("""COMPUTED_VALUE"""),41.0)</f>
        <v>41</v>
      </c>
      <c r="D1692" t="str">
        <f>IFERROR(__xludf.DUMMYFUNCTION("""COMPUTED_VALUE"""),"bad guy")</f>
        <v>bad guy</v>
      </c>
      <c r="E1692" t="str">
        <f>IFERROR(__xludf.DUMMYFUNCTION("""COMPUTED_VALUE"""),"Billie Eilish")</f>
        <v>Billie Eilish</v>
      </c>
      <c r="F1692" t="str">
        <f>IFERROR(__xludf.DUMMYFUNCTION("""COMPUTED_VALUE"""),"WHEN WE ALL FALL ASLEEP, WHERE DO WE GO?")</f>
        <v>WHEN WE ALL FALL ASLEEP, WHERE DO WE GO?</v>
      </c>
      <c r="G1692">
        <f>IFERROR(__xludf.DUMMYFUNCTION("""COMPUTED_VALUE"""),0.0)</f>
        <v>0</v>
      </c>
      <c r="H1692" s="5">
        <f>IFERROR(__xludf.DUMMYFUNCTION("""COMPUTED_VALUE"""),0.13472222222117125)</f>
        <v>0.1347222222</v>
      </c>
    </row>
    <row r="1693">
      <c r="A1693" t="str">
        <f>IFERROR(__xludf.DUMMYFUNCTION("""COMPUTED_VALUE"""),"Latvia")</f>
        <v>Latvia</v>
      </c>
      <c r="B1693" t="str">
        <f>IFERROR(__xludf.DUMMYFUNCTION("""COMPUTED_VALUE"""),"Europe")</f>
        <v>Europe</v>
      </c>
      <c r="C1693">
        <f>IFERROR(__xludf.DUMMYFUNCTION("""COMPUTED_VALUE"""),42.0)</f>
        <v>42</v>
      </c>
      <c r="D1693" t="str">
        <f>IFERROR(__xludf.DUMMYFUNCTION("""COMPUTED_VALUE"""),"Godzilla (feat. Juice WRLD)")</f>
        <v>Godzilla (feat. Juice WRLD)</v>
      </c>
      <c r="E1693" t="str">
        <f>IFERROR(__xludf.DUMMYFUNCTION("""COMPUTED_VALUE"""),"Eminem, Juice WRLD")</f>
        <v>Eminem, Juice WRLD</v>
      </c>
      <c r="F1693" t="str">
        <f>IFERROR(__xludf.DUMMYFUNCTION("""COMPUTED_VALUE"""),"Music To Be Murdered By")</f>
        <v>Music To Be Murdered By</v>
      </c>
      <c r="G1693">
        <f>IFERROR(__xludf.DUMMYFUNCTION("""COMPUTED_VALUE"""),1.0)</f>
        <v>1</v>
      </c>
      <c r="H1693" s="5">
        <f>IFERROR(__xludf.DUMMYFUNCTION("""COMPUTED_VALUE"""),0.14583333333212067)</f>
        <v>0.1458333333</v>
      </c>
    </row>
    <row r="1694">
      <c r="A1694" t="str">
        <f>IFERROR(__xludf.DUMMYFUNCTION("""COMPUTED_VALUE"""),"Latvia")</f>
        <v>Latvia</v>
      </c>
      <c r="B1694" t="str">
        <f>IFERROR(__xludf.DUMMYFUNCTION("""COMPUTED_VALUE"""),"Europe")</f>
        <v>Europe</v>
      </c>
      <c r="C1694">
        <f>IFERROR(__xludf.DUMMYFUNCTION("""COMPUTED_VALUE"""),43.0)</f>
        <v>43</v>
      </c>
      <c r="D1694" t="str">
        <f>IFERROR(__xludf.DUMMYFUNCTION("""COMPUTED_VALUE"""),"I Got Love")</f>
        <v>I Got Love</v>
      </c>
      <c r="E1694" t="str">
        <f>IFERROR(__xludf.DUMMYFUNCTION("""COMPUTED_VALUE"""),"MiyaGi &amp; Endspiel, Rem Digga")</f>
        <v>MiyaGi &amp; Endspiel, Rem Digga</v>
      </c>
      <c r="F1694" t="str">
        <f>IFERROR(__xludf.DUMMYFUNCTION("""COMPUTED_VALUE"""),"I Got Love")</f>
        <v>I Got Love</v>
      </c>
      <c r="G1694">
        <f>IFERROR(__xludf.DUMMYFUNCTION("""COMPUTED_VALUE"""),0.0)</f>
        <v>0</v>
      </c>
      <c r="H1694" s="5">
        <f>IFERROR(__xludf.DUMMYFUNCTION("""COMPUTED_VALUE"""),0.19166666666569654)</f>
        <v>0.1916666667</v>
      </c>
    </row>
    <row r="1695">
      <c r="A1695" t="str">
        <f>IFERROR(__xludf.DUMMYFUNCTION("""COMPUTED_VALUE"""),"Latvia")</f>
        <v>Latvia</v>
      </c>
      <c r="B1695" t="str">
        <f>IFERROR(__xludf.DUMMYFUNCTION("""COMPUTED_VALUE"""),"Europe")</f>
        <v>Europe</v>
      </c>
      <c r="C1695">
        <f>IFERROR(__xludf.DUMMYFUNCTION("""COMPUTED_VALUE"""),44.0)</f>
        <v>44</v>
      </c>
      <c r="D1695" t="str">
        <f>IFERROR(__xludf.DUMMYFUNCTION("""COMPUTED_VALUE"""),"Skechers")</f>
        <v>Skechers</v>
      </c>
      <c r="E1695" t="str">
        <f>IFERROR(__xludf.DUMMYFUNCTION("""COMPUTED_VALUE"""),"DripReport")</f>
        <v>DripReport</v>
      </c>
      <c r="F1695" t="str">
        <f>IFERROR(__xludf.DUMMYFUNCTION("""COMPUTED_VALUE"""),"Skechers")</f>
        <v>Skechers</v>
      </c>
      <c r="G1695">
        <f>IFERROR(__xludf.DUMMYFUNCTION("""COMPUTED_VALUE"""),1.0)</f>
        <v>1</v>
      </c>
      <c r="H1695" s="5">
        <f>IFERROR(__xludf.DUMMYFUNCTION("""COMPUTED_VALUE"""),0.07361111111094942)</f>
        <v>0.07361111111</v>
      </c>
    </row>
    <row r="1696">
      <c r="A1696" t="str">
        <f>IFERROR(__xludf.DUMMYFUNCTION("""COMPUTED_VALUE"""),"Latvia")</f>
        <v>Latvia</v>
      </c>
      <c r="B1696" t="str">
        <f>IFERROR(__xludf.DUMMYFUNCTION("""COMPUTED_VALUE"""),"Europe")</f>
        <v>Europe</v>
      </c>
      <c r="C1696">
        <f>IFERROR(__xludf.DUMMYFUNCTION("""COMPUTED_VALUE"""),45.0)</f>
        <v>45</v>
      </c>
      <c r="D1696" t="str">
        <f>IFERROR(__xludf.DUMMYFUNCTION("""COMPUTED_VALUE"""),"Know Your Worth")</f>
        <v>Know Your Worth</v>
      </c>
      <c r="E1696" t="str">
        <f>IFERROR(__xludf.DUMMYFUNCTION("""COMPUTED_VALUE"""),"Khalid, Disclosure")</f>
        <v>Khalid, Disclosure</v>
      </c>
      <c r="F1696" t="str">
        <f>IFERROR(__xludf.DUMMYFUNCTION("""COMPUTED_VALUE"""),"Know Your Worth")</f>
        <v>Know Your Worth</v>
      </c>
      <c r="G1696">
        <f>IFERROR(__xludf.DUMMYFUNCTION("""COMPUTED_VALUE"""),0.0)</f>
        <v>0</v>
      </c>
      <c r="H1696" s="5">
        <f>IFERROR(__xludf.DUMMYFUNCTION("""COMPUTED_VALUE"""),0.1256944444430701)</f>
        <v>0.1256944444</v>
      </c>
    </row>
    <row r="1697">
      <c r="A1697" t="str">
        <f>IFERROR(__xludf.DUMMYFUNCTION("""COMPUTED_VALUE"""),"Latvia")</f>
        <v>Latvia</v>
      </c>
      <c r="B1697" t="str">
        <f>IFERROR(__xludf.DUMMYFUNCTION("""COMPUTED_VALUE"""),"Europe")</f>
        <v>Europe</v>
      </c>
      <c r="C1697">
        <f>IFERROR(__xludf.DUMMYFUNCTION("""COMPUTED_VALUE"""),46.0)</f>
        <v>46</v>
      </c>
      <c r="D1697" t="str">
        <f>IFERROR(__xludf.DUMMYFUNCTION("""COMPUTED_VALUE"""),"Ride It")</f>
        <v>Ride It</v>
      </c>
      <c r="E1697" t="str">
        <f>IFERROR(__xludf.DUMMYFUNCTION("""COMPUTED_VALUE"""),"Regard")</f>
        <v>Regard</v>
      </c>
      <c r="F1697" t="str">
        <f>IFERROR(__xludf.DUMMYFUNCTION("""COMPUTED_VALUE"""),"Ride It")</f>
        <v>Ride It</v>
      </c>
      <c r="G1697">
        <f>IFERROR(__xludf.DUMMYFUNCTION("""COMPUTED_VALUE"""),0.0)</f>
        <v>0</v>
      </c>
      <c r="H1697" s="5">
        <f>IFERROR(__xludf.DUMMYFUNCTION("""COMPUTED_VALUE"""),0.10902777777664596)</f>
        <v>0.1090277778</v>
      </c>
    </row>
    <row r="1698">
      <c r="A1698" t="str">
        <f>IFERROR(__xludf.DUMMYFUNCTION("""COMPUTED_VALUE"""),"Latvia")</f>
        <v>Latvia</v>
      </c>
      <c r="B1698" t="str">
        <f>IFERROR(__xludf.DUMMYFUNCTION("""COMPUTED_VALUE"""),"Europe")</f>
        <v>Europe</v>
      </c>
      <c r="C1698">
        <f>IFERROR(__xludf.DUMMYFUNCTION("""COMPUTED_VALUE"""),47.0)</f>
        <v>47</v>
      </c>
      <c r="D1698" t="str">
        <f>IFERROR(__xludf.DUMMYFUNCTION("""COMPUTED_VALUE"""),"Salt")</f>
        <v>Salt</v>
      </c>
      <c r="E1698" t="str">
        <f>IFERROR(__xludf.DUMMYFUNCTION("""COMPUTED_VALUE"""),"Ava Max")</f>
        <v>Ava Max</v>
      </c>
      <c r="F1698" t="str">
        <f>IFERROR(__xludf.DUMMYFUNCTION("""COMPUTED_VALUE"""),"Salt")</f>
        <v>Salt</v>
      </c>
      <c r="G1698">
        <f>IFERROR(__xludf.DUMMYFUNCTION("""COMPUTED_VALUE"""),0.0)</f>
        <v>0</v>
      </c>
      <c r="H1698" s="5">
        <f>IFERROR(__xludf.DUMMYFUNCTION("""COMPUTED_VALUE"""),0.125)</f>
        <v>0.125</v>
      </c>
    </row>
    <row r="1699">
      <c r="A1699" t="str">
        <f>IFERROR(__xludf.DUMMYFUNCTION("""COMPUTED_VALUE"""),"Latvia")</f>
        <v>Latvia</v>
      </c>
      <c r="B1699" t="str">
        <f>IFERROR(__xludf.DUMMYFUNCTION("""COMPUTED_VALUE"""),"Europe")</f>
        <v>Europe</v>
      </c>
      <c r="C1699">
        <f>IFERROR(__xludf.DUMMYFUNCTION("""COMPUTED_VALUE"""),48.0)</f>
        <v>48</v>
      </c>
      <c r="D1699" t="str">
        <f>IFERROR(__xludf.DUMMYFUNCTION("""COMPUTED_VALUE"""),"Savage Remix (feat. Beyoncé)")</f>
        <v>Savage Remix (feat. Beyoncé)</v>
      </c>
      <c r="E1699" t="str">
        <f>IFERROR(__xludf.DUMMYFUNCTION("""COMPUTED_VALUE"""),"Megan Thee Stallion, Beyoncé")</f>
        <v>Megan Thee Stallion, Beyoncé</v>
      </c>
      <c r="F1699" t="str">
        <f>IFERROR(__xludf.DUMMYFUNCTION("""COMPUTED_VALUE"""),"Savage Remix (feat. Beyoncé)")</f>
        <v>Savage Remix (feat. Beyoncé)</v>
      </c>
      <c r="G1699">
        <f>IFERROR(__xludf.DUMMYFUNCTION("""COMPUTED_VALUE"""),1.0)</f>
        <v>1</v>
      </c>
      <c r="H1699" s="5">
        <f>IFERROR(__xludf.DUMMYFUNCTION("""COMPUTED_VALUE"""),0.16805555555401952)</f>
        <v>0.1680555556</v>
      </c>
    </row>
    <row r="1700">
      <c r="A1700" t="str">
        <f>IFERROR(__xludf.DUMMYFUNCTION("""COMPUTED_VALUE"""),"Latvia")</f>
        <v>Latvia</v>
      </c>
      <c r="B1700" t="str">
        <f>IFERROR(__xludf.DUMMYFUNCTION("""COMPUTED_VALUE"""),"Europe")</f>
        <v>Europe</v>
      </c>
      <c r="C1700">
        <f>IFERROR(__xludf.DUMMYFUNCTION("""COMPUTED_VALUE"""),49.0)</f>
        <v>49</v>
      </c>
      <c r="D1700" t="str">
        <f>IFERROR(__xludf.DUMMYFUNCTION("""COMPUTED_VALUE"""),"Lose Somebody")</f>
        <v>Lose Somebody</v>
      </c>
      <c r="E1700" t="str">
        <f>IFERROR(__xludf.DUMMYFUNCTION("""COMPUTED_VALUE"""),"Kygo, OneRepublic")</f>
        <v>Kygo, OneRepublic</v>
      </c>
      <c r="F1700" t="str">
        <f>IFERROR(__xludf.DUMMYFUNCTION("""COMPUTED_VALUE"""),"Lose Somebody")</f>
        <v>Lose Somebody</v>
      </c>
      <c r="G1700">
        <f>IFERROR(__xludf.DUMMYFUNCTION("""COMPUTED_VALUE"""),0.0)</f>
        <v>0</v>
      </c>
      <c r="H1700" s="5">
        <f>IFERROR(__xludf.DUMMYFUNCTION("""COMPUTED_VALUE"""),0.1381944444437977)</f>
        <v>0.1381944444</v>
      </c>
    </row>
    <row r="1701">
      <c r="A1701" t="str">
        <f>IFERROR(__xludf.DUMMYFUNCTION("""COMPUTED_VALUE"""),"Latvia")</f>
        <v>Latvia</v>
      </c>
      <c r="B1701" t="str">
        <f>IFERROR(__xludf.DUMMYFUNCTION("""COMPUTED_VALUE"""),"Europe")</f>
        <v>Europe</v>
      </c>
      <c r="C1701">
        <f>IFERROR(__xludf.DUMMYFUNCTION("""COMPUTED_VALUE"""),50.0)</f>
        <v>50</v>
      </c>
      <c r="D1701" t="str">
        <f>IFERROR(__xludf.DUMMYFUNCTION("""COMPUTED_VALUE"""),"Daisies")</f>
        <v>Daisies</v>
      </c>
      <c r="E1701" t="str">
        <f>IFERROR(__xludf.DUMMYFUNCTION("""COMPUTED_VALUE"""),"Katy Perry")</f>
        <v>Katy Perry</v>
      </c>
      <c r="F1701" t="str">
        <f>IFERROR(__xludf.DUMMYFUNCTION("""COMPUTED_VALUE"""),"Daisies")</f>
        <v>Daisies</v>
      </c>
      <c r="G1701">
        <f>IFERROR(__xludf.DUMMYFUNCTION("""COMPUTED_VALUE"""),0.0)</f>
        <v>0</v>
      </c>
      <c r="H1701" s="5">
        <f>IFERROR(__xludf.DUMMYFUNCTION("""COMPUTED_VALUE"""),0.12013888888759539)</f>
        <v>0.1201388889</v>
      </c>
    </row>
    <row r="1702">
      <c r="A1702" t="str">
        <f>IFERROR(__xludf.DUMMYFUNCTION("""COMPUTED_VALUE"""),"Lithuania")</f>
        <v>Lithuania</v>
      </c>
      <c r="B1702" t="str">
        <f>IFERROR(__xludf.DUMMYFUNCTION("""COMPUTED_VALUE"""),"Europe")</f>
        <v>Europe</v>
      </c>
      <c r="C1702">
        <f>IFERROR(__xludf.DUMMYFUNCTION("""COMPUTED_VALUE"""),1.0)</f>
        <v>1</v>
      </c>
      <c r="D1702" t="str">
        <f>IFERROR(__xludf.DUMMYFUNCTION("""COMPUTED_VALUE"""),"Blinding Lights")</f>
        <v>Blinding Lights</v>
      </c>
      <c r="E1702" t="str">
        <f>IFERROR(__xludf.DUMMYFUNCTION("""COMPUTED_VALUE"""),"The Weeknd")</f>
        <v>The Weeknd</v>
      </c>
      <c r="F1702" t="str">
        <f>IFERROR(__xludf.DUMMYFUNCTION("""COMPUTED_VALUE"""),"After Hours")</f>
        <v>After Hours</v>
      </c>
      <c r="G1702">
        <f>IFERROR(__xludf.DUMMYFUNCTION("""COMPUTED_VALUE"""),0.0)</f>
        <v>0</v>
      </c>
      <c r="H1702" s="5">
        <f>IFERROR(__xludf.DUMMYFUNCTION("""COMPUTED_VALUE"""),0.13888888889050577)</f>
        <v>0.1388888889</v>
      </c>
    </row>
    <row r="1703">
      <c r="A1703" t="str">
        <f>IFERROR(__xludf.DUMMYFUNCTION("""COMPUTED_VALUE"""),"Lithuania")</f>
        <v>Lithuania</v>
      </c>
      <c r="B1703" t="str">
        <f>IFERROR(__xludf.DUMMYFUNCTION("""COMPUTED_VALUE"""),"Europe")</f>
        <v>Europe</v>
      </c>
      <c r="C1703">
        <f>IFERROR(__xludf.DUMMYFUNCTION("""COMPUTED_VALUE"""),2.0)</f>
        <v>2</v>
      </c>
      <c r="D1703" t="str">
        <f>IFERROR(__xludf.DUMMYFUNCTION("""COMPUTED_VALUE"""),"Roses - Imanbek Remix")</f>
        <v>Roses - Imanbek Remix</v>
      </c>
      <c r="E1703" t="str">
        <f>IFERROR(__xludf.DUMMYFUNCTION("""COMPUTED_VALUE"""),"SAINt JHN, Imanbek")</f>
        <v>SAINt JHN, Imanbek</v>
      </c>
      <c r="F1703" t="str">
        <f>IFERROR(__xludf.DUMMYFUNCTION("""COMPUTED_VALUE"""),"Roses (Imanbek Remix)")</f>
        <v>Roses (Imanbek Remix)</v>
      </c>
      <c r="G1703">
        <f>IFERROR(__xludf.DUMMYFUNCTION("""COMPUTED_VALUE"""),1.0)</f>
        <v>1</v>
      </c>
      <c r="H1703" s="5">
        <f>IFERROR(__xludf.DUMMYFUNCTION("""COMPUTED_VALUE"""),0.12222222222044365)</f>
        <v>0.1222222222</v>
      </c>
    </row>
    <row r="1704">
      <c r="A1704" t="str">
        <f>IFERROR(__xludf.DUMMYFUNCTION("""COMPUTED_VALUE"""),"Lithuania")</f>
        <v>Lithuania</v>
      </c>
      <c r="B1704" t="str">
        <f>IFERROR(__xludf.DUMMYFUNCTION("""COMPUTED_VALUE"""),"Europe")</f>
        <v>Europe</v>
      </c>
      <c r="C1704">
        <f>IFERROR(__xludf.DUMMYFUNCTION("""COMPUTED_VALUE"""),3.0)</f>
        <v>3</v>
      </c>
      <c r="D1704" t="str">
        <f>IFERROR(__xludf.DUMMYFUNCTION("""COMPUTED_VALUE"""),"Rain On Me (with Ariana Grande)")</f>
        <v>Rain On Me (with Ariana Grande)</v>
      </c>
      <c r="E1704" t="str">
        <f>IFERROR(__xludf.DUMMYFUNCTION("""COMPUTED_VALUE"""),"Lady Gaga, Ariana Grande")</f>
        <v>Lady Gaga, Ariana Grande</v>
      </c>
      <c r="F1704" t="str">
        <f>IFERROR(__xludf.DUMMYFUNCTION("""COMPUTED_VALUE"""),"Rain On Me (with Ariana Grande)")</f>
        <v>Rain On Me (with Ariana Grande)</v>
      </c>
      <c r="G1704">
        <f>IFERROR(__xludf.DUMMYFUNCTION("""COMPUTED_VALUE"""),0.0)</f>
        <v>0</v>
      </c>
      <c r="H1704" s="5">
        <f>IFERROR(__xludf.DUMMYFUNCTION("""COMPUTED_VALUE"""),0.12638888888977817)</f>
        <v>0.1263888889</v>
      </c>
    </row>
    <row r="1705">
      <c r="A1705" t="str">
        <f>IFERROR(__xludf.DUMMYFUNCTION("""COMPUTED_VALUE"""),"Lithuania")</f>
        <v>Lithuania</v>
      </c>
      <c r="B1705" t="str">
        <f>IFERROR(__xludf.DUMMYFUNCTION("""COMPUTED_VALUE"""),"Europe")</f>
        <v>Europe</v>
      </c>
      <c r="C1705">
        <f>IFERROR(__xludf.DUMMYFUNCTION("""COMPUTED_VALUE"""),4.0)</f>
        <v>4</v>
      </c>
      <c r="D1705" t="str">
        <f>IFERROR(__xludf.DUMMYFUNCTION("""COMPUTED_VALUE"""),"ROCKSTAR (feat. Roddy Ricch)")</f>
        <v>ROCKSTAR (feat. Roddy Ricch)</v>
      </c>
      <c r="E1705" t="str">
        <f>IFERROR(__xludf.DUMMYFUNCTION("""COMPUTED_VALUE"""),"DaBaby, Roddy Ricch")</f>
        <v>DaBaby, Roddy Ricch</v>
      </c>
      <c r="F1705" t="str">
        <f>IFERROR(__xludf.DUMMYFUNCTION("""COMPUTED_VALUE"""),"BLAME IT ON BABY")</f>
        <v>BLAME IT ON BABY</v>
      </c>
      <c r="G1705">
        <f>IFERROR(__xludf.DUMMYFUNCTION("""COMPUTED_VALUE"""),1.0)</f>
        <v>1</v>
      </c>
      <c r="H1705" s="5">
        <f>IFERROR(__xludf.DUMMYFUNCTION("""COMPUTED_VALUE"""),0.1256944444430701)</f>
        <v>0.1256944444</v>
      </c>
    </row>
    <row r="1706">
      <c r="A1706" t="str">
        <f>IFERROR(__xludf.DUMMYFUNCTION("""COMPUTED_VALUE"""),"Lithuania")</f>
        <v>Lithuania</v>
      </c>
      <c r="B1706" t="str">
        <f>IFERROR(__xludf.DUMMYFUNCTION("""COMPUTED_VALUE"""),"Europe")</f>
        <v>Europe</v>
      </c>
      <c r="C1706">
        <f>IFERROR(__xludf.DUMMYFUNCTION("""COMPUTED_VALUE"""),5.0)</f>
        <v>5</v>
      </c>
      <c r="D1706" t="str">
        <f>IFERROR(__xludf.DUMMYFUNCTION("""COMPUTED_VALUE"""),"THE SCOTTS")</f>
        <v>THE SCOTTS</v>
      </c>
      <c r="E1706" t="str">
        <f>IFERROR(__xludf.DUMMYFUNCTION("""COMPUTED_VALUE"""),"THE SCOTTS, Travis Scott, Kid Cudi")</f>
        <v>THE SCOTTS, Travis Scott, Kid Cudi</v>
      </c>
      <c r="F1706" t="str">
        <f>IFERROR(__xludf.DUMMYFUNCTION("""COMPUTED_VALUE"""),"THE SCOTTS")</f>
        <v>THE SCOTTS</v>
      </c>
      <c r="G1706">
        <f>IFERROR(__xludf.DUMMYFUNCTION("""COMPUTED_VALUE"""),1.0)</f>
        <v>1</v>
      </c>
      <c r="H1706" s="5">
        <f>IFERROR(__xludf.DUMMYFUNCTION("""COMPUTED_VALUE"""),0.11458333333212067)</f>
        <v>0.1145833333</v>
      </c>
    </row>
    <row r="1707">
      <c r="A1707" t="str">
        <f>IFERROR(__xludf.DUMMYFUNCTION("""COMPUTED_VALUE"""),"Lithuania")</f>
        <v>Lithuania</v>
      </c>
      <c r="B1707" t="str">
        <f>IFERROR(__xludf.DUMMYFUNCTION("""COMPUTED_VALUE"""),"Europe")</f>
        <v>Europe</v>
      </c>
      <c r="C1707">
        <f>IFERROR(__xludf.DUMMYFUNCTION("""COMPUTED_VALUE"""),6.0)</f>
        <v>6</v>
      </c>
      <c r="D1707" t="str">
        <f>IFERROR(__xludf.DUMMYFUNCTION("""COMPUTED_VALUE"""),"ily (i love you baby) (feat. Emilee)")</f>
        <v>ily (i love you baby) (feat. Emilee)</v>
      </c>
      <c r="E1707" t="str">
        <f>IFERROR(__xludf.DUMMYFUNCTION("""COMPUTED_VALUE"""),"Surf Mesa, Emilee")</f>
        <v>Surf Mesa, Emilee</v>
      </c>
      <c r="F1707" t="str">
        <f>IFERROR(__xludf.DUMMYFUNCTION("""COMPUTED_VALUE"""),"ily (i love you baby) (feat. Emilee)")</f>
        <v>ily (i love you baby) (feat. Emilee)</v>
      </c>
      <c r="G1707">
        <f>IFERROR(__xludf.DUMMYFUNCTION("""COMPUTED_VALUE"""),0.0)</f>
        <v>0</v>
      </c>
      <c r="H1707" s="5">
        <f>IFERROR(__xludf.DUMMYFUNCTION("""COMPUTED_VALUE"""),0.12222222222044365)</f>
        <v>0.1222222222</v>
      </c>
    </row>
    <row r="1708">
      <c r="A1708" t="str">
        <f>IFERROR(__xludf.DUMMYFUNCTION("""COMPUTED_VALUE"""),"Lithuania")</f>
        <v>Lithuania</v>
      </c>
      <c r="B1708" t="str">
        <f>IFERROR(__xludf.DUMMYFUNCTION("""COMPUTED_VALUE"""),"Europe")</f>
        <v>Europe</v>
      </c>
      <c r="C1708">
        <f>IFERROR(__xludf.DUMMYFUNCTION("""COMPUTED_VALUE"""),7.0)</f>
        <v>7</v>
      </c>
      <c r="D1708" t="str">
        <f>IFERROR(__xludf.DUMMYFUNCTION("""COMPUTED_VALUE"""),"In Your Eyes")</f>
        <v>In Your Eyes</v>
      </c>
      <c r="E1708" t="str">
        <f>IFERROR(__xludf.DUMMYFUNCTION("""COMPUTED_VALUE"""),"The Weeknd")</f>
        <v>The Weeknd</v>
      </c>
      <c r="F1708" t="str">
        <f>IFERROR(__xludf.DUMMYFUNCTION("""COMPUTED_VALUE"""),"After Hours")</f>
        <v>After Hours</v>
      </c>
      <c r="G1708">
        <f>IFERROR(__xludf.DUMMYFUNCTION("""COMPUTED_VALUE"""),1.0)</f>
        <v>1</v>
      </c>
      <c r="H1708" s="5">
        <f>IFERROR(__xludf.DUMMYFUNCTION("""COMPUTED_VALUE"""),0.16458333333503106)</f>
        <v>0.1645833333</v>
      </c>
    </row>
    <row r="1709">
      <c r="A1709" t="str">
        <f>IFERROR(__xludf.DUMMYFUNCTION("""COMPUTED_VALUE"""),"Lithuania")</f>
        <v>Lithuania</v>
      </c>
      <c r="B1709" t="str">
        <f>IFERROR(__xludf.DUMMYFUNCTION("""COMPUTED_VALUE"""),"Europe")</f>
        <v>Europe</v>
      </c>
      <c r="C1709">
        <f>IFERROR(__xludf.DUMMYFUNCTION("""COMPUTED_VALUE"""),8.0)</f>
        <v>8</v>
      </c>
      <c r="D1709" t="str">
        <f>IFERROR(__xludf.DUMMYFUNCTION("""COMPUTED_VALUE"""),"Toosie Slide")</f>
        <v>Toosie Slide</v>
      </c>
      <c r="E1709" t="str">
        <f>IFERROR(__xludf.DUMMYFUNCTION("""COMPUTED_VALUE"""),"Drake")</f>
        <v>Drake</v>
      </c>
      <c r="F1709" t="str">
        <f>IFERROR(__xludf.DUMMYFUNCTION("""COMPUTED_VALUE"""),"Dark Lane Demo Tapes")</f>
        <v>Dark Lane Demo Tapes</v>
      </c>
      <c r="G1709">
        <f>IFERROR(__xludf.DUMMYFUNCTION("""COMPUTED_VALUE"""),1.0)</f>
        <v>1</v>
      </c>
      <c r="H1709" s="5">
        <f>IFERROR(__xludf.DUMMYFUNCTION("""COMPUTED_VALUE"""),0.17152777777664596)</f>
        <v>0.1715277778</v>
      </c>
    </row>
    <row r="1710">
      <c r="A1710" t="str">
        <f>IFERROR(__xludf.DUMMYFUNCTION("""COMPUTED_VALUE"""),"Lithuania")</f>
        <v>Lithuania</v>
      </c>
      <c r="B1710" t="str">
        <f>IFERROR(__xludf.DUMMYFUNCTION("""COMPUTED_VALUE"""),"Europe")</f>
        <v>Europe</v>
      </c>
      <c r="C1710">
        <f>IFERROR(__xludf.DUMMYFUNCTION("""COMPUTED_VALUE"""),9.0)</f>
        <v>9</v>
      </c>
      <c r="D1710" t="str">
        <f>IFERROR(__xludf.DUMMYFUNCTION("""COMPUTED_VALUE"""),"Break My Heart")</f>
        <v>Break My Heart</v>
      </c>
      <c r="E1710" t="str">
        <f>IFERROR(__xludf.DUMMYFUNCTION("""COMPUTED_VALUE"""),"Dua Lipa")</f>
        <v>Dua Lipa</v>
      </c>
      <c r="F1710" t="str">
        <f>IFERROR(__xludf.DUMMYFUNCTION("""COMPUTED_VALUE"""),"Future Nostalgia")</f>
        <v>Future Nostalgia</v>
      </c>
      <c r="G1710">
        <f>IFERROR(__xludf.DUMMYFUNCTION("""COMPUTED_VALUE"""),0.0)</f>
        <v>0</v>
      </c>
      <c r="H1710" s="5">
        <f>IFERROR(__xludf.DUMMYFUNCTION("""COMPUTED_VALUE"""),0.15347222222044365)</f>
        <v>0.1534722222</v>
      </c>
    </row>
    <row r="1711">
      <c r="A1711" t="str">
        <f>IFERROR(__xludf.DUMMYFUNCTION("""COMPUTED_VALUE"""),"Lithuania")</f>
        <v>Lithuania</v>
      </c>
      <c r="B1711" t="str">
        <f>IFERROR(__xludf.DUMMYFUNCTION("""COMPUTED_VALUE"""),"Europe")</f>
        <v>Europe</v>
      </c>
      <c r="C1711">
        <f>IFERROR(__xludf.DUMMYFUNCTION("""COMPUTED_VALUE"""),10.0)</f>
        <v>10</v>
      </c>
      <c r="D1711" t="str">
        <f>IFERROR(__xludf.DUMMYFUNCTION("""COMPUTED_VALUE"""),"Don't Start Now")</f>
        <v>Don't Start Now</v>
      </c>
      <c r="E1711" t="str">
        <f>IFERROR(__xludf.DUMMYFUNCTION("""COMPUTED_VALUE"""),"Dua Lipa")</f>
        <v>Dua Lipa</v>
      </c>
      <c r="F1711" t="str">
        <f>IFERROR(__xludf.DUMMYFUNCTION("""COMPUTED_VALUE"""),"Future Nostalgia")</f>
        <v>Future Nostalgia</v>
      </c>
      <c r="G1711">
        <f>IFERROR(__xludf.DUMMYFUNCTION("""COMPUTED_VALUE"""),0.0)</f>
        <v>0</v>
      </c>
      <c r="H1711" s="5">
        <f>IFERROR(__xludf.DUMMYFUNCTION("""COMPUTED_VALUE"""),0.12708333333284827)</f>
        <v>0.1270833333</v>
      </c>
    </row>
    <row r="1712">
      <c r="A1712" t="str">
        <f>IFERROR(__xludf.DUMMYFUNCTION("""COMPUTED_VALUE"""),"Lithuania")</f>
        <v>Lithuania</v>
      </c>
      <c r="B1712" t="str">
        <f>IFERROR(__xludf.DUMMYFUNCTION("""COMPUTED_VALUE"""),"Europe")</f>
        <v>Europe</v>
      </c>
      <c r="C1712">
        <f>IFERROR(__xludf.DUMMYFUNCTION("""COMPUTED_VALUE"""),11.0)</f>
        <v>11</v>
      </c>
      <c r="D1712" t="str">
        <f>IFERROR(__xludf.DUMMYFUNCTION("""COMPUTED_VALUE"""),"Watermelon Sugar")</f>
        <v>Watermelon Sugar</v>
      </c>
      <c r="E1712" t="str">
        <f>IFERROR(__xludf.DUMMYFUNCTION("""COMPUTED_VALUE"""),"Harry Styles")</f>
        <v>Harry Styles</v>
      </c>
      <c r="F1712" t="str">
        <f>IFERROR(__xludf.DUMMYFUNCTION("""COMPUTED_VALUE"""),"Fine Line")</f>
        <v>Fine Line</v>
      </c>
      <c r="G1712">
        <f>IFERROR(__xludf.DUMMYFUNCTION("""COMPUTED_VALUE"""),0.0)</f>
        <v>0</v>
      </c>
      <c r="H1712" s="5">
        <f>IFERROR(__xludf.DUMMYFUNCTION("""COMPUTED_VALUE"""),0.12083333333430346)</f>
        <v>0.1208333333</v>
      </c>
    </row>
    <row r="1713">
      <c r="A1713" t="str">
        <f>IFERROR(__xludf.DUMMYFUNCTION("""COMPUTED_VALUE"""),"Lithuania")</f>
        <v>Lithuania</v>
      </c>
      <c r="B1713" t="str">
        <f>IFERROR(__xludf.DUMMYFUNCTION("""COMPUTED_VALUE"""),"Europe")</f>
        <v>Europe</v>
      </c>
      <c r="C1713">
        <f>IFERROR(__xludf.DUMMYFUNCTION("""COMPUTED_VALUE"""),12.0)</f>
        <v>12</v>
      </c>
      <c r="D1713" t="str">
        <f>IFERROR(__xludf.DUMMYFUNCTION("""COMPUTED_VALUE"""),"death bed (coffee for your head) (feat. beabadoobee)")</f>
        <v>death bed (coffee for your head) (feat. beabadoobee)</v>
      </c>
      <c r="E1713" t="str">
        <f>IFERROR(__xludf.DUMMYFUNCTION("""COMPUTED_VALUE"""),"Powfu, beabadoobee")</f>
        <v>Powfu, beabadoobee</v>
      </c>
      <c r="F1713" t="str">
        <f>IFERROR(__xludf.DUMMYFUNCTION("""COMPUTED_VALUE"""),"death bed (coffee for your head) (feat. beabadoobee)")</f>
        <v>death bed (coffee for your head) (feat. beabadoobee)</v>
      </c>
      <c r="G1713">
        <f>IFERROR(__xludf.DUMMYFUNCTION("""COMPUTED_VALUE"""),0.0)</f>
        <v>0</v>
      </c>
      <c r="H1713" s="5">
        <f>IFERROR(__xludf.DUMMYFUNCTION("""COMPUTED_VALUE"""),0.12013888888759539)</f>
        <v>0.1201388889</v>
      </c>
    </row>
    <row r="1714">
      <c r="A1714" t="str">
        <f>IFERROR(__xludf.DUMMYFUNCTION("""COMPUTED_VALUE"""),"Lithuania")</f>
        <v>Lithuania</v>
      </c>
      <c r="B1714" t="str">
        <f>IFERROR(__xludf.DUMMYFUNCTION("""COMPUTED_VALUE"""),"Europe")</f>
        <v>Europe</v>
      </c>
      <c r="C1714">
        <f>IFERROR(__xludf.DUMMYFUNCTION("""COMPUTED_VALUE"""),13.0)</f>
        <v>13</v>
      </c>
      <c r="D1714" t="str">
        <f>IFERROR(__xludf.DUMMYFUNCTION("""COMPUTED_VALUE"""),"Supalonely")</f>
        <v>Supalonely</v>
      </c>
      <c r="E1714" t="str">
        <f>IFERROR(__xludf.DUMMYFUNCTION("""COMPUTED_VALUE"""),"BENEE, Gus Dapperton")</f>
        <v>BENEE, Gus Dapperton</v>
      </c>
      <c r="F1714" t="str">
        <f>IFERROR(__xludf.DUMMYFUNCTION("""COMPUTED_VALUE"""),"STELLA &amp; STEVE")</f>
        <v>STELLA &amp; STEVE</v>
      </c>
      <c r="G1714">
        <f>IFERROR(__xludf.DUMMYFUNCTION("""COMPUTED_VALUE"""),1.0)</f>
        <v>1</v>
      </c>
      <c r="H1714" s="5">
        <f>IFERROR(__xludf.DUMMYFUNCTION("""COMPUTED_VALUE"""),0.15486111111022183)</f>
        <v>0.1548611111</v>
      </c>
    </row>
    <row r="1715">
      <c r="A1715" t="str">
        <f>IFERROR(__xludf.DUMMYFUNCTION("""COMPUTED_VALUE"""),"Lithuania")</f>
        <v>Lithuania</v>
      </c>
      <c r="B1715" t="str">
        <f>IFERROR(__xludf.DUMMYFUNCTION("""COMPUTED_VALUE"""),"Europe")</f>
        <v>Europe</v>
      </c>
      <c r="C1715">
        <f>IFERROR(__xludf.DUMMYFUNCTION("""COMPUTED_VALUE"""),14.0)</f>
        <v>14</v>
      </c>
      <c r="D1715" t="str">
        <f>IFERROR(__xludf.DUMMYFUNCTION("""COMPUTED_VALUE"""),"Breaking Me")</f>
        <v>Breaking Me</v>
      </c>
      <c r="E1715" t="str">
        <f>IFERROR(__xludf.DUMMYFUNCTION("""COMPUTED_VALUE"""),"Topic, A7S")</f>
        <v>Topic, A7S</v>
      </c>
      <c r="F1715" t="str">
        <f>IFERROR(__xludf.DUMMYFUNCTION("""COMPUTED_VALUE"""),"Breaking Me")</f>
        <v>Breaking Me</v>
      </c>
      <c r="G1715">
        <f>IFERROR(__xludf.DUMMYFUNCTION("""COMPUTED_VALUE"""),0.0)</f>
        <v>0</v>
      </c>
      <c r="H1715" s="5">
        <f>IFERROR(__xludf.DUMMYFUNCTION("""COMPUTED_VALUE"""),0.11527777777882875)</f>
        <v>0.1152777778</v>
      </c>
    </row>
    <row r="1716">
      <c r="A1716" t="str">
        <f>IFERROR(__xludf.DUMMYFUNCTION("""COMPUTED_VALUE"""),"Lithuania")</f>
        <v>Lithuania</v>
      </c>
      <c r="B1716" t="str">
        <f>IFERROR(__xludf.DUMMYFUNCTION("""COMPUTED_VALUE"""),"Europe")</f>
        <v>Europe</v>
      </c>
      <c r="C1716">
        <f>IFERROR(__xludf.DUMMYFUNCTION("""COMPUTED_VALUE"""),15.0)</f>
        <v>15</v>
      </c>
      <c r="D1716" t="str">
        <f>IFERROR(__xludf.DUMMYFUNCTION("""COMPUTED_VALUE"""),"Stuck with U (with Justin Bieber)")</f>
        <v>Stuck with U (with Justin Bieber)</v>
      </c>
      <c r="E1716" t="str">
        <f>IFERROR(__xludf.DUMMYFUNCTION("""COMPUTED_VALUE"""),"Ariana Grande, Justin Bieber")</f>
        <v>Ariana Grande, Justin Bieber</v>
      </c>
      <c r="F1716" t="str">
        <f>IFERROR(__xludf.DUMMYFUNCTION("""COMPUTED_VALUE"""),"Stuck with U")</f>
        <v>Stuck with U</v>
      </c>
      <c r="G1716">
        <f>IFERROR(__xludf.DUMMYFUNCTION("""COMPUTED_VALUE"""),0.0)</f>
        <v>0</v>
      </c>
      <c r="H1716" s="5">
        <f>IFERROR(__xludf.DUMMYFUNCTION("""COMPUTED_VALUE"""),0.15833333333284827)</f>
        <v>0.1583333333</v>
      </c>
    </row>
    <row r="1717">
      <c r="A1717" t="str">
        <f>IFERROR(__xludf.DUMMYFUNCTION("""COMPUTED_VALUE"""),"Lithuania")</f>
        <v>Lithuania</v>
      </c>
      <c r="B1717" t="str">
        <f>IFERROR(__xludf.DUMMYFUNCTION("""COMPUTED_VALUE"""),"Europe")</f>
        <v>Europe</v>
      </c>
      <c r="C1717">
        <f>IFERROR(__xludf.DUMMYFUNCTION("""COMPUTED_VALUE"""),16.0)</f>
        <v>16</v>
      </c>
      <c r="D1717" t="str">
        <f>IFERROR(__xludf.DUMMYFUNCTION("""COMPUTED_VALUE"""),"GOOBA")</f>
        <v>GOOBA</v>
      </c>
      <c r="E1717" t="str">
        <f>IFERROR(__xludf.DUMMYFUNCTION("""COMPUTED_VALUE"""),"6ix9ine")</f>
        <v>6ix9ine</v>
      </c>
      <c r="F1717" t="str">
        <f>IFERROR(__xludf.DUMMYFUNCTION("""COMPUTED_VALUE"""),"GOOBA")</f>
        <v>GOOBA</v>
      </c>
      <c r="G1717">
        <f>IFERROR(__xludf.DUMMYFUNCTION("""COMPUTED_VALUE"""),1.0)</f>
        <v>1</v>
      </c>
      <c r="H1717" s="5">
        <f>IFERROR(__xludf.DUMMYFUNCTION("""COMPUTED_VALUE"""),0.09166666666715173)</f>
        <v>0.09166666667</v>
      </c>
    </row>
    <row r="1718">
      <c r="A1718" t="str">
        <f>IFERROR(__xludf.DUMMYFUNCTION("""COMPUTED_VALUE"""),"Lithuania")</f>
        <v>Lithuania</v>
      </c>
      <c r="B1718" t="str">
        <f>IFERROR(__xludf.DUMMYFUNCTION("""COMPUTED_VALUE"""),"Europe")</f>
        <v>Europe</v>
      </c>
      <c r="C1718">
        <f>IFERROR(__xludf.DUMMYFUNCTION("""COMPUTED_VALUE"""),17.0)</f>
        <v>17</v>
      </c>
      <c r="D1718" t="str">
        <f>IFERROR(__xludf.DUMMYFUNCTION("""COMPUTED_VALUE"""),"The Box")</f>
        <v>The Box</v>
      </c>
      <c r="E1718" t="str">
        <f>IFERROR(__xludf.DUMMYFUNCTION("""COMPUTED_VALUE"""),"Roddy Ricch")</f>
        <v>Roddy Ricch</v>
      </c>
      <c r="F1718" t="str">
        <f>IFERROR(__xludf.DUMMYFUNCTION("""COMPUTED_VALUE"""),"Please Excuse Me For Being Antisocial")</f>
        <v>Please Excuse Me For Being Antisocial</v>
      </c>
      <c r="G1718">
        <f>IFERROR(__xludf.DUMMYFUNCTION("""COMPUTED_VALUE"""),1.0)</f>
        <v>1</v>
      </c>
      <c r="H1718" s="5">
        <f>IFERROR(__xludf.DUMMYFUNCTION("""COMPUTED_VALUE"""),0.13611111111094942)</f>
        <v>0.1361111111</v>
      </c>
    </row>
    <row r="1719">
      <c r="A1719" t="str">
        <f>IFERROR(__xludf.DUMMYFUNCTION("""COMPUTED_VALUE"""),"Lithuania")</f>
        <v>Lithuania</v>
      </c>
      <c r="B1719" t="str">
        <f>IFERROR(__xludf.DUMMYFUNCTION("""COMPUTED_VALUE"""),"Europe")</f>
        <v>Europe</v>
      </c>
      <c r="C1719">
        <f>IFERROR(__xludf.DUMMYFUNCTION("""COMPUTED_VALUE"""),18.0)</f>
        <v>18</v>
      </c>
      <c r="D1719" t="str">
        <f>IFERROR(__xludf.DUMMYFUNCTION("""COMPUTED_VALUE"""),"Blueberry Faygo")</f>
        <v>Blueberry Faygo</v>
      </c>
      <c r="E1719" t="str">
        <f>IFERROR(__xludf.DUMMYFUNCTION("""COMPUTED_VALUE"""),"Lil Mosey")</f>
        <v>Lil Mosey</v>
      </c>
      <c r="F1719" t="str">
        <f>IFERROR(__xludf.DUMMYFUNCTION("""COMPUTED_VALUE"""),"Certified Hitmaker")</f>
        <v>Certified Hitmaker</v>
      </c>
      <c r="G1719">
        <f>IFERROR(__xludf.DUMMYFUNCTION("""COMPUTED_VALUE"""),1.0)</f>
        <v>1</v>
      </c>
      <c r="H1719" s="5">
        <f>IFERROR(__xludf.DUMMYFUNCTION("""COMPUTED_VALUE"""),0.1124999999992724)</f>
        <v>0.1125</v>
      </c>
    </row>
    <row r="1720">
      <c r="A1720" t="str">
        <f>IFERROR(__xludf.DUMMYFUNCTION("""COMPUTED_VALUE"""),"Lithuania")</f>
        <v>Lithuania</v>
      </c>
      <c r="B1720" t="str">
        <f>IFERROR(__xludf.DUMMYFUNCTION("""COMPUTED_VALUE"""),"Europe")</f>
        <v>Europe</v>
      </c>
      <c r="C1720">
        <f>IFERROR(__xludf.DUMMYFUNCTION("""COMPUTED_VALUE"""),19.0)</f>
        <v>19</v>
      </c>
      <c r="D1720" t="str">
        <f>IFERROR(__xludf.DUMMYFUNCTION("""COMPUTED_VALUE"""),"Sunday Best")</f>
        <v>Sunday Best</v>
      </c>
      <c r="E1720" t="str">
        <f>IFERROR(__xludf.DUMMYFUNCTION("""COMPUTED_VALUE"""),"Surfaces")</f>
        <v>Surfaces</v>
      </c>
      <c r="F1720" t="str">
        <f>IFERROR(__xludf.DUMMYFUNCTION("""COMPUTED_VALUE"""),"Where the Light Is")</f>
        <v>Where the Light Is</v>
      </c>
      <c r="G1720">
        <f>IFERROR(__xludf.DUMMYFUNCTION("""COMPUTED_VALUE"""),0.0)</f>
        <v>0</v>
      </c>
      <c r="H1720" s="5">
        <f>IFERROR(__xludf.DUMMYFUNCTION("""COMPUTED_VALUE"""),0.10972222222335404)</f>
        <v>0.1097222222</v>
      </c>
    </row>
    <row r="1721">
      <c r="A1721" t="str">
        <f>IFERROR(__xludf.DUMMYFUNCTION("""COMPUTED_VALUE"""),"Lithuania")</f>
        <v>Lithuania</v>
      </c>
      <c r="B1721" t="str">
        <f>IFERROR(__xludf.DUMMYFUNCTION("""COMPUTED_VALUE"""),"Europe")</f>
        <v>Europe</v>
      </c>
      <c r="C1721">
        <f>IFERROR(__xludf.DUMMYFUNCTION("""COMPUTED_VALUE"""),20.0)</f>
        <v>20</v>
      </c>
      <c r="D1721" t="str">
        <f>IFERROR(__xludf.DUMMYFUNCTION("""COMPUTED_VALUE"""),"Boss Bitch")</f>
        <v>Boss Bitch</v>
      </c>
      <c r="E1721" t="str">
        <f>IFERROR(__xludf.DUMMYFUNCTION("""COMPUTED_VALUE"""),"Doja Cat")</f>
        <v>Doja Cat</v>
      </c>
      <c r="F1721" t="str">
        <f>IFERROR(__xludf.DUMMYFUNCTION("""COMPUTED_VALUE"""),"Boss Bitch")</f>
        <v>Boss Bitch</v>
      </c>
      <c r="G1721">
        <f>IFERROR(__xludf.DUMMYFUNCTION("""COMPUTED_VALUE"""),0.0)</f>
        <v>0</v>
      </c>
      <c r="H1721" s="5">
        <f>IFERROR(__xludf.DUMMYFUNCTION("""COMPUTED_VALUE"""),0.0930555555569299)</f>
        <v>0.09305555556</v>
      </c>
    </row>
    <row r="1722">
      <c r="A1722" t="str">
        <f>IFERROR(__xludf.DUMMYFUNCTION("""COMPUTED_VALUE"""),"Lithuania")</f>
        <v>Lithuania</v>
      </c>
      <c r="B1722" t="str">
        <f>IFERROR(__xludf.DUMMYFUNCTION("""COMPUTED_VALUE"""),"Europe")</f>
        <v>Europe</v>
      </c>
      <c r="C1722">
        <f>IFERROR(__xludf.DUMMYFUNCTION("""COMPUTED_VALUE"""),21.0)</f>
        <v>21</v>
      </c>
      <c r="D1722" t="str">
        <f>IFERROR(__xludf.DUMMYFUNCTION("""COMPUTED_VALUE"""),"WHATS POPPIN")</f>
        <v>WHATS POPPIN</v>
      </c>
      <c r="E1722" t="str">
        <f>IFERROR(__xludf.DUMMYFUNCTION("""COMPUTED_VALUE"""),"Jack Harlow")</f>
        <v>Jack Harlow</v>
      </c>
      <c r="F1722" t="str">
        <f>IFERROR(__xludf.DUMMYFUNCTION("""COMPUTED_VALUE"""),"Sweet Action")</f>
        <v>Sweet Action</v>
      </c>
      <c r="G1722">
        <f>IFERROR(__xludf.DUMMYFUNCTION("""COMPUTED_VALUE"""),1.0)</f>
        <v>1</v>
      </c>
      <c r="H1722" s="5">
        <f>IFERROR(__xludf.DUMMYFUNCTION("""COMPUTED_VALUE"""),0.09652777777955635)</f>
        <v>0.09652777778</v>
      </c>
    </row>
    <row r="1723">
      <c r="A1723" t="str">
        <f>IFERROR(__xludf.DUMMYFUNCTION("""COMPUTED_VALUE"""),"Lithuania")</f>
        <v>Lithuania</v>
      </c>
      <c r="B1723" t="str">
        <f>IFERROR(__xludf.DUMMYFUNCTION("""COMPUTED_VALUE"""),"Europe")</f>
        <v>Europe</v>
      </c>
      <c r="C1723">
        <f>IFERROR(__xludf.DUMMYFUNCTION("""COMPUTED_VALUE"""),22.0)</f>
        <v>22</v>
      </c>
      <c r="D1723" t="str">
        <f>IFERROR(__xludf.DUMMYFUNCTION("""COMPUTED_VALUE"""),"On Fire")</f>
        <v>On Fire</v>
      </c>
      <c r="E1723" t="str">
        <f>IFERROR(__xludf.DUMMYFUNCTION("""COMPUTED_VALUE"""),"THE ROOP")</f>
        <v>THE ROOP</v>
      </c>
      <c r="F1723" t="str">
        <f>IFERROR(__xludf.DUMMYFUNCTION("""COMPUTED_VALUE"""),"On Fire")</f>
        <v>On Fire</v>
      </c>
      <c r="G1723">
        <f>IFERROR(__xludf.DUMMYFUNCTION("""COMPUTED_VALUE"""),0.0)</f>
        <v>0</v>
      </c>
      <c r="H1723" s="5">
        <f>IFERROR(__xludf.DUMMYFUNCTION("""COMPUTED_VALUE"""),0.11805555555474712)</f>
        <v>0.1180555556</v>
      </c>
    </row>
    <row r="1724">
      <c r="A1724" t="str">
        <f>IFERROR(__xludf.DUMMYFUNCTION("""COMPUTED_VALUE"""),"Lithuania")</f>
        <v>Lithuania</v>
      </c>
      <c r="B1724" t="str">
        <f>IFERROR(__xludf.DUMMYFUNCTION("""COMPUTED_VALUE"""),"Europe")</f>
        <v>Europe</v>
      </c>
      <c r="C1724">
        <f>IFERROR(__xludf.DUMMYFUNCTION("""COMPUTED_VALUE"""),23.0)</f>
        <v>23</v>
      </c>
      <c r="D1724" t="str">
        <f>IFERROR(__xludf.DUMMYFUNCTION("""COMPUTED_VALUE"""),"August")</f>
        <v>August</v>
      </c>
      <c r="E1724" t="str">
        <f>IFERROR(__xludf.DUMMYFUNCTION("""COMPUTED_VALUE"""),"Intelligency")</f>
        <v>Intelligency</v>
      </c>
      <c r="F1724" t="str">
        <f>IFERROR(__xludf.DUMMYFUNCTION("""COMPUTED_VALUE"""),"August")</f>
        <v>August</v>
      </c>
      <c r="G1724">
        <f>IFERROR(__xludf.DUMMYFUNCTION("""COMPUTED_VALUE"""),0.0)</f>
        <v>0</v>
      </c>
      <c r="H1724" s="5">
        <f>IFERROR(__xludf.DUMMYFUNCTION("""COMPUTED_VALUE"""),0.1243055555569299)</f>
        <v>0.1243055556</v>
      </c>
    </row>
    <row r="1725">
      <c r="A1725" t="str">
        <f>IFERROR(__xludf.DUMMYFUNCTION("""COMPUTED_VALUE"""),"Lithuania")</f>
        <v>Lithuania</v>
      </c>
      <c r="B1725" t="str">
        <f>IFERROR(__xludf.DUMMYFUNCTION("""COMPUTED_VALUE"""),"Europe")</f>
        <v>Europe</v>
      </c>
      <c r="C1725">
        <f>IFERROR(__xludf.DUMMYFUNCTION("""COMPUTED_VALUE"""),24.0)</f>
        <v>24</v>
      </c>
      <c r="D1725" t="str">
        <f>IFERROR(__xludf.DUMMYFUNCTION("""COMPUTED_VALUE"""),"Falling")</f>
        <v>Falling</v>
      </c>
      <c r="E1725" t="str">
        <f>IFERROR(__xludf.DUMMYFUNCTION("""COMPUTED_VALUE"""),"Trevor Daniel")</f>
        <v>Trevor Daniel</v>
      </c>
      <c r="F1725" t="str">
        <f>IFERROR(__xludf.DUMMYFUNCTION("""COMPUTED_VALUE"""),"Nicotine")</f>
        <v>Nicotine</v>
      </c>
      <c r="G1725">
        <f>IFERROR(__xludf.DUMMYFUNCTION("""COMPUTED_VALUE"""),0.0)</f>
        <v>0</v>
      </c>
      <c r="H1725" s="5">
        <f>IFERROR(__xludf.DUMMYFUNCTION("""COMPUTED_VALUE"""),0.11041666666642413)</f>
        <v>0.1104166667</v>
      </c>
    </row>
    <row r="1726">
      <c r="A1726" t="str">
        <f>IFERROR(__xludf.DUMMYFUNCTION("""COMPUTED_VALUE"""),"Lithuania")</f>
        <v>Lithuania</v>
      </c>
      <c r="B1726" t="str">
        <f>IFERROR(__xludf.DUMMYFUNCTION("""COMPUTED_VALUE"""),"Europe")</f>
        <v>Europe</v>
      </c>
      <c r="C1726">
        <f>IFERROR(__xludf.DUMMYFUNCTION("""COMPUTED_VALUE"""),25.0)</f>
        <v>25</v>
      </c>
      <c r="D1726" t="str">
        <f>IFERROR(__xludf.DUMMYFUNCTION("""COMPUTED_VALUE"""),"Dance Monkey")</f>
        <v>Dance Monkey</v>
      </c>
      <c r="E1726" t="str">
        <f>IFERROR(__xludf.DUMMYFUNCTION("""COMPUTED_VALUE"""),"Tones And I")</f>
        <v>Tones And I</v>
      </c>
      <c r="F1726" t="str">
        <f>IFERROR(__xludf.DUMMYFUNCTION("""COMPUTED_VALUE"""),"Dance Monkey (Stripped Back) / Dance Monkey")</f>
        <v>Dance Monkey (Stripped Back) / Dance Monkey</v>
      </c>
      <c r="G1726">
        <f>IFERROR(__xludf.DUMMYFUNCTION("""COMPUTED_VALUE"""),0.0)</f>
        <v>0</v>
      </c>
      <c r="H1726" s="5">
        <f>IFERROR(__xludf.DUMMYFUNCTION("""COMPUTED_VALUE"""),0.14513888888905058)</f>
        <v>0.1451388889</v>
      </c>
    </row>
    <row r="1727">
      <c r="A1727" t="str">
        <f>IFERROR(__xludf.DUMMYFUNCTION("""COMPUTED_VALUE"""),"Lithuania")</f>
        <v>Lithuania</v>
      </c>
      <c r="B1727" t="str">
        <f>IFERROR(__xludf.DUMMYFUNCTION("""COMPUTED_VALUE"""),"Europe")</f>
        <v>Europe</v>
      </c>
      <c r="C1727">
        <f>IFERROR(__xludf.DUMMYFUNCTION("""COMPUTED_VALUE"""),26.0)</f>
        <v>26</v>
      </c>
      <c r="D1727" t="str">
        <f>IFERROR(__xludf.DUMMYFUNCTION("""COMPUTED_VALUE"""),"Be Kind (with Halsey)")</f>
        <v>Be Kind (with Halsey)</v>
      </c>
      <c r="E1727" t="str">
        <f>IFERROR(__xludf.DUMMYFUNCTION("""COMPUTED_VALUE"""),"Marshmello, Halsey")</f>
        <v>Marshmello, Halsey</v>
      </c>
      <c r="F1727" t="str">
        <f>IFERROR(__xludf.DUMMYFUNCTION("""COMPUTED_VALUE"""),"Be Kind (with Halsey)")</f>
        <v>Be Kind (with Halsey)</v>
      </c>
      <c r="G1727">
        <f>IFERROR(__xludf.DUMMYFUNCTION("""COMPUTED_VALUE"""),0.0)</f>
        <v>0</v>
      </c>
      <c r="H1727" s="5">
        <f>IFERROR(__xludf.DUMMYFUNCTION("""COMPUTED_VALUE"""),0.11944444444452529)</f>
        <v>0.1194444444</v>
      </c>
    </row>
    <row r="1728">
      <c r="A1728" t="str">
        <f>IFERROR(__xludf.DUMMYFUNCTION("""COMPUTED_VALUE"""),"Lithuania")</f>
        <v>Lithuania</v>
      </c>
      <c r="B1728" t="str">
        <f>IFERROR(__xludf.DUMMYFUNCTION("""COMPUTED_VALUE"""),"Europe")</f>
        <v>Europe</v>
      </c>
      <c r="C1728">
        <f>IFERROR(__xludf.DUMMYFUNCTION("""COMPUTED_VALUE"""),27.0)</f>
        <v>27</v>
      </c>
      <c r="D1728" t="str">
        <f>IFERROR(__xludf.DUMMYFUNCTION("""COMPUTED_VALUE"""),"Circles")</f>
        <v>Circles</v>
      </c>
      <c r="E1728" t="str">
        <f>IFERROR(__xludf.DUMMYFUNCTION("""COMPUTED_VALUE"""),"Post Malone")</f>
        <v>Post Malone</v>
      </c>
      <c r="F1728" t="str">
        <f>IFERROR(__xludf.DUMMYFUNCTION("""COMPUTED_VALUE"""),"Hollywood's Bleeding")</f>
        <v>Hollywood's Bleeding</v>
      </c>
      <c r="G1728">
        <f>IFERROR(__xludf.DUMMYFUNCTION("""COMPUTED_VALUE"""),0.0)</f>
        <v>0</v>
      </c>
      <c r="H1728" s="5">
        <f>IFERROR(__xludf.DUMMYFUNCTION("""COMPUTED_VALUE"""),0.14930555555474712)</f>
        <v>0.1493055556</v>
      </c>
    </row>
    <row r="1729">
      <c r="A1729" t="str">
        <f>IFERROR(__xludf.DUMMYFUNCTION("""COMPUTED_VALUE"""),"Lithuania")</f>
        <v>Lithuania</v>
      </c>
      <c r="B1729" t="str">
        <f>IFERROR(__xludf.DUMMYFUNCTION("""COMPUTED_VALUE"""),"Europe")</f>
        <v>Europe</v>
      </c>
      <c r="C1729">
        <f>IFERROR(__xludf.DUMMYFUNCTION("""COMPUTED_VALUE"""),28.0)</f>
        <v>28</v>
      </c>
      <c r="D1729" t="str">
        <f>IFERROR(__xludf.DUMMYFUNCTION("""COMPUTED_VALUE"""),"Say So (feat. Nicki Minaj)")</f>
        <v>Say So (feat. Nicki Minaj)</v>
      </c>
      <c r="E1729" t="str">
        <f>IFERROR(__xludf.DUMMYFUNCTION("""COMPUTED_VALUE"""),"Doja Cat, Nicki Minaj")</f>
        <v>Doja Cat, Nicki Minaj</v>
      </c>
      <c r="F1729" t="str">
        <f>IFERROR(__xludf.DUMMYFUNCTION("""COMPUTED_VALUE"""),"Say So (feat. Nicki Minaj)")</f>
        <v>Say So (feat. Nicki Minaj)</v>
      </c>
      <c r="G1729">
        <f>IFERROR(__xludf.DUMMYFUNCTION("""COMPUTED_VALUE"""),1.0)</f>
        <v>1</v>
      </c>
      <c r="H1729" s="5">
        <f>IFERROR(__xludf.DUMMYFUNCTION("""COMPUTED_VALUE"""),0.1430555555562023)</f>
        <v>0.1430555556</v>
      </c>
    </row>
    <row r="1730">
      <c r="A1730" t="str">
        <f>IFERROR(__xludf.DUMMYFUNCTION("""COMPUTED_VALUE"""),"Lithuania")</f>
        <v>Lithuania</v>
      </c>
      <c r="B1730" t="str">
        <f>IFERROR(__xludf.DUMMYFUNCTION("""COMPUTED_VALUE"""),"Europe")</f>
        <v>Europe</v>
      </c>
      <c r="C1730">
        <f>IFERROR(__xludf.DUMMYFUNCTION("""COMPUTED_VALUE"""),29.0)</f>
        <v>29</v>
      </c>
      <c r="D1730" t="str">
        <f>IFERROR(__xludf.DUMMYFUNCTION("""COMPUTED_VALUE"""),"Life Is Good (feat. Drake)")</f>
        <v>Life Is Good (feat. Drake)</v>
      </c>
      <c r="E1730" t="str">
        <f>IFERROR(__xludf.DUMMYFUNCTION("""COMPUTED_VALUE"""),"Future, Drake")</f>
        <v>Future, Drake</v>
      </c>
      <c r="F1730" t="str">
        <f>IFERROR(__xludf.DUMMYFUNCTION("""COMPUTED_VALUE"""),"High Off Life")</f>
        <v>High Off Life</v>
      </c>
      <c r="G1730">
        <f>IFERROR(__xludf.DUMMYFUNCTION("""COMPUTED_VALUE"""),1.0)</f>
        <v>1</v>
      </c>
      <c r="H1730" s="5">
        <f>IFERROR(__xludf.DUMMYFUNCTION("""COMPUTED_VALUE"""),0.16458333333503106)</f>
        <v>0.1645833333</v>
      </c>
    </row>
    <row r="1731">
      <c r="A1731" t="str">
        <f>IFERROR(__xludf.DUMMYFUNCTION("""COMPUTED_VALUE"""),"Lithuania")</f>
        <v>Lithuania</v>
      </c>
      <c r="B1731" t="str">
        <f>IFERROR(__xludf.DUMMYFUNCTION("""COMPUTED_VALUE"""),"Europe")</f>
        <v>Europe</v>
      </c>
      <c r="C1731">
        <f>IFERROR(__xludf.DUMMYFUNCTION("""COMPUTED_VALUE"""),30.0)</f>
        <v>30</v>
      </c>
      <c r="D1731" t="str">
        <f>IFERROR(__xludf.DUMMYFUNCTION("""COMPUTED_VALUE"""),"Say So")</f>
        <v>Say So</v>
      </c>
      <c r="E1731" t="str">
        <f>IFERROR(__xludf.DUMMYFUNCTION("""COMPUTED_VALUE"""),"Doja Cat")</f>
        <v>Doja Cat</v>
      </c>
      <c r="F1731" t="str">
        <f>IFERROR(__xludf.DUMMYFUNCTION("""COMPUTED_VALUE"""),"Hot Pink")</f>
        <v>Hot Pink</v>
      </c>
      <c r="G1731">
        <f>IFERROR(__xludf.DUMMYFUNCTION("""COMPUTED_VALUE"""),1.0)</f>
        <v>1</v>
      </c>
      <c r="H1731" s="5">
        <f>IFERROR(__xludf.DUMMYFUNCTION("""COMPUTED_VALUE"""),0.16458333333503106)</f>
        <v>0.1645833333</v>
      </c>
    </row>
    <row r="1732">
      <c r="A1732" t="str">
        <f>IFERROR(__xludf.DUMMYFUNCTION("""COMPUTED_VALUE"""),"Lithuania")</f>
        <v>Lithuania</v>
      </c>
      <c r="B1732" t="str">
        <f>IFERROR(__xludf.DUMMYFUNCTION("""COMPUTED_VALUE"""),"Europe")</f>
        <v>Europe</v>
      </c>
      <c r="C1732">
        <f>IFERROR(__xludf.DUMMYFUNCTION("""COMPUTED_VALUE"""),31.0)</f>
        <v>31</v>
      </c>
      <c r="D1732" t="str">
        <f>IFERROR(__xludf.DUMMYFUNCTION("""COMPUTED_VALUE"""),"YES")</f>
        <v>YES</v>
      </c>
      <c r="E1732" t="str">
        <f>IFERROR(__xludf.DUMMYFUNCTION("""COMPUTED_VALUE"""),"OG Version, Proflame")</f>
        <v>OG Version, Proflame</v>
      </c>
      <c r="F1732" t="str">
        <f>IFERROR(__xludf.DUMMYFUNCTION("""COMPUTED_VALUE"""),"YES")</f>
        <v>YES</v>
      </c>
      <c r="G1732">
        <f>IFERROR(__xludf.DUMMYFUNCTION("""COMPUTED_VALUE"""),1.0)</f>
        <v>1</v>
      </c>
      <c r="H1732" s="5">
        <f>IFERROR(__xludf.DUMMYFUNCTION("""COMPUTED_VALUE"""),0.10416666666787933)</f>
        <v>0.1041666667</v>
      </c>
    </row>
    <row r="1733">
      <c r="A1733" t="str">
        <f>IFERROR(__xludf.DUMMYFUNCTION("""COMPUTED_VALUE"""),"Lithuania")</f>
        <v>Lithuania</v>
      </c>
      <c r="B1733" t="str">
        <f>IFERROR(__xludf.DUMMYFUNCTION("""COMPUTED_VALUE"""),"Europe")</f>
        <v>Europe</v>
      </c>
      <c r="C1733">
        <f>IFERROR(__xludf.DUMMYFUNCTION("""COMPUTED_VALUE"""),32.0)</f>
        <v>32</v>
      </c>
      <c r="D1733" t="str">
        <f>IFERROR(__xludf.DUMMYFUNCTION("""COMPUTED_VALUE"""),"Play Date")</f>
        <v>Play Date</v>
      </c>
      <c r="E1733" t="str">
        <f>IFERROR(__xludf.DUMMYFUNCTION("""COMPUTED_VALUE"""),"Melanie Martinez")</f>
        <v>Melanie Martinez</v>
      </c>
      <c r="F1733" t="str">
        <f>IFERROR(__xludf.DUMMYFUNCTION("""COMPUTED_VALUE"""),"Cry Baby (Deluxe Edition)")</f>
        <v>Cry Baby (Deluxe Edition)</v>
      </c>
      <c r="G1733">
        <f>IFERROR(__xludf.DUMMYFUNCTION("""COMPUTED_VALUE"""),1.0)</f>
        <v>1</v>
      </c>
      <c r="H1733" s="5">
        <f>IFERROR(__xludf.DUMMYFUNCTION("""COMPUTED_VALUE"""),0.1243055555569299)</f>
        <v>0.1243055556</v>
      </c>
    </row>
    <row r="1734">
      <c r="A1734" t="str">
        <f>IFERROR(__xludf.DUMMYFUNCTION("""COMPUTED_VALUE"""),"Lithuania")</f>
        <v>Lithuania</v>
      </c>
      <c r="B1734" t="str">
        <f>IFERROR(__xludf.DUMMYFUNCTION("""COMPUTED_VALUE"""),"Europe")</f>
        <v>Europe</v>
      </c>
      <c r="C1734">
        <f>IFERROR(__xludf.DUMMYFUNCTION("""COMPUTED_VALUE"""),33.0)</f>
        <v>33</v>
      </c>
      <c r="D1734" t="str">
        <f>IFERROR(__xludf.DUMMYFUNCTION("""COMPUTED_VALUE"""),"Salt")</f>
        <v>Salt</v>
      </c>
      <c r="E1734" t="str">
        <f>IFERROR(__xludf.DUMMYFUNCTION("""COMPUTED_VALUE"""),"Ava Max")</f>
        <v>Ava Max</v>
      </c>
      <c r="F1734" t="str">
        <f>IFERROR(__xludf.DUMMYFUNCTION("""COMPUTED_VALUE"""),"Salt")</f>
        <v>Salt</v>
      </c>
      <c r="G1734">
        <f>IFERROR(__xludf.DUMMYFUNCTION("""COMPUTED_VALUE"""),0.0)</f>
        <v>0</v>
      </c>
      <c r="H1734" s="5">
        <f>IFERROR(__xludf.DUMMYFUNCTION("""COMPUTED_VALUE"""),0.125)</f>
        <v>0.125</v>
      </c>
    </row>
    <row r="1735">
      <c r="A1735" t="str">
        <f>IFERROR(__xludf.DUMMYFUNCTION("""COMPUTED_VALUE"""),"Lithuania")</f>
        <v>Lithuania</v>
      </c>
      <c r="B1735" t="str">
        <f>IFERROR(__xludf.DUMMYFUNCTION("""COMPUTED_VALUE"""),"Europe")</f>
        <v>Europe</v>
      </c>
      <c r="C1735">
        <f>IFERROR(__xludf.DUMMYFUNCTION("""COMPUTED_VALUE"""),34.0)</f>
        <v>34</v>
      </c>
      <c r="D1735" t="str">
        <f>IFERROR(__xludf.DUMMYFUNCTION("""COMPUTED_VALUE"""),"Savage Remix (feat. Beyoncé)")</f>
        <v>Savage Remix (feat. Beyoncé)</v>
      </c>
      <c r="E1735" t="str">
        <f>IFERROR(__xludf.DUMMYFUNCTION("""COMPUTED_VALUE"""),"Megan Thee Stallion, Beyoncé")</f>
        <v>Megan Thee Stallion, Beyoncé</v>
      </c>
      <c r="F1735" t="str">
        <f>IFERROR(__xludf.DUMMYFUNCTION("""COMPUTED_VALUE"""),"Savage Remix (feat. Beyoncé)")</f>
        <v>Savage Remix (feat. Beyoncé)</v>
      </c>
      <c r="G1735">
        <f>IFERROR(__xludf.DUMMYFUNCTION("""COMPUTED_VALUE"""),1.0)</f>
        <v>1</v>
      </c>
      <c r="H1735" s="5">
        <f>IFERROR(__xludf.DUMMYFUNCTION("""COMPUTED_VALUE"""),0.16805555555401952)</f>
        <v>0.1680555556</v>
      </c>
    </row>
    <row r="1736">
      <c r="A1736" t="str">
        <f>IFERROR(__xludf.DUMMYFUNCTION("""COMPUTED_VALUE"""),"Lithuania")</f>
        <v>Lithuania</v>
      </c>
      <c r="B1736" t="str">
        <f>IFERROR(__xludf.DUMMYFUNCTION("""COMPUTED_VALUE"""),"Europe")</f>
        <v>Europe</v>
      </c>
      <c r="C1736">
        <f>IFERROR(__xludf.DUMMYFUNCTION("""COMPUTED_VALUE"""),35.0)</f>
        <v>35</v>
      </c>
      <c r="D1736" t="str">
        <f>IFERROR(__xludf.DUMMYFUNCTION("""COMPUTED_VALUE"""),"Adore You")</f>
        <v>Adore You</v>
      </c>
      <c r="E1736" t="str">
        <f>IFERROR(__xludf.DUMMYFUNCTION("""COMPUTED_VALUE"""),"Harry Styles")</f>
        <v>Harry Styles</v>
      </c>
      <c r="F1736" t="str">
        <f>IFERROR(__xludf.DUMMYFUNCTION("""COMPUTED_VALUE"""),"Fine Line")</f>
        <v>Fine Line</v>
      </c>
      <c r="G1736">
        <f>IFERROR(__xludf.DUMMYFUNCTION("""COMPUTED_VALUE"""),0.0)</f>
        <v>0</v>
      </c>
      <c r="H1736" s="5">
        <f>IFERROR(__xludf.DUMMYFUNCTION("""COMPUTED_VALUE"""),0.1437499999992724)</f>
        <v>0.14375</v>
      </c>
    </row>
    <row r="1737">
      <c r="A1737" t="str">
        <f>IFERROR(__xludf.DUMMYFUNCTION("""COMPUTED_VALUE"""),"Lithuania")</f>
        <v>Lithuania</v>
      </c>
      <c r="B1737" t="str">
        <f>IFERROR(__xludf.DUMMYFUNCTION("""COMPUTED_VALUE"""),"Europe")</f>
        <v>Europe</v>
      </c>
      <c r="C1737">
        <f>IFERROR(__xludf.DUMMYFUNCTION("""COMPUTED_VALUE"""),36.0)</f>
        <v>36</v>
      </c>
      <c r="D1737" t="str">
        <f>IFERROR(__xludf.DUMMYFUNCTION("""COMPUTED_VALUE"""),"Intentions (feat. Quavo)")</f>
        <v>Intentions (feat. Quavo)</v>
      </c>
      <c r="E1737" t="str">
        <f>IFERROR(__xludf.DUMMYFUNCTION("""COMPUTED_VALUE"""),"Justin Bieber, Quavo")</f>
        <v>Justin Bieber, Quavo</v>
      </c>
      <c r="F1737" t="str">
        <f>IFERROR(__xludf.DUMMYFUNCTION("""COMPUTED_VALUE"""),"Changes")</f>
        <v>Changes</v>
      </c>
      <c r="G1737">
        <f>IFERROR(__xludf.DUMMYFUNCTION("""COMPUTED_VALUE"""),0.0)</f>
        <v>0</v>
      </c>
      <c r="H1737" s="5">
        <f>IFERROR(__xludf.DUMMYFUNCTION("""COMPUTED_VALUE"""),0.14722222222189885)</f>
        <v>0.1472222222</v>
      </c>
    </row>
    <row r="1738">
      <c r="A1738" t="str">
        <f>IFERROR(__xludf.DUMMYFUNCTION("""COMPUTED_VALUE"""),"Lithuania")</f>
        <v>Lithuania</v>
      </c>
      <c r="B1738" t="str">
        <f>IFERROR(__xludf.DUMMYFUNCTION("""COMPUTED_VALUE"""),"Europe")</f>
        <v>Europe</v>
      </c>
      <c r="C1738">
        <f>IFERROR(__xludf.DUMMYFUNCTION("""COMPUTED_VALUE"""),37.0)</f>
        <v>37</v>
      </c>
      <c r="D1738" t="str">
        <f>IFERROR(__xludf.DUMMYFUNCTION("""COMPUTED_VALUE"""),"Party Girl")</f>
        <v>Party Girl</v>
      </c>
      <c r="E1738" t="str">
        <f>IFERROR(__xludf.DUMMYFUNCTION("""COMPUTED_VALUE"""),"StaySolidRocky")</f>
        <v>StaySolidRocky</v>
      </c>
      <c r="F1738" t="str">
        <f>IFERROR(__xludf.DUMMYFUNCTION("""COMPUTED_VALUE"""),"Party Girl")</f>
        <v>Party Girl</v>
      </c>
      <c r="G1738">
        <f>IFERROR(__xludf.DUMMYFUNCTION("""COMPUTED_VALUE"""),0.0)</f>
        <v>0</v>
      </c>
      <c r="H1738" s="5">
        <f>IFERROR(__xludf.DUMMYFUNCTION("""COMPUTED_VALUE"""),0.10208333333503106)</f>
        <v>0.1020833333</v>
      </c>
    </row>
    <row r="1739">
      <c r="A1739" t="str">
        <f>IFERROR(__xludf.DUMMYFUNCTION("""COMPUTED_VALUE"""),"Lithuania")</f>
        <v>Lithuania</v>
      </c>
      <c r="B1739" t="str">
        <f>IFERROR(__xludf.DUMMYFUNCTION("""COMPUTED_VALUE"""),"Europe")</f>
        <v>Europe</v>
      </c>
      <c r="C1739">
        <f>IFERROR(__xludf.DUMMYFUNCTION("""COMPUTED_VALUE"""),38.0)</f>
        <v>38</v>
      </c>
      <c r="D1739" t="str">
        <f>IFERROR(__xludf.DUMMYFUNCTION("""COMPUTED_VALUE"""),"Know Your Worth")</f>
        <v>Know Your Worth</v>
      </c>
      <c r="E1739" t="str">
        <f>IFERROR(__xludf.DUMMYFUNCTION("""COMPUTED_VALUE"""),"Khalid, Disclosure")</f>
        <v>Khalid, Disclosure</v>
      </c>
      <c r="F1739" t="str">
        <f>IFERROR(__xludf.DUMMYFUNCTION("""COMPUTED_VALUE"""),"Know Your Worth")</f>
        <v>Know Your Worth</v>
      </c>
      <c r="G1739">
        <f>IFERROR(__xludf.DUMMYFUNCTION("""COMPUTED_VALUE"""),0.0)</f>
        <v>0</v>
      </c>
      <c r="H1739" s="5">
        <f>IFERROR(__xludf.DUMMYFUNCTION("""COMPUTED_VALUE"""),0.1256944444430701)</f>
        <v>0.1256944444</v>
      </c>
    </row>
    <row r="1740">
      <c r="A1740" t="str">
        <f>IFERROR(__xludf.DUMMYFUNCTION("""COMPUTED_VALUE"""),"Lithuania")</f>
        <v>Lithuania</v>
      </c>
      <c r="B1740" t="str">
        <f>IFERROR(__xludf.DUMMYFUNCTION("""COMPUTED_VALUE"""),"Europe")</f>
        <v>Europe</v>
      </c>
      <c r="C1740">
        <f>IFERROR(__xludf.DUMMYFUNCTION("""COMPUTED_VALUE"""),39.0)</f>
        <v>39</v>
      </c>
      <c r="D1740" t="str">
        <f>IFERROR(__xludf.DUMMYFUNCTION("""COMPUTED_VALUE"""),"ROXANNE")</f>
        <v>ROXANNE</v>
      </c>
      <c r="E1740" t="str">
        <f>IFERROR(__xludf.DUMMYFUNCTION("""COMPUTED_VALUE"""),"Arizona Zervas")</f>
        <v>Arizona Zervas</v>
      </c>
      <c r="F1740" t="str">
        <f>IFERROR(__xludf.DUMMYFUNCTION("""COMPUTED_VALUE"""),"ROXANNE")</f>
        <v>ROXANNE</v>
      </c>
      <c r="G1740">
        <f>IFERROR(__xludf.DUMMYFUNCTION("""COMPUTED_VALUE"""),1.0)</f>
        <v>1</v>
      </c>
      <c r="H1740" s="5">
        <f>IFERROR(__xludf.DUMMYFUNCTION("""COMPUTED_VALUE"""),0.11319444444598048)</f>
        <v>0.1131944444</v>
      </c>
    </row>
    <row r="1741">
      <c r="A1741" t="str">
        <f>IFERROR(__xludf.DUMMYFUNCTION("""COMPUTED_VALUE"""),"Lithuania")</f>
        <v>Lithuania</v>
      </c>
      <c r="B1741" t="str">
        <f>IFERROR(__xludf.DUMMYFUNCTION("""COMPUTED_VALUE"""),"Europe")</f>
        <v>Europe</v>
      </c>
      <c r="C1741">
        <f>IFERROR(__xludf.DUMMYFUNCTION("""COMPUTED_VALUE"""),40.0)</f>
        <v>40</v>
      </c>
      <c r="D1741" t="str">
        <f>IFERROR(__xludf.DUMMYFUNCTION("""COMPUTED_VALUE"""),"Lose Somebody")</f>
        <v>Lose Somebody</v>
      </c>
      <c r="E1741" t="str">
        <f>IFERROR(__xludf.DUMMYFUNCTION("""COMPUTED_VALUE"""),"Kygo, OneRepublic")</f>
        <v>Kygo, OneRepublic</v>
      </c>
      <c r="F1741" t="str">
        <f>IFERROR(__xludf.DUMMYFUNCTION("""COMPUTED_VALUE"""),"Lose Somebody")</f>
        <v>Lose Somebody</v>
      </c>
      <c r="G1741">
        <f>IFERROR(__xludf.DUMMYFUNCTION("""COMPUTED_VALUE"""),0.0)</f>
        <v>0</v>
      </c>
      <c r="H1741" s="5">
        <f>IFERROR(__xludf.DUMMYFUNCTION("""COMPUTED_VALUE"""),0.1381944444437977)</f>
        <v>0.1381944444</v>
      </c>
    </row>
    <row r="1742">
      <c r="A1742" t="str">
        <f>IFERROR(__xludf.DUMMYFUNCTION("""COMPUTED_VALUE"""),"Lithuania")</f>
        <v>Lithuania</v>
      </c>
      <c r="B1742" t="str">
        <f>IFERROR(__xludf.DUMMYFUNCTION("""COMPUTED_VALUE"""),"Europe")</f>
        <v>Europe</v>
      </c>
      <c r="C1742">
        <f>IFERROR(__xludf.DUMMYFUNCTION("""COMPUTED_VALUE"""),41.0)</f>
        <v>41</v>
      </c>
      <c r="D1742" t="str">
        <f>IFERROR(__xludf.DUMMYFUNCTION("""COMPUTED_VALUE"""),"Daechwita")</f>
        <v>Daechwita</v>
      </c>
      <c r="E1742" t="str">
        <f>IFERROR(__xludf.DUMMYFUNCTION("""COMPUTED_VALUE"""),"Agust D")</f>
        <v>Agust D</v>
      </c>
      <c r="F1742" t="str">
        <f>IFERROR(__xludf.DUMMYFUNCTION("""COMPUTED_VALUE"""),"D-2")</f>
        <v>D-2</v>
      </c>
      <c r="G1742">
        <f>IFERROR(__xludf.DUMMYFUNCTION("""COMPUTED_VALUE"""),1.0)</f>
        <v>1</v>
      </c>
      <c r="H1742" s="5">
        <f>IFERROR(__xludf.DUMMYFUNCTION("""COMPUTED_VALUE"""),0.15625)</f>
        <v>0.15625</v>
      </c>
    </row>
    <row r="1743">
      <c r="A1743" t="str">
        <f>IFERROR(__xludf.DUMMYFUNCTION("""COMPUTED_VALUE"""),"Lithuania")</f>
        <v>Lithuania</v>
      </c>
      <c r="B1743" t="str">
        <f>IFERROR(__xludf.DUMMYFUNCTION("""COMPUTED_VALUE"""),"Europe")</f>
        <v>Europe</v>
      </c>
      <c r="C1743">
        <f>IFERROR(__xludf.DUMMYFUNCTION("""COMPUTED_VALUE"""),42.0)</f>
        <v>42</v>
      </c>
      <c r="D1743" t="str">
        <f>IFERROR(__xludf.DUMMYFUNCTION("""COMPUTED_VALUE"""),"After Party")</f>
        <v>After Party</v>
      </c>
      <c r="E1743" t="str">
        <f>IFERROR(__xludf.DUMMYFUNCTION("""COMPUTED_VALUE"""),"Don Toliver")</f>
        <v>Don Toliver</v>
      </c>
      <c r="F1743" t="str">
        <f>IFERROR(__xludf.DUMMYFUNCTION("""COMPUTED_VALUE"""),"Heaven Or Hell")</f>
        <v>Heaven Or Hell</v>
      </c>
      <c r="G1743">
        <f>IFERROR(__xludf.DUMMYFUNCTION("""COMPUTED_VALUE"""),1.0)</f>
        <v>1</v>
      </c>
      <c r="H1743" s="5">
        <f>IFERROR(__xludf.DUMMYFUNCTION("""COMPUTED_VALUE"""),0.11597222222189885)</f>
        <v>0.1159722222</v>
      </c>
    </row>
    <row r="1744">
      <c r="A1744" t="str">
        <f>IFERROR(__xludf.DUMMYFUNCTION("""COMPUTED_VALUE"""),"Lithuania")</f>
        <v>Lithuania</v>
      </c>
      <c r="B1744" t="str">
        <f>IFERROR(__xludf.DUMMYFUNCTION("""COMPUTED_VALUE"""),"Europe")</f>
        <v>Europe</v>
      </c>
      <c r="C1744">
        <f>IFERROR(__xludf.DUMMYFUNCTION("""COMPUTED_VALUE"""),43.0)</f>
        <v>43</v>
      </c>
      <c r="D1744" t="str">
        <f>IFERROR(__xludf.DUMMYFUNCTION("""COMPUTED_VALUE"""),"bad guy")</f>
        <v>bad guy</v>
      </c>
      <c r="E1744" t="str">
        <f>IFERROR(__xludf.DUMMYFUNCTION("""COMPUTED_VALUE"""),"Billie Eilish")</f>
        <v>Billie Eilish</v>
      </c>
      <c r="F1744" t="str">
        <f>IFERROR(__xludf.DUMMYFUNCTION("""COMPUTED_VALUE"""),"WHEN WE ALL FALL ASLEEP, WHERE DO WE GO?")</f>
        <v>WHEN WE ALL FALL ASLEEP, WHERE DO WE GO?</v>
      </c>
      <c r="G1744">
        <f>IFERROR(__xludf.DUMMYFUNCTION("""COMPUTED_VALUE"""),0.0)</f>
        <v>0</v>
      </c>
      <c r="H1744" s="5">
        <f>IFERROR(__xludf.DUMMYFUNCTION("""COMPUTED_VALUE"""),0.13472222222117125)</f>
        <v>0.1347222222</v>
      </c>
    </row>
    <row r="1745">
      <c r="A1745" t="str">
        <f>IFERROR(__xludf.DUMMYFUNCTION("""COMPUTED_VALUE"""),"Lithuania")</f>
        <v>Lithuania</v>
      </c>
      <c r="B1745" t="str">
        <f>IFERROR(__xludf.DUMMYFUNCTION("""COMPUTED_VALUE"""),"Europe")</f>
        <v>Europe</v>
      </c>
      <c r="C1745">
        <f>IFERROR(__xludf.DUMMYFUNCTION("""COMPUTED_VALUE"""),44.0)</f>
        <v>44</v>
      </c>
      <c r="D1745" t="str">
        <f>IFERROR(__xludf.DUMMYFUNCTION("""COMPUTED_VALUE"""),"HIGHEST IN THE ROOM")</f>
        <v>HIGHEST IN THE ROOM</v>
      </c>
      <c r="E1745" t="str">
        <f>IFERROR(__xludf.DUMMYFUNCTION("""COMPUTED_VALUE"""),"Travis Scott")</f>
        <v>Travis Scott</v>
      </c>
      <c r="F1745" t="str">
        <f>IFERROR(__xludf.DUMMYFUNCTION("""COMPUTED_VALUE"""),"HIGHEST IN THE ROOM")</f>
        <v>HIGHEST IN THE ROOM</v>
      </c>
      <c r="G1745">
        <f>IFERROR(__xludf.DUMMYFUNCTION("""COMPUTED_VALUE"""),1.0)</f>
        <v>1</v>
      </c>
      <c r="H1745" s="5">
        <f>IFERROR(__xludf.DUMMYFUNCTION("""COMPUTED_VALUE"""),0.12152777777737356)</f>
        <v>0.1215277778</v>
      </c>
    </row>
    <row r="1746">
      <c r="A1746" t="str">
        <f>IFERROR(__xludf.DUMMYFUNCTION("""COMPUTED_VALUE"""),"Lithuania")</f>
        <v>Lithuania</v>
      </c>
      <c r="B1746" t="str">
        <f>IFERROR(__xludf.DUMMYFUNCTION("""COMPUTED_VALUE"""),"Europe")</f>
        <v>Europe</v>
      </c>
      <c r="C1746">
        <f>IFERROR(__xludf.DUMMYFUNCTION("""COMPUTED_VALUE"""),45.0)</f>
        <v>45</v>
      </c>
      <c r="D1746" t="str">
        <f>IFERROR(__xludf.DUMMYFUNCTION("""COMPUTED_VALUE"""),"Physical")</f>
        <v>Physical</v>
      </c>
      <c r="E1746" t="str">
        <f>IFERROR(__xludf.DUMMYFUNCTION("""COMPUTED_VALUE"""),"Dua Lipa")</f>
        <v>Dua Lipa</v>
      </c>
      <c r="F1746" t="str">
        <f>IFERROR(__xludf.DUMMYFUNCTION("""COMPUTED_VALUE"""),"Future Nostalgia")</f>
        <v>Future Nostalgia</v>
      </c>
      <c r="G1746">
        <f>IFERROR(__xludf.DUMMYFUNCTION("""COMPUTED_VALUE"""),0.0)</f>
        <v>0</v>
      </c>
      <c r="H1746" s="5">
        <f>IFERROR(__xludf.DUMMYFUNCTION("""COMPUTED_VALUE"""),0.13402777777810115)</f>
        <v>0.1340277778</v>
      </c>
    </row>
    <row r="1747">
      <c r="A1747" t="str">
        <f>IFERROR(__xludf.DUMMYFUNCTION("""COMPUTED_VALUE"""),"Lithuania")</f>
        <v>Lithuania</v>
      </c>
      <c r="B1747" t="str">
        <f>IFERROR(__xludf.DUMMYFUNCTION("""COMPUTED_VALUE"""),"Europe")</f>
        <v>Europe</v>
      </c>
      <c r="C1747">
        <f>IFERROR(__xludf.DUMMYFUNCTION("""COMPUTED_VALUE"""),46.0)</f>
        <v>46</v>
      </c>
      <c r="D1747" t="str">
        <f>IFERROR(__xludf.DUMMYFUNCTION("""COMPUTED_VALUE"""),"everything i wanted")</f>
        <v>everything i wanted</v>
      </c>
      <c r="E1747" t="str">
        <f>IFERROR(__xludf.DUMMYFUNCTION("""COMPUTED_VALUE"""),"Billie Eilish")</f>
        <v>Billie Eilish</v>
      </c>
      <c r="F1747" t="str">
        <f>IFERROR(__xludf.DUMMYFUNCTION("""COMPUTED_VALUE"""),"everything i wanted")</f>
        <v>everything i wanted</v>
      </c>
      <c r="G1747">
        <f>IFERROR(__xludf.DUMMYFUNCTION("""COMPUTED_VALUE"""),0.0)</f>
        <v>0</v>
      </c>
      <c r="H1747" s="5">
        <f>IFERROR(__xludf.DUMMYFUNCTION("""COMPUTED_VALUE"""),0.17013888889050577)</f>
        <v>0.1701388889</v>
      </c>
    </row>
    <row r="1748">
      <c r="A1748" t="str">
        <f>IFERROR(__xludf.DUMMYFUNCTION("""COMPUTED_VALUE"""),"Lithuania")</f>
        <v>Lithuania</v>
      </c>
      <c r="B1748" t="str">
        <f>IFERROR(__xludf.DUMMYFUNCTION("""COMPUTED_VALUE"""),"Europe")</f>
        <v>Europe</v>
      </c>
      <c r="C1748">
        <f>IFERROR(__xludf.DUMMYFUNCTION("""COMPUTED_VALUE"""),47.0)</f>
        <v>47</v>
      </c>
      <c r="D1748" t="str">
        <f>IFERROR(__xludf.DUMMYFUNCTION("""COMPUTED_VALUE"""),"Taip Jau Gavosi")</f>
        <v>Taip Jau Gavosi</v>
      </c>
      <c r="E1748" t="str">
        <f>IFERROR(__xludf.DUMMYFUNCTION("""COMPUTED_VALUE"""),"Sisters On Wire")</f>
        <v>Sisters On Wire</v>
      </c>
      <c r="F1748" t="str">
        <f>IFERROR(__xludf.DUMMYFUNCTION("""COMPUTED_VALUE"""),"Taip Jau Gavosi")</f>
        <v>Taip Jau Gavosi</v>
      </c>
      <c r="G1748">
        <f>IFERROR(__xludf.DUMMYFUNCTION("""COMPUTED_VALUE"""),0.0)</f>
        <v>0</v>
      </c>
      <c r="H1748" s="5">
        <f>IFERROR(__xludf.DUMMYFUNCTION("""COMPUTED_VALUE"""),0.13194444444525288)</f>
        <v>0.1319444444</v>
      </c>
    </row>
    <row r="1749">
      <c r="A1749" t="str">
        <f>IFERROR(__xludf.DUMMYFUNCTION("""COMPUTED_VALUE"""),"Lithuania")</f>
        <v>Lithuania</v>
      </c>
      <c r="B1749" t="str">
        <f>IFERROR(__xludf.DUMMYFUNCTION("""COMPUTED_VALUE"""),"Europe")</f>
        <v>Europe</v>
      </c>
      <c r="C1749">
        <f>IFERROR(__xludf.DUMMYFUNCTION("""COMPUTED_VALUE"""),48.0)</f>
        <v>48</v>
      </c>
      <c r="D1749" t="str">
        <f>IFERROR(__xludf.DUMMYFUNCTION("""COMPUTED_VALUE"""),"Daisies")</f>
        <v>Daisies</v>
      </c>
      <c r="E1749" t="str">
        <f>IFERROR(__xludf.DUMMYFUNCTION("""COMPUTED_VALUE"""),"Katy Perry")</f>
        <v>Katy Perry</v>
      </c>
      <c r="F1749" t="str">
        <f>IFERROR(__xludf.DUMMYFUNCTION("""COMPUTED_VALUE"""),"Daisies")</f>
        <v>Daisies</v>
      </c>
      <c r="G1749">
        <f>IFERROR(__xludf.DUMMYFUNCTION("""COMPUTED_VALUE"""),0.0)</f>
        <v>0</v>
      </c>
      <c r="H1749" s="5">
        <f>IFERROR(__xludf.DUMMYFUNCTION("""COMPUTED_VALUE"""),0.12013888888759539)</f>
        <v>0.1201388889</v>
      </c>
    </row>
    <row r="1750">
      <c r="A1750" t="str">
        <f>IFERROR(__xludf.DUMMYFUNCTION("""COMPUTED_VALUE"""),"Lithuania")</f>
        <v>Lithuania</v>
      </c>
      <c r="B1750" t="str">
        <f>IFERROR(__xludf.DUMMYFUNCTION("""COMPUTED_VALUE"""),"Europe")</f>
        <v>Europe</v>
      </c>
      <c r="C1750">
        <f>IFERROR(__xludf.DUMMYFUNCTION("""COMPUTED_VALUE"""),49.0)</f>
        <v>49</v>
      </c>
      <c r="D1750" t="str">
        <f>IFERROR(__xludf.DUMMYFUNCTION("""COMPUTED_VALUE"""),"Lose Control")</f>
        <v>Lose Control</v>
      </c>
      <c r="E1750" t="str">
        <f>IFERROR(__xludf.DUMMYFUNCTION("""COMPUTED_VALUE"""),"MEDUZA, Becky Hill, Goodboys")</f>
        <v>MEDUZA, Becky Hill, Goodboys</v>
      </c>
      <c r="F1750" t="str">
        <f>IFERROR(__xludf.DUMMYFUNCTION("""COMPUTED_VALUE"""),"Lose Control")</f>
        <v>Lose Control</v>
      </c>
      <c r="G1750">
        <f>IFERROR(__xludf.DUMMYFUNCTION("""COMPUTED_VALUE"""),0.0)</f>
        <v>0</v>
      </c>
      <c r="H1750" s="5">
        <f>IFERROR(__xludf.DUMMYFUNCTION("""COMPUTED_VALUE"""),0.11666666666496894)</f>
        <v>0.1166666667</v>
      </c>
    </row>
    <row r="1751">
      <c r="A1751" t="str">
        <f>IFERROR(__xludf.DUMMYFUNCTION("""COMPUTED_VALUE"""),"Lithuania")</f>
        <v>Lithuania</v>
      </c>
      <c r="B1751" t="str">
        <f>IFERROR(__xludf.DUMMYFUNCTION("""COMPUTED_VALUE"""),"Europe")</f>
        <v>Europe</v>
      </c>
      <c r="C1751">
        <f>IFERROR(__xludf.DUMMYFUNCTION("""COMPUTED_VALUE"""),50.0)</f>
        <v>50</v>
      </c>
      <c r="D1751" t="str">
        <f>IFERROR(__xludf.DUMMYFUNCTION("""COMPUTED_VALUE"""),"Судно (Борис Рижий)")</f>
        <v>Судно (Борис Рижий)</v>
      </c>
      <c r="E1751" t="str">
        <f>IFERROR(__xludf.DUMMYFUNCTION("""COMPUTED_VALUE"""),"Molchat Doma")</f>
        <v>Molchat Doma</v>
      </c>
      <c r="F1751" t="str">
        <f>IFERROR(__xludf.DUMMYFUNCTION("""COMPUTED_VALUE"""),"Этажи")</f>
        <v>Этажи</v>
      </c>
      <c r="G1751">
        <f>IFERROR(__xludf.DUMMYFUNCTION("""COMPUTED_VALUE"""),0.0)</f>
        <v>0</v>
      </c>
      <c r="H1751" s="5">
        <f>IFERROR(__xludf.DUMMYFUNCTION("""COMPUTED_VALUE"""),0.09791666666569654)</f>
        <v>0.09791666667</v>
      </c>
    </row>
    <row r="1752">
      <c r="A1752" t="str">
        <f>IFERROR(__xludf.DUMMYFUNCTION("""COMPUTED_VALUE"""),"Luxembourg")</f>
        <v>Luxembourg</v>
      </c>
      <c r="B1752" t="str">
        <f>IFERROR(__xludf.DUMMYFUNCTION("""COMPUTED_VALUE"""),"Europe")</f>
        <v>Europe</v>
      </c>
      <c r="C1752">
        <f>IFERROR(__xludf.DUMMYFUNCTION("""COMPUTED_VALUE"""),1.0)</f>
        <v>1</v>
      </c>
      <c r="D1752" t="str">
        <f>IFERROR(__xludf.DUMMYFUNCTION("""COMPUTED_VALUE"""),"No Time To Die")</f>
        <v>No Time To Die</v>
      </c>
      <c r="E1752" t="str">
        <f>IFERROR(__xludf.DUMMYFUNCTION("""COMPUTED_VALUE"""),"Billie Eilish")</f>
        <v>Billie Eilish</v>
      </c>
      <c r="F1752" t="str">
        <f>IFERROR(__xludf.DUMMYFUNCTION("""COMPUTED_VALUE"""),"No Time To Die")</f>
        <v>No Time To Die</v>
      </c>
      <c r="G1752">
        <f>IFERROR(__xludf.DUMMYFUNCTION("""COMPUTED_VALUE"""),0.0)</f>
        <v>0</v>
      </c>
      <c r="H1752" s="5">
        <f>IFERROR(__xludf.DUMMYFUNCTION("""COMPUTED_VALUE"""),0.16805555555401952)</f>
        <v>0.1680555556</v>
      </c>
    </row>
    <row r="1753">
      <c r="A1753" t="str">
        <f>IFERROR(__xludf.DUMMYFUNCTION("""COMPUTED_VALUE"""),"Luxembourg")</f>
        <v>Luxembourg</v>
      </c>
      <c r="B1753" t="str">
        <f>IFERROR(__xludf.DUMMYFUNCTION("""COMPUTED_VALUE"""),"Europe")</f>
        <v>Europe</v>
      </c>
      <c r="C1753">
        <f>IFERROR(__xludf.DUMMYFUNCTION("""COMPUTED_VALUE"""),2.0)</f>
        <v>2</v>
      </c>
      <c r="D1753" t="str">
        <f>IFERROR(__xludf.DUMMYFUNCTION("""COMPUTED_VALUE"""),"Blinding Lights")</f>
        <v>Blinding Lights</v>
      </c>
      <c r="E1753" t="str">
        <f>IFERROR(__xludf.DUMMYFUNCTION("""COMPUTED_VALUE"""),"The Weeknd")</f>
        <v>The Weeknd</v>
      </c>
      <c r="F1753" t="str">
        <f>IFERROR(__xludf.DUMMYFUNCTION("""COMPUTED_VALUE"""),"After Hours")</f>
        <v>After Hours</v>
      </c>
      <c r="G1753">
        <f>IFERROR(__xludf.DUMMYFUNCTION("""COMPUTED_VALUE"""),0.0)</f>
        <v>0</v>
      </c>
      <c r="H1753" s="5">
        <f>IFERROR(__xludf.DUMMYFUNCTION("""COMPUTED_VALUE"""),0.13888888889050577)</f>
        <v>0.1388888889</v>
      </c>
    </row>
    <row r="1754">
      <c r="A1754" t="str">
        <f>IFERROR(__xludf.DUMMYFUNCTION("""COMPUTED_VALUE"""),"Luxembourg")</f>
        <v>Luxembourg</v>
      </c>
      <c r="B1754" t="str">
        <f>IFERROR(__xludf.DUMMYFUNCTION("""COMPUTED_VALUE"""),"Europe")</f>
        <v>Europe</v>
      </c>
      <c r="C1754">
        <f>IFERROR(__xludf.DUMMYFUNCTION("""COMPUTED_VALUE"""),3.0)</f>
        <v>3</v>
      </c>
      <c r="D1754" t="str">
        <f>IFERROR(__xludf.DUMMYFUNCTION("""COMPUTED_VALUE"""),"The Box")</f>
        <v>The Box</v>
      </c>
      <c r="E1754" t="str">
        <f>IFERROR(__xludf.DUMMYFUNCTION("""COMPUTED_VALUE"""),"Roddy Ricch")</f>
        <v>Roddy Ricch</v>
      </c>
      <c r="F1754" t="str">
        <f>IFERROR(__xludf.DUMMYFUNCTION("""COMPUTED_VALUE"""),"Please Excuse Me For Being Antisocial")</f>
        <v>Please Excuse Me For Being Antisocial</v>
      </c>
      <c r="G1754">
        <f>IFERROR(__xludf.DUMMYFUNCTION("""COMPUTED_VALUE"""),1.0)</f>
        <v>1</v>
      </c>
      <c r="H1754" s="5">
        <f>IFERROR(__xludf.DUMMYFUNCTION("""COMPUTED_VALUE"""),0.13611111111094942)</f>
        <v>0.1361111111</v>
      </c>
    </row>
    <row r="1755">
      <c r="A1755" t="str">
        <f>IFERROR(__xludf.DUMMYFUNCTION("""COMPUTED_VALUE"""),"Luxembourg")</f>
        <v>Luxembourg</v>
      </c>
      <c r="B1755" t="str">
        <f>IFERROR(__xludf.DUMMYFUNCTION("""COMPUTED_VALUE"""),"Europe")</f>
        <v>Europe</v>
      </c>
      <c r="C1755">
        <f>IFERROR(__xludf.DUMMYFUNCTION("""COMPUTED_VALUE"""),4.0)</f>
        <v>4</v>
      </c>
      <c r="D1755" t="str">
        <f>IFERROR(__xludf.DUMMYFUNCTION("""COMPUTED_VALUE"""),"Dance Monkey")</f>
        <v>Dance Monkey</v>
      </c>
      <c r="E1755" t="str">
        <f>IFERROR(__xludf.DUMMYFUNCTION("""COMPUTED_VALUE"""),"Tones And I")</f>
        <v>Tones And I</v>
      </c>
      <c r="F1755" t="str">
        <f>IFERROR(__xludf.DUMMYFUNCTION("""COMPUTED_VALUE"""),"Dance Monkey (Stripped Back) / Dance Monkey")</f>
        <v>Dance Monkey (Stripped Back) / Dance Monkey</v>
      </c>
      <c r="G1755">
        <f>IFERROR(__xludf.DUMMYFUNCTION("""COMPUTED_VALUE"""),0.0)</f>
        <v>0</v>
      </c>
      <c r="H1755" s="5">
        <f>IFERROR(__xludf.DUMMYFUNCTION("""COMPUTED_VALUE"""),0.14513888888905058)</f>
        <v>0.1451388889</v>
      </c>
    </row>
    <row r="1756">
      <c r="A1756" t="str">
        <f>IFERROR(__xludf.DUMMYFUNCTION("""COMPUTED_VALUE"""),"Luxembourg")</f>
        <v>Luxembourg</v>
      </c>
      <c r="B1756" t="str">
        <f>IFERROR(__xludf.DUMMYFUNCTION("""COMPUTED_VALUE"""),"Europe")</f>
        <v>Europe</v>
      </c>
      <c r="C1756">
        <f>IFERROR(__xludf.DUMMYFUNCTION("""COMPUTED_VALUE"""),5.0)</f>
        <v>5</v>
      </c>
      <c r="D1756" t="str">
        <f>IFERROR(__xludf.DUMMYFUNCTION("""COMPUTED_VALUE"""),"Falling")</f>
        <v>Falling</v>
      </c>
      <c r="E1756" t="str">
        <f>IFERROR(__xludf.DUMMYFUNCTION("""COMPUTED_VALUE"""),"Trevor Daniel")</f>
        <v>Trevor Daniel</v>
      </c>
      <c r="F1756" t="str">
        <f>IFERROR(__xludf.DUMMYFUNCTION("""COMPUTED_VALUE"""),"Falling")</f>
        <v>Falling</v>
      </c>
      <c r="G1756">
        <f>IFERROR(__xludf.DUMMYFUNCTION("""COMPUTED_VALUE"""),0.0)</f>
        <v>0</v>
      </c>
      <c r="H1756" s="5">
        <f>IFERROR(__xludf.DUMMYFUNCTION("""COMPUTED_VALUE"""),0.11041666666642413)</f>
        <v>0.1104166667</v>
      </c>
    </row>
    <row r="1757">
      <c r="A1757" t="str">
        <f>IFERROR(__xludf.DUMMYFUNCTION("""COMPUTED_VALUE"""),"Luxembourg")</f>
        <v>Luxembourg</v>
      </c>
      <c r="B1757" t="str">
        <f>IFERROR(__xludf.DUMMYFUNCTION("""COMPUTED_VALUE"""),"Europe")</f>
        <v>Europe</v>
      </c>
      <c r="C1757">
        <f>IFERROR(__xludf.DUMMYFUNCTION("""COMPUTED_VALUE"""),6.0)</f>
        <v>6</v>
      </c>
      <c r="D1757" t="str">
        <f>IFERROR(__xludf.DUMMYFUNCTION("""COMPUTED_VALUE"""),"Don't Start Now")</f>
        <v>Don't Start Now</v>
      </c>
      <c r="E1757" t="str">
        <f>IFERROR(__xludf.DUMMYFUNCTION("""COMPUTED_VALUE"""),"Dua Lipa")</f>
        <v>Dua Lipa</v>
      </c>
      <c r="F1757" t="str">
        <f>IFERROR(__xludf.DUMMYFUNCTION("""COMPUTED_VALUE"""),"Don't Start Now")</f>
        <v>Don't Start Now</v>
      </c>
      <c r="G1757">
        <f>IFERROR(__xludf.DUMMYFUNCTION("""COMPUTED_VALUE"""),0.0)</f>
        <v>0</v>
      </c>
      <c r="H1757" s="5">
        <f>IFERROR(__xludf.DUMMYFUNCTION("""COMPUTED_VALUE"""),0.12708333333284827)</f>
        <v>0.1270833333</v>
      </c>
    </row>
    <row r="1758">
      <c r="A1758" t="str">
        <f>IFERROR(__xludf.DUMMYFUNCTION("""COMPUTED_VALUE"""),"Luxembourg")</f>
        <v>Luxembourg</v>
      </c>
      <c r="B1758" t="str">
        <f>IFERROR(__xludf.DUMMYFUNCTION("""COMPUTED_VALUE"""),"Europe")</f>
        <v>Europe</v>
      </c>
      <c r="C1758">
        <f>IFERROR(__xludf.DUMMYFUNCTION("""COMPUTED_VALUE"""),7.0)</f>
        <v>7</v>
      </c>
      <c r="D1758" t="str">
        <f>IFERROR(__xludf.DUMMYFUNCTION("""COMPUTED_VALUE"""),"Life Is Good (feat. Drake)")</f>
        <v>Life Is Good (feat. Drake)</v>
      </c>
      <c r="E1758" t="str">
        <f>IFERROR(__xludf.DUMMYFUNCTION("""COMPUTED_VALUE"""),"Future, Drake")</f>
        <v>Future, Drake</v>
      </c>
      <c r="F1758" t="str">
        <f>IFERROR(__xludf.DUMMYFUNCTION("""COMPUTED_VALUE"""),"Life Is Good (feat. Drake)")</f>
        <v>Life Is Good (feat. Drake)</v>
      </c>
      <c r="G1758">
        <f>IFERROR(__xludf.DUMMYFUNCTION("""COMPUTED_VALUE"""),1.0)</f>
        <v>1</v>
      </c>
      <c r="H1758" s="5">
        <f>IFERROR(__xludf.DUMMYFUNCTION("""COMPUTED_VALUE"""),0.16458333333503106)</f>
        <v>0.1645833333</v>
      </c>
    </row>
    <row r="1759">
      <c r="A1759" t="str">
        <f>IFERROR(__xludf.DUMMYFUNCTION("""COMPUTED_VALUE"""),"Luxembourg")</f>
        <v>Luxembourg</v>
      </c>
      <c r="B1759" t="str">
        <f>IFERROR(__xludf.DUMMYFUNCTION("""COMPUTED_VALUE"""),"Europe")</f>
        <v>Europe</v>
      </c>
      <c r="C1759">
        <f>IFERROR(__xludf.DUMMYFUNCTION("""COMPUTED_VALUE"""),8.0)</f>
        <v>8</v>
      </c>
      <c r="D1759" t="str">
        <f>IFERROR(__xludf.DUMMYFUNCTION("""COMPUTED_VALUE"""),"Intentions (feat. Quavo)")</f>
        <v>Intentions (feat. Quavo)</v>
      </c>
      <c r="E1759" t="str">
        <f>IFERROR(__xludf.DUMMYFUNCTION("""COMPUTED_VALUE"""),"Justin Bieber, Quavo")</f>
        <v>Justin Bieber, Quavo</v>
      </c>
      <c r="F1759" t="str">
        <f>IFERROR(__xludf.DUMMYFUNCTION("""COMPUTED_VALUE"""),"Changes")</f>
        <v>Changes</v>
      </c>
      <c r="G1759">
        <f>IFERROR(__xludf.DUMMYFUNCTION("""COMPUTED_VALUE"""),0.0)</f>
        <v>0</v>
      </c>
      <c r="H1759" s="5">
        <f>IFERROR(__xludf.DUMMYFUNCTION("""COMPUTED_VALUE"""),0.14722222222189885)</f>
        <v>0.1472222222</v>
      </c>
    </row>
    <row r="1760">
      <c r="A1760" t="str">
        <f>IFERROR(__xludf.DUMMYFUNCTION("""COMPUTED_VALUE"""),"Luxembourg")</f>
        <v>Luxembourg</v>
      </c>
      <c r="B1760" t="str">
        <f>IFERROR(__xludf.DUMMYFUNCTION("""COMPUTED_VALUE"""),"Europe")</f>
        <v>Europe</v>
      </c>
      <c r="C1760">
        <f>IFERROR(__xludf.DUMMYFUNCTION("""COMPUTED_VALUE"""),9.0)</f>
        <v>9</v>
      </c>
      <c r="D1760" t="str">
        <f>IFERROR(__xludf.DUMMYFUNCTION("""COMPUTED_VALUE"""),"Mios mit Bars")</f>
        <v>Mios mit Bars</v>
      </c>
      <c r="E1760" t="str">
        <f>IFERROR(__xludf.DUMMYFUNCTION("""COMPUTED_VALUE"""),"Luciano")</f>
        <v>Luciano</v>
      </c>
      <c r="F1760" t="str">
        <f>IFERROR(__xludf.DUMMYFUNCTION("""COMPUTED_VALUE"""),"Mios mit Bars")</f>
        <v>Mios mit Bars</v>
      </c>
      <c r="G1760">
        <f>IFERROR(__xludf.DUMMYFUNCTION("""COMPUTED_VALUE"""),0.0)</f>
        <v>0</v>
      </c>
      <c r="H1760" s="5">
        <f>IFERROR(__xludf.DUMMYFUNCTION("""COMPUTED_VALUE"""),0.16111111111240461)</f>
        <v>0.1611111111</v>
      </c>
    </row>
    <row r="1761">
      <c r="A1761" t="str">
        <f>IFERROR(__xludf.DUMMYFUNCTION("""COMPUTED_VALUE"""),"Luxembourg")</f>
        <v>Luxembourg</v>
      </c>
      <c r="B1761" t="str">
        <f>IFERROR(__xludf.DUMMYFUNCTION("""COMPUTED_VALUE"""),"Europe")</f>
        <v>Europe</v>
      </c>
      <c r="C1761">
        <f>IFERROR(__xludf.DUMMYFUNCTION("""COMPUTED_VALUE"""),10.0)</f>
        <v>10</v>
      </c>
      <c r="D1761" t="str">
        <f>IFERROR(__xludf.DUMMYFUNCTION("""COMPUTED_VALUE"""),"everything i wanted")</f>
        <v>everything i wanted</v>
      </c>
      <c r="E1761" t="str">
        <f>IFERROR(__xludf.DUMMYFUNCTION("""COMPUTED_VALUE"""),"Billie Eilish")</f>
        <v>Billie Eilish</v>
      </c>
      <c r="F1761" t="str">
        <f>IFERROR(__xludf.DUMMYFUNCTION("""COMPUTED_VALUE"""),"everything i wanted")</f>
        <v>everything i wanted</v>
      </c>
      <c r="G1761">
        <f>IFERROR(__xludf.DUMMYFUNCTION("""COMPUTED_VALUE"""),0.0)</f>
        <v>0</v>
      </c>
      <c r="H1761" s="5">
        <f>IFERROR(__xludf.DUMMYFUNCTION("""COMPUTED_VALUE"""),0.17013888889050577)</f>
        <v>0.1701388889</v>
      </c>
    </row>
    <row r="1762">
      <c r="A1762" t="str">
        <f>IFERROR(__xludf.DUMMYFUNCTION("""COMPUTED_VALUE"""),"Luxembourg")</f>
        <v>Luxembourg</v>
      </c>
      <c r="B1762" t="str">
        <f>IFERROR(__xludf.DUMMYFUNCTION("""COMPUTED_VALUE"""),"Europe")</f>
        <v>Europe</v>
      </c>
      <c r="C1762">
        <f>IFERROR(__xludf.DUMMYFUNCTION("""COMPUTED_VALUE"""),11.0)</f>
        <v>11</v>
      </c>
      <c r="D1762" t="str">
        <f>IFERROR(__xludf.DUMMYFUNCTION("""COMPUTED_VALUE"""),"Yummy")</f>
        <v>Yummy</v>
      </c>
      <c r="E1762" t="str">
        <f>IFERROR(__xludf.DUMMYFUNCTION("""COMPUTED_VALUE"""),"Justin Bieber")</f>
        <v>Justin Bieber</v>
      </c>
      <c r="F1762" t="str">
        <f>IFERROR(__xludf.DUMMYFUNCTION("""COMPUTED_VALUE"""),"Changes")</f>
        <v>Changes</v>
      </c>
      <c r="G1762">
        <f>IFERROR(__xludf.DUMMYFUNCTION("""COMPUTED_VALUE"""),0.0)</f>
        <v>0</v>
      </c>
      <c r="H1762" s="5">
        <f>IFERROR(__xludf.DUMMYFUNCTION("""COMPUTED_VALUE"""),0.14444444444598048)</f>
        <v>0.1444444444</v>
      </c>
    </row>
    <row r="1763">
      <c r="A1763" t="str">
        <f>IFERROR(__xludf.DUMMYFUNCTION("""COMPUTED_VALUE"""),"Luxembourg")</f>
        <v>Luxembourg</v>
      </c>
      <c r="B1763" t="str">
        <f>IFERROR(__xludf.DUMMYFUNCTION("""COMPUTED_VALUE"""),"Europe")</f>
        <v>Europe</v>
      </c>
      <c r="C1763">
        <f>IFERROR(__xludf.DUMMYFUNCTION("""COMPUTED_VALUE"""),12.0)</f>
        <v>12</v>
      </c>
      <c r="D1763" t="str">
        <f>IFERROR(__xludf.DUMMYFUNCTION("""COMPUTED_VALUE"""),"ROXANNE")</f>
        <v>ROXANNE</v>
      </c>
      <c r="E1763" t="str">
        <f>IFERROR(__xludf.DUMMYFUNCTION("""COMPUTED_VALUE"""),"Arizona Zervas")</f>
        <v>Arizona Zervas</v>
      </c>
      <c r="F1763" t="str">
        <f>IFERROR(__xludf.DUMMYFUNCTION("""COMPUTED_VALUE"""),"ROXANNE")</f>
        <v>ROXANNE</v>
      </c>
      <c r="G1763">
        <f>IFERROR(__xludf.DUMMYFUNCTION("""COMPUTED_VALUE"""),1.0)</f>
        <v>1</v>
      </c>
      <c r="H1763" s="5">
        <f>IFERROR(__xludf.DUMMYFUNCTION("""COMPUTED_VALUE"""),0.11319444444598048)</f>
        <v>0.1131944444</v>
      </c>
    </row>
    <row r="1764">
      <c r="A1764" t="str">
        <f>IFERROR(__xludf.DUMMYFUNCTION("""COMPUTED_VALUE"""),"Luxembourg")</f>
        <v>Luxembourg</v>
      </c>
      <c r="B1764" t="str">
        <f>IFERROR(__xludf.DUMMYFUNCTION("""COMPUTED_VALUE"""),"Europe")</f>
        <v>Europe</v>
      </c>
      <c r="C1764">
        <f>IFERROR(__xludf.DUMMYFUNCTION("""COMPUTED_VALUE"""),13.0)</f>
        <v>13</v>
      </c>
      <c r="D1764" t="str">
        <f>IFERROR(__xludf.DUMMYFUNCTION("""COMPUTED_VALUE"""),"Roses - Imanbek Remix")</f>
        <v>Roses - Imanbek Remix</v>
      </c>
      <c r="E1764" t="str">
        <f>IFERROR(__xludf.DUMMYFUNCTION("""COMPUTED_VALUE"""),"SAINt JHN, Imanbek")</f>
        <v>SAINt JHN, Imanbek</v>
      </c>
      <c r="F1764" t="str">
        <f>IFERROR(__xludf.DUMMYFUNCTION("""COMPUTED_VALUE"""),"Roses (Imanbek Remix)")</f>
        <v>Roses (Imanbek Remix)</v>
      </c>
      <c r="G1764">
        <f>IFERROR(__xludf.DUMMYFUNCTION("""COMPUTED_VALUE"""),1.0)</f>
        <v>1</v>
      </c>
      <c r="H1764" s="5">
        <f>IFERROR(__xludf.DUMMYFUNCTION("""COMPUTED_VALUE"""),0.12222222222044365)</f>
        <v>0.1222222222</v>
      </c>
    </row>
    <row r="1765">
      <c r="A1765" t="str">
        <f>IFERROR(__xludf.DUMMYFUNCTION("""COMPUTED_VALUE"""),"Luxembourg")</f>
        <v>Luxembourg</v>
      </c>
      <c r="B1765" t="str">
        <f>IFERROR(__xludf.DUMMYFUNCTION("""COMPUTED_VALUE"""),"Europe")</f>
        <v>Europe</v>
      </c>
      <c r="C1765">
        <f>IFERROR(__xludf.DUMMYFUNCTION("""COMPUTED_VALUE"""),14.0)</f>
        <v>14</v>
      </c>
      <c r="D1765" t="str">
        <f>IFERROR(__xludf.DUMMYFUNCTION("""COMPUTED_VALUE"""),"Give No Fxk")</f>
        <v>Give No Fxk</v>
      </c>
      <c r="E1765" t="str">
        <f>IFERROR(__xludf.DUMMYFUNCTION("""COMPUTED_VALUE"""),"Migos, Travis Scott, Young Thug")</f>
        <v>Migos, Travis Scott, Young Thug</v>
      </c>
      <c r="F1765" t="str">
        <f>IFERROR(__xludf.DUMMYFUNCTION("""COMPUTED_VALUE"""),"Give No Fxk")</f>
        <v>Give No Fxk</v>
      </c>
      <c r="G1765">
        <f>IFERROR(__xludf.DUMMYFUNCTION("""COMPUTED_VALUE"""),1.0)</f>
        <v>1</v>
      </c>
      <c r="H1765" s="5">
        <f>IFERROR(__xludf.DUMMYFUNCTION("""COMPUTED_VALUE"""),0.1555555555569299)</f>
        <v>0.1555555556</v>
      </c>
    </row>
    <row r="1766">
      <c r="A1766" t="str">
        <f>IFERROR(__xludf.DUMMYFUNCTION("""COMPUTED_VALUE"""),"Luxembourg")</f>
        <v>Luxembourg</v>
      </c>
      <c r="B1766" t="str">
        <f>IFERROR(__xludf.DUMMYFUNCTION("""COMPUTED_VALUE"""),"Europe")</f>
        <v>Europe</v>
      </c>
      <c r="C1766">
        <f>IFERROR(__xludf.DUMMYFUNCTION("""COMPUTED_VALUE"""),15.0)</f>
        <v>15</v>
      </c>
      <c r="D1766" t="str">
        <f>IFERROR(__xludf.DUMMYFUNCTION("""COMPUTED_VALUE"""),"Verkackt")</f>
        <v>Verkackt</v>
      </c>
      <c r="E1766" t="str">
        <f>IFERROR(__xludf.DUMMYFUNCTION("""COMPUTED_VALUE"""),"Gzuz, Bonez MC")</f>
        <v>Gzuz, Bonez MC</v>
      </c>
      <c r="F1766" t="str">
        <f>IFERROR(__xludf.DUMMYFUNCTION("""COMPUTED_VALUE"""),"Gzuz")</f>
        <v>Gzuz</v>
      </c>
      <c r="G1766">
        <f>IFERROR(__xludf.DUMMYFUNCTION("""COMPUTED_VALUE"""),1.0)</f>
        <v>1</v>
      </c>
      <c r="H1766" s="5">
        <f>IFERROR(__xludf.DUMMYFUNCTION("""COMPUTED_VALUE"""),0.0944444444430701)</f>
        <v>0.09444444444</v>
      </c>
    </row>
    <row r="1767">
      <c r="A1767" t="str">
        <f>IFERROR(__xludf.DUMMYFUNCTION("""COMPUTED_VALUE"""),"Luxembourg")</f>
        <v>Luxembourg</v>
      </c>
      <c r="B1767" t="str">
        <f>IFERROR(__xludf.DUMMYFUNCTION("""COMPUTED_VALUE"""),"Europe")</f>
        <v>Europe</v>
      </c>
      <c r="C1767">
        <f>IFERROR(__xludf.DUMMYFUNCTION("""COMPUTED_VALUE"""),16.0)</f>
        <v>16</v>
      </c>
      <c r="D1767" t="str">
        <f>IFERROR(__xludf.DUMMYFUNCTION("""COMPUTED_VALUE"""),"Ride It")</f>
        <v>Ride It</v>
      </c>
      <c r="E1767" t="str">
        <f>IFERROR(__xludf.DUMMYFUNCTION("""COMPUTED_VALUE"""),"Regard")</f>
        <v>Regard</v>
      </c>
      <c r="F1767" t="str">
        <f>IFERROR(__xludf.DUMMYFUNCTION("""COMPUTED_VALUE"""),"Ride It")</f>
        <v>Ride It</v>
      </c>
      <c r="G1767">
        <f>IFERROR(__xludf.DUMMYFUNCTION("""COMPUTED_VALUE"""),0.0)</f>
        <v>0</v>
      </c>
      <c r="H1767" s="5">
        <f>IFERROR(__xludf.DUMMYFUNCTION("""COMPUTED_VALUE"""),0.10902777777664596)</f>
        <v>0.1090277778</v>
      </c>
    </row>
    <row r="1768">
      <c r="A1768" t="str">
        <f>IFERROR(__xludf.DUMMYFUNCTION("""COMPUTED_VALUE"""),"Luxembourg")</f>
        <v>Luxembourg</v>
      </c>
      <c r="B1768" t="str">
        <f>IFERROR(__xludf.DUMMYFUNCTION("""COMPUTED_VALUE"""),"Europe")</f>
        <v>Europe</v>
      </c>
      <c r="C1768">
        <f>IFERROR(__xludf.DUMMYFUNCTION("""COMPUTED_VALUE"""),17.0)</f>
        <v>17</v>
      </c>
      <c r="D1768" t="str">
        <f>IFERROR(__xludf.DUMMYFUNCTION("""COMPUTED_VALUE"""),"Forever (feat. Post Malone &amp; Clever)")</f>
        <v>Forever (feat. Post Malone &amp; Clever)</v>
      </c>
      <c r="E1768" t="str">
        <f>IFERROR(__xludf.DUMMYFUNCTION("""COMPUTED_VALUE"""),"Justin Bieber, Post Malone, Clever")</f>
        <v>Justin Bieber, Post Malone, Clever</v>
      </c>
      <c r="F1768" t="str">
        <f>IFERROR(__xludf.DUMMYFUNCTION("""COMPUTED_VALUE"""),"Changes")</f>
        <v>Changes</v>
      </c>
      <c r="G1768">
        <f>IFERROR(__xludf.DUMMYFUNCTION("""COMPUTED_VALUE"""),0.0)</f>
        <v>0</v>
      </c>
      <c r="H1768" s="5">
        <f>IFERROR(__xludf.DUMMYFUNCTION("""COMPUTED_VALUE"""),0.15208333333430346)</f>
        <v>0.1520833333</v>
      </c>
    </row>
    <row r="1769">
      <c r="A1769" t="str">
        <f>IFERROR(__xludf.DUMMYFUNCTION("""COMPUTED_VALUE"""),"Luxembourg")</f>
        <v>Luxembourg</v>
      </c>
      <c r="B1769" t="str">
        <f>IFERROR(__xludf.DUMMYFUNCTION("""COMPUTED_VALUE"""),"Europe")</f>
        <v>Europe</v>
      </c>
      <c r="C1769">
        <f>IFERROR(__xludf.DUMMYFUNCTION("""COMPUTED_VALUE"""),18.0)</f>
        <v>18</v>
      </c>
      <c r="D1769" t="str">
        <f>IFERROR(__xludf.DUMMYFUNCTION("""COMPUTED_VALUE"""),"Memories")</f>
        <v>Memories</v>
      </c>
      <c r="E1769" t="str">
        <f>IFERROR(__xludf.DUMMYFUNCTION("""COMPUTED_VALUE"""),"Maroon 5")</f>
        <v>Maroon 5</v>
      </c>
      <c r="F1769" t="str">
        <f>IFERROR(__xludf.DUMMYFUNCTION("""COMPUTED_VALUE"""),"Memories")</f>
        <v>Memories</v>
      </c>
      <c r="G1769">
        <f>IFERROR(__xludf.DUMMYFUNCTION("""COMPUTED_VALUE"""),0.0)</f>
        <v>0</v>
      </c>
      <c r="H1769" s="5">
        <f>IFERROR(__xludf.DUMMYFUNCTION("""COMPUTED_VALUE"""),0.1312499999985448)</f>
        <v>0.13125</v>
      </c>
    </row>
    <row r="1770">
      <c r="A1770" t="str">
        <f>IFERROR(__xludf.DUMMYFUNCTION("""COMPUTED_VALUE"""),"Luxembourg")</f>
        <v>Luxembourg</v>
      </c>
      <c r="B1770" t="str">
        <f>IFERROR(__xludf.DUMMYFUNCTION("""COMPUTED_VALUE"""),"Europe")</f>
        <v>Europe</v>
      </c>
      <c r="C1770">
        <f>IFERROR(__xludf.DUMMYFUNCTION("""COMPUTED_VALUE"""),19.0)</f>
        <v>19</v>
      </c>
      <c r="D1770" t="str">
        <f>IFERROR(__xludf.DUMMYFUNCTION("""COMPUTED_VALUE"""),"Roller")</f>
        <v>Roller</v>
      </c>
      <c r="E1770" t="str">
        <f>IFERROR(__xludf.DUMMYFUNCTION("""COMPUTED_VALUE"""),"Apache 207")</f>
        <v>Apache 207</v>
      </c>
      <c r="F1770" t="str">
        <f>IFERROR(__xludf.DUMMYFUNCTION("""COMPUTED_VALUE"""),"Platte")</f>
        <v>Platte</v>
      </c>
      <c r="G1770">
        <f>IFERROR(__xludf.DUMMYFUNCTION("""COMPUTED_VALUE"""),1.0)</f>
        <v>1</v>
      </c>
      <c r="H1770" s="5">
        <f>IFERROR(__xludf.DUMMYFUNCTION("""COMPUTED_VALUE"""),0.10902777777664596)</f>
        <v>0.1090277778</v>
      </c>
    </row>
    <row r="1771">
      <c r="A1771" t="str">
        <f>IFERROR(__xludf.DUMMYFUNCTION("""COMPUTED_VALUE"""),"Luxembourg")</f>
        <v>Luxembourg</v>
      </c>
      <c r="B1771" t="str">
        <f>IFERROR(__xludf.DUMMYFUNCTION("""COMPUTED_VALUE"""),"Europe")</f>
        <v>Europe</v>
      </c>
      <c r="C1771">
        <f>IFERROR(__xludf.DUMMYFUNCTION("""COMPUTED_VALUE"""),20.0)</f>
        <v>20</v>
      </c>
      <c r="D1771" t="str">
        <f>IFERROR(__xludf.DUMMYFUNCTION("""COMPUTED_VALUE"""),"RITMO (Bad Boys For Life)")</f>
        <v>RITMO (Bad Boys For Life)</v>
      </c>
      <c r="E1771" t="str">
        <f>IFERROR(__xludf.DUMMYFUNCTION("""COMPUTED_VALUE"""),"Black Eyed Peas, J Balvin")</f>
        <v>Black Eyed Peas, J Balvin</v>
      </c>
      <c r="F1771" t="str">
        <f>IFERROR(__xludf.DUMMYFUNCTION("""COMPUTED_VALUE"""),"RITMO (Bad Boys For Life)")</f>
        <v>RITMO (Bad Boys For Life)</v>
      </c>
      <c r="G1771">
        <f>IFERROR(__xludf.DUMMYFUNCTION("""COMPUTED_VALUE"""),1.0)</f>
        <v>1</v>
      </c>
      <c r="H1771" s="5">
        <f>IFERROR(__xludf.DUMMYFUNCTION("""COMPUTED_VALUE"""),0.15347222222044365)</f>
        <v>0.1534722222</v>
      </c>
    </row>
    <row r="1772">
      <c r="A1772" t="str">
        <f>IFERROR(__xludf.DUMMYFUNCTION("""COMPUTED_VALUE"""),"Luxembourg")</f>
        <v>Luxembourg</v>
      </c>
      <c r="B1772" t="str">
        <f>IFERROR(__xludf.DUMMYFUNCTION("""COMPUTED_VALUE"""),"Europe")</f>
        <v>Europe</v>
      </c>
      <c r="C1772">
        <f>IFERROR(__xludf.DUMMYFUNCTION("""COMPUTED_VALUE"""),21.0)</f>
        <v>21</v>
      </c>
      <c r="D1772" t="str">
        <f>IFERROR(__xludf.DUMMYFUNCTION("""COMPUTED_VALUE"""),"Godzilla (feat. Juice WRLD)")</f>
        <v>Godzilla (feat. Juice WRLD)</v>
      </c>
      <c r="E1772" t="str">
        <f>IFERROR(__xludf.DUMMYFUNCTION("""COMPUTED_VALUE"""),"Eminem, Juice WRLD")</f>
        <v>Eminem, Juice WRLD</v>
      </c>
      <c r="F1772" t="str">
        <f>IFERROR(__xludf.DUMMYFUNCTION("""COMPUTED_VALUE"""),"Music To Be Murdered By")</f>
        <v>Music To Be Murdered By</v>
      </c>
      <c r="G1772">
        <f>IFERROR(__xludf.DUMMYFUNCTION("""COMPUTED_VALUE"""),1.0)</f>
        <v>1</v>
      </c>
      <c r="H1772" s="5">
        <f>IFERROR(__xludf.DUMMYFUNCTION("""COMPUTED_VALUE"""),0.14583333333212067)</f>
        <v>0.1458333333</v>
      </c>
    </row>
    <row r="1773">
      <c r="A1773" t="str">
        <f>IFERROR(__xludf.DUMMYFUNCTION("""COMPUTED_VALUE"""),"Luxembourg")</f>
        <v>Luxembourg</v>
      </c>
      <c r="B1773" t="str">
        <f>IFERROR(__xludf.DUMMYFUNCTION("""COMPUTED_VALUE"""),"Europe")</f>
        <v>Europe</v>
      </c>
      <c r="C1773">
        <f>IFERROR(__xludf.DUMMYFUNCTION("""COMPUTED_VALUE"""),22.0)</f>
        <v>22</v>
      </c>
      <c r="D1773" t="str">
        <f>IFERROR(__xludf.DUMMYFUNCTION("""COMPUTED_VALUE"""),"bad guy")</f>
        <v>bad guy</v>
      </c>
      <c r="E1773" t="str">
        <f>IFERROR(__xludf.DUMMYFUNCTION("""COMPUTED_VALUE"""),"Billie Eilish")</f>
        <v>Billie Eilish</v>
      </c>
      <c r="F1773" t="str">
        <f>IFERROR(__xludf.DUMMYFUNCTION("""COMPUTED_VALUE"""),"WHEN WE ALL FALL ASLEEP, WHERE DO WE GO?")</f>
        <v>WHEN WE ALL FALL ASLEEP, WHERE DO WE GO?</v>
      </c>
      <c r="G1773">
        <f>IFERROR(__xludf.DUMMYFUNCTION("""COMPUTED_VALUE"""),0.0)</f>
        <v>0</v>
      </c>
      <c r="H1773" s="5">
        <f>IFERROR(__xludf.DUMMYFUNCTION("""COMPUTED_VALUE"""),0.13472222222117125)</f>
        <v>0.1347222222</v>
      </c>
    </row>
    <row r="1774">
      <c r="A1774" t="str">
        <f>IFERROR(__xludf.DUMMYFUNCTION("""COMPUTED_VALUE"""),"Luxembourg")</f>
        <v>Luxembourg</v>
      </c>
      <c r="B1774" t="str">
        <f>IFERROR(__xludf.DUMMYFUNCTION("""COMPUTED_VALUE"""),"Europe")</f>
        <v>Europe</v>
      </c>
      <c r="C1774">
        <f>IFERROR(__xludf.DUMMYFUNCTION("""COMPUTED_VALUE"""),23.0)</f>
        <v>23</v>
      </c>
      <c r="D1774" t="str">
        <f>IFERROR(__xludf.DUMMYFUNCTION("""COMPUTED_VALUE"""),"Before You Go")</f>
        <v>Before You Go</v>
      </c>
      <c r="E1774" t="str">
        <f>IFERROR(__xludf.DUMMYFUNCTION("""COMPUTED_VALUE"""),"Lewis Capaldi")</f>
        <v>Lewis Capaldi</v>
      </c>
      <c r="F1774" t="str">
        <f>IFERROR(__xludf.DUMMYFUNCTION("""COMPUTED_VALUE"""),"Divinely Uninspired To A Hellish Extent (Extended Edition)")</f>
        <v>Divinely Uninspired To A Hellish Extent (Extended Edition)</v>
      </c>
      <c r="G1774">
        <f>IFERROR(__xludf.DUMMYFUNCTION("""COMPUTED_VALUE"""),0.0)</f>
        <v>0</v>
      </c>
      <c r="H1774" s="5">
        <f>IFERROR(__xludf.DUMMYFUNCTION("""COMPUTED_VALUE"""),0.14930555555474712)</f>
        <v>0.1493055556</v>
      </c>
    </row>
    <row r="1775">
      <c r="A1775" t="str">
        <f>IFERROR(__xludf.DUMMYFUNCTION("""COMPUTED_VALUE"""),"Luxembourg")</f>
        <v>Luxembourg</v>
      </c>
      <c r="B1775" t="str">
        <f>IFERROR(__xludf.DUMMYFUNCTION("""COMPUTED_VALUE"""),"Europe")</f>
        <v>Europe</v>
      </c>
      <c r="C1775">
        <f>IFERROR(__xludf.DUMMYFUNCTION("""COMPUTED_VALUE"""),24.0)</f>
        <v>24</v>
      </c>
      <c r="D1775" t="str">
        <f>IFERROR(__xludf.DUMMYFUNCTION("""COMPUTED_VALUE"""),"Ne reviens pas")</f>
        <v>Ne reviens pas</v>
      </c>
      <c r="E1775" t="str">
        <f>IFERROR(__xludf.DUMMYFUNCTION("""COMPUTED_VALUE"""),"Gradur, Heuss L'enfoiré")</f>
        <v>Gradur, Heuss L'enfoiré</v>
      </c>
      <c r="F1775" t="str">
        <f>IFERROR(__xludf.DUMMYFUNCTION("""COMPUTED_VALUE"""),"Zone 59")</f>
        <v>Zone 59</v>
      </c>
      <c r="G1775">
        <f>IFERROR(__xludf.DUMMYFUNCTION("""COMPUTED_VALUE"""),1.0)</f>
        <v>1</v>
      </c>
      <c r="H1775" s="5">
        <f>IFERROR(__xludf.DUMMYFUNCTION("""COMPUTED_VALUE"""),0.1305555555554747)</f>
        <v>0.1305555556</v>
      </c>
    </row>
    <row r="1776">
      <c r="A1776" t="str">
        <f>IFERROR(__xludf.DUMMYFUNCTION("""COMPUTED_VALUE"""),"Luxembourg")</f>
        <v>Luxembourg</v>
      </c>
      <c r="B1776" t="str">
        <f>IFERROR(__xludf.DUMMYFUNCTION("""COMPUTED_VALUE"""),"Europe")</f>
        <v>Europe</v>
      </c>
      <c r="C1776">
        <f>IFERROR(__xludf.DUMMYFUNCTION("""COMPUTED_VALUE"""),25.0)</f>
        <v>25</v>
      </c>
      <c r="D1776" t="str">
        <f>IFERROR(__xludf.DUMMYFUNCTION("""COMPUTED_VALUE"""),"Lose Control")</f>
        <v>Lose Control</v>
      </c>
      <c r="E1776" t="str">
        <f>IFERROR(__xludf.DUMMYFUNCTION("""COMPUTED_VALUE"""),"MEDUZA, Becky Hill, Goodboys")</f>
        <v>MEDUZA, Becky Hill, Goodboys</v>
      </c>
      <c r="F1776" t="str">
        <f>IFERROR(__xludf.DUMMYFUNCTION("""COMPUTED_VALUE"""),"Lose Control")</f>
        <v>Lose Control</v>
      </c>
      <c r="G1776">
        <f>IFERROR(__xludf.DUMMYFUNCTION("""COMPUTED_VALUE"""),0.0)</f>
        <v>0</v>
      </c>
      <c r="H1776" s="5">
        <f>IFERROR(__xludf.DUMMYFUNCTION("""COMPUTED_VALUE"""),0.11666666666496894)</f>
        <v>0.1166666667</v>
      </c>
    </row>
    <row r="1777">
      <c r="A1777" t="str">
        <f>IFERROR(__xludf.DUMMYFUNCTION("""COMPUTED_VALUE"""),"Luxembourg")</f>
        <v>Luxembourg</v>
      </c>
      <c r="B1777" t="str">
        <f>IFERROR(__xludf.DUMMYFUNCTION("""COMPUTED_VALUE"""),"Europe")</f>
        <v>Europe</v>
      </c>
      <c r="C1777">
        <f>IFERROR(__xludf.DUMMYFUNCTION("""COMPUTED_VALUE"""),26.0)</f>
        <v>26</v>
      </c>
      <c r="D1777" t="str">
        <f>IFERROR(__xludf.DUMMYFUNCTION("""COMPUTED_VALUE"""),"Donuts")</f>
        <v>Donuts</v>
      </c>
      <c r="E1777" t="str">
        <f>IFERROR(__xludf.DUMMYFUNCTION("""COMPUTED_VALUE"""),"Gzuz")</f>
        <v>Gzuz</v>
      </c>
      <c r="F1777" t="str">
        <f>IFERROR(__xludf.DUMMYFUNCTION("""COMPUTED_VALUE"""),"Gzuz")</f>
        <v>Gzuz</v>
      </c>
      <c r="G1777">
        <f>IFERROR(__xludf.DUMMYFUNCTION("""COMPUTED_VALUE"""),1.0)</f>
        <v>1</v>
      </c>
      <c r="H1777" s="5">
        <f>IFERROR(__xludf.DUMMYFUNCTION("""COMPUTED_VALUE"""),0.1124999999992724)</f>
        <v>0.1125</v>
      </c>
    </row>
    <row r="1778">
      <c r="A1778" t="str">
        <f>IFERROR(__xludf.DUMMYFUNCTION("""COMPUTED_VALUE"""),"Luxembourg")</f>
        <v>Luxembourg</v>
      </c>
      <c r="B1778" t="str">
        <f>IFERROR(__xludf.DUMMYFUNCTION("""COMPUTED_VALUE"""),"Europe")</f>
        <v>Europe</v>
      </c>
      <c r="C1778">
        <f>IFERROR(__xludf.DUMMYFUNCTION("""COMPUTED_VALUE"""),27.0)</f>
        <v>27</v>
      </c>
      <c r="D1778" t="str">
        <f>IFERROR(__xludf.DUMMYFUNCTION("""COMPUTED_VALUE"""),"Circles")</f>
        <v>Circles</v>
      </c>
      <c r="E1778" t="str">
        <f>IFERROR(__xludf.DUMMYFUNCTION("""COMPUTED_VALUE"""),"Post Malone")</f>
        <v>Post Malone</v>
      </c>
      <c r="F1778" t="str">
        <f>IFERROR(__xludf.DUMMYFUNCTION("""COMPUTED_VALUE"""),"Hollywood's Bleeding")</f>
        <v>Hollywood's Bleeding</v>
      </c>
      <c r="G1778">
        <f>IFERROR(__xludf.DUMMYFUNCTION("""COMPUTED_VALUE"""),0.0)</f>
        <v>0</v>
      </c>
      <c r="H1778" s="5">
        <f>IFERROR(__xludf.DUMMYFUNCTION("""COMPUTED_VALUE"""),0.14930555555474712)</f>
        <v>0.1493055556</v>
      </c>
    </row>
    <row r="1779">
      <c r="A1779" t="str">
        <f>IFERROR(__xludf.DUMMYFUNCTION("""COMPUTED_VALUE"""),"Luxembourg")</f>
        <v>Luxembourg</v>
      </c>
      <c r="B1779" t="str">
        <f>IFERROR(__xludf.DUMMYFUNCTION("""COMPUTED_VALUE"""),"Europe")</f>
        <v>Europe</v>
      </c>
      <c r="C1779">
        <f>IFERROR(__xludf.DUMMYFUNCTION("""COMPUTED_VALUE"""),28.0)</f>
        <v>28</v>
      </c>
      <c r="D1779" t="str">
        <f>IFERROR(__xludf.DUMMYFUNCTION("""COMPUTED_VALUE"""),"Tusa")</f>
        <v>Tusa</v>
      </c>
      <c r="E1779" t="str">
        <f>IFERROR(__xludf.DUMMYFUNCTION("""COMPUTED_VALUE"""),"KAROL G, Nicki Minaj")</f>
        <v>KAROL G, Nicki Minaj</v>
      </c>
      <c r="F1779" t="str">
        <f>IFERROR(__xludf.DUMMYFUNCTION("""COMPUTED_VALUE"""),"Tusa")</f>
        <v>Tusa</v>
      </c>
      <c r="G1779">
        <f>IFERROR(__xludf.DUMMYFUNCTION("""COMPUTED_VALUE"""),0.0)</f>
        <v>0</v>
      </c>
      <c r="H1779" s="5">
        <f>IFERROR(__xludf.DUMMYFUNCTION("""COMPUTED_VALUE"""),0.13888888889050577)</f>
        <v>0.1388888889</v>
      </c>
    </row>
    <row r="1780">
      <c r="A1780" t="str">
        <f>IFERROR(__xludf.DUMMYFUNCTION("""COMPUTED_VALUE"""),"Luxembourg")</f>
        <v>Luxembourg</v>
      </c>
      <c r="B1780" t="str">
        <f>IFERROR(__xludf.DUMMYFUNCTION("""COMPUTED_VALUE"""),"Europe")</f>
        <v>Europe</v>
      </c>
      <c r="C1780">
        <f>IFERROR(__xludf.DUMMYFUNCTION("""COMPUTED_VALUE"""),29.0)</f>
        <v>29</v>
      </c>
      <c r="D1780" t="str">
        <f>IFERROR(__xludf.DUMMYFUNCTION("""COMPUTED_VALUE"""),"What If I Told You That I Love You")</f>
        <v>What If I Told You That I Love You</v>
      </c>
      <c r="E1780" t="str">
        <f>IFERROR(__xludf.DUMMYFUNCTION("""COMPUTED_VALUE"""),"Ali Gatie")</f>
        <v>Ali Gatie</v>
      </c>
      <c r="F1780" t="str">
        <f>IFERROR(__xludf.DUMMYFUNCTION("""COMPUTED_VALUE"""),"What If I Told You That I Love You")</f>
        <v>What If I Told You That I Love You</v>
      </c>
      <c r="G1780">
        <f>IFERROR(__xludf.DUMMYFUNCTION("""COMPUTED_VALUE"""),0.0)</f>
        <v>0</v>
      </c>
      <c r="H1780" s="5">
        <f>IFERROR(__xludf.DUMMYFUNCTION("""COMPUTED_VALUE"""),0.13402777777810115)</f>
        <v>0.1340277778</v>
      </c>
    </row>
    <row r="1781">
      <c r="A1781" t="str">
        <f>IFERROR(__xludf.DUMMYFUNCTION("""COMPUTED_VALUE"""),"Luxembourg")</f>
        <v>Luxembourg</v>
      </c>
      <c r="B1781" t="str">
        <f>IFERROR(__xludf.DUMMYFUNCTION("""COMPUTED_VALUE"""),"Europe")</f>
        <v>Europe</v>
      </c>
      <c r="C1781">
        <f>IFERROR(__xludf.DUMMYFUNCTION("""COMPUTED_VALUE"""),30.0)</f>
        <v>30</v>
      </c>
      <c r="D1781" t="str">
        <f>IFERROR(__xludf.DUMMYFUNCTION("""COMPUTED_VALUE"""),"You should be sad")</f>
        <v>You should be sad</v>
      </c>
      <c r="E1781" t="str">
        <f>IFERROR(__xludf.DUMMYFUNCTION("""COMPUTED_VALUE"""),"Halsey")</f>
        <v>Halsey</v>
      </c>
      <c r="F1781" t="str">
        <f>IFERROR(__xludf.DUMMYFUNCTION("""COMPUTED_VALUE"""),"Manic")</f>
        <v>Manic</v>
      </c>
      <c r="G1781">
        <f>IFERROR(__xludf.DUMMYFUNCTION("""COMPUTED_VALUE"""),1.0)</f>
        <v>1</v>
      </c>
      <c r="H1781" s="5">
        <f>IFERROR(__xludf.DUMMYFUNCTION("""COMPUTED_VALUE"""),0.14236111110949423)</f>
        <v>0.1423611111</v>
      </c>
    </row>
    <row r="1782">
      <c r="A1782" t="str">
        <f>IFERROR(__xludf.DUMMYFUNCTION("""COMPUTED_VALUE"""),"Luxembourg")</f>
        <v>Luxembourg</v>
      </c>
      <c r="B1782" t="str">
        <f>IFERROR(__xludf.DUMMYFUNCTION("""COMPUTED_VALUE"""),"Europe")</f>
        <v>Europe</v>
      </c>
      <c r="C1782">
        <f>IFERROR(__xludf.DUMMYFUNCTION("""COMPUTED_VALUE"""),31.0)</f>
        <v>31</v>
      </c>
      <c r="D1782" t="str">
        <f>IFERROR(__xludf.DUMMYFUNCTION("""COMPUTED_VALUE"""),"Gazozial")</f>
        <v>Gazozial</v>
      </c>
      <c r="E1782" t="str">
        <f>IFERROR(__xludf.DUMMYFUNCTION("""COMPUTED_VALUE"""),"Gzuz")</f>
        <v>Gzuz</v>
      </c>
      <c r="F1782" t="str">
        <f>IFERROR(__xludf.DUMMYFUNCTION("""COMPUTED_VALUE"""),"Gzuz")</f>
        <v>Gzuz</v>
      </c>
      <c r="G1782">
        <f>IFERROR(__xludf.DUMMYFUNCTION("""COMPUTED_VALUE"""),1.0)</f>
        <v>1</v>
      </c>
      <c r="H1782" s="5">
        <f>IFERROR(__xludf.DUMMYFUNCTION("""COMPUTED_VALUE"""),0.10972222222335404)</f>
        <v>0.1097222222</v>
      </c>
    </row>
    <row r="1783">
      <c r="A1783" t="str">
        <f>IFERROR(__xludf.DUMMYFUNCTION("""COMPUTED_VALUE"""),"Luxembourg")</f>
        <v>Luxembourg</v>
      </c>
      <c r="B1783" t="str">
        <f>IFERROR(__xludf.DUMMYFUNCTION("""COMPUTED_VALUE"""),"Europe")</f>
        <v>Europe</v>
      </c>
      <c r="C1783">
        <f>IFERROR(__xludf.DUMMYFUNCTION("""COMPUTED_VALUE"""),32.0)</f>
        <v>32</v>
      </c>
      <c r="D1783" t="str">
        <f>IFERROR(__xludf.DUMMYFUNCTION("""COMPUTED_VALUE"""),"Someone You Loved")</f>
        <v>Someone You Loved</v>
      </c>
      <c r="E1783" t="str">
        <f>IFERROR(__xludf.DUMMYFUNCTION("""COMPUTED_VALUE"""),"Lewis Capaldi")</f>
        <v>Lewis Capaldi</v>
      </c>
      <c r="F1783" t="str">
        <f>IFERROR(__xludf.DUMMYFUNCTION("""COMPUTED_VALUE"""),"Divinely Uninspired To A Hellish Extent")</f>
        <v>Divinely Uninspired To A Hellish Extent</v>
      </c>
      <c r="G1783">
        <f>IFERROR(__xludf.DUMMYFUNCTION("""COMPUTED_VALUE"""),0.0)</f>
        <v>0</v>
      </c>
      <c r="H1783" s="5">
        <f>IFERROR(__xludf.DUMMYFUNCTION("""COMPUTED_VALUE"""),0.12638888888977817)</f>
        <v>0.1263888889</v>
      </c>
    </row>
    <row r="1784">
      <c r="A1784" t="str">
        <f>IFERROR(__xludf.DUMMYFUNCTION("""COMPUTED_VALUE"""),"Luxembourg")</f>
        <v>Luxembourg</v>
      </c>
      <c r="B1784" t="str">
        <f>IFERROR(__xludf.DUMMYFUNCTION("""COMPUTED_VALUE"""),"Europe")</f>
        <v>Europe</v>
      </c>
      <c r="C1784">
        <f>IFERROR(__xludf.DUMMYFUNCTION("""COMPUTED_VALUE"""),33.0)</f>
        <v>33</v>
      </c>
      <c r="D1784" t="str">
        <f>IFERROR(__xludf.DUMMYFUNCTION("""COMPUTED_VALUE"""),"Señorita")</f>
        <v>Señorita</v>
      </c>
      <c r="E1784" t="str">
        <f>IFERROR(__xludf.DUMMYFUNCTION("""COMPUTED_VALUE"""),"Shawn Mendes, Camila Cabello")</f>
        <v>Shawn Mendes, Camila Cabello</v>
      </c>
      <c r="F1784" t="str">
        <f>IFERROR(__xludf.DUMMYFUNCTION("""COMPUTED_VALUE"""),"Shawn Mendes (Deluxe)")</f>
        <v>Shawn Mendes (Deluxe)</v>
      </c>
      <c r="G1784">
        <f>IFERROR(__xludf.DUMMYFUNCTION("""COMPUTED_VALUE"""),0.0)</f>
        <v>0</v>
      </c>
      <c r="H1784" s="5">
        <f>IFERROR(__xludf.DUMMYFUNCTION("""COMPUTED_VALUE"""),0.13194444444525288)</f>
        <v>0.1319444444</v>
      </c>
    </row>
    <row r="1785">
      <c r="A1785" t="str">
        <f>IFERROR(__xludf.DUMMYFUNCTION("""COMPUTED_VALUE"""),"Luxembourg")</f>
        <v>Luxembourg</v>
      </c>
      <c r="B1785" t="str">
        <f>IFERROR(__xludf.DUMMYFUNCTION("""COMPUTED_VALUE"""),"Europe")</f>
        <v>Europe</v>
      </c>
      <c r="C1785">
        <f>IFERROR(__xludf.DUMMYFUNCTION("""COMPUTED_VALUE"""),34.0)</f>
        <v>34</v>
      </c>
      <c r="D1785" t="str">
        <f>IFERROR(__xludf.DUMMYFUNCTION("""COMPUTED_VALUE"""),"Adore You")</f>
        <v>Adore You</v>
      </c>
      <c r="E1785" t="str">
        <f>IFERROR(__xludf.DUMMYFUNCTION("""COMPUTED_VALUE"""),"Harry Styles")</f>
        <v>Harry Styles</v>
      </c>
      <c r="F1785" t="str">
        <f>IFERROR(__xludf.DUMMYFUNCTION("""COMPUTED_VALUE"""),"Fine Line")</f>
        <v>Fine Line</v>
      </c>
      <c r="G1785">
        <f>IFERROR(__xludf.DUMMYFUNCTION("""COMPUTED_VALUE"""),0.0)</f>
        <v>0</v>
      </c>
      <c r="H1785" s="5">
        <f>IFERROR(__xludf.DUMMYFUNCTION("""COMPUTED_VALUE"""),0.1437499999992724)</f>
        <v>0.14375</v>
      </c>
    </row>
    <row r="1786">
      <c r="A1786" t="str">
        <f>IFERROR(__xludf.DUMMYFUNCTION("""COMPUTED_VALUE"""),"Luxembourg")</f>
        <v>Luxembourg</v>
      </c>
      <c r="B1786" t="str">
        <f>IFERROR(__xludf.DUMMYFUNCTION("""COMPUTED_VALUE"""),"Europe")</f>
        <v>Europe</v>
      </c>
      <c r="C1786">
        <f>IFERROR(__xludf.DUMMYFUNCTION("""COMPUTED_VALUE"""),35.0)</f>
        <v>35</v>
      </c>
      <c r="D1786" t="str">
        <f>IFERROR(__xludf.DUMMYFUNCTION("""COMPUTED_VALUE"""),"Weiss")</f>
        <v>Weiss</v>
      </c>
      <c r="E1786" t="str">
        <f>IFERROR(__xludf.DUMMYFUNCTION("""COMPUTED_VALUE"""),"Samra")</f>
        <v>Samra</v>
      </c>
      <c r="F1786" t="str">
        <f>IFERROR(__xludf.DUMMYFUNCTION("""COMPUTED_VALUE"""),"Weiss")</f>
        <v>Weiss</v>
      </c>
      <c r="G1786">
        <f>IFERROR(__xludf.DUMMYFUNCTION("""COMPUTED_VALUE"""),0.0)</f>
        <v>0</v>
      </c>
      <c r="H1786" s="5">
        <f>IFERROR(__xludf.DUMMYFUNCTION("""COMPUTED_VALUE"""),0.1124999999992724)</f>
        <v>0.1125</v>
      </c>
    </row>
    <row r="1787">
      <c r="A1787" t="str">
        <f>IFERROR(__xludf.DUMMYFUNCTION("""COMPUTED_VALUE"""),"Luxembourg")</f>
        <v>Luxembourg</v>
      </c>
      <c r="B1787" t="str">
        <f>IFERROR(__xludf.DUMMYFUNCTION("""COMPUTED_VALUE"""),"Europe")</f>
        <v>Europe</v>
      </c>
      <c r="C1787">
        <f>IFERROR(__xludf.DUMMYFUNCTION("""COMPUTED_VALUE"""),36.0)</f>
        <v>36</v>
      </c>
      <c r="D1787" t="str">
        <f>IFERROR(__xludf.DUMMYFUNCTION("""COMPUTED_VALUE"""),"What A Man Gotta Do")</f>
        <v>What A Man Gotta Do</v>
      </c>
      <c r="E1787" t="str">
        <f>IFERROR(__xludf.DUMMYFUNCTION("""COMPUTED_VALUE"""),"Jonas Brothers")</f>
        <v>Jonas Brothers</v>
      </c>
      <c r="F1787" t="str">
        <f>IFERROR(__xludf.DUMMYFUNCTION("""COMPUTED_VALUE"""),"What A Man Gotta Do")</f>
        <v>What A Man Gotta Do</v>
      </c>
      <c r="G1787">
        <f>IFERROR(__xludf.DUMMYFUNCTION("""COMPUTED_VALUE"""),0.0)</f>
        <v>0</v>
      </c>
      <c r="H1787" s="5">
        <f>IFERROR(__xludf.DUMMYFUNCTION("""COMPUTED_VALUE"""),0.125)</f>
        <v>0.125</v>
      </c>
    </row>
    <row r="1788">
      <c r="A1788" t="str">
        <f>IFERROR(__xludf.DUMMYFUNCTION("""COMPUTED_VALUE"""),"Luxembourg")</f>
        <v>Luxembourg</v>
      </c>
      <c r="B1788" t="str">
        <f>IFERROR(__xludf.DUMMYFUNCTION("""COMPUTED_VALUE"""),"Europe")</f>
        <v>Europe</v>
      </c>
      <c r="C1788">
        <f>IFERROR(__xludf.DUMMYFUNCTION("""COMPUTED_VALUE"""),37.0)</f>
        <v>37</v>
      </c>
      <c r="D1788" t="str">
        <f>IFERROR(__xludf.DUMMYFUNCTION("""COMPUTED_VALUE"""),"Suicidal")</f>
        <v>Suicidal</v>
      </c>
      <c r="E1788" t="str">
        <f>IFERROR(__xludf.DUMMYFUNCTION("""COMPUTED_VALUE"""),"YNW Melly")</f>
        <v>YNW Melly</v>
      </c>
      <c r="F1788" t="str">
        <f>IFERROR(__xludf.DUMMYFUNCTION("""COMPUTED_VALUE"""),"Melly vs. Melvin")</f>
        <v>Melly vs. Melvin</v>
      </c>
      <c r="G1788">
        <f>IFERROR(__xludf.DUMMYFUNCTION("""COMPUTED_VALUE"""),1.0)</f>
        <v>1</v>
      </c>
      <c r="H1788" s="5">
        <f>IFERROR(__xludf.DUMMYFUNCTION("""COMPUTED_VALUE"""),0.15416666666715173)</f>
        <v>0.1541666667</v>
      </c>
    </row>
    <row r="1789">
      <c r="A1789" t="str">
        <f>IFERROR(__xludf.DUMMYFUNCTION("""COMPUTED_VALUE"""),"Luxembourg")</f>
        <v>Luxembourg</v>
      </c>
      <c r="B1789" t="str">
        <f>IFERROR(__xludf.DUMMYFUNCTION("""COMPUTED_VALUE"""),"Europe")</f>
        <v>Europe</v>
      </c>
      <c r="C1789">
        <f>IFERROR(__xludf.DUMMYFUNCTION("""COMPUTED_VALUE"""),38.0)</f>
        <v>38</v>
      </c>
      <c r="D1789" t="str">
        <f>IFERROR(__xludf.DUMMYFUNCTION("""COMPUTED_VALUE"""),"My Oh My (feat. DaBaby)")</f>
        <v>My Oh My (feat. DaBaby)</v>
      </c>
      <c r="E1789" t="str">
        <f>IFERROR(__xludf.DUMMYFUNCTION("""COMPUTED_VALUE"""),"Camila Cabello, DaBaby")</f>
        <v>Camila Cabello, DaBaby</v>
      </c>
      <c r="F1789" t="str">
        <f>IFERROR(__xludf.DUMMYFUNCTION("""COMPUTED_VALUE"""),"Romance")</f>
        <v>Romance</v>
      </c>
      <c r="G1789">
        <f>IFERROR(__xludf.DUMMYFUNCTION("""COMPUTED_VALUE"""),0.0)</f>
        <v>0</v>
      </c>
      <c r="H1789" s="5">
        <f>IFERROR(__xludf.DUMMYFUNCTION("""COMPUTED_VALUE"""),0.11805555555474712)</f>
        <v>0.1180555556</v>
      </c>
    </row>
    <row r="1790">
      <c r="A1790" t="str">
        <f>IFERROR(__xludf.DUMMYFUNCTION("""COMPUTED_VALUE"""),"Luxembourg")</f>
        <v>Luxembourg</v>
      </c>
      <c r="B1790" t="str">
        <f>IFERROR(__xludf.DUMMYFUNCTION("""COMPUTED_VALUE"""),"Europe")</f>
        <v>Europe</v>
      </c>
      <c r="C1790">
        <f>IFERROR(__xludf.DUMMYFUNCTION("""COMPUTED_VALUE"""),39.0)</f>
        <v>39</v>
      </c>
      <c r="D1790" t="str">
        <f>IFERROR(__xludf.DUMMYFUNCTION("""COMPUTED_VALUE"""),"Loco")</f>
        <v>Loco</v>
      </c>
      <c r="E1790" t="str">
        <f>IFERROR(__xludf.DUMMYFUNCTION("""COMPUTED_VALUE"""),"Gzuz")</f>
        <v>Gzuz</v>
      </c>
      <c r="F1790" t="str">
        <f>IFERROR(__xludf.DUMMYFUNCTION("""COMPUTED_VALUE"""),"Gzuz")</f>
        <v>Gzuz</v>
      </c>
      <c r="G1790">
        <f>IFERROR(__xludf.DUMMYFUNCTION("""COMPUTED_VALUE"""),1.0)</f>
        <v>1</v>
      </c>
      <c r="H1790" s="5">
        <f>IFERROR(__xludf.DUMMYFUNCTION("""COMPUTED_VALUE"""),0.10277777777810115)</f>
        <v>0.1027777778</v>
      </c>
    </row>
    <row r="1791">
      <c r="A1791" t="str">
        <f>IFERROR(__xludf.DUMMYFUNCTION("""COMPUTED_VALUE"""),"Luxembourg")</f>
        <v>Luxembourg</v>
      </c>
      <c r="B1791" t="str">
        <f>IFERROR(__xludf.DUMMYFUNCTION("""COMPUTED_VALUE"""),"Europe")</f>
        <v>Europe</v>
      </c>
      <c r="C1791">
        <f>IFERROR(__xludf.DUMMYFUNCTION("""COMPUTED_VALUE"""),40.0)</f>
        <v>40</v>
      </c>
      <c r="D1791" t="str">
        <f>IFERROR(__xludf.DUMMYFUNCTION("""COMPUTED_VALUE"""),"Say So")</f>
        <v>Say So</v>
      </c>
      <c r="E1791" t="str">
        <f>IFERROR(__xludf.DUMMYFUNCTION("""COMPUTED_VALUE"""),"Doja Cat")</f>
        <v>Doja Cat</v>
      </c>
      <c r="F1791" t="str">
        <f>IFERROR(__xludf.DUMMYFUNCTION("""COMPUTED_VALUE"""),"Hot Pink")</f>
        <v>Hot Pink</v>
      </c>
      <c r="G1791">
        <f>IFERROR(__xludf.DUMMYFUNCTION("""COMPUTED_VALUE"""),1.0)</f>
        <v>1</v>
      </c>
      <c r="H1791" s="5">
        <f>IFERROR(__xludf.DUMMYFUNCTION("""COMPUTED_VALUE"""),0.16458333333503106)</f>
        <v>0.1645833333</v>
      </c>
    </row>
    <row r="1792">
      <c r="A1792" t="str">
        <f>IFERROR(__xludf.DUMMYFUNCTION("""COMPUTED_VALUE"""),"Luxembourg")</f>
        <v>Luxembourg</v>
      </c>
      <c r="B1792" t="str">
        <f>IFERROR(__xludf.DUMMYFUNCTION("""COMPUTED_VALUE"""),"Europe")</f>
        <v>Europe</v>
      </c>
      <c r="C1792">
        <f>IFERROR(__xludf.DUMMYFUNCTION("""COMPUTED_VALUE"""),41.0)</f>
        <v>41</v>
      </c>
      <c r="D1792" t="str">
        <f>IFERROR(__xludf.DUMMYFUNCTION("""COMPUTED_VALUE"""),"Ausgezahlt")</f>
        <v>Ausgezahlt</v>
      </c>
      <c r="E1792" t="str">
        <f>IFERROR(__xludf.DUMMYFUNCTION("""COMPUTED_VALUE"""),"Gzuz, RAF Camora")</f>
        <v>Gzuz, RAF Camora</v>
      </c>
      <c r="F1792" t="str">
        <f>IFERROR(__xludf.DUMMYFUNCTION("""COMPUTED_VALUE"""),"Gzuz")</f>
        <v>Gzuz</v>
      </c>
      <c r="G1792">
        <f>IFERROR(__xludf.DUMMYFUNCTION("""COMPUTED_VALUE"""),1.0)</f>
        <v>1</v>
      </c>
      <c r="H1792" s="5">
        <f>IFERROR(__xludf.DUMMYFUNCTION("""COMPUTED_VALUE"""),0.10972222222335404)</f>
        <v>0.1097222222</v>
      </c>
    </row>
    <row r="1793">
      <c r="A1793" t="str">
        <f>IFERROR(__xludf.DUMMYFUNCTION("""COMPUTED_VALUE"""),"Luxembourg")</f>
        <v>Luxembourg</v>
      </c>
      <c r="B1793" t="str">
        <f>IFERROR(__xludf.DUMMYFUNCTION("""COMPUTED_VALUE"""),"Europe")</f>
        <v>Europe</v>
      </c>
      <c r="C1793">
        <f>IFERROR(__xludf.DUMMYFUNCTION("""COMPUTED_VALUE"""),42.0)</f>
        <v>42</v>
      </c>
      <c r="D1793" t="str">
        <f>IFERROR(__xludf.DUMMYFUNCTION("""COMPUTED_VALUE"""),"Was hat es gebracht")</f>
        <v>Was hat es gebracht</v>
      </c>
      <c r="E1793" t="str">
        <f>IFERROR(__xludf.DUMMYFUNCTION("""COMPUTED_VALUE"""),"Gzuz")</f>
        <v>Gzuz</v>
      </c>
      <c r="F1793" t="str">
        <f>IFERROR(__xludf.DUMMYFUNCTION("""COMPUTED_VALUE"""),"Gzuz")</f>
        <v>Gzuz</v>
      </c>
      <c r="G1793">
        <f>IFERROR(__xludf.DUMMYFUNCTION("""COMPUTED_VALUE"""),1.0)</f>
        <v>1</v>
      </c>
      <c r="H1793" s="5">
        <f>IFERROR(__xludf.DUMMYFUNCTION("""COMPUTED_VALUE"""),0.1062500000007276)</f>
        <v>0.10625</v>
      </c>
    </row>
    <row r="1794">
      <c r="A1794" t="str">
        <f>IFERROR(__xludf.DUMMYFUNCTION("""COMPUTED_VALUE"""),"Luxembourg")</f>
        <v>Luxembourg</v>
      </c>
      <c r="B1794" t="str">
        <f>IFERROR(__xludf.DUMMYFUNCTION("""COMPUTED_VALUE"""),"Europe")</f>
        <v>Europe</v>
      </c>
      <c r="C1794">
        <f>IFERROR(__xludf.DUMMYFUNCTION("""COMPUTED_VALUE"""),43.0)</f>
        <v>43</v>
      </c>
      <c r="D1794" t="str">
        <f>IFERROR(__xludf.DUMMYFUNCTION("""COMPUTED_VALUE"""),"AMEX BLACK")</f>
        <v>AMEX BLACK</v>
      </c>
      <c r="E1794" t="str">
        <f>IFERROR(__xludf.DUMMYFUNCTION("""COMPUTED_VALUE"""),"Joker Bra")</f>
        <v>Joker Bra</v>
      </c>
      <c r="F1794" t="str">
        <f>IFERROR(__xludf.DUMMYFUNCTION("""COMPUTED_VALUE"""),"AMEX BLACK")</f>
        <v>AMEX BLACK</v>
      </c>
      <c r="G1794">
        <f>IFERROR(__xludf.DUMMYFUNCTION("""COMPUTED_VALUE"""),1.0)</f>
        <v>1</v>
      </c>
      <c r="H1794" s="5">
        <f>IFERROR(__xludf.DUMMYFUNCTION("""COMPUTED_VALUE"""),0.12083333333430346)</f>
        <v>0.1208333333</v>
      </c>
    </row>
    <row r="1795">
      <c r="A1795" t="str">
        <f>IFERROR(__xludf.DUMMYFUNCTION("""COMPUTED_VALUE"""),"Luxembourg")</f>
        <v>Luxembourg</v>
      </c>
      <c r="B1795" t="str">
        <f>IFERROR(__xludf.DUMMYFUNCTION("""COMPUTED_VALUE"""),"Europe")</f>
        <v>Europe</v>
      </c>
      <c r="C1795">
        <f>IFERROR(__xludf.DUMMYFUNCTION("""COMPUTED_VALUE"""),44.0)</f>
        <v>44</v>
      </c>
      <c r="D1795" t="str">
        <f>IFERROR(__xludf.DUMMYFUNCTION("""COMPUTED_VALUE"""),"Physical")</f>
        <v>Physical</v>
      </c>
      <c r="E1795" t="str">
        <f>IFERROR(__xludf.DUMMYFUNCTION("""COMPUTED_VALUE"""),"Dua Lipa")</f>
        <v>Dua Lipa</v>
      </c>
      <c r="F1795" t="str">
        <f>IFERROR(__xludf.DUMMYFUNCTION("""COMPUTED_VALUE"""),"Physical")</f>
        <v>Physical</v>
      </c>
      <c r="G1795">
        <f>IFERROR(__xludf.DUMMYFUNCTION("""COMPUTED_VALUE"""),0.0)</f>
        <v>0</v>
      </c>
      <c r="H1795" s="5">
        <f>IFERROR(__xludf.DUMMYFUNCTION("""COMPUTED_VALUE"""),0.13402777777810115)</f>
        <v>0.1340277778</v>
      </c>
    </row>
    <row r="1796">
      <c r="A1796" t="str">
        <f>IFERROR(__xludf.DUMMYFUNCTION("""COMPUTED_VALUE"""),"Luxembourg")</f>
        <v>Luxembourg</v>
      </c>
      <c r="B1796" t="str">
        <f>IFERROR(__xludf.DUMMYFUNCTION("""COMPUTED_VALUE"""),"Europe")</f>
        <v>Europe</v>
      </c>
      <c r="C1796">
        <f>IFERROR(__xludf.DUMMYFUNCTION("""COMPUTED_VALUE"""),45.0)</f>
        <v>45</v>
      </c>
      <c r="D1796" t="str">
        <f>IFERROR(__xludf.DUMMYFUNCTION("""COMPUTED_VALUE"""),"Trampoline (with ZAYN)")</f>
        <v>Trampoline (with ZAYN)</v>
      </c>
      <c r="E1796" t="str">
        <f>IFERROR(__xludf.DUMMYFUNCTION("""COMPUTED_VALUE"""),"SHAED, ZAYN")</f>
        <v>SHAED, ZAYN</v>
      </c>
      <c r="F1796" t="str">
        <f>IFERROR(__xludf.DUMMYFUNCTION("""COMPUTED_VALUE"""),"Melt (Deluxe)")</f>
        <v>Melt (Deluxe)</v>
      </c>
      <c r="G1796">
        <f>IFERROR(__xludf.DUMMYFUNCTION("""COMPUTED_VALUE"""),0.0)</f>
        <v>0</v>
      </c>
      <c r="H1796" s="5">
        <f>IFERROR(__xludf.DUMMYFUNCTION("""COMPUTED_VALUE"""),0.12777777777955635)</f>
        <v>0.1277777778</v>
      </c>
    </row>
    <row r="1797">
      <c r="A1797" t="str">
        <f>IFERROR(__xludf.DUMMYFUNCTION("""COMPUTED_VALUE"""),"Luxembourg")</f>
        <v>Luxembourg</v>
      </c>
      <c r="B1797" t="str">
        <f>IFERROR(__xludf.DUMMYFUNCTION("""COMPUTED_VALUE"""),"Europe")</f>
        <v>Europe</v>
      </c>
      <c r="C1797">
        <f>IFERROR(__xludf.DUMMYFUNCTION("""COMPUTED_VALUE"""),46.0)</f>
        <v>46</v>
      </c>
      <c r="D1797" t="str">
        <f>IFERROR(__xludf.DUMMYFUNCTION("""COMPUTED_VALUE"""),"hot girl bummer")</f>
        <v>hot girl bummer</v>
      </c>
      <c r="E1797" t="str">
        <f>IFERROR(__xludf.DUMMYFUNCTION("""COMPUTED_VALUE"""),"blackbear")</f>
        <v>blackbear</v>
      </c>
      <c r="F1797" t="str">
        <f>IFERROR(__xludf.DUMMYFUNCTION("""COMPUTED_VALUE"""),"hot girl bummer")</f>
        <v>hot girl bummer</v>
      </c>
      <c r="G1797">
        <f>IFERROR(__xludf.DUMMYFUNCTION("""COMPUTED_VALUE"""),1.0)</f>
        <v>1</v>
      </c>
      <c r="H1797" s="5">
        <f>IFERROR(__xludf.DUMMYFUNCTION("""COMPUTED_VALUE"""),0.12847222222262644)</f>
        <v>0.1284722222</v>
      </c>
    </row>
    <row r="1798">
      <c r="A1798" t="str">
        <f>IFERROR(__xludf.DUMMYFUNCTION("""COMPUTED_VALUE"""),"Luxembourg")</f>
        <v>Luxembourg</v>
      </c>
      <c r="B1798" t="str">
        <f>IFERROR(__xludf.DUMMYFUNCTION("""COMPUTED_VALUE"""),"Europe")</f>
        <v>Europe</v>
      </c>
      <c r="C1798">
        <f>IFERROR(__xludf.DUMMYFUNCTION("""COMPUTED_VALUE"""),47.0)</f>
        <v>47</v>
      </c>
      <c r="D1798" t="str">
        <f>IFERROR(__xludf.DUMMYFUNCTION("""COMPUTED_VALUE"""),"Baianá")</f>
        <v>Baianá</v>
      </c>
      <c r="E1798" t="str">
        <f>IFERROR(__xludf.DUMMYFUNCTION("""COMPUTED_VALUE"""),"Bakermat")</f>
        <v>Bakermat</v>
      </c>
      <c r="F1798" t="str">
        <f>IFERROR(__xludf.DUMMYFUNCTION("""COMPUTED_VALUE"""),"Baianá")</f>
        <v>Baianá</v>
      </c>
      <c r="G1798">
        <f>IFERROR(__xludf.DUMMYFUNCTION("""COMPUTED_VALUE"""),0.0)</f>
        <v>0</v>
      </c>
      <c r="H1798" s="5">
        <f>IFERROR(__xludf.DUMMYFUNCTION("""COMPUTED_VALUE"""),0.12638888888977817)</f>
        <v>0.1263888889</v>
      </c>
    </row>
    <row r="1799">
      <c r="A1799" t="str">
        <f>IFERROR(__xludf.DUMMYFUNCTION("""COMPUTED_VALUE"""),"Luxembourg")</f>
        <v>Luxembourg</v>
      </c>
      <c r="B1799" t="str">
        <f>IFERROR(__xludf.DUMMYFUNCTION("""COMPUTED_VALUE"""),"Europe")</f>
        <v>Europe</v>
      </c>
      <c r="C1799">
        <f>IFERROR(__xludf.DUMMYFUNCTION("""COMPUTED_VALUE"""),48.0)</f>
        <v>48</v>
      </c>
      <c r="D1799" t="str">
        <f>IFERROR(__xludf.DUMMYFUNCTION("""COMPUTED_VALUE"""),"Know Your Worth")</f>
        <v>Know Your Worth</v>
      </c>
      <c r="E1799" t="str">
        <f>IFERROR(__xludf.DUMMYFUNCTION("""COMPUTED_VALUE"""),"Khalid, Disclosure")</f>
        <v>Khalid, Disclosure</v>
      </c>
      <c r="F1799" t="str">
        <f>IFERROR(__xludf.DUMMYFUNCTION("""COMPUTED_VALUE"""),"Know Your Worth")</f>
        <v>Know Your Worth</v>
      </c>
      <c r="G1799">
        <f>IFERROR(__xludf.DUMMYFUNCTION("""COMPUTED_VALUE"""),0.0)</f>
        <v>0</v>
      </c>
      <c r="H1799" s="5">
        <f>IFERROR(__xludf.DUMMYFUNCTION("""COMPUTED_VALUE"""),0.1256944444430701)</f>
        <v>0.1256944444</v>
      </c>
    </row>
    <row r="1800">
      <c r="A1800" t="str">
        <f>IFERROR(__xludf.DUMMYFUNCTION("""COMPUTED_VALUE"""),"Luxembourg")</f>
        <v>Luxembourg</v>
      </c>
      <c r="B1800" t="str">
        <f>IFERROR(__xludf.DUMMYFUNCTION("""COMPUTED_VALUE"""),"Europe")</f>
        <v>Europe</v>
      </c>
      <c r="C1800">
        <f>IFERROR(__xludf.DUMMYFUNCTION("""COMPUTED_VALUE"""),49.0)</f>
        <v>49</v>
      </c>
      <c r="D1800" t="str">
        <f>IFERROR(__xludf.DUMMYFUNCTION("""COMPUTED_VALUE"""),"Kopfnüsse")</f>
        <v>Kopfnüsse</v>
      </c>
      <c r="E1800" t="str">
        <f>IFERROR(__xludf.DUMMYFUNCTION("""COMPUTED_VALUE"""),"Gzuz")</f>
        <v>Gzuz</v>
      </c>
      <c r="F1800" t="str">
        <f>IFERROR(__xludf.DUMMYFUNCTION("""COMPUTED_VALUE"""),"Gzuz")</f>
        <v>Gzuz</v>
      </c>
      <c r="G1800">
        <f>IFERROR(__xludf.DUMMYFUNCTION("""COMPUTED_VALUE"""),1.0)</f>
        <v>1</v>
      </c>
      <c r="H1800" s="5">
        <f>IFERROR(__xludf.DUMMYFUNCTION("""COMPUTED_VALUE"""),0.10555555555401952)</f>
        <v>0.1055555556</v>
      </c>
    </row>
    <row r="1801">
      <c r="A1801" t="str">
        <f>IFERROR(__xludf.DUMMYFUNCTION("""COMPUTED_VALUE"""),"Luxembourg")</f>
        <v>Luxembourg</v>
      </c>
      <c r="B1801" t="str">
        <f>IFERROR(__xludf.DUMMYFUNCTION("""COMPUTED_VALUE"""),"Europe")</f>
        <v>Europe</v>
      </c>
      <c r="C1801">
        <f>IFERROR(__xludf.DUMMYFUNCTION("""COMPUTED_VALUE"""),50.0)</f>
        <v>50</v>
      </c>
      <c r="D1801" t="str">
        <f>IFERROR(__xludf.DUMMYFUNCTION("""COMPUTED_VALUE"""),"Nie erwartet")</f>
        <v>Nie erwartet</v>
      </c>
      <c r="E1801" t="str">
        <f>IFERROR(__xludf.DUMMYFUNCTION("""COMPUTED_VALUE"""),"Gzuz")</f>
        <v>Gzuz</v>
      </c>
      <c r="F1801" t="str">
        <f>IFERROR(__xludf.DUMMYFUNCTION("""COMPUTED_VALUE"""),"Gzuz")</f>
        <v>Gzuz</v>
      </c>
      <c r="G1801">
        <f>IFERROR(__xludf.DUMMYFUNCTION("""COMPUTED_VALUE"""),1.0)</f>
        <v>1</v>
      </c>
      <c r="H1801" s="5">
        <f>IFERROR(__xludf.DUMMYFUNCTION("""COMPUTED_VALUE"""),0.11041666666642413)</f>
        <v>0.1104166667</v>
      </c>
    </row>
    <row r="1802">
      <c r="A1802" t="str">
        <f>IFERROR(__xludf.DUMMYFUNCTION("""COMPUTED_VALUE"""),"Malaysia")</f>
        <v>Malaysia</v>
      </c>
      <c r="B1802" t="str">
        <f>IFERROR(__xludf.DUMMYFUNCTION("""COMPUTED_VALUE"""),"Asia")</f>
        <v>Asia</v>
      </c>
      <c r="C1802">
        <f>IFERROR(__xludf.DUMMYFUNCTION("""COMPUTED_VALUE"""),1.0)</f>
        <v>1</v>
      </c>
      <c r="D1802" t="str">
        <f>IFERROR(__xludf.DUMMYFUNCTION("""COMPUTED_VALUE"""),"Suasana Di Hari Raya")</f>
        <v>Suasana Di Hari Raya</v>
      </c>
      <c r="E1802" t="str">
        <f>IFERROR(__xludf.DUMMYFUNCTION("""COMPUTED_VALUE"""),"Anuar &amp; Ellina")</f>
        <v>Anuar &amp; Ellina</v>
      </c>
      <c r="F1802" t="str">
        <f>IFERROR(__xludf.DUMMYFUNCTION("""COMPUTED_VALUE"""),"Suasana Di Hari Raya")</f>
        <v>Suasana Di Hari Raya</v>
      </c>
      <c r="G1802">
        <f>IFERROR(__xludf.DUMMYFUNCTION("""COMPUTED_VALUE"""),0.0)</f>
        <v>0</v>
      </c>
      <c r="H1802" s="5">
        <f>IFERROR(__xludf.DUMMYFUNCTION("""COMPUTED_VALUE"""),0.13541666666787933)</f>
        <v>0.1354166667</v>
      </c>
    </row>
    <row r="1803">
      <c r="A1803" t="str">
        <f>IFERROR(__xludf.DUMMYFUNCTION("""COMPUTED_VALUE"""),"Malaysia")</f>
        <v>Malaysia</v>
      </c>
      <c r="B1803" t="str">
        <f>IFERROR(__xludf.DUMMYFUNCTION("""COMPUTED_VALUE"""),"Asia")</f>
        <v>Asia</v>
      </c>
      <c r="C1803">
        <f>IFERROR(__xludf.DUMMYFUNCTION("""COMPUTED_VALUE"""),2.0)</f>
        <v>2</v>
      </c>
      <c r="D1803" t="str">
        <f>IFERROR(__xludf.DUMMYFUNCTION("""COMPUTED_VALUE"""),"Seloka Hari Raya")</f>
        <v>Seloka Hari Raya</v>
      </c>
      <c r="E1803" t="str">
        <f>IFERROR(__xludf.DUMMYFUNCTION("""COMPUTED_VALUE"""),"Uji Rashid, Hail Amir")</f>
        <v>Uji Rashid, Hail Amir</v>
      </c>
      <c r="F1803" t="str">
        <f>IFERROR(__xludf.DUMMYFUNCTION("""COMPUTED_VALUE"""),"Siri Bintang Pujaan")</f>
        <v>Siri Bintang Pujaan</v>
      </c>
      <c r="G1803">
        <f>IFERROR(__xludf.DUMMYFUNCTION("""COMPUTED_VALUE"""),0.0)</f>
        <v>0</v>
      </c>
      <c r="H1803" s="5">
        <f>IFERROR(__xludf.DUMMYFUNCTION("""COMPUTED_VALUE"""),0.12361111111022183)</f>
        <v>0.1236111111</v>
      </c>
    </row>
    <row r="1804">
      <c r="A1804" t="str">
        <f>IFERROR(__xludf.DUMMYFUNCTION("""COMPUTED_VALUE"""),"Malaysia")</f>
        <v>Malaysia</v>
      </c>
      <c r="B1804" t="str">
        <f>IFERROR(__xludf.DUMMYFUNCTION("""COMPUTED_VALUE"""),"Asia")</f>
        <v>Asia</v>
      </c>
      <c r="C1804">
        <f>IFERROR(__xludf.DUMMYFUNCTION("""COMPUTED_VALUE"""),3.0)</f>
        <v>3</v>
      </c>
      <c r="D1804" t="str">
        <f>IFERROR(__xludf.DUMMYFUNCTION("""COMPUTED_VALUE"""),"Suasana Hari Raya")</f>
        <v>Suasana Hari Raya</v>
      </c>
      <c r="E1804" t="str">
        <f>IFERROR(__xludf.DUMMYFUNCTION("""COMPUTED_VALUE"""),"Datuk Sharifah Aini")</f>
        <v>Datuk Sharifah Aini</v>
      </c>
      <c r="F1804" t="str">
        <f>IFERROR(__xludf.DUMMYFUNCTION("""COMPUTED_VALUE"""),"Syawal 1424")</f>
        <v>Syawal 1424</v>
      </c>
      <c r="G1804">
        <f>IFERROR(__xludf.DUMMYFUNCTION("""COMPUTED_VALUE"""),0.0)</f>
        <v>0</v>
      </c>
      <c r="H1804" s="5">
        <f>IFERROR(__xludf.DUMMYFUNCTION("""COMPUTED_VALUE"""),0.09861111111240461)</f>
        <v>0.09861111111</v>
      </c>
    </row>
    <row r="1805">
      <c r="A1805" t="str">
        <f>IFERROR(__xludf.DUMMYFUNCTION("""COMPUTED_VALUE"""),"Malaysia")</f>
        <v>Malaysia</v>
      </c>
      <c r="B1805" t="str">
        <f>IFERROR(__xludf.DUMMYFUNCTION("""COMPUTED_VALUE"""),"Asia")</f>
        <v>Asia</v>
      </c>
      <c r="C1805">
        <f>IFERROR(__xludf.DUMMYFUNCTION("""COMPUTED_VALUE"""),4.0)</f>
        <v>4</v>
      </c>
      <c r="D1805" t="str">
        <f>IFERROR(__xludf.DUMMYFUNCTION("""COMPUTED_VALUE"""),"Selamat Berhari Raya")</f>
        <v>Selamat Berhari Raya</v>
      </c>
      <c r="E1805" t="str">
        <f>IFERROR(__xludf.DUMMYFUNCTION("""COMPUTED_VALUE"""),"Rahimah Rahim")</f>
        <v>Rahimah Rahim</v>
      </c>
      <c r="F1805" t="str">
        <f>IFERROR(__xludf.DUMMYFUNCTION("""COMPUTED_VALUE"""),"Selamat Berhari Raya")</f>
        <v>Selamat Berhari Raya</v>
      </c>
      <c r="G1805">
        <f>IFERROR(__xludf.DUMMYFUNCTION("""COMPUTED_VALUE"""),0.0)</f>
        <v>0</v>
      </c>
      <c r="H1805" s="5">
        <f>IFERROR(__xludf.DUMMYFUNCTION("""COMPUTED_VALUE"""),0.14652777777882875)</f>
        <v>0.1465277778</v>
      </c>
    </row>
    <row r="1806">
      <c r="A1806" t="str">
        <f>IFERROR(__xludf.DUMMYFUNCTION("""COMPUTED_VALUE"""),"Malaysia")</f>
        <v>Malaysia</v>
      </c>
      <c r="B1806" t="str">
        <f>IFERROR(__xludf.DUMMYFUNCTION("""COMPUTED_VALUE"""),"Asia")</f>
        <v>Asia</v>
      </c>
      <c r="C1806">
        <f>IFERROR(__xludf.DUMMYFUNCTION("""COMPUTED_VALUE"""),5.0)</f>
        <v>5</v>
      </c>
      <c r="D1806" t="str">
        <f>IFERROR(__xludf.DUMMYFUNCTION("""COMPUTED_VALUE"""),"Selamat Hari Raya")</f>
        <v>Selamat Hari Raya</v>
      </c>
      <c r="E1806" t="str">
        <f>IFERROR(__xludf.DUMMYFUNCTION("""COMPUTED_VALUE"""),"Puan Sri Saloma")</f>
        <v>Puan Sri Saloma</v>
      </c>
      <c r="F1806" t="str">
        <f>IFERROR(__xludf.DUMMYFUNCTION("""COMPUTED_VALUE"""),"Selamat Hari Raya")</f>
        <v>Selamat Hari Raya</v>
      </c>
      <c r="G1806">
        <f>IFERROR(__xludf.DUMMYFUNCTION("""COMPUTED_VALUE"""),0.0)</f>
        <v>0</v>
      </c>
      <c r="H1806" s="5">
        <f>IFERROR(__xludf.DUMMYFUNCTION("""COMPUTED_VALUE"""),0.10902777777664596)</f>
        <v>0.1090277778</v>
      </c>
    </row>
    <row r="1807">
      <c r="A1807" t="str">
        <f>IFERROR(__xludf.DUMMYFUNCTION("""COMPUTED_VALUE"""),"Malaysia")</f>
        <v>Malaysia</v>
      </c>
      <c r="B1807" t="str">
        <f>IFERROR(__xludf.DUMMYFUNCTION("""COMPUTED_VALUE"""),"Asia")</f>
        <v>Asia</v>
      </c>
      <c r="C1807">
        <f>IFERROR(__xludf.DUMMYFUNCTION("""COMPUTED_VALUE"""),6.0)</f>
        <v>6</v>
      </c>
      <c r="D1807" t="str">
        <f>IFERROR(__xludf.DUMMYFUNCTION("""COMPUTED_VALUE"""),"Balik Kampung")</f>
        <v>Balik Kampung</v>
      </c>
      <c r="E1807" t="str">
        <f>IFERROR(__xludf.DUMMYFUNCTION("""COMPUTED_VALUE"""),"Dato' Sudirman")</f>
        <v>Dato' Sudirman</v>
      </c>
      <c r="F1807" t="str">
        <f>IFERROR(__xludf.DUMMYFUNCTION("""COMPUTED_VALUE"""),"Balik Kampung")</f>
        <v>Balik Kampung</v>
      </c>
      <c r="G1807">
        <f>IFERROR(__xludf.DUMMYFUNCTION("""COMPUTED_VALUE"""),0.0)</f>
        <v>0</v>
      </c>
      <c r="H1807" s="5">
        <f>IFERROR(__xludf.DUMMYFUNCTION("""COMPUTED_VALUE"""),0.15138888888759539)</f>
        <v>0.1513888889</v>
      </c>
    </row>
    <row r="1808">
      <c r="A1808" t="str">
        <f>IFERROR(__xludf.DUMMYFUNCTION("""COMPUTED_VALUE"""),"Malaysia")</f>
        <v>Malaysia</v>
      </c>
      <c r="B1808" t="str">
        <f>IFERROR(__xludf.DUMMYFUNCTION("""COMPUTED_VALUE"""),"Asia")</f>
        <v>Asia</v>
      </c>
      <c r="C1808">
        <f>IFERROR(__xludf.DUMMYFUNCTION("""COMPUTED_VALUE"""),7.0)</f>
        <v>7</v>
      </c>
      <c r="D1808" t="str">
        <f>IFERROR(__xludf.DUMMYFUNCTION("""COMPUTED_VALUE"""),"Stuck with U (with Justin Bieber)")</f>
        <v>Stuck with U (with Justin Bieber)</v>
      </c>
      <c r="E1808" t="str">
        <f>IFERROR(__xludf.DUMMYFUNCTION("""COMPUTED_VALUE"""),"Ariana Grande, Justin Bieber")</f>
        <v>Ariana Grande, Justin Bieber</v>
      </c>
      <c r="F1808" t="str">
        <f>IFERROR(__xludf.DUMMYFUNCTION("""COMPUTED_VALUE"""),"Stuck with U")</f>
        <v>Stuck with U</v>
      </c>
      <c r="G1808">
        <f>IFERROR(__xludf.DUMMYFUNCTION("""COMPUTED_VALUE"""),0.0)</f>
        <v>0</v>
      </c>
      <c r="H1808" s="5">
        <f>IFERROR(__xludf.DUMMYFUNCTION("""COMPUTED_VALUE"""),0.15833333333284827)</f>
        <v>0.1583333333</v>
      </c>
    </row>
    <row r="1809">
      <c r="A1809" t="str">
        <f>IFERROR(__xludf.DUMMYFUNCTION("""COMPUTED_VALUE"""),"Malaysia")</f>
        <v>Malaysia</v>
      </c>
      <c r="B1809" t="str">
        <f>IFERROR(__xludf.DUMMYFUNCTION("""COMPUTED_VALUE"""),"Asia")</f>
        <v>Asia</v>
      </c>
      <c r="C1809">
        <f>IFERROR(__xludf.DUMMYFUNCTION("""COMPUTED_VALUE"""),8.0)</f>
        <v>8</v>
      </c>
      <c r="D1809" t="str">
        <f>IFERROR(__xludf.DUMMYFUNCTION("""COMPUTED_VALUE"""),"Sesuci Lebaran")</f>
        <v>Sesuci Lebaran</v>
      </c>
      <c r="E1809" t="str">
        <f>IFERROR(__xludf.DUMMYFUNCTION("""COMPUTED_VALUE"""),"Dato' Sri Siti Nurhaliza")</f>
        <v>Dato' Sri Siti Nurhaliza</v>
      </c>
      <c r="F1809" t="str">
        <f>IFERROR(__xludf.DUMMYFUNCTION("""COMPUTED_VALUE"""),"Anugerah Aidilfitri")</f>
        <v>Anugerah Aidilfitri</v>
      </c>
      <c r="G1809">
        <f>IFERROR(__xludf.DUMMYFUNCTION("""COMPUTED_VALUE"""),0.0)</f>
        <v>0</v>
      </c>
      <c r="H1809" s="5">
        <f>IFERROR(__xludf.DUMMYFUNCTION("""COMPUTED_VALUE"""),0.16597222222117125)</f>
        <v>0.1659722222</v>
      </c>
    </row>
    <row r="1810">
      <c r="A1810" t="str">
        <f>IFERROR(__xludf.DUMMYFUNCTION("""COMPUTED_VALUE"""),"Malaysia")</f>
        <v>Malaysia</v>
      </c>
      <c r="B1810" t="str">
        <f>IFERROR(__xludf.DUMMYFUNCTION("""COMPUTED_VALUE"""),"Asia")</f>
        <v>Asia</v>
      </c>
      <c r="C1810">
        <f>IFERROR(__xludf.DUMMYFUNCTION("""COMPUTED_VALUE"""),9.0)</f>
        <v>9</v>
      </c>
      <c r="D1810" t="str">
        <f>IFERROR(__xludf.DUMMYFUNCTION("""COMPUTED_VALUE"""),"Dari Jauh Kupohon Maaf")</f>
        <v>Dari Jauh Kupohon Maaf</v>
      </c>
      <c r="E1810" t="str">
        <f>IFERROR(__xludf.DUMMYFUNCTION("""COMPUTED_VALUE"""),"Dato' Sudirman")</f>
        <v>Dato' Sudirman</v>
      </c>
      <c r="F1810" t="str">
        <f>IFERROR(__xludf.DUMMYFUNCTION("""COMPUTED_VALUE"""),"Balik Kampung")</f>
        <v>Balik Kampung</v>
      </c>
      <c r="G1810">
        <f>IFERROR(__xludf.DUMMYFUNCTION("""COMPUTED_VALUE"""),0.0)</f>
        <v>0</v>
      </c>
      <c r="H1810" s="5">
        <f>IFERROR(__xludf.DUMMYFUNCTION("""COMPUTED_VALUE"""),0.15902777777955635)</f>
        <v>0.1590277778</v>
      </c>
    </row>
    <row r="1811">
      <c r="A1811" t="str">
        <f>IFERROR(__xludf.DUMMYFUNCTION("""COMPUTED_VALUE"""),"Malaysia")</f>
        <v>Malaysia</v>
      </c>
      <c r="B1811" t="str">
        <f>IFERROR(__xludf.DUMMYFUNCTION("""COMPUTED_VALUE"""),"Asia")</f>
        <v>Asia</v>
      </c>
      <c r="C1811">
        <f>IFERROR(__xludf.DUMMYFUNCTION("""COMPUTED_VALUE"""),10.0)</f>
        <v>10</v>
      </c>
      <c r="D1811" t="str">
        <f>IFERROR(__xludf.DUMMYFUNCTION("""COMPUTED_VALUE"""),"Satu Hari Di Hari Raya")</f>
        <v>Satu Hari Di Hari Raya</v>
      </c>
      <c r="E1811" t="str">
        <f>IFERROR(__xludf.DUMMYFUNCTION("""COMPUTED_VALUE"""),"M. Nasir")</f>
        <v>M. Nasir</v>
      </c>
      <c r="F1811" t="str">
        <f>IFERROR(__xludf.DUMMYFUNCTION("""COMPUTED_VALUE"""),"Satu Hari Di Hari Raya")</f>
        <v>Satu Hari Di Hari Raya</v>
      </c>
      <c r="G1811">
        <f>IFERROR(__xludf.DUMMYFUNCTION("""COMPUTED_VALUE"""),0.0)</f>
        <v>0</v>
      </c>
      <c r="H1811" s="5">
        <f>IFERROR(__xludf.DUMMYFUNCTION("""COMPUTED_VALUE"""),0.14652777777882875)</f>
        <v>0.1465277778</v>
      </c>
    </row>
    <row r="1812">
      <c r="A1812" t="str">
        <f>IFERROR(__xludf.DUMMYFUNCTION("""COMPUTED_VALUE"""),"Malaysia")</f>
        <v>Malaysia</v>
      </c>
      <c r="B1812" t="str">
        <f>IFERROR(__xludf.DUMMYFUNCTION("""COMPUTED_VALUE"""),"Asia")</f>
        <v>Asia</v>
      </c>
      <c r="C1812">
        <f>IFERROR(__xludf.DUMMYFUNCTION("""COMPUTED_VALUE"""),11.0)</f>
        <v>11</v>
      </c>
      <c r="D1812" t="str">
        <f>IFERROR(__xludf.DUMMYFUNCTION("""COMPUTED_VALUE"""),"Selamat Hari Raya")</f>
        <v>Selamat Hari Raya</v>
      </c>
      <c r="E1812" t="str">
        <f>IFERROR(__xludf.DUMMYFUNCTION("""COMPUTED_VALUE"""),"Datuk Ahmad Jais")</f>
        <v>Datuk Ahmad Jais</v>
      </c>
      <c r="F1812" t="str">
        <f>IFERROR(__xludf.DUMMYFUNCTION("""COMPUTED_VALUE"""),"Selamat Hari Raya")</f>
        <v>Selamat Hari Raya</v>
      </c>
      <c r="G1812">
        <f>IFERROR(__xludf.DUMMYFUNCTION("""COMPUTED_VALUE"""),0.0)</f>
        <v>0</v>
      </c>
      <c r="H1812" s="5">
        <f>IFERROR(__xludf.DUMMYFUNCTION("""COMPUTED_VALUE"""),0.10555555555401952)</f>
        <v>0.1055555556</v>
      </c>
    </row>
    <row r="1813">
      <c r="A1813" t="str">
        <f>IFERROR(__xludf.DUMMYFUNCTION("""COMPUTED_VALUE"""),"Malaysia")</f>
        <v>Malaysia</v>
      </c>
      <c r="B1813" t="str">
        <f>IFERROR(__xludf.DUMMYFUNCTION("""COMPUTED_VALUE"""),"Asia")</f>
        <v>Asia</v>
      </c>
      <c r="C1813">
        <f>IFERROR(__xludf.DUMMYFUNCTION("""COMPUTED_VALUE"""),12.0)</f>
        <v>12</v>
      </c>
      <c r="D1813" t="str">
        <f>IFERROR(__xludf.DUMMYFUNCTION("""COMPUTED_VALUE"""),"Menjelang Hari Raya")</f>
        <v>Menjelang Hari Raya</v>
      </c>
      <c r="E1813" t="str">
        <f>IFERROR(__xludf.DUMMYFUNCTION("""COMPUTED_VALUE"""),"Dato' DJ Dave")</f>
        <v>Dato' DJ Dave</v>
      </c>
      <c r="F1813" t="str">
        <f>IFERROR(__xludf.DUMMYFUNCTION("""COMPUTED_VALUE"""),"Siri Bintang Pujaan")</f>
        <v>Siri Bintang Pujaan</v>
      </c>
      <c r="G1813">
        <f>IFERROR(__xludf.DUMMYFUNCTION("""COMPUTED_VALUE"""),0.0)</f>
        <v>0</v>
      </c>
      <c r="H1813" s="5">
        <f>IFERROR(__xludf.DUMMYFUNCTION("""COMPUTED_VALUE"""),0.13472222222117125)</f>
        <v>0.1347222222</v>
      </c>
    </row>
    <row r="1814">
      <c r="A1814" t="str">
        <f>IFERROR(__xludf.DUMMYFUNCTION("""COMPUTED_VALUE"""),"Malaysia")</f>
        <v>Malaysia</v>
      </c>
      <c r="B1814" t="str">
        <f>IFERROR(__xludf.DUMMYFUNCTION("""COMPUTED_VALUE"""),"Asia")</f>
        <v>Asia</v>
      </c>
      <c r="C1814">
        <f>IFERROR(__xludf.DUMMYFUNCTION("""COMPUTED_VALUE"""),13.0)</f>
        <v>13</v>
      </c>
      <c r="D1814" t="str">
        <f>IFERROR(__xludf.DUMMYFUNCTION("""COMPUTED_VALUE"""),"Pulang Di Hari Raya")</f>
        <v>Pulang Di Hari Raya</v>
      </c>
      <c r="E1814" t="str">
        <f>IFERROR(__xludf.DUMMYFUNCTION("""COMPUTED_VALUE"""),"Noorkumalasari")</f>
        <v>Noorkumalasari</v>
      </c>
      <c r="F1814" t="str">
        <f>IFERROR(__xludf.DUMMYFUNCTION("""COMPUTED_VALUE"""),"Siri Bintang Pujaan")</f>
        <v>Siri Bintang Pujaan</v>
      </c>
      <c r="G1814">
        <f>IFERROR(__xludf.DUMMYFUNCTION("""COMPUTED_VALUE"""),0.0)</f>
        <v>0</v>
      </c>
      <c r="H1814" s="5">
        <f>IFERROR(__xludf.DUMMYFUNCTION("""COMPUTED_VALUE"""),0.11944444444452529)</f>
        <v>0.1194444444</v>
      </c>
    </row>
    <row r="1815">
      <c r="A1815" t="str">
        <f>IFERROR(__xludf.DUMMYFUNCTION("""COMPUTED_VALUE"""),"Malaysia")</f>
        <v>Malaysia</v>
      </c>
      <c r="B1815" t="str">
        <f>IFERROR(__xludf.DUMMYFUNCTION("""COMPUTED_VALUE"""),"Asia")</f>
        <v>Asia</v>
      </c>
      <c r="C1815">
        <f>IFERROR(__xludf.DUMMYFUNCTION("""COMPUTED_VALUE"""),14.0)</f>
        <v>14</v>
      </c>
      <c r="D1815" t="str">
        <f>IFERROR(__xludf.DUMMYFUNCTION("""COMPUTED_VALUE"""),"Suasana Riang Di Hari Raya")</f>
        <v>Suasana Riang Di Hari Raya</v>
      </c>
      <c r="E1815" t="str">
        <f>IFERROR(__xludf.DUMMYFUNCTION("""COMPUTED_VALUE"""),"Junainah")</f>
        <v>Junainah</v>
      </c>
      <c r="F1815" t="str">
        <f>IFERROR(__xludf.DUMMYFUNCTION("""COMPUTED_VALUE"""),"Siri Bintang Pujaan")</f>
        <v>Siri Bintang Pujaan</v>
      </c>
      <c r="G1815">
        <f>IFERROR(__xludf.DUMMYFUNCTION("""COMPUTED_VALUE"""),0.0)</f>
        <v>0</v>
      </c>
      <c r="H1815" s="5">
        <f>IFERROR(__xludf.DUMMYFUNCTION("""COMPUTED_VALUE"""),0.13194444444525288)</f>
        <v>0.1319444444</v>
      </c>
    </row>
    <row r="1816">
      <c r="A1816" t="str">
        <f>IFERROR(__xludf.DUMMYFUNCTION("""COMPUTED_VALUE"""),"Malaysia")</f>
        <v>Malaysia</v>
      </c>
      <c r="B1816" t="str">
        <f>IFERROR(__xludf.DUMMYFUNCTION("""COMPUTED_VALUE"""),"Asia")</f>
        <v>Asia</v>
      </c>
      <c r="C1816">
        <f>IFERROR(__xludf.DUMMYFUNCTION("""COMPUTED_VALUE"""),15.0)</f>
        <v>15</v>
      </c>
      <c r="D1816" t="str">
        <f>IFERROR(__xludf.DUMMYFUNCTION("""COMPUTED_VALUE"""),"Senandung Hari Raya Untukmu")</f>
        <v>Senandung Hari Raya Untukmu</v>
      </c>
      <c r="E1816" t="str">
        <f>IFERROR(__xludf.DUMMYFUNCTION("""COMPUTED_VALUE"""),"Dayangku Intan")</f>
        <v>Dayangku Intan</v>
      </c>
      <c r="F1816" t="str">
        <f>IFERROR(__xludf.DUMMYFUNCTION("""COMPUTED_VALUE"""),"Salam Aidilfitri Untuk Semua")</f>
        <v>Salam Aidilfitri Untuk Semua</v>
      </c>
      <c r="G1816">
        <f>IFERROR(__xludf.DUMMYFUNCTION("""COMPUTED_VALUE"""),0.0)</f>
        <v>0</v>
      </c>
      <c r="H1816" s="5">
        <f>IFERROR(__xludf.DUMMYFUNCTION("""COMPUTED_VALUE"""),0.1437499999992724)</f>
        <v>0.14375</v>
      </c>
    </row>
    <row r="1817">
      <c r="A1817" t="str">
        <f>IFERROR(__xludf.DUMMYFUNCTION("""COMPUTED_VALUE"""),"Malaysia")</f>
        <v>Malaysia</v>
      </c>
      <c r="B1817" t="str">
        <f>IFERROR(__xludf.DUMMYFUNCTION("""COMPUTED_VALUE"""),"Asia")</f>
        <v>Asia</v>
      </c>
      <c r="C1817">
        <f>IFERROR(__xludf.DUMMYFUNCTION("""COMPUTED_VALUE"""),16.0)</f>
        <v>16</v>
      </c>
      <c r="D1817" t="str">
        <f>IFERROR(__xludf.DUMMYFUNCTION("""COMPUTED_VALUE"""),"Takbir Raya")</f>
        <v>Takbir Raya</v>
      </c>
      <c r="E1817" t="str">
        <f>IFERROR(__xludf.DUMMYFUNCTION("""COMPUTED_VALUE"""),"Various artists")</f>
        <v>Various artists</v>
      </c>
      <c r="F1817" t="str">
        <f>IFERROR(__xludf.DUMMYFUNCTION("""COMPUTED_VALUE"""),"Takbir Raya")</f>
        <v>Takbir Raya</v>
      </c>
      <c r="G1817">
        <f>IFERROR(__xludf.DUMMYFUNCTION("""COMPUTED_VALUE"""),0.0)</f>
        <v>0</v>
      </c>
      <c r="H1817" s="5">
        <f>IFERROR(__xludf.DUMMYFUNCTION("""COMPUTED_VALUE"""),0.04444444444379769)</f>
        <v>0.04444444444</v>
      </c>
    </row>
    <row r="1818">
      <c r="A1818" t="str">
        <f>IFERROR(__xludf.DUMMYFUNCTION("""COMPUTED_VALUE"""),"Malaysia")</f>
        <v>Malaysia</v>
      </c>
      <c r="B1818" t="str">
        <f>IFERROR(__xludf.DUMMYFUNCTION("""COMPUTED_VALUE"""),"Asia")</f>
        <v>Asia</v>
      </c>
      <c r="C1818">
        <f>IFERROR(__xludf.DUMMYFUNCTION("""COMPUTED_VALUE"""),17.0)</f>
        <v>17</v>
      </c>
      <c r="D1818" t="str">
        <f>IFERROR(__xludf.DUMMYFUNCTION("""COMPUTED_VALUE"""),"death bed (coffee for your head) (feat. beabadoobee)")</f>
        <v>death bed (coffee for your head) (feat. beabadoobee)</v>
      </c>
      <c r="E1818" t="str">
        <f>IFERROR(__xludf.DUMMYFUNCTION("""COMPUTED_VALUE"""),"Powfu, beabadoobee")</f>
        <v>Powfu, beabadoobee</v>
      </c>
      <c r="F1818" t="str">
        <f>IFERROR(__xludf.DUMMYFUNCTION("""COMPUTED_VALUE"""),"death bed (coffee for your head) (feat. beabadoobee)")</f>
        <v>death bed (coffee for your head) (feat. beabadoobee)</v>
      </c>
      <c r="G1818">
        <f>IFERROR(__xludf.DUMMYFUNCTION("""COMPUTED_VALUE"""),0.0)</f>
        <v>0</v>
      </c>
      <c r="H1818" s="5">
        <f>IFERROR(__xludf.DUMMYFUNCTION("""COMPUTED_VALUE"""),0.12013888888759539)</f>
        <v>0.1201388889</v>
      </c>
    </row>
    <row r="1819">
      <c r="A1819" t="str">
        <f>IFERROR(__xludf.DUMMYFUNCTION("""COMPUTED_VALUE"""),"Malaysia")</f>
        <v>Malaysia</v>
      </c>
      <c r="B1819" t="str">
        <f>IFERROR(__xludf.DUMMYFUNCTION("""COMPUTED_VALUE"""),"Asia")</f>
        <v>Asia</v>
      </c>
      <c r="C1819">
        <f>IFERROR(__xludf.DUMMYFUNCTION("""COMPUTED_VALUE"""),18.0)</f>
        <v>18</v>
      </c>
      <c r="D1819" t="str">
        <f>IFERROR(__xludf.DUMMYFUNCTION("""COMPUTED_VALUE"""),"Play Date")</f>
        <v>Play Date</v>
      </c>
      <c r="E1819" t="str">
        <f>IFERROR(__xludf.DUMMYFUNCTION("""COMPUTED_VALUE"""),"Melanie Martinez")</f>
        <v>Melanie Martinez</v>
      </c>
      <c r="F1819" t="str">
        <f>IFERROR(__xludf.DUMMYFUNCTION("""COMPUTED_VALUE"""),"Cry Baby (Deluxe Edition)")</f>
        <v>Cry Baby (Deluxe Edition)</v>
      </c>
      <c r="G1819">
        <f>IFERROR(__xludf.DUMMYFUNCTION("""COMPUTED_VALUE"""),1.0)</f>
        <v>1</v>
      </c>
      <c r="H1819" s="5">
        <f>IFERROR(__xludf.DUMMYFUNCTION("""COMPUTED_VALUE"""),0.1243055555569299)</f>
        <v>0.1243055556</v>
      </c>
    </row>
    <row r="1820">
      <c r="A1820" t="str">
        <f>IFERROR(__xludf.DUMMYFUNCTION("""COMPUTED_VALUE"""),"Malaysia")</f>
        <v>Malaysia</v>
      </c>
      <c r="B1820" t="str">
        <f>IFERROR(__xludf.DUMMYFUNCTION("""COMPUTED_VALUE"""),"Asia")</f>
        <v>Asia</v>
      </c>
      <c r="C1820">
        <f>IFERROR(__xludf.DUMMYFUNCTION("""COMPUTED_VALUE"""),19.0)</f>
        <v>19</v>
      </c>
      <c r="D1820" t="str">
        <f>IFERROR(__xludf.DUMMYFUNCTION("""COMPUTED_VALUE"""),"Dendang Perantau")</f>
        <v>Dendang Perantau</v>
      </c>
      <c r="E1820" t="str">
        <f>IFERROR(__xludf.DUMMYFUNCTION("""COMPUTED_VALUE"""),"Tan Sri P. Ramlee")</f>
        <v>Tan Sri P. Ramlee</v>
      </c>
      <c r="F1820" t="str">
        <f>IFERROR(__xludf.DUMMYFUNCTION("""COMPUTED_VALUE"""),"Siri Kenangan Abadi Volume 1: Getaran Jiwa")</f>
        <v>Siri Kenangan Abadi Volume 1: Getaran Jiwa</v>
      </c>
      <c r="G1820">
        <f>IFERROR(__xludf.DUMMYFUNCTION("""COMPUTED_VALUE"""),0.0)</f>
        <v>0</v>
      </c>
      <c r="H1820" s="5">
        <f>IFERROR(__xludf.DUMMYFUNCTION("""COMPUTED_VALUE"""),0.11111111110949423)</f>
        <v>0.1111111111</v>
      </c>
    </row>
    <row r="1821">
      <c r="A1821" t="str">
        <f>IFERROR(__xludf.DUMMYFUNCTION("""COMPUTED_VALUE"""),"Malaysia")</f>
        <v>Malaysia</v>
      </c>
      <c r="B1821" t="str">
        <f>IFERROR(__xludf.DUMMYFUNCTION("""COMPUTED_VALUE"""),"Asia")</f>
        <v>Asia</v>
      </c>
      <c r="C1821">
        <f>IFERROR(__xludf.DUMMYFUNCTION("""COMPUTED_VALUE"""),20.0)</f>
        <v>20</v>
      </c>
      <c r="D1821" t="str">
        <f>IFERROR(__xludf.DUMMYFUNCTION("""COMPUTED_VALUE"""),"eight(Prod.&amp;Feat. SUGA of BTS)")</f>
        <v>eight(Prod.&amp;Feat. SUGA of BTS)</v>
      </c>
      <c r="E1821" t="str">
        <f>IFERROR(__xludf.DUMMYFUNCTION("""COMPUTED_VALUE"""),"IU, SUGA")</f>
        <v>IU, SUGA</v>
      </c>
      <c r="F1821" t="str">
        <f>IFERROR(__xludf.DUMMYFUNCTION("""COMPUTED_VALUE"""),"eight")</f>
        <v>eight</v>
      </c>
      <c r="G1821">
        <f>IFERROR(__xludf.DUMMYFUNCTION("""COMPUTED_VALUE"""),0.0)</f>
        <v>0</v>
      </c>
      <c r="H1821" s="5">
        <f>IFERROR(__xludf.DUMMYFUNCTION("""COMPUTED_VALUE"""),0.11597222222189885)</f>
        <v>0.1159722222</v>
      </c>
    </row>
    <row r="1822">
      <c r="A1822" t="str">
        <f>IFERROR(__xludf.DUMMYFUNCTION("""COMPUTED_VALUE"""),"Malaysia")</f>
        <v>Malaysia</v>
      </c>
      <c r="B1822" t="str">
        <f>IFERROR(__xludf.DUMMYFUNCTION("""COMPUTED_VALUE"""),"Asia")</f>
        <v>Asia</v>
      </c>
      <c r="C1822">
        <f>IFERROR(__xludf.DUMMYFUNCTION("""COMPUTED_VALUE"""),21.0)</f>
        <v>21</v>
      </c>
      <c r="D1822" t="str">
        <f>IFERROR(__xludf.DUMMYFUNCTION("""COMPUTED_VALUE"""),"Rain On Me (with Ariana Grande)")</f>
        <v>Rain On Me (with Ariana Grande)</v>
      </c>
      <c r="E1822" t="str">
        <f>IFERROR(__xludf.DUMMYFUNCTION("""COMPUTED_VALUE"""),"Lady Gaga, Ariana Grande")</f>
        <v>Lady Gaga, Ariana Grande</v>
      </c>
      <c r="F1822" t="str">
        <f>IFERROR(__xludf.DUMMYFUNCTION("""COMPUTED_VALUE"""),"Rain On Me (with Ariana Grande)")</f>
        <v>Rain On Me (with Ariana Grande)</v>
      </c>
      <c r="G1822">
        <f>IFERROR(__xludf.DUMMYFUNCTION("""COMPUTED_VALUE"""),0.0)</f>
        <v>0</v>
      </c>
      <c r="H1822" s="5">
        <f>IFERROR(__xludf.DUMMYFUNCTION("""COMPUTED_VALUE"""),0.12638888888977817)</f>
        <v>0.1263888889</v>
      </c>
    </row>
    <row r="1823">
      <c r="A1823" t="str">
        <f>IFERROR(__xludf.DUMMYFUNCTION("""COMPUTED_VALUE"""),"Malaysia")</f>
        <v>Malaysia</v>
      </c>
      <c r="B1823" t="str">
        <f>IFERROR(__xludf.DUMMYFUNCTION("""COMPUTED_VALUE"""),"Asia")</f>
        <v>Asia</v>
      </c>
      <c r="C1823">
        <f>IFERROR(__xludf.DUMMYFUNCTION("""COMPUTED_VALUE"""),22.0)</f>
        <v>22</v>
      </c>
      <c r="D1823" t="str">
        <f>IFERROR(__xludf.DUMMYFUNCTION("""COMPUTED_VALUE"""),"Nazam Lebaran")</f>
        <v>Nazam Lebaran</v>
      </c>
      <c r="E1823" t="str">
        <f>IFERROR(__xludf.DUMMYFUNCTION("""COMPUTED_VALUE"""),"Dato' Sri Siti Nurhaliza")</f>
        <v>Dato' Sri Siti Nurhaliza</v>
      </c>
      <c r="F1823" t="str">
        <f>IFERROR(__xludf.DUMMYFUNCTION("""COMPUTED_VALUE"""),"Anugerah Aidilfitri")</f>
        <v>Anugerah Aidilfitri</v>
      </c>
      <c r="G1823">
        <f>IFERROR(__xludf.DUMMYFUNCTION("""COMPUTED_VALUE"""),0.0)</f>
        <v>0</v>
      </c>
      <c r="H1823" s="5">
        <f>IFERROR(__xludf.DUMMYFUNCTION("""COMPUTED_VALUE"""),0.23541666666642413)</f>
        <v>0.2354166667</v>
      </c>
    </row>
    <row r="1824">
      <c r="A1824" t="str">
        <f>IFERROR(__xludf.DUMMYFUNCTION("""COMPUTED_VALUE"""),"Malaysia")</f>
        <v>Malaysia</v>
      </c>
      <c r="B1824" t="str">
        <f>IFERROR(__xludf.DUMMYFUNCTION("""COMPUTED_VALUE"""),"Asia")</f>
        <v>Asia</v>
      </c>
      <c r="C1824">
        <f>IFERROR(__xludf.DUMMYFUNCTION("""COMPUTED_VALUE"""),23.0)</f>
        <v>23</v>
      </c>
      <c r="D1824" t="str">
        <f>IFERROR(__xludf.DUMMYFUNCTION("""COMPUTED_VALUE"""),"Warna Warni Aidilfitri")</f>
        <v>Warna Warni Aidilfitri</v>
      </c>
      <c r="E1824" t="str">
        <f>IFERROR(__xludf.DUMMYFUNCTION("""COMPUTED_VALUE"""),"Nyanyian Ramai")</f>
        <v>Nyanyian Ramai</v>
      </c>
      <c r="F1824" t="str">
        <f>IFERROR(__xludf.DUMMYFUNCTION("""COMPUTED_VALUE"""),"Satu Hari Di Hari Raya")</f>
        <v>Satu Hari Di Hari Raya</v>
      </c>
      <c r="G1824">
        <f>IFERROR(__xludf.DUMMYFUNCTION("""COMPUTED_VALUE"""),0.0)</f>
        <v>0</v>
      </c>
      <c r="H1824" s="5">
        <f>IFERROR(__xludf.DUMMYFUNCTION("""COMPUTED_VALUE"""),0.2000000000007276)</f>
        <v>0.2</v>
      </c>
    </row>
    <row r="1825">
      <c r="A1825" t="str">
        <f>IFERROR(__xludf.DUMMYFUNCTION("""COMPUTED_VALUE"""),"Malaysia")</f>
        <v>Malaysia</v>
      </c>
      <c r="B1825" t="str">
        <f>IFERROR(__xludf.DUMMYFUNCTION("""COMPUTED_VALUE"""),"Asia")</f>
        <v>Asia</v>
      </c>
      <c r="C1825">
        <f>IFERROR(__xludf.DUMMYFUNCTION("""COMPUTED_VALUE"""),24.0)</f>
        <v>24</v>
      </c>
      <c r="D1825" t="str">
        <f>IFERROR(__xludf.DUMMYFUNCTION("""COMPUTED_VALUE"""),"Bila Takbir Bergema")</f>
        <v>Bila Takbir Bergema</v>
      </c>
      <c r="E1825" t="str">
        <f>IFERROR(__xludf.DUMMYFUNCTION("""COMPUTED_VALUE"""),"Rafeah Buang")</f>
        <v>Rafeah Buang</v>
      </c>
      <c r="F1825" t="str">
        <f>IFERROR(__xludf.DUMMYFUNCTION("""COMPUTED_VALUE"""),"Siri Bintang Pujaan")</f>
        <v>Siri Bintang Pujaan</v>
      </c>
      <c r="G1825">
        <f>IFERROR(__xludf.DUMMYFUNCTION("""COMPUTED_VALUE"""),0.0)</f>
        <v>0</v>
      </c>
      <c r="H1825" s="5">
        <f>IFERROR(__xludf.DUMMYFUNCTION("""COMPUTED_VALUE"""),0.11180555555620231)</f>
        <v>0.1118055556</v>
      </c>
    </row>
    <row r="1826">
      <c r="A1826" t="str">
        <f>IFERROR(__xludf.DUMMYFUNCTION("""COMPUTED_VALUE"""),"Malaysia")</f>
        <v>Malaysia</v>
      </c>
      <c r="B1826" t="str">
        <f>IFERROR(__xludf.DUMMYFUNCTION("""COMPUTED_VALUE"""),"Asia")</f>
        <v>Asia</v>
      </c>
      <c r="C1826">
        <f>IFERROR(__xludf.DUMMYFUNCTION("""COMPUTED_VALUE"""),25.0)</f>
        <v>25</v>
      </c>
      <c r="D1826" t="str">
        <f>IFERROR(__xludf.DUMMYFUNCTION("""COMPUTED_VALUE"""),"Kepulangan Yang Di Nanti")</f>
        <v>Kepulangan Yang Di Nanti</v>
      </c>
      <c r="E1826" t="str">
        <f>IFERROR(__xludf.DUMMYFUNCTION("""COMPUTED_VALUE"""),"Aman Shah")</f>
        <v>Aman Shah</v>
      </c>
      <c r="F1826" t="str">
        <f>IFERROR(__xludf.DUMMYFUNCTION("""COMPUTED_VALUE"""),"Kepulangan Yang Dinanti")</f>
        <v>Kepulangan Yang Dinanti</v>
      </c>
      <c r="G1826">
        <f>IFERROR(__xludf.DUMMYFUNCTION("""COMPUTED_VALUE"""),0.0)</f>
        <v>0</v>
      </c>
      <c r="H1826" s="5">
        <f>IFERROR(__xludf.DUMMYFUNCTION("""COMPUTED_VALUE"""),0.15625)</f>
        <v>0.15625</v>
      </c>
    </row>
    <row r="1827">
      <c r="A1827" t="str">
        <f>IFERROR(__xludf.DUMMYFUNCTION("""COMPUTED_VALUE"""),"Malaysia")</f>
        <v>Malaysia</v>
      </c>
      <c r="B1827" t="str">
        <f>IFERROR(__xludf.DUMMYFUNCTION("""COMPUTED_VALUE"""),"Asia")</f>
        <v>Asia</v>
      </c>
      <c r="C1827">
        <f>IFERROR(__xludf.DUMMYFUNCTION("""COMPUTED_VALUE"""),26.0)</f>
        <v>26</v>
      </c>
      <c r="D1827" t="str">
        <f>IFERROR(__xludf.DUMMYFUNCTION("""COMPUTED_VALUE"""),"Indahnya Beraya Di Desa")</f>
        <v>Indahnya Beraya Di Desa</v>
      </c>
      <c r="E1827" t="str">
        <f>IFERROR(__xludf.DUMMYFUNCTION("""COMPUTED_VALUE"""),"Azlina Aziz")</f>
        <v>Azlina Aziz</v>
      </c>
      <c r="F1827" t="str">
        <f>IFERROR(__xludf.DUMMYFUNCTION("""COMPUTED_VALUE"""),"Salam Aidilfitri Untuk Semua")</f>
        <v>Salam Aidilfitri Untuk Semua</v>
      </c>
      <c r="G1827">
        <f>IFERROR(__xludf.DUMMYFUNCTION("""COMPUTED_VALUE"""),0.0)</f>
        <v>0</v>
      </c>
      <c r="H1827" s="5">
        <f>IFERROR(__xludf.DUMMYFUNCTION("""COMPUTED_VALUE"""),0.18958333333284827)</f>
        <v>0.1895833333</v>
      </c>
    </row>
    <row r="1828">
      <c r="A1828" t="str">
        <f>IFERROR(__xludf.DUMMYFUNCTION("""COMPUTED_VALUE"""),"Malaysia")</f>
        <v>Malaysia</v>
      </c>
      <c r="B1828" t="str">
        <f>IFERROR(__xludf.DUMMYFUNCTION("""COMPUTED_VALUE"""),"Asia")</f>
        <v>Asia</v>
      </c>
      <c r="C1828">
        <f>IFERROR(__xludf.DUMMYFUNCTION("""COMPUTED_VALUE"""),27.0)</f>
        <v>27</v>
      </c>
      <c r="D1828" t="str">
        <f>IFERROR(__xludf.DUMMYFUNCTION("""COMPUTED_VALUE"""),"Selamat Hari Raya")</f>
        <v>Selamat Hari Raya</v>
      </c>
      <c r="E1828" t="str">
        <f>IFERROR(__xludf.DUMMYFUNCTION("""COMPUTED_VALUE"""),"Fazidah Joned")</f>
        <v>Fazidah Joned</v>
      </c>
      <c r="F1828" t="str">
        <f>IFERROR(__xludf.DUMMYFUNCTION("""COMPUTED_VALUE"""),"Selamat Hari Raya")</f>
        <v>Selamat Hari Raya</v>
      </c>
      <c r="G1828">
        <f>IFERROR(__xludf.DUMMYFUNCTION("""COMPUTED_VALUE"""),0.0)</f>
        <v>0</v>
      </c>
      <c r="H1828" s="5">
        <f>IFERROR(__xludf.DUMMYFUNCTION("""COMPUTED_VALUE"""),0.10763888889050577)</f>
        <v>0.1076388889</v>
      </c>
    </row>
    <row r="1829">
      <c r="A1829" t="str">
        <f>IFERROR(__xludf.DUMMYFUNCTION("""COMPUTED_VALUE"""),"Malaysia")</f>
        <v>Malaysia</v>
      </c>
      <c r="B1829" t="str">
        <f>IFERROR(__xludf.DUMMYFUNCTION("""COMPUTED_VALUE"""),"Asia")</f>
        <v>Asia</v>
      </c>
      <c r="C1829">
        <f>IFERROR(__xludf.DUMMYFUNCTION("""COMPUTED_VALUE"""),28.0)</f>
        <v>28</v>
      </c>
      <c r="D1829" t="str">
        <f>IFERROR(__xludf.DUMMYFUNCTION("""COMPUTED_VALUE"""),"Daechwita")</f>
        <v>Daechwita</v>
      </c>
      <c r="E1829" t="str">
        <f>IFERROR(__xludf.DUMMYFUNCTION("""COMPUTED_VALUE"""),"Agust D")</f>
        <v>Agust D</v>
      </c>
      <c r="F1829" t="str">
        <f>IFERROR(__xludf.DUMMYFUNCTION("""COMPUTED_VALUE"""),"D-2")</f>
        <v>D-2</v>
      </c>
      <c r="G1829">
        <f>IFERROR(__xludf.DUMMYFUNCTION("""COMPUTED_VALUE"""),1.0)</f>
        <v>1</v>
      </c>
      <c r="H1829" s="5">
        <f>IFERROR(__xludf.DUMMYFUNCTION("""COMPUTED_VALUE"""),0.15625)</f>
        <v>0.15625</v>
      </c>
    </row>
    <row r="1830">
      <c r="A1830" t="str">
        <f>IFERROR(__xludf.DUMMYFUNCTION("""COMPUTED_VALUE"""),"Malaysia")</f>
        <v>Malaysia</v>
      </c>
      <c r="B1830" t="str">
        <f>IFERROR(__xludf.DUMMYFUNCTION("""COMPUTED_VALUE"""),"Asia")</f>
        <v>Asia</v>
      </c>
      <c r="C1830">
        <f>IFERROR(__xludf.DUMMYFUNCTION("""COMPUTED_VALUE"""),29.0)</f>
        <v>29</v>
      </c>
      <c r="D1830" t="str">
        <f>IFERROR(__xludf.DUMMYFUNCTION("""COMPUTED_VALUE"""),"Intentions (feat. Quavo)")</f>
        <v>Intentions (feat. Quavo)</v>
      </c>
      <c r="E1830" t="str">
        <f>IFERROR(__xludf.DUMMYFUNCTION("""COMPUTED_VALUE"""),"Justin Bieber, Quavo")</f>
        <v>Justin Bieber, Quavo</v>
      </c>
      <c r="F1830" t="str">
        <f>IFERROR(__xludf.DUMMYFUNCTION("""COMPUTED_VALUE"""),"Changes")</f>
        <v>Changes</v>
      </c>
      <c r="G1830">
        <f>IFERROR(__xludf.DUMMYFUNCTION("""COMPUTED_VALUE"""),0.0)</f>
        <v>0</v>
      </c>
      <c r="H1830" s="5">
        <f>IFERROR(__xludf.DUMMYFUNCTION("""COMPUTED_VALUE"""),0.14722222222189885)</f>
        <v>0.1472222222</v>
      </c>
    </row>
    <row r="1831">
      <c r="A1831" t="str">
        <f>IFERROR(__xludf.DUMMYFUNCTION("""COMPUTED_VALUE"""),"Malaysia")</f>
        <v>Malaysia</v>
      </c>
      <c r="B1831" t="str">
        <f>IFERROR(__xludf.DUMMYFUNCTION("""COMPUTED_VALUE"""),"Asia")</f>
        <v>Asia</v>
      </c>
      <c r="C1831">
        <f>IFERROR(__xludf.DUMMYFUNCTION("""COMPUTED_VALUE"""),30.0)</f>
        <v>30</v>
      </c>
      <c r="D1831" t="str">
        <f>IFERROR(__xludf.DUMMYFUNCTION("""COMPUTED_VALUE"""),"Supalonely")</f>
        <v>Supalonely</v>
      </c>
      <c r="E1831" t="str">
        <f>IFERROR(__xludf.DUMMYFUNCTION("""COMPUTED_VALUE"""),"BENEE, Gus Dapperton")</f>
        <v>BENEE, Gus Dapperton</v>
      </c>
      <c r="F1831" t="str">
        <f>IFERROR(__xludf.DUMMYFUNCTION("""COMPUTED_VALUE"""),"STELLA &amp; STEVE")</f>
        <v>STELLA &amp; STEVE</v>
      </c>
      <c r="G1831">
        <f>IFERROR(__xludf.DUMMYFUNCTION("""COMPUTED_VALUE"""),1.0)</f>
        <v>1</v>
      </c>
      <c r="H1831" s="5">
        <f>IFERROR(__xludf.DUMMYFUNCTION("""COMPUTED_VALUE"""),0.15486111111022183)</f>
        <v>0.1548611111</v>
      </c>
    </row>
    <row r="1832">
      <c r="A1832" t="str">
        <f>IFERROR(__xludf.DUMMYFUNCTION("""COMPUTED_VALUE"""),"Malaysia")</f>
        <v>Malaysia</v>
      </c>
      <c r="B1832" t="str">
        <f>IFERROR(__xludf.DUMMYFUNCTION("""COMPUTED_VALUE"""),"Asia")</f>
        <v>Asia</v>
      </c>
      <c r="C1832">
        <f>IFERROR(__xludf.DUMMYFUNCTION("""COMPUTED_VALUE"""),31.0)</f>
        <v>31</v>
      </c>
      <c r="D1832" t="str">
        <f>IFERROR(__xludf.DUMMYFUNCTION("""COMPUTED_VALUE"""),"Blinding Lights")</f>
        <v>Blinding Lights</v>
      </c>
      <c r="E1832" t="str">
        <f>IFERROR(__xludf.DUMMYFUNCTION("""COMPUTED_VALUE"""),"The Weeknd")</f>
        <v>The Weeknd</v>
      </c>
      <c r="F1832" t="str">
        <f>IFERROR(__xludf.DUMMYFUNCTION("""COMPUTED_VALUE"""),"After Hours")</f>
        <v>After Hours</v>
      </c>
      <c r="G1832">
        <f>IFERROR(__xludf.DUMMYFUNCTION("""COMPUTED_VALUE"""),0.0)</f>
        <v>0</v>
      </c>
      <c r="H1832" s="5">
        <f>IFERROR(__xludf.DUMMYFUNCTION("""COMPUTED_VALUE"""),0.13888888889050577)</f>
        <v>0.1388888889</v>
      </c>
    </row>
    <row r="1833">
      <c r="A1833" t="str">
        <f>IFERROR(__xludf.DUMMYFUNCTION("""COMPUTED_VALUE"""),"Malaysia")</f>
        <v>Malaysia</v>
      </c>
      <c r="B1833" t="str">
        <f>IFERROR(__xludf.DUMMYFUNCTION("""COMPUTED_VALUE"""),"Asia")</f>
        <v>Asia</v>
      </c>
      <c r="C1833">
        <f>IFERROR(__xludf.DUMMYFUNCTION("""COMPUTED_VALUE"""),32.0)</f>
        <v>32</v>
      </c>
      <c r="D1833" t="str">
        <f>IFERROR(__xludf.DUMMYFUNCTION("""COMPUTED_VALUE"""),"Someone You Loved")</f>
        <v>Someone You Loved</v>
      </c>
      <c r="E1833" t="str">
        <f>IFERROR(__xludf.DUMMYFUNCTION("""COMPUTED_VALUE"""),"Lewis Capaldi")</f>
        <v>Lewis Capaldi</v>
      </c>
      <c r="F1833" t="str">
        <f>IFERROR(__xludf.DUMMYFUNCTION("""COMPUTED_VALUE"""),"Divinely Uninspired To A Hellish Extent")</f>
        <v>Divinely Uninspired To A Hellish Extent</v>
      </c>
      <c r="G1833">
        <f>IFERROR(__xludf.DUMMYFUNCTION("""COMPUTED_VALUE"""),0.0)</f>
        <v>0</v>
      </c>
      <c r="H1833" s="5">
        <f>IFERROR(__xludf.DUMMYFUNCTION("""COMPUTED_VALUE"""),0.12638888888977817)</f>
        <v>0.1263888889</v>
      </c>
    </row>
    <row r="1834">
      <c r="A1834" t="str">
        <f>IFERROR(__xludf.DUMMYFUNCTION("""COMPUTED_VALUE"""),"Malaysia")</f>
        <v>Malaysia</v>
      </c>
      <c r="B1834" t="str">
        <f>IFERROR(__xludf.DUMMYFUNCTION("""COMPUTED_VALUE"""),"Asia")</f>
        <v>Asia</v>
      </c>
      <c r="C1834">
        <f>IFERROR(__xludf.DUMMYFUNCTION("""COMPUTED_VALUE"""),33.0)</f>
        <v>33</v>
      </c>
      <c r="D1834" t="str">
        <f>IFERROR(__xludf.DUMMYFUNCTION("""COMPUTED_VALUE"""),"Toosie Slide")</f>
        <v>Toosie Slide</v>
      </c>
      <c r="E1834" t="str">
        <f>IFERROR(__xludf.DUMMYFUNCTION("""COMPUTED_VALUE"""),"Drake")</f>
        <v>Drake</v>
      </c>
      <c r="F1834" t="str">
        <f>IFERROR(__xludf.DUMMYFUNCTION("""COMPUTED_VALUE"""),"Dark Lane Demo Tapes")</f>
        <v>Dark Lane Demo Tapes</v>
      </c>
      <c r="G1834">
        <f>IFERROR(__xludf.DUMMYFUNCTION("""COMPUTED_VALUE"""),1.0)</f>
        <v>1</v>
      </c>
      <c r="H1834" s="5">
        <f>IFERROR(__xludf.DUMMYFUNCTION("""COMPUTED_VALUE"""),0.17152777777664596)</f>
        <v>0.1715277778</v>
      </c>
    </row>
    <row r="1835">
      <c r="A1835" t="str">
        <f>IFERROR(__xludf.DUMMYFUNCTION("""COMPUTED_VALUE"""),"Malaysia")</f>
        <v>Malaysia</v>
      </c>
      <c r="B1835" t="str">
        <f>IFERROR(__xludf.DUMMYFUNCTION("""COMPUTED_VALUE"""),"Asia")</f>
        <v>Asia</v>
      </c>
      <c r="C1835">
        <f>IFERROR(__xludf.DUMMYFUNCTION("""COMPUTED_VALUE"""),34.0)</f>
        <v>34</v>
      </c>
      <c r="D1835" t="str">
        <f>IFERROR(__xludf.DUMMYFUNCTION("""COMPUTED_VALUE"""),"Cahaya Aidilfitri")</f>
        <v>Cahaya Aidilfitri</v>
      </c>
      <c r="E1835" t="str">
        <f>IFERROR(__xludf.DUMMYFUNCTION("""COMPUTED_VALUE"""),"Black Dog Bone")</f>
        <v>Black Dog Bone</v>
      </c>
      <c r="F1835" t="str">
        <f>IFERROR(__xludf.DUMMYFUNCTION("""COMPUTED_VALUE"""),"Cahaya Aidilfitri")</f>
        <v>Cahaya Aidilfitri</v>
      </c>
      <c r="G1835">
        <f>IFERROR(__xludf.DUMMYFUNCTION("""COMPUTED_VALUE"""),0.0)</f>
        <v>0</v>
      </c>
      <c r="H1835" s="5">
        <f>IFERROR(__xludf.DUMMYFUNCTION("""COMPUTED_VALUE"""),0.15486111111022183)</f>
        <v>0.1548611111</v>
      </c>
    </row>
    <row r="1836">
      <c r="A1836" t="str">
        <f>IFERROR(__xludf.DUMMYFUNCTION("""COMPUTED_VALUE"""),"Malaysia")</f>
        <v>Malaysia</v>
      </c>
      <c r="B1836" t="str">
        <f>IFERROR(__xludf.DUMMYFUNCTION("""COMPUTED_VALUE"""),"Asia")</f>
        <v>Asia</v>
      </c>
      <c r="C1836">
        <f>IFERROR(__xludf.DUMMYFUNCTION("""COMPUTED_VALUE"""),35.0)</f>
        <v>35</v>
      </c>
      <c r="D1836" t="str">
        <f>IFERROR(__xludf.DUMMYFUNCTION("""COMPUTED_VALUE"""),"ily (i love you baby) (feat. Emilee)")</f>
        <v>ily (i love you baby) (feat. Emilee)</v>
      </c>
      <c r="E1836" t="str">
        <f>IFERROR(__xludf.DUMMYFUNCTION("""COMPUTED_VALUE"""),"Surf Mesa, Emilee")</f>
        <v>Surf Mesa, Emilee</v>
      </c>
      <c r="F1836" t="str">
        <f>IFERROR(__xludf.DUMMYFUNCTION("""COMPUTED_VALUE"""),"ily (i love you baby) (feat. Emilee)")</f>
        <v>ily (i love you baby) (feat. Emilee)</v>
      </c>
      <c r="G1836">
        <f>IFERROR(__xludf.DUMMYFUNCTION("""COMPUTED_VALUE"""),0.0)</f>
        <v>0</v>
      </c>
      <c r="H1836" s="5">
        <f>IFERROR(__xludf.DUMMYFUNCTION("""COMPUTED_VALUE"""),0.12222222222044365)</f>
        <v>0.1222222222</v>
      </c>
    </row>
    <row r="1837">
      <c r="A1837" t="str">
        <f>IFERROR(__xludf.DUMMYFUNCTION("""COMPUTED_VALUE"""),"Malaysia")</f>
        <v>Malaysia</v>
      </c>
      <c r="B1837" t="str">
        <f>IFERROR(__xludf.DUMMYFUNCTION("""COMPUTED_VALUE"""),"Asia")</f>
        <v>Asia</v>
      </c>
      <c r="C1837">
        <f>IFERROR(__xludf.DUMMYFUNCTION("""COMPUTED_VALUE"""),36.0)</f>
        <v>36</v>
      </c>
      <c r="D1837" t="str">
        <f>IFERROR(__xludf.DUMMYFUNCTION("""COMPUTED_VALUE"""),"Aidilfitri")</f>
        <v>Aidilfitri</v>
      </c>
      <c r="E1837" t="str">
        <f>IFERROR(__xludf.DUMMYFUNCTION("""COMPUTED_VALUE"""),"Sanisah Huri")</f>
        <v>Sanisah Huri</v>
      </c>
      <c r="F1837" t="str">
        <f>IFERROR(__xludf.DUMMYFUNCTION("""COMPUTED_VALUE"""),"Aidilfitri")</f>
        <v>Aidilfitri</v>
      </c>
      <c r="G1837">
        <f>IFERROR(__xludf.DUMMYFUNCTION("""COMPUTED_VALUE"""),0.0)</f>
        <v>0</v>
      </c>
      <c r="H1837" s="5">
        <f>IFERROR(__xludf.DUMMYFUNCTION("""COMPUTED_VALUE"""),0.15277777777737356)</f>
        <v>0.1527777778</v>
      </c>
    </row>
    <row r="1838">
      <c r="A1838" t="str">
        <f>IFERROR(__xludf.DUMMYFUNCTION("""COMPUTED_VALUE"""),"Malaysia")</f>
        <v>Malaysia</v>
      </c>
      <c r="B1838" t="str">
        <f>IFERROR(__xludf.DUMMYFUNCTION("""COMPUTED_VALUE"""),"Asia")</f>
        <v>Asia</v>
      </c>
      <c r="C1838">
        <f>IFERROR(__xludf.DUMMYFUNCTION("""COMPUTED_VALUE"""),37.0)</f>
        <v>37</v>
      </c>
      <c r="D1838" t="str">
        <f>IFERROR(__xludf.DUMMYFUNCTION("""COMPUTED_VALUE"""),"Be Kind (with Halsey)")</f>
        <v>Be Kind (with Halsey)</v>
      </c>
      <c r="E1838" t="str">
        <f>IFERROR(__xludf.DUMMYFUNCTION("""COMPUTED_VALUE"""),"Marshmello, Halsey")</f>
        <v>Marshmello, Halsey</v>
      </c>
      <c r="F1838" t="str">
        <f>IFERROR(__xludf.DUMMYFUNCTION("""COMPUTED_VALUE"""),"Be Kind (with Halsey)")</f>
        <v>Be Kind (with Halsey)</v>
      </c>
      <c r="G1838">
        <f>IFERROR(__xludf.DUMMYFUNCTION("""COMPUTED_VALUE"""),0.0)</f>
        <v>0</v>
      </c>
      <c r="H1838" s="5">
        <f>IFERROR(__xludf.DUMMYFUNCTION("""COMPUTED_VALUE"""),0.11944444444452529)</f>
        <v>0.1194444444</v>
      </c>
    </row>
    <row r="1839">
      <c r="A1839" t="str">
        <f>IFERROR(__xludf.DUMMYFUNCTION("""COMPUTED_VALUE"""),"Malaysia")</f>
        <v>Malaysia</v>
      </c>
      <c r="B1839" t="str">
        <f>IFERROR(__xludf.DUMMYFUNCTION("""COMPUTED_VALUE"""),"Asia")</f>
        <v>Asia</v>
      </c>
      <c r="C1839">
        <f>IFERROR(__xludf.DUMMYFUNCTION("""COMPUTED_VALUE"""),38.0)</f>
        <v>38</v>
      </c>
      <c r="D1839" t="str">
        <f>IFERROR(__xludf.DUMMYFUNCTION("""COMPUTED_VALUE"""),"Roses - Imanbek Remix")</f>
        <v>Roses - Imanbek Remix</v>
      </c>
      <c r="E1839" t="str">
        <f>IFERROR(__xludf.DUMMYFUNCTION("""COMPUTED_VALUE"""),"SAINt JHN, Imanbek")</f>
        <v>SAINt JHN, Imanbek</v>
      </c>
      <c r="F1839" t="str">
        <f>IFERROR(__xludf.DUMMYFUNCTION("""COMPUTED_VALUE"""),"Roses (Imanbek Remix)")</f>
        <v>Roses (Imanbek Remix)</v>
      </c>
      <c r="G1839">
        <f>IFERROR(__xludf.DUMMYFUNCTION("""COMPUTED_VALUE"""),1.0)</f>
        <v>1</v>
      </c>
      <c r="H1839" s="5">
        <f>IFERROR(__xludf.DUMMYFUNCTION("""COMPUTED_VALUE"""),0.12222222222044365)</f>
        <v>0.1222222222</v>
      </c>
    </row>
    <row r="1840">
      <c r="A1840" t="str">
        <f>IFERROR(__xludf.DUMMYFUNCTION("""COMPUTED_VALUE"""),"Malaysia")</f>
        <v>Malaysia</v>
      </c>
      <c r="B1840" t="str">
        <f>IFERROR(__xludf.DUMMYFUNCTION("""COMPUTED_VALUE"""),"Asia")</f>
        <v>Asia</v>
      </c>
      <c r="C1840">
        <f>IFERROR(__xludf.DUMMYFUNCTION("""COMPUTED_VALUE"""),39.0)</f>
        <v>39</v>
      </c>
      <c r="D1840" t="str">
        <f>IFERROR(__xludf.DUMMYFUNCTION("""COMPUTED_VALUE"""),"Bersabarlah Sayang")</f>
        <v>Bersabarlah Sayang</v>
      </c>
      <c r="E1840" t="str">
        <f>IFERROR(__xludf.DUMMYFUNCTION("""COMPUTED_VALUE"""),"Sanisah Huri")</f>
        <v>Sanisah Huri</v>
      </c>
      <c r="F1840" t="str">
        <f>IFERROR(__xludf.DUMMYFUNCTION("""COMPUTED_VALUE"""),"Siri Bintang Pujaan")</f>
        <v>Siri Bintang Pujaan</v>
      </c>
      <c r="G1840">
        <f>IFERROR(__xludf.DUMMYFUNCTION("""COMPUTED_VALUE"""),0.0)</f>
        <v>0</v>
      </c>
      <c r="H1840" s="5">
        <f>IFERROR(__xludf.DUMMYFUNCTION("""COMPUTED_VALUE"""),0.14652777777882875)</f>
        <v>0.1465277778</v>
      </c>
    </row>
    <row r="1841">
      <c r="A1841" t="str">
        <f>IFERROR(__xludf.DUMMYFUNCTION("""COMPUTED_VALUE"""),"Malaysia")</f>
        <v>Malaysia</v>
      </c>
      <c r="B1841" t="str">
        <f>IFERROR(__xludf.DUMMYFUNCTION("""COMPUTED_VALUE"""),"Asia")</f>
        <v>Asia</v>
      </c>
      <c r="C1841">
        <f>IFERROR(__xludf.DUMMYFUNCTION("""COMPUTED_VALUE"""),40.0)</f>
        <v>40</v>
      </c>
      <c r="D1841" t="str">
        <f>IFERROR(__xludf.DUMMYFUNCTION("""COMPUTED_VALUE"""),"Falling")</f>
        <v>Falling</v>
      </c>
      <c r="E1841" t="str">
        <f>IFERROR(__xludf.DUMMYFUNCTION("""COMPUTED_VALUE"""),"Trevor Daniel")</f>
        <v>Trevor Daniel</v>
      </c>
      <c r="F1841" t="str">
        <f>IFERROR(__xludf.DUMMYFUNCTION("""COMPUTED_VALUE"""),"Nicotine")</f>
        <v>Nicotine</v>
      </c>
      <c r="G1841">
        <f>IFERROR(__xludf.DUMMYFUNCTION("""COMPUTED_VALUE"""),0.0)</f>
        <v>0</v>
      </c>
      <c r="H1841" s="5">
        <f>IFERROR(__xludf.DUMMYFUNCTION("""COMPUTED_VALUE"""),0.11041666666642413)</f>
        <v>0.1104166667</v>
      </c>
    </row>
    <row r="1842">
      <c r="A1842" t="str">
        <f>IFERROR(__xludf.DUMMYFUNCTION("""COMPUTED_VALUE"""),"Malaysia")</f>
        <v>Malaysia</v>
      </c>
      <c r="B1842" t="str">
        <f>IFERROR(__xludf.DUMMYFUNCTION("""COMPUTED_VALUE"""),"Asia")</f>
        <v>Asia</v>
      </c>
      <c r="C1842">
        <f>IFERROR(__xludf.DUMMYFUNCTION("""COMPUTED_VALUE"""),41.0)</f>
        <v>41</v>
      </c>
      <c r="D1842" t="str">
        <f>IFERROR(__xludf.DUMMYFUNCTION("""COMPUTED_VALUE"""),"Bersama Di Hari Raya")</f>
        <v>Bersama Di Hari Raya</v>
      </c>
      <c r="E1842" t="str">
        <f>IFERROR(__xludf.DUMMYFUNCTION("""COMPUTED_VALUE"""),"Cenderawasih")</f>
        <v>Cenderawasih</v>
      </c>
      <c r="F1842" t="str">
        <f>IFERROR(__xludf.DUMMYFUNCTION("""COMPUTED_VALUE"""),"Bersama Di Hari Raya")</f>
        <v>Bersama Di Hari Raya</v>
      </c>
      <c r="G1842">
        <f>IFERROR(__xludf.DUMMYFUNCTION("""COMPUTED_VALUE"""),0.0)</f>
        <v>0</v>
      </c>
      <c r="H1842" s="5">
        <f>IFERROR(__xludf.DUMMYFUNCTION("""COMPUTED_VALUE"""),0.11041666666642413)</f>
        <v>0.1104166667</v>
      </c>
    </row>
    <row r="1843">
      <c r="A1843" t="str">
        <f>IFERROR(__xludf.DUMMYFUNCTION("""COMPUTED_VALUE"""),"Malaysia")</f>
        <v>Malaysia</v>
      </c>
      <c r="B1843" t="str">
        <f>IFERROR(__xludf.DUMMYFUNCTION("""COMPUTED_VALUE"""),"Asia")</f>
        <v>Asia</v>
      </c>
      <c r="C1843">
        <f>IFERROR(__xludf.DUMMYFUNCTION("""COMPUTED_VALUE"""),42.0)</f>
        <v>42</v>
      </c>
      <c r="D1843" t="str">
        <f>IFERROR(__xludf.DUMMYFUNCTION("""COMPUTED_VALUE"""),"Don't Start Now")</f>
        <v>Don't Start Now</v>
      </c>
      <c r="E1843" t="str">
        <f>IFERROR(__xludf.DUMMYFUNCTION("""COMPUTED_VALUE"""),"Dua Lipa")</f>
        <v>Dua Lipa</v>
      </c>
      <c r="F1843" t="str">
        <f>IFERROR(__xludf.DUMMYFUNCTION("""COMPUTED_VALUE"""),"Future Nostalgia")</f>
        <v>Future Nostalgia</v>
      </c>
      <c r="G1843">
        <f>IFERROR(__xludf.DUMMYFUNCTION("""COMPUTED_VALUE"""),0.0)</f>
        <v>0</v>
      </c>
      <c r="H1843" s="5">
        <f>IFERROR(__xludf.DUMMYFUNCTION("""COMPUTED_VALUE"""),0.12708333333284827)</f>
        <v>0.1270833333</v>
      </c>
    </row>
    <row r="1844">
      <c r="A1844" t="str">
        <f>IFERROR(__xludf.DUMMYFUNCTION("""COMPUTED_VALUE"""),"Malaysia")</f>
        <v>Malaysia</v>
      </c>
      <c r="B1844" t="str">
        <f>IFERROR(__xludf.DUMMYFUNCTION("""COMPUTED_VALUE"""),"Asia")</f>
        <v>Asia</v>
      </c>
      <c r="C1844">
        <f>IFERROR(__xludf.DUMMYFUNCTION("""COMPUTED_VALUE"""),43.0)</f>
        <v>43</v>
      </c>
      <c r="D1844" t="str">
        <f>IFERROR(__xludf.DUMMYFUNCTION("""COMPUTED_VALUE"""),"Before You Go")</f>
        <v>Before You Go</v>
      </c>
      <c r="E1844" t="str">
        <f>IFERROR(__xludf.DUMMYFUNCTION("""COMPUTED_VALUE"""),"Lewis Capaldi")</f>
        <v>Lewis Capaldi</v>
      </c>
      <c r="F1844" t="str">
        <f>IFERROR(__xludf.DUMMYFUNCTION("""COMPUTED_VALUE"""),"Divinely Uninspired To A Hellish Extent (Extended Edition)")</f>
        <v>Divinely Uninspired To A Hellish Extent (Extended Edition)</v>
      </c>
      <c r="G1844">
        <f>IFERROR(__xludf.DUMMYFUNCTION("""COMPUTED_VALUE"""),0.0)</f>
        <v>0</v>
      </c>
      <c r="H1844" s="5">
        <f>IFERROR(__xludf.DUMMYFUNCTION("""COMPUTED_VALUE"""),0.14930555555474712)</f>
        <v>0.1493055556</v>
      </c>
    </row>
    <row r="1845">
      <c r="A1845" t="str">
        <f>IFERROR(__xludf.DUMMYFUNCTION("""COMPUTED_VALUE"""),"Malaysia")</f>
        <v>Malaysia</v>
      </c>
      <c r="B1845" t="str">
        <f>IFERROR(__xludf.DUMMYFUNCTION("""COMPUTED_VALUE"""),"Asia")</f>
        <v>Asia</v>
      </c>
      <c r="C1845">
        <f>IFERROR(__xludf.DUMMYFUNCTION("""COMPUTED_VALUE"""),44.0)</f>
        <v>44</v>
      </c>
      <c r="D1845" t="str">
        <f>IFERROR(__xludf.DUMMYFUNCTION("""COMPUTED_VALUE"""),"Sunday Best")</f>
        <v>Sunday Best</v>
      </c>
      <c r="E1845" t="str">
        <f>IFERROR(__xludf.DUMMYFUNCTION("""COMPUTED_VALUE"""),"Surfaces")</f>
        <v>Surfaces</v>
      </c>
      <c r="F1845" t="str">
        <f>IFERROR(__xludf.DUMMYFUNCTION("""COMPUTED_VALUE"""),"Where the Light Is")</f>
        <v>Where the Light Is</v>
      </c>
      <c r="G1845">
        <f>IFERROR(__xludf.DUMMYFUNCTION("""COMPUTED_VALUE"""),0.0)</f>
        <v>0</v>
      </c>
      <c r="H1845" s="5">
        <f>IFERROR(__xludf.DUMMYFUNCTION("""COMPUTED_VALUE"""),0.10972222222335404)</f>
        <v>0.1097222222</v>
      </c>
    </row>
    <row r="1846">
      <c r="A1846" t="str">
        <f>IFERROR(__xludf.DUMMYFUNCTION("""COMPUTED_VALUE"""),"Malaysia")</f>
        <v>Malaysia</v>
      </c>
      <c r="B1846" t="str">
        <f>IFERROR(__xludf.DUMMYFUNCTION("""COMPUTED_VALUE"""),"Asia")</f>
        <v>Asia</v>
      </c>
      <c r="C1846">
        <f>IFERROR(__xludf.DUMMYFUNCTION("""COMPUTED_VALUE"""),45.0)</f>
        <v>45</v>
      </c>
      <c r="D1846" t="str">
        <f>IFERROR(__xludf.DUMMYFUNCTION("""COMPUTED_VALUE"""),"Circles")</f>
        <v>Circles</v>
      </c>
      <c r="E1846" t="str">
        <f>IFERROR(__xludf.DUMMYFUNCTION("""COMPUTED_VALUE"""),"Post Malone")</f>
        <v>Post Malone</v>
      </c>
      <c r="F1846" t="str">
        <f>IFERROR(__xludf.DUMMYFUNCTION("""COMPUTED_VALUE"""),"Hollywood's Bleeding")</f>
        <v>Hollywood's Bleeding</v>
      </c>
      <c r="G1846">
        <f>IFERROR(__xludf.DUMMYFUNCTION("""COMPUTED_VALUE"""),0.0)</f>
        <v>0</v>
      </c>
      <c r="H1846" s="5">
        <f>IFERROR(__xludf.DUMMYFUNCTION("""COMPUTED_VALUE"""),0.14930555555474712)</f>
        <v>0.1493055556</v>
      </c>
    </row>
    <row r="1847">
      <c r="A1847" t="str">
        <f>IFERROR(__xludf.DUMMYFUNCTION("""COMPUTED_VALUE"""),"Malaysia")</f>
        <v>Malaysia</v>
      </c>
      <c r="B1847" t="str">
        <f>IFERROR(__xludf.DUMMYFUNCTION("""COMPUTED_VALUE"""),"Asia")</f>
        <v>Asia</v>
      </c>
      <c r="C1847">
        <f>IFERROR(__xludf.DUMMYFUNCTION("""COMPUTED_VALUE"""),46.0)</f>
        <v>46</v>
      </c>
      <c r="D1847" t="str">
        <f>IFERROR(__xludf.DUMMYFUNCTION("""COMPUTED_VALUE"""),"Bila Hari Raya Menjelma")</f>
        <v>Bila Hari Raya Menjelma</v>
      </c>
      <c r="E1847" t="str">
        <f>IFERROR(__xludf.DUMMYFUNCTION("""COMPUTED_VALUE"""),"Dato' Sri Siti Nurhaliza")</f>
        <v>Dato' Sri Siti Nurhaliza</v>
      </c>
      <c r="F1847" t="str">
        <f>IFERROR(__xludf.DUMMYFUNCTION("""COMPUTED_VALUE"""),"Anugerah Aidilfitri")</f>
        <v>Anugerah Aidilfitri</v>
      </c>
      <c r="G1847">
        <f>IFERROR(__xludf.DUMMYFUNCTION("""COMPUTED_VALUE"""),0.0)</f>
        <v>0</v>
      </c>
      <c r="H1847" s="5">
        <f>IFERROR(__xludf.DUMMYFUNCTION("""COMPUTED_VALUE"""),0.19652777777810115)</f>
        <v>0.1965277778</v>
      </c>
    </row>
    <row r="1848">
      <c r="A1848" t="str">
        <f>IFERROR(__xludf.DUMMYFUNCTION("""COMPUTED_VALUE"""),"Malaysia")</f>
        <v>Malaysia</v>
      </c>
      <c r="B1848" t="str">
        <f>IFERROR(__xludf.DUMMYFUNCTION("""COMPUTED_VALUE"""),"Asia")</f>
        <v>Asia</v>
      </c>
      <c r="C1848">
        <f>IFERROR(__xludf.DUMMYFUNCTION("""COMPUTED_VALUE"""),47.0)</f>
        <v>47</v>
      </c>
      <c r="D1848" t="str">
        <f>IFERROR(__xludf.DUMMYFUNCTION("""COMPUTED_VALUE"""),"Air Mata Syawal")</f>
        <v>Air Mata Syawal</v>
      </c>
      <c r="E1848" t="str">
        <f>IFERROR(__xludf.DUMMYFUNCTION("""COMPUTED_VALUE"""),"Dato' Sri Siti Nurhaliza")</f>
        <v>Dato' Sri Siti Nurhaliza</v>
      </c>
      <c r="F1848" t="str">
        <f>IFERROR(__xludf.DUMMYFUNCTION("""COMPUTED_VALUE"""),"Anugerah Aidilfitri")</f>
        <v>Anugerah Aidilfitri</v>
      </c>
      <c r="G1848">
        <f>IFERROR(__xludf.DUMMYFUNCTION("""COMPUTED_VALUE"""),0.0)</f>
        <v>0</v>
      </c>
      <c r="H1848" s="5">
        <f>IFERROR(__xludf.DUMMYFUNCTION("""COMPUTED_VALUE"""),0.21041666666496894)</f>
        <v>0.2104166667</v>
      </c>
    </row>
    <row r="1849">
      <c r="A1849" t="str">
        <f>IFERROR(__xludf.DUMMYFUNCTION("""COMPUTED_VALUE"""),"Malaysia")</f>
        <v>Malaysia</v>
      </c>
      <c r="B1849" t="str">
        <f>IFERROR(__xludf.DUMMYFUNCTION("""COMPUTED_VALUE"""),"Asia")</f>
        <v>Asia</v>
      </c>
      <c r="C1849">
        <f>IFERROR(__xludf.DUMMYFUNCTION("""COMPUTED_VALUE"""),48.0)</f>
        <v>48</v>
      </c>
      <c r="D1849" t="str">
        <f>IFERROR(__xludf.DUMMYFUNCTION("""COMPUTED_VALUE"""),"Di Pagi Aidilfitri")</f>
        <v>Di Pagi Aidilfitri</v>
      </c>
      <c r="E1849" t="str">
        <f>IFERROR(__xludf.DUMMYFUNCTION("""COMPUTED_VALUE"""),"Rosemaria")</f>
        <v>Rosemaria</v>
      </c>
      <c r="F1849" t="str">
        <f>IFERROR(__xludf.DUMMYFUNCTION("""COMPUTED_VALUE"""),"Siri Bintang Pujaan")</f>
        <v>Siri Bintang Pujaan</v>
      </c>
      <c r="G1849">
        <f>IFERROR(__xludf.DUMMYFUNCTION("""COMPUTED_VALUE"""),0.0)</f>
        <v>0</v>
      </c>
      <c r="H1849" s="5">
        <f>IFERROR(__xludf.DUMMYFUNCTION("""COMPUTED_VALUE"""),0.15347222222044365)</f>
        <v>0.1534722222</v>
      </c>
    </row>
    <row r="1850">
      <c r="A1850" t="str">
        <f>IFERROR(__xludf.DUMMYFUNCTION("""COMPUTED_VALUE"""),"Malaysia")</f>
        <v>Malaysia</v>
      </c>
      <c r="B1850" t="str">
        <f>IFERROR(__xludf.DUMMYFUNCTION("""COMPUTED_VALUE"""),"Asia")</f>
        <v>Asia</v>
      </c>
      <c r="C1850">
        <f>IFERROR(__xludf.DUMMYFUNCTION("""COMPUTED_VALUE"""),49.0)</f>
        <v>49</v>
      </c>
      <c r="D1850" t="str">
        <f>IFERROR(__xludf.DUMMYFUNCTION("""COMPUTED_VALUE"""),"Say So (feat. Nicki Minaj)")</f>
        <v>Say So (feat. Nicki Minaj)</v>
      </c>
      <c r="E1850" t="str">
        <f>IFERROR(__xludf.DUMMYFUNCTION("""COMPUTED_VALUE"""),"Doja Cat, Nicki Minaj")</f>
        <v>Doja Cat, Nicki Minaj</v>
      </c>
      <c r="F1850" t="str">
        <f>IFERROR(__xludf.DUMMYFUNCTION("""COMPUTED_VALUE"""),"Say So (feat. Nicki Minaj)")</f>
        <v>Say So (feat. Nicki Minaj)</v>
      </c>
      <c r="G1850">
        <f>IFERROR(__xludf.DUMMYFUNCTION("""COMPUTED_VALUE"""),1.0)</f>
        <v>1</v>
      </c>
      <c r="H1850" s="5">
        <f>IFERROR(__xludf.DUMMYFUNCTION("""COMPUTED_VALUE"""),0.1430555555562023)</f>
        <v>0.1430555556</v>
      </c>
    </row>
    <row r="1851">
      <c r="A1851" t="str">
        <f>IFERROR(__xludf.DUMMYFUNCTION("""COMPUTED_VALUE"""),"Malaysia")</f>
        <v>Malaysia</v>
      </c>
      <c r="B1851" t="str">
        <f>IFERROR(__xludf.DUMMYFUNCTION("""COMPUTED_VALUE"""),"Asia")</f>
        <v>Asia</v>
      </c>
      <c r="C1851">
        <f>IFERROR(__xludf.DUMMYFUNCTION("""COMPUTED_VALUE"""),50.0)</f>
        <v>50</v>
      </c>
      <c r="D1851" t="str">
        <f>IFERROR(__xludf.DUMMYFUNCTION("""COMPUTED_VALUE"""),"Break My Heart")</f>
        <v>Break My Heart</v>
      </c>
      <c r="E1851" t="str">
        <f>IFERROR(__xludf.DUMMYFUNCTION("""COMPUTED_VALUE"""),"Dua Lipa")</f>
        <v>Dua Lipa</v>
      </c>
      <c r="F1851" t="str">
        <f>IFERROR(__xludf.DUMMYFUNCTION("""COMPUTED_VALUE"""),"Future Nostalgia")</f>
        <v>Future Nostalgia</v>
      </c>
      <c r="G1851">
        <f>IFERROR(__xludf.DUMMYFUNCTION("""COMPUTED_VALUE"""),0.0)</f>
        <v>0</v>
      </c>
      <c r="H1851" s="5">
        <f>IFERROR(__xludf.DUMMYFUNCTION("""COMPUTED_VALUE"""),0.15347222222044365)</f>
        <v>0.1534722222</v>
      </c>
    </row>
    <row r="1852">
      <c r="A1852" t="str">
        <f>IFERROR(__xludf.DUMMYFUNCTION("""COMPUTED_VALUE"""),"Malta")</f>
        <v>Malta</v>
      </c>
      <c r="B1852" t="str">
        <f>IFERROR(__xludf.DUMMYFUNCTION("""COMPUTED_VALUE"""),"Europe")</f>
        <v>Europe</v>
      </c>
      <c r="C1852">
        <f>IFERROR(__xludf.DUMMYFUNCTION("""COMPUTED_VALUE"""),1.0)</f>
        <v>1</v>
      </c>
      <c r="D1852" t="str">
        <f>IFERROR(__xludf.DUMMYFUNCTION("""COMPUTED_VALUE"""),"All I Want for Christmas Is You")</f>
        <v>All I Want for Christmas Is You</v>
      </c>
      <c r="E1852" t="str">
        <f>IFERROR(__xludf.DUMMYFUNCTION("""COMPUTED_VALUE"""),"Mariah Carey")</f>
        <v>Mariah Carey</v>
      </c>
      <c r="F1852" t="str">
        <f>IFERROR(__xludf.DUMMYFUNCTION("""COMPUTED_VALUE"""),"Merry Christmas")</f>
        <v>Merry Christmas</v>
      </c>
      <c r="G1852">
        <f>IFERROR(__xludf.DUMMYFUNCTION("""COMPUTED_VALUE"""),0.0)</f>
        <v>0</v>
      </c>
      <c r="H1852" s="5">
        <f>IFERROR(__xludf.DUMMYFUNCTION("""COMPUTED_VALUE"""),0.16736111111094942)</f>
        <v>0.1673611111</v>
      </c>
    </row>
    <row r="1853">
      <c r="A1853" t="str">
        <f>IFERROR(__xludf.DUMMYFUNCTION("""COMPUTED_VALUE"""),"Malta")</f>
        <v>Malta</v>
      </c>
      <c r="B1853" t="str">
        <f>IFERROR(__xludf.DUMMYFUNCTION("""COMPUTED_VALUE"""),"Europe")</f>
        <v>Europe</v>
      </c>
      <c r="C1853">
        <f>IFERROR(__xludf.DUMMYFUNCTION("""COMPUTED_VALUE"""),2.0)</f>
        <v>2</v>
      </c>
      <c r="D1853" t="str">
        <f>IFERROR(__xludf.DUMMYFUNCTION("""COMPUTED_VALUE"""),"Last Christmas")</f>
        <v>Last Christmas</v>
      </c>
      <c r="E1853" t="str">
        <f>IFERROR(__xludf.DUMMYFUNCTION("""COMPUTED_VALUE"""),"Wham!")</f>
        <v>Wham!</v>
      </c>
      <c r="F1853" t="str">
        <f>IFERROR(__xludf.DUMMYFUNCTION("""COMPUTED_VALUE"""),"LAST CHRISTMAS")</f>
        <v>LAST CHRISTMAS</v>
      </c>
      <c r="G1853">
        <f>IFERROR(__xludf.DUMMYFUNCTION("""COMPUTED_VALUE"""),0.0)</f>
        <v>0</v>
      </c>
      <c r="H1853" s="5">
        <f>IFERROR(__xludf.DUMMYFUNCTION("""COMPUTED_VALUE"""),0.1819444444445253)</f>
        <v>0.1819444444</v>
      </c>
    </row>
    <row r="1854">
      <c r="A1854" t="str">
        <f>IFERROR(__xludf.DUMMYFUNCTION("""COMPUTED_VALUE"""),"Malta")</f>
        <v>Malta</v>
      </c>
      <c r="B1854" t="str">
        <f>IFERROR(__xludf.DUMMYFUNCTION("""COMPUTED_VALUE"""),"Europe")</f>
        <v>Europe</v>
      </c>
      <c r="C1854">
        <f>IFERROR(__xludf.DUMMYFUNCTION("""COMPUTED_VALUE"""),3.0)</f>
        <v>3</v>
      </c>
      <c r="D1854" t="str">
        <f>IFERROR(__xludf.DUMMYFUNCTION("""COMPUTED_VALUE"""),"It's the Most Wonderful Time of the Year")</f>
        <v>It's the Most Wonderful Time of the Year</v>
      </c>
      <c r="E1854" t="str">
        <f>IFERROR(__xludf.DUMMYFUNCTION("""COMPUTED_VALUE"""),"Andy Williams")</f>
        <v>Andy Williams</v>
      </c>
      <c r="F1854" t="str">
        <f>IFERROR(__xludf.DUMMYFUNCTION("""COMPUTED_VALUE"""),"The Andy Williams Christmas Album")</f>
        <v>The Andy Williams Christmas Album</v>
      </c>
      <c r="G1854">
        <f>IFERROR(__xludf.DUMMYFUNCTION("""COMPUTED_VALUE"""),0.0)</f>
        <v>0</v>
      </c>
      <c r="H1854" s="5">
        <f>IFERROR(__xludf.DUMMYFUNCTION("""COMPUTED_VALUE"""),0.10486111111094942)</f>
        <v>0.1048611111</v>
      </c>
    </row>
    <row r="1855">
      <c r="A1855" t="str">
        <f>IFERROR(__xludf.DUMMYFUNCTION("""COMPUTED_VALUE"""),"Malta")</f>
        <v>Malta</v>
      </c>
      <c r="B1855" t="str">
        <f>IFERROR(__xludf.DUMMYFUNCTION("""COMPUTED_VALUE"""),"Europe")</f>
        <v>Europe</v>
      </c>
      <c r="C1855">
        <f>IFERROR(__xludf.DUMMYFUNCTION("""COMPUTED_VALUE"""),4.0)</f>
        <v>4</v>
      </c>
      <c r="D1855" t="str">
        <f>IFERROR(__xludf.DUMMYFUNCTION("""COMPUTED_VALUE"""),"Rockin' Around The Christmas Tree")</f>
        <v>Rockin' Around The Christmas Tree</v>
      </c>
      <c r="E1855" t="str">
        <f>IFERROR(__xludf.DUMMYFUNCTION("""COMPUTED_VALUE"""),"Brenda Lee")</f>
        <v>Brenda Lee</v>
      </c>
      <c r="F1855" t="str">
        <f>IFERROR(__xludf.DUMMYFUNCTION("""COMPUTED_VALUE"""),"Merry Christmas From Brenda Lee")</f>
        <v>Merry Christmas From Brenda Lee</v>
      </c>
      <c r="G1855">
        <f>IFERROR(__xludf.DUMMYFUNCTION("""COMPUTED_VALUE"""),0.0)</f>
        <v>0</v>
      </c>
      <c r="H1855" s="5">
        <f>IFERROR(__xludf.DUMMYFUNCTION("""COMPUTED_VALUE"""),0.08750000000145519)</f>
        <v>0.0875</v>
      </c>
    </row>
    <row r="1856">
      <c r="A1856" t="str">
        <f>IFERROR(__xludf.DUMMYFUNCTION("""COMPUTED_VALUE"""),"Malta")</f>
        <v>Malta</v>
      </c>
      <c r="B1856" t="str">
        <f>IFERROR(__xludf.DUMMYFUNCTION("""COMPUTED_VALUE"""),"Europe")</f>
        <v>Europe</v>
      </c>
      <c r="C1856">
        <f>IFERROR(__xludf.DUMMYFUNCTION("""COMPUTED_VALUE"""),5.0)</f>
        <v>5</v>
      </c>
      <c r="D1856" t="str">
        <f>IFERROR(__xludf.DUMMYFUNCTION("""COMPUTED_VALUE"""),"Jingle Bell Rock")</f>
        <v>Jingle Bell Rock</v>
      </c>
      <c r="E1856" t="str">
        <f>IFERROR(__xludf.DUMMYFUNCTION("""COMPUTED_VALUE"""),"Bobby Helms")</f>
        <v>Bobby Helms</v>
      </c>
      <c r="F1856" t="str">
        <f>IFERROR(__xludf.DUMMYFUNCTION("""COMPUTED_VALUE"""),"The Classic Years: 1956-1962")</f>
        <v>The Classic Years: 1956-1962</v>
      </c>
      <c r="G1856">
        <f>IFERROR(__xludf.DUMMYFUNCTION("""COMPUTED_VALUE"""),0.0)</f>
        <v>0</v>
      </c>
      <c r="H1856" s="5">
        <f>IFERROR(__xludf.DUMMYFUNCTION("""COMPUTED_VALUE"""),0.09027777777737356)</f>
        <v>0.09027777778</v>
      </c>
    </row>
    <row r="1857">
      <c r="A1857" t="str">
        <f>IFERROR(__xludf.DUMMYFUNCTION("""COMPUTED_VALUE"""),"Malta")</f>
        <v>Malta</v>
      </c>
      <c r="B1857" t="str">
        <f>IFERROR(__xludf.DUMMYFUNCTION("""COMPUTED_VALUE"""),"Europe")</f>
        <v>Europe</v>
      </c>
      <c r="C1857">
        <f>IFERROR(__xludf.DUMMYFUNCTION("""COMPUTED_VALUE"""),6.0)</f>
        <v>6</v>
      </c>
      <c r="D1857" t="str">
        <f>IFERROR(__xludf.DUMMYFUNCTION("""COMPUTED_VALUE"""),"It's Beginning to Look a Lot like Christmas")</f>
        <v>It's Beginning to Look a Lot like Christmas</v>
      </c>
      <c r="E1857" t="str">
        <f>IFERROR(__xludf.DUMMYFUNCTION("""COMPUTED_VALUE"""),"Michael Bublé")</f>
        <v>Michael Bublé</v>
      </c>
      <c r="F1857" t="str">
        <f>IFERROR(__xludf.DUMMYFUNCTION("""COMPUTED_VALUE"""),"Christmas (Deluxe Special Edition)")</f>
        <v>Christmas (Deluxe Special Edition)</v>
      </c>
      <c r="G1857">
        <f>IFERROR(__xludf.DUMMYFUNCTION("""COMPUTED_VALUE"""),0.0)</f>
        <v>0</v>
      </c>
      <c r="H1857" s="5">
        <f>IFERROR(__xludf.DUMMYFUNCTION("""COMPUTED_VALUE"""),0.1437499999992724)</f>
        <v>0.14375</v>
      </c>
    </row>
    <row r="1858">
      <c r="A1858" t="str">
        <f>IFERROR(__xludf.DUMMYFUNCTION("""COMPUTED_VALUE"""),"Malta")</f>
        <v>Malta</v>
      </c>
      <c r="B1858" t="str">
        <f>IFERROR(__xludf.DUMMYFUNCTION("""COMPUTED_VALUE"""),"Europe")</f>
        <v>Europe</v>
      </c>
      <c r="C1858">
        <f>IFERROR(__xludf.DUMMYFUNCTION("""COMPUTED_VALUE"""),7.0)</f>
        <v>7</v>
      </c>
      <c r="D1858" t="str">
        <f>IFERROR(__xludf.DUMMYFUNCTION("""COMPUTED_VALUE"""),"Feliz Navidad")</f>
        <v>Feliz Navidad</v>
      </c>
      <c r="E1858" t="str">
        <f>IFERROR(__xludf.DUMMYFUNCTION("""COMPUTED_VALUE"""),"José Feliciano")</f>
        <v>José Feliciano</v>
      </c>
      <c r="F1858" t="str">
        <f>IFERROR(__xludf.DUMMYFUNCTION("""COMPUTED_VALUE"""),"My Name Is José Feliciano")</f>
        <v>My Name Is José Feliciano</v>
      </c>
      <c r="G1858">
        <f>IFERROR(__xludf.DUMMYFUNCTION("""COMPUTED_VALUE"""),0.0)</f>
        <v>0</v>
      </c>
      <c r="H1858" s="5">
        <f>IFERROR(__xludf.DUMMYFUNCTION("""COMPUTED_VALUE"""),0.12638888888977817)</f>
        <v>0.1263888889</v>
      </c>
    </row>
    <row r="1859">
      <c r="A1859" t="str">
        <f>IFERROR(__xludf.DUMMYFUNCTION("""COMPUTED_VALUE"""),"Malta")</f>
        <v>Malta</v>
      </c>
      <c r="B1859" t="str">
        <f>IFERROR(__xludf.DUMMYFUNCTION("""COMPUTED_VALUE"""),"Europe")</f>
        <v>Europe</v>
      </c>
      <c r="C1859">
        <f>IFERROR(__xludf.DUMMYFUNCTION("""COMPUTED_VALUE"""),8.0)</f>
        <v>8</v>
      </c>
      <c r="D1859" t="str">
        <f>IFERROR(__xludf.DUMMYFUNCTION("""COMPUTED_VALUE"""),"Let It Snow! Let It Snow! Let It Snow! (with The B. Swanson Quartet)")</f>
        <v>Let It Snow! Let It Snow! Let It Snow! (with The B. Swanson Quartet)</v>
      </c>
      <c r="E1859" t="str">
        <f>IFERROR(__xludf.DUMMYFUNCTION("""COMPUTED_VALUE"""),"Frank Sinatra, B. Swanson Quartet")</f>
        <v>Frank Sinatra, B. Swanson Quartet</v>
      </c>
      <c r="F1859" t="str">
        <f>IFERROR(__xludf.DUMMYFUNCTION("""COMPUTED_VALUE"""),"Christmas Songs by Sinatra")</f>
        <v>Christmas Songs by Sinatra</v>
      </c>
      <c r="G1859">
        <f>IFERROR(__xludf.DUMMYFUNCTION("""COMPUTED_VALUE"""),0.0)</f>
        <v>0</v>
      </c>
      <c r="H1859" s="5">
        <f>IFERROR(__xludf.DUMMYFUNCTION("""COMPUTED_VALUE"""),0.10763888889050577)</f>
        <v>0.1076388889</v>
      </c>
    </row>
    <row r="1860">
      <c r="A1860" t="str">
        <f>IFERROR(__xludf.DUMMYFUNCTION("""COMPUTED_VALUE"""),"Malta")</f>
        <v>Malta</v>
      </c>
      <c r="B1860" t="str">
        <f>IFERROR(__xludf.DUMMYFUNCTION("""COMPUTED_VALUE"""),"Europe")</f>
        <v>Europe</v>
      </c>
      <c r="C1860">
        <f>IFERROR(__xludf.DUMMYFUNCTION("""COMPUTED_VALUE"""),9.0)</f>
        <v>9</v>
      </c>
      <c r="D1860" t="str">
        <f>IFERROR(__xludf.DUMMYFUNCTION("""COMPUTED_VALUE"""),"Dance Monkey")</f>
        <v>Dance Monkey</v>
      </c>
      <c r="E1860" t="str">
        <f>IFERROR(__xludf.DUMMYFUNCTION("""COMPUTED_VALUE"""),"Tones And I")</f>
        <v>Tones And I</v>
      </c>
      <c r="F1860" t="str">
        <f>IFERROR(__xludf.DUMMYFUNCTION("""COMPUTED_VALUE"""),"Dance Monkey (Stripped Back) / Dance Monkey")</f>
        <v>Dance Monkey (Stripped Back) / Dance Monkey</v>
      </c>
      <c r="G1860">
        <f>IFERROR(__xludf.DUMMYFUNCTION("""COMPUTED_VALUE"""),0.0)</f>
        <v>0</v>
      </c>
      <c r="H1860" s="5">
        <f>IFERROR(__xludf.DUMMYFUNCTION("""COMPUTED_VALUE"""),0.14513888888905058)</f>
        <v>0.1451388889</v>
      </c>
    </row>
    <row r="1861">
      <c r="A1861" t="str">
        <f>IFERROR(__xludf.DUMMYFUNCTION("""COMPUTED_VALUE"""),"Malta")</f>
        <v>Malta</v>
      </c>
      <c r="B1861" t="str">
        <f>IFERROR(__xludf.DUMMYFUNCTION("""COMPUTED_VALUE"""),"Europe")</f>
        <v>Europe</v>
      </c>
      <c r="C1861">
        <f>IFERROR(__xludf.DUMMYFUNCTION("""COMPUTED_VALUE"""),10.0)</f>
        <v>10</v>
      </c>
      <c r="D1861" t="str">
        <f>IFERROR(__xludf.DUMMYFUNCTION("""COMPUTED_VALUE"""),"Holly Jolly Christmas")</f>
        <v>Holly Jolly Christmas</v>
      </c>
      <c r="E1861" t="str">
        <f>IFERROR(__xludf.DUMMYFUNCTION("""COMPUTED_VALUE"""),"Michael Bublé")</f>
        <v>Michael Bublé</v>
      </c>
      <c r="F1861" t="str">
        <f>IFERROR(__xludf.DUMMYFUNCTION("""COMPUTED_VALUE"""),"Christmas (Deluxe Special Edition)")</f>
        <v>Christmas (Deluxe Special Edition)</v>
      </c>
      <c r="G1861">
        <f>IFERROR(__xludf.DUMMYFUNCTION("""COMPUTED_VALUE"""),0.0)</f>
        <v>0</v>
      </c>
      <c r="H1861" s="5">
        <f>IFERROR(__xludf.DUMMYFUNCTION("""COMPUTED_VALUE"""),0.08402777777882875)</f>
        <v>0.08402777778</v>
      </c>
    </row>
    <row r="1862">
      <c r="A1862" t="str">
        <f>IFERROR(__xludf.DUMMYFUNCTION("""COMPUTED_VALUE"""),"Malta")</f>
        <v>Malta</v>
      </c>
      <c r="B1862" t="str">
        <f>IFERROR(__xludf.DUMMYFUNCTION("""COMPUTED_VALUE"""),"Europe")</f>
        <v>Europe</v>
      </c>
      <c r="C1862">
        <f>IFERROR(__xludf.DUMMYFUNCTION("""COMPUTED_VALUE"""),11.0)</f>
        <v>11</v>
      </c>
      <c r="D1862" t="str">
        <f>IFERROR(__xludf.DUMMYFUNCTION("""COMPUTED_VALUE"""),"Do They Know It's Christmas? - 1984 Version")</f>
        <v>Do They Know It's Christmas? - 1984 Version</v>
      </c>
      <c r="E1862" t="str">
        <f>IFERROR(__xludf.DUMMYFUNCTION("""COMPUTED_VALUE"""),"Band Aid")</f>
        <v>Band Aid</v>
      </c>
      <c r="F1862" t="str">
        <f>IFERROR(__xludf.DUMMYFUNCTION("""COMPUTED_VALUE"""),"Do They Know It's Christmas?")</f>
        <v>Do They Know It's Christmas?</v>
      </c>
      <c r="G1862">
        <f>IFERROR(__xludf.DUMMYFUNCTION("""COMPUTED_VALUE"""),0.0)</f>
        <v>0</v>
      </c>
      <c r="H1862" s="5">
        <f>IFERROR(__xludf.DUMMYFUNCTION("""COMPUTED_VALUE"""),0.15416666666715173)</f>
        <v>0.1541666667</v>
      </c>
    </row>
    <row r="1863">
      <c r="A1863" t="str">
        <f>IFERROR(__xludf.DUMMYFUNCTION("""COMPUTED_VALUE"""),"Malta")</f>
        <v>Malta</v>
      </c>
      <c r="B1863" t="str">
        <f>IFERROR(__xludf.DUMMYFUNCTION("""COMPUTED_VALUE"""),"Europe")</f>
        <v>Europe</v>
      </c>
      <c r="C1863">
        <f>IFERROR(__xludf.DUMMYFUNCTION("""COMPUTED_VALUE"""),12.0)</f>
        <v>12</v>
      </c>
      <c r="D1863" t="str">
        <f>IFERROR(__xludf.DUMMYFUNCTION("""COMPUTED_VALUE"""),"Santa Tell Me")</f>
        <v>Santa Tell Me</v>
      </c>
      <c r="E1863" t="str">
        <f>IFERROR(__xludf.DUMMYFUNCTION("""COMPUTED_VALUE"""),"Ariana Grande")</f>
        <v>Ariana Grande</v>
      </c>
      <c r="F1863" t="str">
        <f>IFERROR(__xludf.DUMMYFUNCTION("""COMPUTED_VALUE"""),"Santa Tell Me")</f>
        <v>Santa Tell Me</v>
      </c>
      <c r="G1863">
        <f>IFERROR(__xludf.DUMMYFUNCTION("""COMPUTED_VALUE"""),0.0)</f>
        <v>0</v>
      </c>
      <c r="H1863" s="5">
        <f>IFERROR(__xludf.DUMMYFUNCTION("""COMPUTED_VALUE"""),0.14166666666642413)</f>
        <v>0.1416666667</v>
      </c>
    </row>
    <row r="1864">
      <c r="A1864" t="str">
        <f>IFERROR(__xludf.DUMMYFUNCTION("""COMPUTED_VALUE"""),"Malta")</f>
        <v>Malta</v>
      </c>
      <c r="B1864" t="str">
        <f>IFERROR(__xludf.DUMMYFUNCTION("""COMPUTED_VALUE"""),"Europe")</f>
        <v>Europe</v>
      </c>
      <c r="C1864">
        <f>IFERROR(__xludf.DUMMYFUNCTION("""COMPUTED_VALUE"""),13.0)</f>
        <v>13</v>
      </c>
      <c r="D1864" t="str">
        <f>IFERROR(__xludf.DUMMYFUNCTION("""COMPUTED_VALUE"""),"Happy Xmas (War Is Over) - Remastered")</f>
        <v>Happy Xmas (War Is Over) - Remastered</v>
      </c>
      <c r="E1864" t="str">
        <f>IFERROR(__xludf.DUMMYFUNCTION("""COMPUTED_VALUE"""),"John Lennon, The Harlem Community Choir, The Plastic Ono Band, Yoko Ono")</f>
        <v>John Lennon, The Harlem Community Choir, The Plastic Ono Band, Yoko Ono</v>
      </c>
      <c r="F1864" t="str">
        <f>IFERROR(__xludf.DUMMYFUNCTION("""COMPUTED_VALUE"""),"Power To The People - The Hits")</f>
        <v>Power To The People - The Hits</v>
      </c>
      <c r="G1864">
        <f>IFERROR(__xludf.DUMMYFUNCTION("""COMPUTED_VALUE"""),0.0)</f>
        <v>0</v>
      </c>
      <c r="H1864" s="5">
        <f>IFERROR(__xludf.DUMMYFUNCTION("""COMPUTED_VALUE"""),0.14791666666496894)</f>
        <v>0.1479166667</v>
      </c>
    </row>
    <row r="1865">
      <c r="A1865" t="str">
        <f>IFERROR(__xludf.DUMMYFUNCTION("""COMPUTED_VALUE"""),"Malta")</f>
        <v>Malta</v>
      </c>
      <c r="B1865" t="str">
        <f>IFERROR(__xludf.DUMMYFUNCTION("""COMPUTED_VALUE"""),"Europe")</f>
        <v>Europe</v>
      </c>
      <c r="C1865">
        <f>IFERROR(__xludf.DUMMYFUNCTION("""COMPUTED_VALUE"""),14.0)</f>
        <v>14</v>
      </c>
      <c r="D1865" t="str">
        <f>IFERROR(__xludf.DUMMYFUNCTION("""COMPUTED_VALUE"""),"It's Beginning to Look a Lot Like Christmas (with Mitchell Ayres &amp; His Orchestra)")</f>
        <v>It's Beginning to Look a Lot Like Christmas (with Mitchell Ayres &amp; His Orchestra)</v>
      </c>
      <c r="E1865" t="str">
        <f>IFERROR(__xludf.DUMMYFUNCTION("""COMPUTED_VALUE"""),"Perry Como, The Fontane Sisters, Mitchell Ayres &amp; His Orchestra")</f>
        <v>Perry Como, The Fontane Sisters, Mitchell Ayres &amp; His Orchestra</v>
      </c>
      <c r="F1865" t="str">
        <f>IFERROR(__xludf.DUMMYFUNCTION("""COMPUTED_VALUE"""),"Greatest Christmas Songs")</f>
        <v>Greatest Christmas Songs</v>
      </c>
      <c r="G1865">
        <f>IFERROR(__xludf.DUMMYFUNCTION("""COMPUTED_VALUE"""),0.0)</f>
        <v>0</v>
      </c>
      <c r="H1865" s="5">
        <f>IFERROR(__xludf.DUMMYFUNCTION("""COMPUTED_VALUE"""),0.10763888889050577)</f>
        <v>0.1076388889</v>
      </c>
    </row>
    <row r="1866">
      <c r="A1866" t="str">
        <f>IFERROR(__xludf.DUMMYFUNCTION("""COMPUTED_VALUE"""),"Malta")</f>
        <v>Malta</v>
      </c>
      <c r="B1866" t="str">
        <f>IFERROR(__xludf.DUMMYFUNCTION("""COMPUTED_VALUE"""),"Europe")</f>
        <v>Europe</v>
      </c>
      <c r="C1866">
        <f>IFERROR(__xludf.DUMMYFUNCTION("""COMPUTED_VALUE"""),15.0)</f>
        <v>15</v>
      </c>
      <c r="D1866" t="str">
        <f>IFERROR(__xludf.DUMMYFUNCTION("""COMPUTED_VALUE"""),"The Christmas Song (Merry Christmas To You)")</f>
        <v>The Christmas Song (Merry Christmas To You)</v>
      </c>
      <c r="E1866" t="str">
        <f>IFERROR(__xludf.DUMMYFUNCTION("""COMPUTED_VALUE"""),"Nat King Cole")</f>
        <v>Nat King Cole</v>
      </c>
      <c r="F1866" t="str">
        <f>IFERROR(__xludf.DUMMYFUNCTION("""COMPUTED_VALUE"""),"The Christmas Song (Expanded Edition)")</f>
        <v>The Christmas Song (Expanded Edition)</v>
      </c>
      <c r="G1866">
        <f>IFERROR(__xludf.DUMMYFUNCTION("""COMPUTED_VALUE"""),0.0)</f>
        <v>0</v>
      </c>
      <c r="H1866" s="5">
        <f>IFERROR(__xludf.DUMMYFUNCTION("""COMPUTED_VALUE"""),0.13333333333503106)</f>
        <v>0.1333333333</v>
      </c>
    </row>
    <row r="1867">
      <c r="A1867" t="str">
        <f>IFERROR(__xludf.DUMMYFUNCTION("""COMPUTED_VALUE"""),"Malta")</f>
        <v>Malta</v>
      </c>
      <c r="B1867" t="str">
        <f>IFERROR(__xludf.DUMMYFUNCTION("""COMPUTED_VALUE"""),"Europe")</f>
        <v>Europe</v>
      </c>
      <c r="C1867">
        <f>IFERROR(__xludf.DUMMYFUNCTION("""COMPUTED_VALUE"""),16.0)</f>
        <v>16</v>
      </c>
      <c r="D1867" t="str">
        <f>IFERROR(__xludf.DUMMYFUNCTION("""COMPUTED_VALUE"""),"Christmas (Baby Please Come Home)")</f>
        <v>Christmas (Baby Please Come Home)</v>
      </c>
      <c r="E1867" t="str">
        <f>IFERROR(__xludf.DUMMYFUNCTION("""COMPUTED_VALUE"""),"Darlene Love")</f>
        <v>Darlene Love</v>
      </c>
      <c r="F1867" t="str">
        <f>IFERROR(__xludf.DUMMYFUNCTION("""COMPUTED_VALUE"""),"Caroling at Christmas")</f>
        <v>Caroling at Christmas</v>
      </c>
      <c r="G1867">
        <f>IFERROR(__xludf.DUMMYFUNCTION("""COMPUTED_VALUE"""),0.0)</f>
        <v>0</v>
      </c>
      <c r="H1867" s="5">
        <f>IFERROR(__xludf.DUMMYFUNCTION("""COMPUTED_VALUE"""),0.11527777777882875)</f>
        <v>0.1152777778</v>
      </c>
    </row>
    <row r="1868">
      <c r="A1868" t="str">
        <f>IFERROR(__xludf.DUMMYFUNCTION("""COMPUTED_VALUE"""),"Malta")</f>
        <v>Malta</v>
      </c>
      <c r="B1868" t="str">
        <f>IFERROR(__xludf.DUMMYFUNCTION("""COMPUTED_VALUE"""),"Europe")</f>
        <v>Europe</v>
      </c>
      <c r="C1868">
        <f>IFERROR(__xludf.DUMMYFUNCTION("""COMPUTED_VALUE"""),17.0)</f>
        <v>17</v>
      </c>
      <c r="D1868" t="str">
        <f>IFERROR(__xludf.DUMMYFUNCTION("""COMPUTED_VALUE"""),"Underneath the Tree")</f>
        <v>Underneath the Tree</v>
      </c>
      <c r="E1868" t="str">
        <f>IFERROR(__xludf.DUMMYFUNCTION("""COMPUTED_VALUE"""),"Kelly Clarkson")</f>
        <v>Kelly Clarkson</v>
      </c>
      <c r="F1868" t="str">
        <f>IFERROR(__xludf.DUMMYFUNCTION("""COMPUTED_VALUE"""),"Wrapped In Red")</f>
        <v>Wrapped In Red</v>
      </c>
      <c r="G1868">
        <f>IFERROR(__xludf.DUMMYFUNCTION("""COMPUTED_VALUE"""),0.0)</f>
        <v>0</v>
      </c>
      <c r="H1868" s="5">
        <f>IFERROR(__xludf.DUMMYFUNCTION("""COMPUTED_VALUE"""),0.15902777777955635)</f>
        <v>0.1590277778</v>
      </c>
    </row>
    <row r="1869">
      <c r="A1869" t="str">
        <f>IFERROR(__xludf.DUMMYFUNCTION("""COMPUTED_VALUE"""),"Malta")</f>
        <v>Malta</v>
      </c>
      <c r="B1869" t="str">
        <f>IFERROR(__xludf.DUMMYFUNCTION("""COMPUTED_VALUE"""),"Europe")</f>
        <v>Europe</v>
      </c>
      <c r="C1869">
        <f>IFERROR(__xludf.DUMMYFUNCTION("""COMPUTED_VALUE"""),18.0)</f>
        <v>18</v>
      </c>
      <c r="D1869" t="str">
        <f>IFERROR(__xludf.DUMMYFUNCTION("""COMPUTED_VALUE"""),"A Holly Jolly Christmas - Single Version")</f>
        <v>A Holly Jolly Christmas - Single Version</v>
      </c>
      <c r="E1869" t="str">
        <f>IFERROR(__xludf.DUMMYFUNCTION("""COMPUTED_VALUE"""),"Burl Ives")</f>
        <v>Burl Ives</v>
      </c>
      <c r="F1869" t="str">
        <f>IFERROR(__xludf.DUMMYFUNCTION("""COMPUTED_VALUE"""),"Christmas Eve")</f>
        <v>Christmas Eve</v>
      </c>
      <c r="G1869">
        <f>IFERROR(__xludf.DUMMYFUNCTION("""COMPUTED_VALUE"""),0.0)</f>
        <v>0</v>
      </c>
      <c r="H1869" s="5">
        <f>IFERROR(__xludf.DUMMYFUNCTION("""COMPUTED_VALUE"""),0.09236111111022183)</f>
        <v>0.09236111111</v>
      </c>
    </row>
    <row r="1870">
      <c r="A1870" t="str">
        <f>IFERROR(__xludf.DUMMYFUNCTION("""COMPUTED_VALUE"""),"Malta")</f>
        <v>Malta</v>
      </c>
      <c r="B1870" t="str">
        <f>IFERROR(__xludf.DUMMYFUNCTION("""COMPUTED_VALUE"""),"Europe")</f>
        <v>Europe</v>
      </c>
      <c r="C1870">
        <f>IFERROR(__xludf.DUMMYFUNCTION("""COMPUTED_VALUE"""),19.0)</f>
        <v>19</v>
      </c>
      <c r="D1870" t="str">
        <f>IFERROR(__xludf.DUMMYFUNCTION("""COMPUTED_VALUE"""),"Wonderful Christmastime - Edited Version / Remastered 2011")</f>
        <v>Wonderful Christmastime - Edited Version / Remastered 2011</v>
      </c>
      <c r="E1870" t="str">
        <f>IFERROR(__xludf.DUMMYFUNCTION("""COMPUTED_VALUE"""),"Paul McCartney")</f>
        <v>Paul McCartney</v>
      </c>
      <c r="F1870" t="str">
        <f>IFERROR(__xludf.DUMMYFUNCTION("""COMPUTED_VALUE"""),"McCartney II")</f>
        <v>McCartney II</v>
      </c>
      <c r="G1870">
        <f>IFERROR(__xludf.DUMMYFUNCTION("""COMPUTED_VALUE"""),0.0)</f>
        <v>0</v>
      </c>
      <c r="H1870" s="5">
        <f>IFERROR(__xludf.DUMMYFUNCTION("""COMPUTED_VALUE"""),0.15763888888977817)</f>
        <v>0.1576388889</v>
      </c>
    </row>
    <row r="1871">
      <c r="A1871" t="str">
        <f>IFERROR(__xludf.DUMMYFUNCTION("""COMPUTED_VALUE"""),"Malta")</f>
        <v>Malta</v>
      </c>
      <c r="B1871" t="str">
        <f>IFERROR(__xludf.DUMMYFUNCTION("""COMPUTED_VALUE"""),"Europe")</f>
        <v>Europe</v>
      </c>
      <c r="C1871">
        <f>IFERROR(__xludf.DUMMYFUNCTION("""COMPUTED_VALUE"""),20.0)</f>
        <v>20</v>
      </c>
      <c r="D1871" t="str">
        <f>IFERROR(__xludf.DUMMYFUNCTION("""COMPUTED_VALUE"""),"White Christmas")</f>
        <v>White Christmas</v>
      </c>
      <c r="E1871" t="str">
        <f>IFERROR(__xludf.DUMMYFUNCTION("""COMPUTED_VALUE"""),"Bing Crosby, Ken Darby Singers, John Scott Trotter &amp; His Orchestra")</f>
        <v>Bing Crosby, Ken Darby Singers, John Scott Trotter &amp; His Orchestra</v>
      </c>
      <c r="F1871" t="str">
        <f>IFERROR(__xludf.DUMMYFUNCTION("""COMPUTED_VALUE"""),"Holiday Inn (Original Motion Picture Soundtrack)")</f>
        <v>Holiday Inn (Original Motion Picture Soundtrack)</v>
      </c>
      <c r="G1871">
        <f>IFERROR(__xludf.DUMMYFUNCTION("""COMPUTED_VALUE"""),0.0)</f>
        <v>0</v>
      </c>
      <c r="H1871" s="5">
        <f>IFERROR(__xludf.DUMMYFUNCTION("""COMPUTED_VALUE"""),0.12291666666715173)</f>
        <v>0.1229166667</v>
      </c>
    </row>
    <row r="1872">
      <c r="A1872" t="str">
        <f>IFERROR(__xludf.DUMMYFUNCTION("""COMPUTED_VALUE"""),"Malta")</f>
        <v>Malta</v>
      </c>
      <c r="B1872" t="str">
        <f>IFERROR(__xludf.DUMMYFUNCTION("""COMPUTED_VALUE"""),"Europe")</f>
        <v>Europe</v>
      </c>
      <c r="C1872">
        <f>IFERROR(__xludf.DUMMYFUNCTION("""COMPUTED_VALUE"""),21.0)</f>
        <v>21</v>
      </c>
      <c r="D1872" t="str">
        <f>IFERROR(__xludf.DUMMYFUNCTION("""COMPUTED_VALUE"""),"Mistletoe")</f>
        <v>Mistletoe</v>
      </c>
      <c r="E1872" t="str">
        <f>IFERROR(__xludf.DUMMYFUNCTION("""COMPUTED_VALUE"""),"Justin Bieber")</f>
        <v>Justin Bieber</v>
      </c>
      <c r="F1872" t="str">
        <f>IFERROR(__xludf.DUMMYFUNCTION("""COMPUTED_VALUE"""),"Under The Mistletoe (Deluxe Edition)")</f>
        <v>Under The Mistletoe (Deluxe Edition)</v>
      </c>
      <c r="G1872">
        <f>IFERROR(__xludf.DUMMYFUNCTION("""COMPUTED_VALUE"""),0.0)</f>
        <v>0</v>
      </c>
      <c r="H1872" s="5">
        <f>IFERROR(__xludf.DUMMYFUNCTION("""COMPUTED_VALUE"""),0.12638888888977817)</f>
        <v>0.1263888889</v>
      </c>
    </row>
    <row r="1873">
      <c r="A1873" t="str">
        <f>IFERROR(__xludf.DUMMYFUNCTION("""COMPUTED_VALUE"""),"Malta")</f>
        <v>Malta</v>
      </c>
      <c r="B1873" t="str">
        <f>IFERROR(__xludf.DUMMYFUNCTION("""COMPUTED_VALUE"""),"Europe")</f>
        <v>Europe</v>
      </c>
      <c r="C1873">
        <f>IFERROR(__xludf.DUMMYFUNCTION("""COMPUTED_VALUE"""),22.0)</f>
        <v>22</v>
      </c>
      <c r="D1873" t="str">
        <f>IFERROR(__xludf.DUMMYFUNCTION("""COMPUTED_VALUE"""),"Santa Claus Is Coming to Town")</f>
        <v>Santa Claus Is Coming to Town</v>
      </c>
      <c r="E1873" t="str">
        <f>IFERROR(__xludf.DUMMYFUNCTION("""COMPUTED_VALUE"""),"Michael Bublé")</f>
        <v>Michael Bublé</v>
      </c>
      <c r="F1873" t="str">
        <f>IFERROR(__xludf.DUMMYFUNCTION("""COMPUTED_VALUE"""),"Christmas (Deluxe Special Edition)")</f>
        <v>Christmas (Deluxe Special Edition)</v>
      </c>
      <c r="G1873">
        <f>IFERROR(__xludf.DUMMYFUNCTION("""COMPUTED_VALUE"""),0.0)</f>
        <v>0</v>
      </c>
      <c r="H1873" s="5">
        <f>IFERROR(__xludf.DUMMYFUNCTION("""COMPUTED_VALUE"""),0.11875000000145519)</f>
        <v>0.11875</v>
      </c>
    </row>
    <row r="1874">
      <c r="A1874" t="str">
        <f>IFERROR(__xludf.DUMMYFUNCTION("""COMPUTED_VALUE"""),"Malta")</f>
        <v>Malta</v>
      </c>
      <c r="B1874" t="str">
        <f>IFERROR(__xludf.DUMMYFUNCTION("""COMPUTED_VALUE"""),"Europe")</f>
        <v>Europe</v>
      </c>
      <c r="C1874">
        <f>IFERROR(__xludf.DUMMYFUNCTION("""COMPUTED_VALUE"""),23.0)</f>
        <v>23</v>
      </c>
      <c r="D1874" t="str">
        <f>IFERROR(__xludf.DUMMYFUNCTION("""COMPUTED_VALUE"""),"Merry Christmas Everyone")</f>
        <v>Merry Christmas Everyone</v>
      </c>
      <c r="E1874" t="str">
        <f>IFERROR(__xludf.DUMMYFUNCTION("""COMPUTED_VALUE"""),"Shakin' Stevens")</f>
        <v>Shakin' Stevens</v>
      </c>
      <c r="F1874" t="str">
        <f>IFERROR(__xludf.DUMMYFUNCTION("""COMPUTED_VALUE"""),"The Hits Of Shakin' Stevens Vol II")</f>
        <v>The Hits Of Shakin' Stevens Vol II</v>
      </c>
      <c r="G1874">
        <f>IFERROR(__xludf.DUMMYFUNCTION("""COMPUTED_VALUE"""),0.0)</f>
        <v>0</v>
      </c>
      <c r="H1874" s="5">
        <f>IFERROR(__xludf.DUMMYFUNCTION("""COMPUTED_VALUE"""),0.15486111111022183)</f>
        <v>0.1548611111</v>
      </c>
    </row>
    <row r="1875">
      <c r="A1875" t="str">
        <f>IFERROR(__xludf.DUMMYFUNCTION("""COMPUTED_VALUE"""),"Malta")</f>
        <v>Malta</v>
      </c>
      <c r="B1875" t="str">
        <f>IFERROR(__xludf.DUMMYFUNCTION("""COMPUTED_VALUE"""),"Europe")</f>
        <v>Europe</v>
      </c>
      <c r="C1875">
        <f>IFERROR(__xludf.DUMMYFUNCTION("""COMPUTED_VALUE"""),24.0)</f>
        <v>24</v>
      </c>
      <c r="D1875" t="str">
        <f>IFERROR(__xludf.DUMMYFUNCTION("""COMPUTED_VALUE"""),"Blue Christmas")</f>
        <v>Blue Christmas</v>
      </c>
      <c r="E1875" t="str">
        <f>IFERROR(__xludf.DUMMYFUNCTION("""COMPUTED_VALUE"""),"Elvis Presley")</f>
        <v>Elvis Presley</v>
      </c>
      <c r="F1875" t="str">
        <f>IFERROR(__xludf.DUMMYFUNCTION("""COMPUTED_VALUE"""),"Elvis' Christmas Album")</f>
        <v>Elvis' Christmas Album</v>
      </c>
      <c r="G1875">
        <f>IFERROR(__xludf.DUMMYFUNCTION("""COMPUTED_VALUE"""),0.0)</f>
        <v>0</v>
      </c>
      <c r="H1875" s="5">
        <f>IFERROR(__xludf.DUMMYFUNCTION("""COMPUTED_VALUE"""),0.08958333333430346)</f>
        <v>0.08958333333</v>
      </c>
    </row>
    <row r="1876">
      <c r="A1876" t="str">
        <f>IFERROR(__xludf.DUMMYFUNCTION("""COMPUTED_VALUE"""),"Malta")</f>
        <v>Malta</v>
      </c>
      <c r="B1876" t="str">
        <f>IFERROR(__xludf.DUMMYFUNCTION("""COMPUTED_VALUE"""),"Europe")</f>
        <v>Europe</v>
      </c>
      <c r="C1876">
        <f>IFERROR(__xludf.DUMMYFUNCTION("""COMPUTED_VALUE"""),25.0)</f>
        <v>25</v>
      </c>
      <c r="D1876" t="str">
        <f>IFERROR(__xludf.DUMMYFUNCTION("""COMPUTED_VALUE"""),"Let It Snow! Let It Snow! Let It Snow!")</f>
        <v>Let It Snow! Let It Snow! Let It Snow!</v>
      </c>
      <c r="E1876" t="str">
        <f>IFERROR(__xludf.DUMMYFUNCTION("""COMPUTED_VALUE"""),"Dean Martin")</f>
        <v>Dean Martin</v>
      </c>
      <c r="F1876" t="str">
        <f>IFERROR(__xludf.DUMMYFUNCTION("""COMPUTED_VALUE"""),"A Winter Romance")</f>
        <v>A Winter Romance</v>
      </c>
      <c r="G1876">
        <f>IFERROR(__xludf.DUMMYFUNCTION("""COMPUTED_VALUE"""),0.0)</f>
        <v>0</v>
      </c>
      <c r="H1876" s="5">
        <f>IFERROR(__xludf.DUMMYFUNCTION("""COMPUTED_VALUE"""),0.0812499999992724)</f>
        <v>0.08125</v>
      </c>
    </row>
    <row r="1877">
      <c r="A1877" t="str">
        <f>IFERROR(__xludf.DUMMYFUNCTION("""COMPUTED_VALUE"""),"Malta")</f>
        <v>Malta</v>
      </c>
      <c r="B1877" t="str">
        <f>IFERROR(__xludf.DUMMYFUNCTION("""COMPUTED_VALUE"""),"Europe")</f>
        <v>Europe</v>
      </c>
      <c r="C1877">
        <f>IFERROR(__xludf.DUMMYFUNCTION("""COMPUTED_VALUE"""),26.0)</f>
        <v>26</v>
      </c>
      <c r="D1877" t="str">
        <f>IFERROR(__xludf.DUMMYFUNCTION("""COMPUTED_VALUE"""),"Sleigh Ride")</f>
        <v>Sleigh Ride</v>
      </c>
      <c r="E1877" t="str">
        <f>IFERROR(__xludf.DUMMYFUNCTION("""COMPUTED_VALUE"""),"The Ronettes")</f>
        <v>The Ronettes</v>
      </c>
      <c r="F1877" t="str">
        <f>IFERROR(__xludf.DUMMYFUNCTION("""COMPUTED_VALUE"""),"Caroling at Christmas")</f>
        <v>Caroling at Christmas</v>
      </c>
      <c r="G1877">
        <f>IFERROR(__xludf.DUMMYFUNCTION("""COMPUTED_VALUE"""),0.0)</f>
        <v>0</v>
      </c>
      <c r="H1877" s="5">
        <f>IFERROR(__xludf.DUMMYFUNCTION("""COMPUTED_VALUE"""),0.1256944444430701)</f>
        <v>0.1256944444</v>
      </c>
    </row>
    <row r="1878">
      <c r="A1878" t="str">
        <f>IFERROR(__xludf.DUMMYFUNCTION("""COMPUTED_VALUE"""),"Malta")</f>
        <v>Malta</v>
      </c>
      <c r="B1878" t="str">
        <f>IFERROR(__xludf.DUMMYFUNCTION("""COMPUTED_VALUE"""),"Europe")</f>
        <v>Europe</v>
      </c>
      <c r="C1878">
        <f>IFERROR(__xludf.DUMMYFUNCTION("""COMPUTED_VALUE"""),27.0)</f>
        <v>27</v>
      </c>
      <c r="D1878" t="str">
        <f>IFERROR(__xludf.DUMMYFUNCTION("""COMPUTED_VALUE"""),"Jingle Bell Rock - Daryl's Version")</f>
        <v>Jingle Bell Rock - Daryl's Version</v>
      </c>
      <c r="E1878" t="str">
        <f>IFERROR(__xludf.DUMMYFUNCTION("""COMPUTED_VALUE"""),"Daryl Hall &amp; John Oates")</f>
        <v>Daryl Hall &amp; John Oates</v>
      </c>
      <c r="F1878" t="str">
        <f>IFERROR(__xludf.DUMMYFUNCTION("""COMPUTED_VALUE"""),"Jingle Bell Rock")</f>
        <v>Jingle Bell Rock</v>
      </c>
      <c r="G1878">
        <f>IFERROR(__xludf.DUMMYFUNCTION("""COMPUTED_VALUE"""),0.0)</f>
        <v>0</v>
      </c>
      <c r="H1878" s="5">
        <f>IFERROR(__xludf.DUMMYFUNCTION("""COMPUTED_VALUE"""),0.08750000000145519)</f>
        <v>0.0875</v>
      </c>
    </row>
    <row r="1879">
      <c r="A1879" t="str">
        <f>IFERROR(__xludf.DUMMYFUNCTION("""COMPUTED_VALUE"""),"Malta")</f>
        <v>Malta</v>
      </c>
      <c r="B1879" t="str">
        <f>IFERROR(__xludf.DUMMYFUNCTION("""COMPUTED_VALUE"""),"Europe")</f>
        <v>Europe</v>
      </c>
      <c r="C1879">
        <f>IFERROR(__xludf.DUMMYFUNCTION("""COMPUTED_VALUE"""),28.0)</f>
        <v>28</v>
      </c>
      <c r="D1879" t="str">
        <f>IFERROR(__xludf.DUMMYFUNCTION("""COMPUTED_VALUE"""),"ROXANNE")</f>
        <v>ROXANNE</v>
      </c>
      <c r="E1879" t="str">
        <f>IFERROR(__xludf.DUMMYFUNCTION("""COMPUTED_VALUE"""),"Arizona Zervas")</f>
        <v>Arizona Zervas</v>
      </c>
      <c r="F1879" t="str">
        <f>IFERROR(__xludf.DUMMYFUNCTION("""COMPUTED_VALUE"""),"ROXANNE")</f>
        <v>ROXANNE</v>
      </c>
      <c r="G1879">
        <f>IFERROR(__xludf.DUMMYFUNCTION("""COMPUTED_VALUE"""),1.0)</f>
        <v>1</v>
      </c>
      <c r="H1879" s="5">
        <f>IFERROR(__xludf.DUMMYFUNCTION("""COMPUTED_VALUE"""),0.11319444444598048)</f>
        <v>0.1131944444</v>
      </c>
    </row>
    <row r="1880">
      <c r="A1880" t="str">
        <f>IFERROR(__xludf.DUMMYFUNCTION("""COMPUTED_VALUE"""),"Malta")</f>
        <v>Malta</v>
      </c>
      <c r="B1880" t="str">
        <f>IFERROR(__xludf.DUMMYFUNCTION("""COMPUTED_VALUE"""),"Europe")</f>
        <v>Europe</v>
      </c>
      <c r="C1880">
        <f>IFERROR(__xludf.DUMMYFUNCTION("""COMPUTED_VALUE"""),29.0)</f>
        <v>29</v>
      </c>
      <c r="D1880" t="str">
        <f>IFERROR(__xludf.DUMMYFUNCTION("""COMPUTED_VALUE"""),"Santa Claus Is Coming To Town")</f>
        <v>Santa Claus Is Coming To Town</v>
      </c>
      <c r="E1880" t="str">
        <f>IFERROR(__xludf.DUMMYFUNCTION("""COMPUTED_VALUE"""),"The Jackson 5")</f>
        <v>The Jackson 5</v>
      </c>
      <c r="F1880" t="str">
        <f>IFERROR(__xludf.DUMMYFUNCTION("""COMPUTED_VALUE"""),"Christmas Album")</f>
        <v>Christmas Album</v>
      </c>
      <c r="G1880">
        <f>IFERROR(__xludf.DUMMYFUNCTION("""COMPUTED_VALUE"""),0.0)</f>
        <v>0</v>
      </c>
      <c r="H1880" s="5">
        <f>IFERROR(__xludf.DUMMYFUNCTION("""COMPUTED_VALUE"""),0.09999999999854481)</f>
        <v>0.1</v>
      </c>
    </row>
    <row r="1881">
      <c r="A1881" t="str">
        <f>IFERROR(__xludf.DUMMYFUNCTION("""COMPUTED_VALUE"""),"Malta")</f>
        <v>Malta</v>
      </c>
      <c r="B1881" t="str">
        <f>IFERROR(__xludf.DUMMYFUNCTION("""COMPUTED_VALUE"""),"Europe")</f>
        <v>Europe</v>
      </c>
      <c r="C1881">
        <f>IFERROR(__xludf.DUMMYFUNCTION("""COMPUTED_VALUE"""),30.0)</f>
        <v>30</v>
      </c>
      <c r="D1881" t="str">
        <f>IFERROR(__xludf.DUMMYFUNCTION("""COMPUTED_VALUE"""),"Driving Home for Christmas - 2019 Remaster")</f>
        <v>Driving Home for Christmas - 2019 Remaster</v>
      </c>
      <c r="E1881" t="str">
        <f>IFERROR(__xludf.DUMMYFUNCTION("""COMPUTED_VALUE"""),"Chris Rea")</f>
        <v>Chris Rea</v>
      </c>
      <c r="F1881" t="str">
        <f>IFERROR(__xludf.DUMMYFUNCTION("""COMPUTED_VALUE"""),"Dancing with Strangers (Deluxe Edition, 2019 Remaster)")</f>
        <v>Dancing with Strangers (Deluxe Edition, 2019 Remaster)</v>
      </c>
      <c r="G1881">
        <f>IFERROR(__xludf.DUMMYFUNCTION("""COMPUTED_VALUE"""),0.0)</f>
        <v>0</v>
      </c>
      <c r="H1881" s="5">
        <f>IFERROR(__xludf.DUMMYFUNCTION("""COMPUTED_VALUE"""),0.16736111111094942)</f>
        <v>0.1673611111</v>
      </c>
    </row>
    <row r="1882">
      <c r="A1882" t="str">
        <f>IFERROR(__xludf.DUMMYFUNCTION("""COMPUTED_VALUE"""),"Malta")</f>
        <v>Malta</v>
      </c>
      <c r="B1882" t="str">
        <f>IFERROR(__xludf.DUMMYFUNCTION("""COMPUTED_VALUE"""),"Europe")</f>
        <v>Europe</v>
      </c>
      <c r="C1882">
        <f>IFERROR(__xludf.DUMMYFUNCTION("""COMPUTED_VALUE"""),31.0)</f>
        <v>31</v>
      </c>
      <c r="D1882" t="str">
        <f>IFERROR(__xludf.DUMMYFUNCTION("""COMPUTED_VALUE"""),"Santa Claus Is Comin' to Town - Live at C.W. Post College, Greenvale, NY - December 1975")</f>
        <v>Santa Claus Is Comin' to Town - Live at C.W. Post College, Greenvale, NY - December 1975</v>
      </c>
      <c r="E1882" t="str">
        <f>IFERROR(__xludf.DUMMYFUNCTION("""COMPUTED_VALUE"""),"Bruce Springsteen")</f>
        <v>Bruce Springsteen</v>
      </c>
      <c r="F1882" t="str">
        <f>IFERROR(__xludf.DUMMYFUNCTION("""COMPUTED_VALUE"""),"Santa Claus Is Comin' to Town (Live at C.W. Post College, Greenvale, NY - December 1975)")</f>
        <v>Santa Claus Is Comin' to Town (Live at C.W. Post College, Greenvale, NY - December 1975)</v>
      </c>
      <c r="G1882">
        <f>IFERROR(__xludf.DUMMYFUNCTION("""COMPUTED_VALUE"""),0.0)</f>
        <v>0</v>
      </c>
      <c r="H1882" s="5">
        <f>IFERROR(__xludf.DUMMYFUNCTION("""COMPUTED_VALUE"""),0.18541666666715173)</f>
        <v>0.1854166667</v>
      </c>
    </row>
    <row r="1883">
      <c r="A1883" t="str">
        <f>IFERROR(__xludf.DUMMYFUNCTION("""COMPUTED_VALUE"""),"Malta")</f>
        <v>Malta</v>
      </c>
      <c r="B1883" t="str">
        <f>IFERROR(__xludf.DUMMYFUNCTION("""COMPUTED_VALUE"""),"Europe")</f>
        <v>Europe</v>
      </c>
      <c r="C1883">
        <f>IFERROR(__xludf.DUMMYFUNCTION("""COMPUTED_VALUE"""),32.0)</f>
        <v>32</v>
      </c>
      <c r="D1883" t="str">
        <f>IFERROR(__xludf.DUMMYFUNCTION("""COMPUTED_VALUE"""),"Christmas (Baby Please Come Home)")</f>
        <v>Christmas (Baby Please Come Home)</v>
      </c>
      <c r="E1883" t="str">
        <f>IFERROR(__xludf.DUMMYFUNCTION("""COMPUTED_VALUE"""),"Mariah Carey")</f>
        <v>Mariah Carey</v>
      </c>
      <c r="F1883" t="str">
        <f>IFERROR(__xludf.DUMMYFUNCTION("""COMPUTED_VALUE"""),"Merry Christmas")</f>
        <v>Merry Christmas</v>
      </c>
      <c r="G1883">
        <f>IFERROR(__xludf.DUMMYFUNCTION("""COMPUTED_VALUE"""),0.0)</f>
        <v>0</v>
      </c>
      <c r="H1883" s="5">
        <f>IFERROR(__xludf.DUMMYFUNCTION("""COMPUTED_VALUE"""),0.1062500000007276)</f>
        <v>0.10625</v>
      </c>
    </row>
    <row r="1884">
      <c r="A1884" t="str">
        <f>IFERROR(__xludf.DUMMYFUNCTION("""COMPUTED_VALUE"""),"Malta")</f>
        <v>Malta</v>
      </c>
      <c r="B1884" t="str">
        <f>IFERROR(__xludf.DUMMYFUNCTION("""COMPUTED_VALUE"""),"Europe")</f>
        <v>Europe</v>
      </c>
      <c r="C1884">
        <f>IFERROR(__xludf.DUMMYFUNCTION("""COMPUTED_VALUE"""),33.0)</f>
        <v>33</v>
      </c>
      <c r="D1884" t="str">
        <f>IFERROR(__xludf.DUMMYFUNCTION("""COMPUTED_VALUE"""),"Falling")</f>
        <v>Falling</v>
      </c>
      <c r="E1884" t="str">
        <f>IFERROR(__xludf.DUMMYFUNCTION("""COMPUTED_VALUE"""),"Trevor Daniel")</f>
        <v>Trevor Daniel</v>
      </c>
      <c r="F1884" t="str">
        <f>IFERROR(__xludf.DUMMYFUNCTION("""COMPUTED_VALUE"""),"Falling")</f>
        <v>Falling</v>
      </c>
      <c r="G1884">
        <f>IFERROR(__xludf.DUMMYFUNCTION("""COMPUTED_VALUE"""),0.0)</f>
        <v>0</v>
      </c>
      <c r="H1884" s="5">
        <f>IFERROR(__xludf.DUMMYFUNCTION("""COMPUTED_VALUE"""),0.11041666666642413)</f>
        <v>0.1104166667</v>
      </c>
    </row>
    <row r="1885">
      <c r="A1885" t="str">
        <f>IFERROR(__xludf.DUMMYFUNCTION("""COMPUTED_VALUE"""),"Malta")</f>
        <v>Malta</v>
      </c>
      <c r="B1885" t="str">
        <f>IFERROR(__xludf.DUMMYFUNCTION("""COMPUTED_VALUE"""),"Europe")</f>
        <v>Europe</v>
      </c>
      <c r="C1885">
        <f>IFERROR(__xludf.DUMMYFUNCTION("""COMPUTED_VALUE"""),34.0)</f>
        <v>34</v>
      </c>
      <c r="D1885" t="str">
        <f>IFERROR(__xludf.DUMMYFUNCTION("""COMPUTED_VALUE"""),"Have Yourself A Merry Little Christmas")</f>
        <v>Have Yourself A Merry Little Christmas</v>
      </c>
      <c r="E1885" t="str">
        <f>IFERROR(__xludf.DUMMYFUNCTION("""COMPUTED_VALUE"""),"Sam Smith")</f>
        <v>Sam Smith</v>
      </c>
      <c r="F1885" t="str">
        <f>IFERROR(__xludf.DUMMYFUNCTION("""COMPUTED_VALUE"""),"Have Yourself A Merry Little Christmas")</f>
        <v>Have Yourself A Merry Little Christmas</v>
      </c>
      <c r="G1885">
        <f>IFERROR(__xludf.DUMMYFUNCTION("""COMPUTED_VALUE"""),0.0)</f>
        <v>0</v>
      </c>
      <c r="H1885" s="5">
        <f>IFERROR(__xludf.DUMMYFUNCTION("""COMPUTED_VALUE"""),0.11805555555474712)</f>
        <v>0.1180555556</v>
      </c>
    </row>
    <row r="1886">
      <c r="A1886" t="str">
        <f>IFERROR(__xludf.DUMMYFUNCTION("""COMPUTED_VALUE"""),"Malta")</f>
        <v>Malta</v>
      </c>
      <c r="B1886" t="str">
        <f>IFERROR(__xludf.DUMMYFUNCTION("""COMPUTED_VALUE"""),"Europe")</f>
        <v>Europe</v>
      </c>
      <c r="C1886">
        <f>IFERROR(__xludf.DUMMYFUNCTION("""COMPUTED_VALUE"""),35.0)</f>
        <v>35</v>
      </c>
      <c r="D1886" t="str">
        <f>IFERROR(__xludf.DUMMYFUNCTION("""COMPUTED_VALUE"""),"My Only Wish (This Year)")</f>
        <v>My Only Wish (This Year)</v>
      </c>
      <c r="E1886" t="str">
        <f>IFERROR(__xludf.DUMMYFUNCTION("""COMPUTED_VALUE"""),"Britney Spears")</f>
        <v>Britney Spears</v>
      </c>
      <c r="F1886" t="str">
        <f>IFERROR(__xludf.DUMMYFUNCTION("""COMPUTED_VALUE"""),"Caroling at Christmas")</f>
        <v>Caroling at Christmas</v>
      </c>
      <c r="G1886">
        <f>IFERROR(__xludf.DUMMYFUNCTION("""COMPUTED_VALUE"""),0.0)</f>
        <v>0</v>
      </c>
      <c r="H1886" s="5">
        <f>IFERROR(__xludf.DUMMYFUNCTION("""COMPUTED_VALUE"""),0.17708333333212067)</f>
        <v>0.1770833333</v>
      </c>
    </row>
    <row r="1887">
      <c r="A1887" t="str">
        <f>IFERROR(__xludf.DUMMYFUNCTION("""COMPUTED_VALUE"""),"Malta")</f>
        <v>Malta</v>
      </c>
      <c r="B1887" t="str">
        <f>IFERROR(__xludf.DUMMYFUNCTION("""COMPUTED_VALUE"""),"Europe")</f>
        <v>Europe</v>
      </c>
      <c r="C1887">
        <f>IFERROR(__xludf.DUMMYFUNCTION("""COMPUTED_VALUE"""),36.0)</f>
        <v>36</v>
      </c>
      <c r="D1887" t="str">
        <f>IFERROR(__xludf.DUMMYFUNCTION("""COMPUTED_VALUE"""),"Run Rudolph Run - Single Version")</f>
        <v>Run Rudolph Run - Single Version</v>
      </c>
      <c r="E1887" t="str">
        <f>IFERROR(__xludf.DUMMYFUNCTION("""COMPUTED_VALUE"""),"Chuck Berry")</f>
        <v>Chuck Berry</v>
      </c>
      <c r="F1887" t="str">
        <f>IFERROR(__xludf.DUMMYFUNCTION("""COMPUTED_VALUE"""),"Rock 'N' Roll Rarities")</f>
        <v>Rock 'N' Roll Rarities</v>
      </c>
      <c r="G1887">
        <f>IFERROR(__xludf.DUMMYFUNCTION("""COMPUTED_VALUE"""),0.0)</f>
        <v>0</v>
      </c>
      <c r="H1887" s="5">
        <f>IFERROR(__xludf.DUMMYFUNCTION("""COMPUTED_VALUE"""),0.11458333333212067)</f>
        <v>0.1145833333</v>
      </c>
    </row>
    <row r="1888">
      <c r="A1888" t="str">
        <f>IFERROR(__xludf.DUMMYFUNCTION("""COMPUTED_VALUE"""),"Malta")</f>
        <v>Malta</v>
      </c>
      <c r="B1888" t="str">
        <f>IFERROR(__xludf.DUMMYFUNCTION("""COMPUTED_VALUE"""),"Europe")</f>
        <v>Europe</v>
      </c>
      <c r="C1888">
        <f>IFERROR(__xludf.DUMMYFUNCTION("""COMPUTED_VALUE"""),37.0)</f>
        <v>37</v>
      </c>
      <c r="D1888" t="str">
        <f>IFERROR(__xludf.DUMMYFUNCTION("""COMPUTED_VALUE"""),"I Saw Mommy Kissing Santa Claus")</f>
        <v>I Saw Mommy Kissing Santa Claus</v>
      </c>
      <c r="E1888" t="str">
        <f>IFERROR(__xludf.DUMMYFUNCTION("""COMPUTED_VALUE"""),"The Jackson 5")</f>
        <v>The Jackson 5</v>
      </c>
      <c r="F1888" t="str">
        <f>IFERROR(__xludf.DUMMYFUNCTION("""COMPUTED_VALUE"""),"Christmas Album")</f>
        <v>Christmas Album</v>
      </c>
      <c r="G1888">
        <f>IFERROR(__xludf.DUMMYFUNCTION("""COMPUTED_VALUE"""),0.0)</f>
        <v>0</v>
      </c>
      <c r="H1888" s="5">
        <f>IFERROR(__xludf.DUMMYFUNCTION("""COMPUTED_VALUE"""),0.1256944444430701)</f>
        <v>0.1256944444</v>
      </c>
    </row>
    <row r="1889">
      <c r="A1889" t="str">
        <f>IFERROR(__xludf.DUMMYFUNCTION("""COMPUTED_VALUE"""),"Malta")</f>
        <v>Malta</v>
      </c>
      <c r="B1889" t="str">
        <f>IFERROR(__xludf.DUMMYFUNCTION("""COMPUTED_VALUE"""),"Europe")</f>
        <v>Europe</v>
      </c>
      <c r="C1889">
        <f>IFERROR(__xludf.DUMMYFUNCTION("""COMPUTED_VALUE"""),38.0)</f>
        <v>38</v>
      </c>
      <c r="D1889" t="str">
        <f>IFERROR(__xludf.DUMMYFUNCTION("""COMPUTED_VALUE"""),"I'll Be Home for Christmas")</f>
        <v>I'll Be Home for Christmas</v>
      </c>
      <c r="E1889" t="str">
        <f>IFERROR(__xludf.DUMMYFUNCTION("""COMPUTED_VALUE"""),"Michael Bublé")</f>
        <v>Michael Bublé</v>
      </c>
      <c r="F1889" t="str">
        <f>IFERROR(__xludf.DUMMYFUNCTION("""COMPUTED_VALUE"""),"Christmas (Deluxe Special Edition)")</f>
        <v>Christmas (Deluxe Special Edition)</v>
      </c>
      <c r="G1889">
        <f>IFERROR(__xludf.DUMMYFUNCTION("""COMPUTED_VALUE"""),0.0)</f>
        <v>0</v>
      </c>
      <c r="H1889" s="5">
        <f>IFERROR(__xludf.DUMMYFUNCTION("""COMPUTED_VALUE"""),0.18541666666715173)</f>
        <v>0.1854166667</v>
      </c>
    </row>
    <row r="1890">
      <c r="A1890" t="str">
        <f>IFERROR(__xludf.DUMMYFUNCTION("""COMPUTED_VALUE"""),"Malta")</f>
        <v>Malta</v>
      </c>
      <c r="B1890" t="str">
        <f>IFERROR(__xludf.DUMMYFUNCTION("""COMPUTED_VALUE"""),"Europe")</f>
        <v>Europe</v>
      </c>
      <c r="C1890">
        <f>IFERROR(__xludf.DUMMYFUNCTION("""COMPUTED_VALUE"""),39.0)</f>
        <v>39</v>
      </c>
      <c r="D1890" t="str">
        <f>IFERROR(__xludf.DUMMYFUNCTION("""COMPUTED_VALUE"""),"Winter Wonderland")</f>
        <v>Winter Wonderland</v>
      </c>
      <c r="E1890" t="str">
        <f>IFERROR(__xludf.DUMMYFUNCTION("""COMPUTED_VALUE"""),"Tony Bennett")</f>
        <v>Tony Bennett</v>
      </c>
      <c r="F1890" t="str">
        <f>IFERROR(__xludf.DUMMYFUNCTION("""COMPUTED_VALUE"""),"Snowfall - The Tony Bennett Christmas Album")</f>
        <v>Snowfall - The Tony Bennett Christmas Album</v>
      </c>
      <c r="G1890">
        <f>IFERROR(__xludf.DUMMYFUNCTION("""COMPUTED_VALUE"""),0.0)</f>
        <v>0</v>
      </c>
      <c r="H1890" s="5">
        <f>IFERROR(__xludf.DUMMYFUNCTION("""COMPUTED_VALUE"""),0.09236111111022183)</f>
        <v>0.09236111111</v>
      </c>
    </row>
    <row r="1891">
      <c r="A1891" t="str">
        <f>IFERROR(__xludf.DUMMYFUNCTION("""COMPUTED_VALUE"""),"Malta")</f>
        <v>Malta</v>
      </c>
      <c r="B1891" t="str">
        <f>IFERROR(__xludf.DUMMYFUNCTION("""COMPUTED_VALUE"""),"Europe")</f>
        <v>Europe</v>
      </c>
      <c r="C1891">
        <f>IFERROR(__xludf.DUMMYFUNCTION("""COMPUTED_VALUE"""),40.0)</f>
        <v>40</v>
      </c>
      <c r="D1891" t="str">
        <f>IFERROR(__xludf.DUMMYFUNCTION("""COMPUTED_VALUE"""),"Fairytale of New York (feat. Kirsty MacColl)")</f>
        <v>Fairytale of New York (feat. Kirsty MacColl)</v>
      </c>
      <c r="E1891" t="str">
        <f>IFERROR(__xludf.DUMMYFUNCTION("""COMPUTED_VALUE"""),"The Pogues, Kirsty MacColl")</f>
        <v>The Pogues, Kirsty MacColl</v>
      </c>
      <c r="F1891" t="str">
        <f>IFERROR(__xludf.DUMMYFUNCTION("""COMPUTED_VALUE"""),"If I Should Fall From Grace With God (Expanded)")</f>
        <v>If I Should Fall From Grace With God (Expanded)</v>
      </c>
      <c r="G1891">
        <f>IFERROR(__xludf.DUMMYFUNCTION("""COMPUTED_VALUE"""),0.0)</f>
        <v>0</v>
      </c>
      <c r="H1891" s="5">
        <f>IFERROR(__xludf.DUMMYFUNCTION("""COMPUTED_VALUE"""),0.18888888888977817)</f>
        <v>0.1888888889</v>
      </c>
    </row>
    <row r="1892">
      <c r="A1892" t="str">
        <f>IFERROR(__xludf.DUMMYFUNCTION("""COMPUTED_VALUE"""),"Malta")</f>
        <v>Malta</v>
      </c>
      <c r="B1892" t="str">
        <f>IFERROR(__xludf.DUMMYFUNCTION("""COMPUTED_VALUE"""),"Europe")</f>
        <v>Europe</v>
      </c>
      <c r="C1892">
        <f>IFERROR(__xludf.DUMMYFUNCTION("""COMPUTED_VALUE"""),41.0)</f>
        <v>41</v>
      </c>
      <c r="D1892" t="str">
        <f>IFERROR(__xludf.DUMMYFUNCTION("""COMPUTED_VALUE"""),"One More Sleep")</f>
        <v>One More Sleep</v>
      </c>
      <c r="E1892" t="str">
        <f>IFERROR(__xludf.DUMMYFUNCTION("""COMPUTED_VALUE"""),"Leona Lewis")</f>
        <v>Leona Lewis</v>
      </c>
      <c r="F1892" t="str">
        <f>IFERROR(__xludf.DUMMYFUNCTION("""COMPUTED_VALUE"""),"Christmas, With Love")</f>
        <v>Christmas, With Love</v>
      </c>
      <c r="G1892">
        <f>IFERROR(__xludf.DUMMYFUNCTION("""COMPUTED_VALUE"""),0.0)</f>
        <v>0</v>
      </c>
      <c r="H1892" s="5">
        <f>IFERROR(__xludf.DUMMYFUNCTION("""COMPUTED_VALUE"""),0.16597222222117125)</f>
        <v>0.1659722222</v>
      </c>
    </row>
    <row r="1893">
      <c r="A1893" t="str">
        <f>IFERROR(__xludf.DUMMYFUNCTION("""COMPUTED_VALUE"""),"Malta")</f>
        <v>Malta</v>
      </c>
      <c r="B1893" t="str">
        <f>IFERROR(__xludf.DUMMYFUNCTION("""COMPUTED_VALUE"""),"Europe")</f>
        <v>Europe</v>
      </c>
      <c r="C1893">
        <f>IFERROR(__xludf.DUMMYFUNCTION("""COMPUTED_VALUE"""),42.0)</f>
        <v>42</v>
      </c>
      <c r="D1893" t="str">
        <f>IFERROR(__xludf.DUMMYFUNCTION("""COMPUTED_VALUE"""),"Baby, It's Cold Outside")</f>
        <v>Baby, It's Cold Outside</v>
      </c>
      <c r="E1893" t="str">
        <f>IFERROR(__xludf.DUMMYFUNCTION("""COMPUTED_VALUE"""),"Dean Martin")</f>
        <v>Dean Martin</v>
      </c>
      <c r="F1893" t="str">
        <f>IFERROR(__xludf.DUMMYFUNCTION("""COMPUTED_VALUE"""),"A Winter Romance")</f>
        <v>A Winter Romance</v>
      </c>
      <c r="G1893">
        <f>IFERROR(__xludf.DUMMYFUNCTION("""COMPUTED_VALUE"""),0.0)</f>
        <v>0</v>
      </c>
      <c r="H1893" s="5">
        <f>IFERROR(__xludf.DUMMYFUNCTION("""COMPUTED_VALUE"""),0.09930555555547471)</f>
        <v>0.09930555556</v>
      </c>
    </row>
    <row r="1894">
      <c r="A1894" t="str">
        <f>IFERROR(__xludf.DUMMYFUNCTION("""COMPUTED_VALUE"""),"Malta")</f>
        <v>Malta</v>
      </c>
      <c r="B1894" t="str">
        <f>IFERROR(__xludf.DUMMYFUNCTION("""COMPUTED_VALUE"""),"Europe")</f>
        <v>Europe</v>
      </c>
      <c r="C1894">
        <f>IFERROR(__xludf.DUMMYFUNCTION("""COMPUTED_VALUE"""),43.0)</f>
        <v>43</v>
      </c>
      <c r="D1894" t="str">
        <f>IFERROR(__xludf.DUMMYFUNCTION("""COMPUTED_VALUE"""),"Circles")</f>
        <v>Circles</v>
      </c>
      <c r="E1894" t="str">
        <f>IFERROR(__xludf.DUMMYFUNCTION("""COMPUTED_VALUE"""),"Post Malone")</f>
        <v>Post Malone</v>
      </c>
      <c r="F1894" t="str">
        <f>IFERROR(__xludf.DUMMYFUNCTION("""COMPUTED_VALUE"""),"Hollywood's Bleeding")</f>
        <v>Hollywood's Bleeding</v>
      </c>
      <c r="G1894">
        <f>IFERROR(__xludf.DUMMYFUNCTION("""COMPUTED_VALUE"""),0.0)</f>
        <v>0</v>
      </c>
      <c r="H1894" s="5">
        <f>IFERROR(__xludf.DUMMYFUNCTION("""COMPUTED_VALUE"""),0.14930555555474712)</f>
        <v>0.1493055556</v>
      </c>
    </row>
    <row r="1895">
      <c r="A1895" t="str">
        <f>IFERROR(__xludf.DUMMYFUNCTION("""COMPUTED_VALUE"""),"Malta")</f>
        <v>Malta</v>
      </c>
      <c r="B1895" t="str">
        <f>IFERROR(__xludf.DUMMYFUNCTION("""COMPUTED_VALUE"""),"Europe")</f>
        <v>Europe</v>
      </c>
      <c r="C1895">
        <f>IFERROR(__xludf.DUMMYFUNCTION("""COMPUTED_VALUE"""),44.0)</f>
        <v>44</v>
      </c>
      <c r="D1895" t="str">
        <f>IFERROR(__xludf.DUMMYFUNCTION("""COMPUTED_VALUE"""),"Mistletoe And Holly - Remastered 1999")</f>
        <v>Mistletoe And Holly - Remastered 1999</v>
      </c>
      <c r="E1895" t="str">
        <f>IFERROR(__xludf.DUMMYFUNCTION("""COMPUTED_VALUE"""),"Frank Sinatra")</f>
        <v>Frank Sinatra</v>
      </c>
      <c r="F1895" t="str">
        <f>IFERROR(__xludf.DUMMYFUNCTION("""COMPUTED_VALUE"""),"A Jolly Christmas From Frank Sinatra")</f>
        <v>A Jolly Christmas From Frank Sinatra</v>
      </c>
      <c r="G1895">
        <f>IFERROR(__xludf.DUMMYFUNCTION("""COMPUTED_VALUE"""),0.0)</f>
        <v>0</v>
      </c>
      <c r="H1895" s="5">
        <f>IFERROR(__xludf.DUMMYFUNCTION("""COMPUTED_VALUE"""),0.0944444444430701)</f>
        <v>0.09444444444</v>
      </c>
    </row>
    <row r="1896">
      <c r="A1896" t="str">
        <f>IFERROR(__xludf.DUMMYFUNCTION("""COMPUTED_VALUE"""),"Malta")</f>
        <v>Malta</v>
      </c>
      <c r="B1896" t="str">
        <f>IFERROR(__xludf.DUMMYFUNCTION("""COMPUTED_VALUE"""),"Europe")</f>
        <v>Europe</v>
      </c>
      <c r="C1896">
        <f>IFERROR(__xludf.DUMMYFUNCTION("""COMPUTED_VALUE"""),45.0)</f>
        <v>45</v>
      </c>
      <c r="D1896" t="str">
        <f>IFERROR(__xludf.DUMMYFUNCTION("""COMPUTED_VALUE"""),"Happy Xmas (War Is Over)")</f>
        <v>Happy Xmas (War Is Over)</v>
      </c>
      <c r="E1896" t="str">
        <f>IFERROR(__xludf.DUMMYFUNCTION("""COMPUTED_VALUE"""),"Céline Dion")</f>
        <v>Céline Dion</v>
      </c>
      <c r="F1896" t="str">
        <f>IFERROR(__xludf.DUMMYFUNCTION("""COMPUTED_VALUE"""),"These Are Special Times")</f>
        <v>These Are Special Times</v>
      </c>
      <c r="G1896">
        <f>IFERROR(__xludf.DUMMYFUNCTION("""COMPUTED_VALUE"""),0.0)</f>
        <v>0</v>
      </c>
      <c r="H1896" s="5">
        <f>IFERROR(__xludf.DUMMYFUNCTION("""COMPUTED_VALUE"""),0.17638888888905058)</f>
        <v>0.1763888889</v>
      </c>
    </row>
    <row r="1897">
      <c r="A1897" t="str">
        <f>IFERROR(__xludf.DUMMYFUNCTION("""COMPUTED_VALUE"""),"Malta")</f>
        <v>Malta</v>
      </c>
      <c r="B1897" t="str">
        <f>IFERROR(__xludf.DUMMYFUNCTION("""COMPUTED_VALUE"""),"Europe")</f>
        <v>Europe</v>
      </c>
      <c r="C1897">
        <f>IFERROR(__xludf.DUMMYFUNCTION("""COMPUTED_VALUE"""),46.0)</f>
        <v>46</v>
      </c>
      <c r="D1897" t="str">
        <f>IFERROR(__xludf.DUMMYFUNCTION("""COMPUTED_VALUE"""),"Santa Baby")</f>
        <v>Santa Baby</v>
      </c>
      <c r="E1897" t="str">
        <f>IFERROR(__xludf.DUMMYFUNCTION("""COMPUTED_VALUE"""),"Ariana Grande, Liz Gillies")</f>
        <v>Ariana Grande, Liz Gillies</v>
      </c>
      <c r="F1897" t="str">
        <f>IFERROR(__xludf.DUMMYFUNCTION("""COMPUTED_VALUE"""),"Christmas Kisses")</f>
        <v>Christmas Kisses</v>
      </c>
      <c r="G1897">
        <f>IFERROR(__xludf.DUMMYFUNCTION("""COMPUTED_VALUE"""),0.0)</f>
        <v>0</v>
      </c>
      <c r="H1897" s="5">
        <f>IFERROR(__xludf.DUMMYFUNCTION("""COMPUTED_VALUE"""),0.11805555555474712)</f>
        <v>0.1180555556</v>
      </c>
    </row>
    <row r="1898">
      <c r="A1898" t="str">
        <f>IFERROR(__xludf.DUMMYFUNCTION("""COMPUTED_VALUE"""),"Malta")</f>
        <v>Malta</v>
      </c>
      <c r="B1898" t="str">
        <f>IFERROR(__xludf.DUMMYFUNCTION("""COMPUTED_VALUE"""),"Europe")</f>
        <v>Europe</v>
      </c>
      <c r="C1898">
        <f>IFERROR(__xludf.DUMMYFUNCTION("""COMPUTED_VALUE"""),47.0)</f>
        <v>47</v>
      </c>
      <c r="D1898" t="str">
        <f>IFERROR(__xludf.DUMMYFUNCTION("""COMPUTED_VALUE"""),"Santa Baby (with Henri René &amp; His Orchestra)")</f>
        <v>Santa Baby (with Henri René &amp; His Orchestra)</v>
      </c>
      <c r="E1898" t="str">
        <f>IFERROR(__xludf.DUMMYFUNCTION("""COMPUTED_VALUE"""),"Eartha Kitt, Henri Rene &amp; His Orchestra")</f>
        <v>Eartha Kitt, Henri Rene &amp; His Orchestra</v>
      </c>
      <c r="F1898" t="str">
        <f>IFERROR(__xludf.DUMMYFUNCTION("""COMPUTED_VALUE"""),"Heavenly Eartha")</f>
        <v>Heavenly Eartha</v>
      </c>
      <c r="G1898">
        <f>IFERROR(__xludf.DUMMYFUNCTION("""COMPUTED_VALUE"""),0.0)</f>
        <v>0</v>
      </c>
      <c r="H1898" s="5">
        <f>IFERROR(__xludf.DUMMYFUNCTION("""COMPUTED_VALUE"""),0.1430555555562023)</f>
        <v>0.1430555556</v>
      </c>
    </row>
    <row r="1899">
      <c r="A1899" t="str">
        <f>IFERROR(__xludf.DUMMYFUNCTION("""COMPUTED_VALUE"""),"Malta")</f>
        <v>Malta</v>
      </c>
      <c r="B1899" t="str">
        <f>IFERROR(__xludf.DUMMYFUNCTION("""COMPUTED_VALUE"""),"Europe")</f>
        <v>Europe</v>
      </c>
      <c r="C1899">
        <f>IFERROR(__xludf.DUMMYFUNCTION("""COMPUTED_VALUE"""),48.0)</f>
        <v>48</v>
      </c>
      <c r="D1899" t="str">
        <f>IFERROR(__xludf.DUMMYFUNCTION("""COMPUTED_VALUE"""),"Blinding Lights")</f>
        <v>Blinding Lights</v>
      </c>
      <c r="E1899" t="str">
        <f>IFERROR(__xludf.DUMMYFUNCTION("""COMPUTED_VALUE"""),"The Weeknd")</f>
        <v>The Weeknd</v>
      </c>
      <c r="F1899" t="str">
        <f>IFERROR(__xludf.DUMMYFUNCTION("""COMPUTED_VALUE"""),"After Hours")</f>
        <v>After Hours</v>
      </c>
      <c r="G1899">
        <f>IFERROR(__xludf.DUMMYFUNCTION("""COMPUTED_VALUE"""),0.0)</f>
        <v>0</v>
      </c>
      <c r="H1899" s="5">
        <f>IFERROR(__xludf.DUMMYFUNCTION("""COMPUTED_VALUE"""),0.13888888889050577)</f>
        <v>0.1388888889</v>
      </c>
    </row>
    <row r="1900">
      <c r="A1900" t="str">
        <f>IFERROR(__xludf.DUMMYFUNCTION("""COMPUTED_VALUE"""),"Malta")</f>
        <v>Malta</v>
      </c>
      <c r="B1900" t="str">
        <f>IFERROR(__xludf.DUMMYFUNCTION("""COMPUTED_VALUE"""),"Europe")</f>
        <v>Europe</v>
      </c>
      <c r="C1900">
        <f>IFERROR(__xludf.DUMMYFUNCTION("""COMPUTED_VALUE"""),49.0)</f>
        <v>49</v>
      </c>
      <c r="D1900" t="str">
        <f>IFERROR(__xludf.DUMMYFUNCTION("""COMPUTED_VALUE"""),"Joy To The World")</f>
        <v>Joy To The World</v>
      </c>
      <c r="E1900" t="str">
        <f>IFERROR(__xludf.DUMMYFUNCTION("""COMPUTED_VALUE"""),"Nat King Cole")</f>
        <v>Nat King Cole</v>
      </c>
      <c r="F1900" t="str">
        <f>IFERROR(__xludf.DUMMYFUNCTION("""COMPUTED_VALUE"""),"The Christmas Song (Expanded Edition)")</f>
        <v>The Christmas Song (Expanded Edition)</v>
      </c>
      <c r="G1900">
        <f>IFERROR(__xludf.DUMMYFUNCTION("""COMPUTED_VALUE"""),0.0)</f>
        <v>0</v>
      </c>
      <c r="H1900" s="5">
        <f>IFERROR(__xludf.DUMMYFUNCTION("""COMPUTED_VALUE"""),0.05833333333430346)</f>
        <v>0.05833333333</v>
      </c>
    </row>
    <row r="1901">
      <c r="A1901" t="str">
        <f>IFERROR(__xludf.DUMMYFUNCTION("""COMPUTED_VALUE"""),"Malta")</f>
        <v>Malta</v>
      </c>
      <c r="B1901" t="str">
        <f>IFERROR(__xludf.DUMMYFUNCTION("""COMPUTED_VALUE"""),"Europe")</f>
        <v>Europe</v>
      </c>
      <c r="C1901">
        <f>IFERROR(__xludf.DUMMYFUNCTION("""COMPUTED_VALUE"""),50.0)</f>
        <v>50</v>
      </c>
      <c r="D1901" t="str">
        <f>IFERROR(__xludf.DUMMYFUNCTION("""COMPUTED_VALUE"""),"Don't Start Now")</f>
        <v>Don't Start Now</v>
      </c>
      <c r="E1901" t="str">
        <f>IFERROR(__xludf.DUMMYFUNCTION("""COMPUTED_VALUE"""),"Dua Lipa")</f>
        <v>Dua Lipa</v>
      </c>
      <c r="F1901" t="str">
        <f>IFERROR(__xludf.DUMMYFUNCTION("""COMPUTED_VALUE"""),"Don't Start Now")</f>
        <v>Don't Start Now</v>
      </c>
      <c r="G1901">
        <f>IFERROR(__xludf.DUMMYFUNCTION("""COMPUTED_VALUE"""),0.0)</f>
        <v>0</v>
      </c>
      <c r="H1901" s="5">
        <f>IFERROR(__xludf.DUMMYFUNCTION("""COMPUTED_VALUE"""),0.12708333333284827)</f>
        <v>0.1270833333</v>
      </c>
    </row>
    <row r="1902">
      <c r="A1902" t="str">
        <f>IFERROR(__xludf.DUMMYFUNCTION("""COMPUTED_VALUE"""),"Mexico")</f>
        <v>Mexico</v>
      </c>
      <c r="B1902" t="str">
        <f>IFERROR(__xludf.DUMMYFUNCTION("""COMPUTED_VALUE"""),"North America")</f>
        <v>North America</v>
      </c>
      <c r="C1902">
        <f>IFERROR(__xludf.DUMMYFUNCTION("""COMPUTED_VALUE"""),1.0)</f>
        <v>1</v>
      </c>
      <c r="D1902" t="str">
        <f>IFERROR(__xludf.DUMMYFUNCTION("""COMPUTED_VALUE"""),"Safaera")</f>
        <v>Safaera</v>
      </c>
      <c r="E1902" t="str">
        <f>IFERROR(__xludf.DUMMYFUNCTION("""COMPUTED_VALUE"""),"Bad Bunny, Jowell &amp; Randy, Nengo Flow")</f>
        <v>Bad Bunny, Jowell &amp; Randy, Nengo Flow</v>
      </c>
      <c r="F1902" t="str">
        <f>IFERROR(__xludf.DUMMYFUNCTION("""COMPUTED_VALUE"""),"YHLQMDLG")</f>
        <v>YHLQMDLG</v>
      </c>
      <c r="G1902">
        <f>IFERROR(__xludf.DUMMYFUNCTION("""COMPUTED_VALUE"""),1.0)</f>
        <v>1</v>
      </c>
      <c r="H1902" s="5">
        <f>IFERROR(__xludf.DUMMYFUNCTION("""COMPUTED_VALUE"""),0.20486111110949423)</f>
        <v>0.2048611111</v>
      </c>
    </row>
    <row r="1903">
      <c r="A1903" t="str">
        <f>IFERROR(__xludf.DUMMYFUNCTION("""COMPUTED_VALUE"""),"Mexico")</f>
        <v>Mexico</v>
      </c>
      <c r="B1903" t="str">
        <f>IFERROR(__xludf.DUMMYFUNCTION("""COMPUTED_VALUE"""),"North America")</f>
        <v>North America</v>
      </c>
      <c r="C1903">
        <f>IFERROR(__xludf.DUMMYFUNCTION("""COMPUTED_VALUE"""),2.0)</f>
        <v>2</v>
      </c>
      <c r="D1903" t="str">
        <f>IFERROR(__xludf.DUMMYFUNCTION("""COMPUTED_VALUE"""),"Yo Perreo Sola")</f>
        <v>Yo Perreo Sola</v>
      </c>
      <c r="E1903" t="str">
        <f>IFERROR(__xludf.DUMMYFUNCTION("""COMPUTED_VALUE"""),"Bad Bunny")</f>
        <v>Bad Bunny</v>
      </c>
      <c r="F1903" t="str">
        <f>IFERROR(__xludf.DUMMYFUNCTION("""COMPUTED_VALUE"""),"YHLQMDLG")</f>
        <v>YHLQMDLG</v>
      </c>
      <c r="G1903">
        <f>IFERROR(__xludf.DUMMYFUNCTION("""COMPUTED_VALUE"""),0.0)</f>
        <v>0</v>
      </c>
      <c r="H1903" s="5">
        <f>IFERROR(__xludf.DUMMYFUNCTION("""COMPUTED_VALUE"""),0.11944444444452529)</f>
        <v>0.1194444444</v>
      </c>
    </row>
    <row r="1904">
      <c r="A1904" t="str">
        <f>IFERROR(__xludf.DUMMYFUNCTION("""COMPUTED_VALUE"""),"Mexico")</f>
        <v>Mexico</v>
      </c>
      <c r="B1904" t="str">
        <f>IFERROR(__xludf.DUMMYFUNCTION("""COMPUTED_VALUE"""),"North America")</f>
        <v>North America</v>
      </c>
      <c r="C1904">
        <f>IFERROR(__xludf.DUMMYFUNCTION("""COMPUTED_VALUE"""),3.0)</f>
        <v>3</v>
      </c>
      <c r="D1904" t="str">
        <f>IFERROR(__xludf.DUMMYFUNCTION("""COMPUTED_VALUE"""),"Blinding Lights")</f>
        <v>Blinding Lights</v>
      </c>
      <c r="E1904" t="str">
        <f>IFERROR(__xludf.DUMMYFUNCTION("""COMPUTED_VALUE"""),"The Weeknd")</f>
        <v>The Weeknd</v>
      </c>
      <c r="F1904" t="str">
        <f>IFERROR(__xludf.DUMMYFUNCTION("""COMPUTED_VALUE"""),"After Hours")</f>
        <v>After Hours</v>
      </c>
      <c r="G1904">
        <f>IFERROR(__xludf.DUMMYFUNCTION("""COMPUTED_VALUE"""),0.0)</f>
        <v>0</v>
      </c>
      <c r="H1904" s="5">
        <f>IFERROR(__xludf.DUMMYFUNCTION("""COMPUTED_VALUE"""),0.13888888889050577)</f>
        <v>0.1388888889</v>
      </c>
    </row>
    <row r="1905">
      <c r="A1905" t="str">
        <f>IFERROR(__xludf.DUMMYFUNCTION("""COMPUTED_VALUE"""),"Mexico")</f>
        <v>Mexico</v>
      </c>
      <c r="B1905" t="str">
        <f>IFERROR(__xludf.DUMMYFUNCTION("""COMPUTED_VALUE"""),"North America")</f>
        <v>North America</v>
      </c>
      <c r="C1905">
        <f>IFERROR(__xludf.DUMMYFUNCTION("""COMPUTED_VALUE"""),4.0)</f>
        <v>4</v>
      </c>
      <c r="D1905" t="str">
        <f>IFERROR(__xludf.DUMMYFUNCTION("""COMPUTED_VALUE"""),"Rojo")</f>
        <v>Rojo</v>
      </c>
      <c r="E1905" t="str">
        <f>IFERROR(__xludf.DUMMYFUNCTION("""COMPUTED_VALUE"""),"J Balvin")</f>
        <v>J Balvin</v>
      </c>
      <c r="F1905" t="str">
        <f>IFERROR(__xludf.DUMMYFUNCTION("""COMPUTED_VALUE"""),"Colores")</f>
        <v>Colores</v>
      </c>
      <c r="G1905">
        <f>IFERROR(__xludf.DUMMYFUNCTION("""COMPUTED_VALUE"""),0.0)</f>
        <v>0</v>
      </c>
      <c r="H1905" s="5">
        <f>IFERROR(__xludf.DUMMYFUNCTION("""COMPUTED_VALUE"""),0.10416666666787933)</f>
        <v>0.1041666667</v>
      </c>
    </row>
    <row r="1906">
      <c r="A1906" t="str">
        <f>IFERROR(__xludf.DUMMYFUNCTION("""COMPUTED_VALUE"""),"Mexico")</f>
        <v>Mexico</v>
      </c>
      <c r="B1906" t="str">
        <f>IFERROR(__xludf.DUMMYFUNCTION("""COMPUTED_VALUE"""),"North America")</f>
        <v>North America</v>
      </c>
      <c r="C1906">
        <f>IFERROR(__xludf.DUMMYFUNCTION("""COMPUTED_VALUE"""),5.0)</f>
        <v>5</v>
      </c>
      <c r="D1906" t="str">
        <f>IFERROR(__xludf.DUMMYFUNCTION("""COMPUTED_VALUE"""),"Favorito")</f>
        <v>Favorito</v>
      </c>
      <c r="E1906" t="str">
        <f>IFERROR(__xludf.DUMMYFUNCTION("""COMPUTED_VALUE"""),"Camilo")</f>
        <v>Camilo</v>
      </c>
      <c r="F1906" t="str">
        <f>IFERROR(__xludf.DUMMYFUNCTION("""COMPUTED_VALUE"""),"Por Primera Vez")</f>
        <v>Por Primera Vez</v>
      </c>
      <c r="G1906">
        <f>IFERROR(__xludf.DUMMYFUNCTION("""COMPUTED_VALUE"""),0.0)</f>
        <v>0</v>
      </c>
      <c r="H1906" s="5">
        <f>IFERROR(__xludf.DUMMYFUNCTION("""COMPUTED_VALUE"""),0.14513888888905058)</f>
        <v>0.1451388889</v>
      </c>
    </row>
    <row r="1907">
      <c r="A1907" t="str">
        <f>IFERROR(__xludf.DUMMYFUNCTION("""COMPUTED_VALUE"""),"Mexico")</f>
        <v>Mexico</v>
      </c>
      <c r="B1907" t="str">
        <f>IFERROR(__xludf.DUMMYFUNCTION("""COMPUTED_VALUE"""),"North America")</f>
        <v>North America</v>
      </c>
      <c r="C1907">
        <f>IFERROR(__xludf.DUMMYFUNCTION("""COMPUTED_VALUE"""),6.0)</f>
        <v>6</v>
      </c>
      <c r="D1907" t="str">
        <f>IFERROR(__xludf.DUMMYFUNCTION("""COMPUTED_VALUE"""),"Jangueo")</f>
        <v>Jangueo</v>
      </c>
      <c r="E1907" t="str">
        <f>IFERROR(__xludf.DUMMYFUNCTION("""COMPUTED_VALUE"""),"Alex Rose, Rafa Pabön")</f>
        <v>Alex Rose, Rafa Pabön</v>
      </c>
      <c r="F1907" t="str">
        <f>IFERROR(__xludf.DUMMYFUNCTION("""COMPUTED_VALUE"""),"LOST")</f>
        <v>LOST</v>
      </c>
      <c r="G1907">
        <f>IFERROR(__xludf.DUMMYFUNCTION("""COMPUTED_VALUE"""),0.0)</f>
        <v>0</v>
      </c>
      <c r="H1907" s="5">
        <f>IFERROR(__xludf.DUMMYFUNCTION("""COMPUTED_VALUE"""),0.17986111111167702)</f>
        <v>0.1798611111</v>
      </c>
    </row>
    <row r="1908">
      <c r="A1908" t="str">
        <f>IFERROR(__xludf.DUMMYFUNCTION("""COMPUTED_VALUE"""),"Mexico")</f>
        <v>Mexico</v>
      </c>
      <c r="B1908" t="str">
        <f>IFERROR(__xludf.DUMMYFUNCTION("""COMPUTED_VALUE"""),"North America")</f>
        <v>North America</v>
      </c>
      <c r="C1908">
        <f>IFERROR(__xludf.DUMMYFUNCTION("""COMPUTED_VALUE"""),7.0)</f>
        <v>7</v>
      </c>
      <c r="D1908" t="str">
        <f>IFERROR(__xludf.DUMMYFUNCTION("""COMPUTED_VALUE"""),"Morado")</f>
        <v>Morado</v>
      </c>
      <c r="E1908" t="str">
        <f>IFERROR(__xludf.DUMMYFUNCTION("""COMPUTED_VALUE"""),"J Balvin")</f>
        <v>J Balvin</v>
      </c>
      <c r="F1908" t="str">
        <f>IFERROR(__xludf.DUMMYFUNCTION("""COMPUTED_VALUE"""),"Colores")</f>
        <v>Colores</v>
      </c>
      <c r="G1908">
        <f>IFERROR(__xludf.DUMMYFUNCTION("""COMPUTED_VALUE"""),0.0)</f>
        <v>0</v>
      </c>
      <c r="H1908" s="5">
        <f>IFERROR(__xludf.DUMMYFUNCTION("""COMPUTED_VALUE"""),0.13888888889050577)</f>
        <v>0.1388888889</v>
      </c>
    </row>
    <row r="1909">
      <c r="A1909" t="str">
        <f>IFERROR(__xludf.DUMMYFUNCTION("""COMPUTED_VALUE"""),"Mexico")</f>
        <v>Mexico</v>
      </c>
      <c r="B1909" t="str">
        <f>IFERROR(__xludf.DUMMYFUNCTION("""COMPUTED_VALUE"""),"North America")</f>
        <v>North America</v>
      </c>
      <c r="C1909">
        <f>IFERROR(__xludf.DUMMYFUNCTION("""COMPUTED_VALUE"""),8.0)</f>
        <v>8</v>
      </c>
      <c r="D1909" t="str">
        <f>IFERROR(__xludf.DUMMYFUNCTION("""COMPUTED_VALUE"""),"Azul")</f>
        <v>Azul</v>
      </c>
      <c r="E1909" t="str">
        <f>IFERROR(__xludf.DUMMYFUNCTION("""COMPUTED_VALUE"""),"J Balvin")</f>
        <v>J Balvin</v>
      </c>
      <c r="F1909" t="str">
        <f>IFERROR(__xludf.DUMMYFUNCTION("""COMPUTED_VALUE"""),"Colores")</f>
        <v>Colores</v>
      </c>
      <c r="G1909">
        <f>IFERROR(__xludf.DUMMYFUNCTION("""COMPUTED_VALUE"""),0.0)</f>
        <v>0</v>
      </c>
      <c r="H1909" s="5">
        <f>IFERROR(__xludf.DUMMYFUNCTION("""COMPUTED_VALUE"""),0.14236111110949423)</f>
        <v>0.1423611111</v>
      </c>
    </row>
    <row r="1910">
      <c r="A1910" t="str">
        <f>IFERROR(__xludf.DUMMYFUNCTION("""COMPUTED_VALUE"""),"Mexico")</f>
        <v>Mexico</v>
      </c>
      <c r="B1910" t="str">
        <f>IFERROR(__xludf.DUMMYFUNCTION("""COMPUTED_VALUE"""),"North America")</f>
        <v>North America</v>
      </c>
      <c r="C1910">
        <f>IFERROR(__xludf.DUMMYFUNCTION("""COMPUTED_VALUE"""),9.0)</f>
        <v>9</v>
      </c>
      <c r="D1910" t="str">
        <f>IFERROR(__xludf.DUMMYFUNCTION("""COMPUTED_VALUE"""),"Tattoo")</f>
        <v>Tattoo</v>
      </c>
      <c r="E1910" t="str">
        <f>IFERROR(__xludf.DUMMYFUNCTION("""COMPUTED_VALUE"""),"Rauw Alejandro")</f>
        <v>Rauw Alejandro</v>
      </c>
      <c r="F1910" t="str">
        <f>IFERROR(__xludf.DUMMYFUNCTION("""COMPUTED_VALUE"""),"Tattoo")</f>
        <v>Tattoo</v>
      </c>
      <c r="G1910">
        <f>IFERROR(__xludf.DUMMYFUNCTION("""COMPUTED_VALUE"""),0.0)</f>
        <v>0</v>
      </c>
      <c r="H1910" s="5">
        <f>IFERROR(__xludf.DUMMYFUNCTION("""COMPUTED_VALUE"""),0.14027777777664596)</f>
        <v>0.1402777778</v>
      </c>
    </row>
    <row r="1911">
      <c r="A1911" t="str">
        <f>IFERROR(__xludf.DUMMYFUNCTION("""COMPUTED_VALUE"""),"Mexico")</f>
        <v>Mexico</v>
      </c>
      <c r="B1911" t="str">
        <f>IFERROR(__xludf.DUMMYFUNCTION("""COMPUTED_VALUE"""),"North America")</f>
        <v>North America</v>
      </c>
      <c r="C1911">
        <f>IFERROR(__xludf.DUMMYFUNCTION("""COMPUTED_VALUE"""),10.0)</f>
        <v>10</v>
      </c>
      <c r="D1911" t="str">
        <f>IFERROR(__xludf.DUMMYFUNCTION("""COMPUTED_VALUE"""),"Rain On Me (with Ariana Grande)")</f>
        <v>Rain On Me (with Ariana Grande)</v>
      </c>
      <c r="E1911" t="str">
        <f>IFERROR(__xludf.DUMMYFUNCTION("""COMPUTED_VALUE"""),"Lady Gaga, Ariana Grande")</f>
        <v>Lady Gaga, Ariana Grande</v>
      </c>
      <c r="F1911" t="str">
        <f>IFERROR(__xludf.DUMMYFUNCTION("""COMPUTED_VALUE"""),"Rain On Me (with Ariana Grande)")</f>
        <v>Rain On Me (with Ariana Grande)</v>
      </c>
      <c r="G1911">
        <f>IFERROR(__xludf.DUMMYFUNCTION("""COMPUTED_VALUE"""),0.0)</f>
        <v>0</v>
      </c>
      <c r="H1911" s="5">
        <f>IFERROR(__xludf.DUMMYFUNCTION("""COMPUTED_VALUE"""),0.12638888888977817)</f>
        <v>0.1263888889</v>
      </c>
    </row>
    <row r="1912">
      <c r="A1912" t="str">
        <f>IFERROR(__xludf.DUMMYFUNCTION("""COMPUTED_VALUE"""),"Mexico")</f>
        <v>Mexico</v>
      </c>
      <c r="B1912" t="str">
        <f>IFERROR(__xludf.DUMMYFUNCTION("""COMPUTED_VALUE"""),"North America")</f>
        <v>North America</v>
      </c>
      <c r="C1912">
        <f>IFERROR(__xludf.DUMMYFUNCTION("""COMPUTED_VALUE"""),11.0)</f>
        <v>11</v>
      </c>
      <c r="D1912" t="str">
        <f>IFERROR(__xludf.DUMMYFUNCTION("""COMPUTED_VALUE"""),"Si Veo a Tu Mamá")</f>
        <v>Si Veo a Tu Mamá</v>
      </c>
      <c r="E1912" t="str">
        <f>IFERROR(__xludf.DUMMYFUNCTION("""COMPUTED_VALUE"""),"Bad Bunny")</f>
        <v>Bad Bunny</v>
      </c>
      <c r="F1912" t="str">
        <f>IFERROR(__xludf.DUMMYFUNCTION("""COMPUTED_VALUE"""),"YHLQMDLG")</f>
        <v>YHLQMDLG</v>
      </c>
      <c r="G1912">
        <f>IFERROR(__xludf.DUMMYFUNCTION("""COMPUTED_VALUE"""),0.0)</f>
        <v>0</v>
      </c>
      <c r="H1912" s="5">
        <f>IFERROR(__xludf.DUMMYFUNCTION("""COMPUTED_VALUE"""),0.11805555555474712)</f>
        <v>0.1180555556</v>
      </c>
    </row>
    <row r="1913">
      <c r="A1913" t="str">
        <f>IFERROR(__xludf.DUMMYFUNCTION("""COMPUTED_VALUE"""),"Mexico")</f>
        <v>Mexico</v>
      </c>
      <c r="B1913" t="str">
        <f>IFERROR(__xludf.DUMMYFUNCTION("""COMPUTED_VALUE"""),"North America")</f>
        <v>North America</v>
      </c>
      <c r="C1913">
        <f>IFERROR(__xludf.DUMMYFUNCTION("""COMPUTED_VALUE"""),12.0)</f>
        <v>12</v>
      </c>
      <c r="D1913" t="str">
        <f>IFERROR(__xludf.DUMMYFUNCTION("""COMPUTED_VALUE"""),"Qué Maldición")</f>
        <v>Qué Maldición</v>
      </c>
      <c r="E1913" t="str">
        <f>IFERROR(__xludf.DUMMYFUNCTION("""COMPUTED_VALUE"""),"Banda MS de Sergio Lizárraga, Snoop Dogg")</f>
        <v>Banda MS de Sergio Lizárraga, Snoop Dogg</v>
      </c>
      <c r="F1913" t="str">
        <f>IFERROR(__xludf.DUMMYFUNCTION("""COMPUTED_VALUE"""),"Qué Maldición")</f>
        <v>Qué Maldición</v>
      </c>
      <c r="G1913">
        <f>IFERROR(__xludf.DUMMYFUNCTION("""COMPUTED_VALUE"""),0.0)</f>
        <v>0</v>
      </c>
      <c r="H1913" s="5">
        <f>IFERROR(__xludf.DUMMYFUNCTION("""COMPUTED_VALUE"""),0.14097222222335404)</f>
        <v>0.1409722222</v>
      </c>
    </row>
    <row r="1914">
      <c r="A1914" t="str">
        <f>IFERROR(__xludf.DUMMYFUNCTION("""COMPUTED_VALUE"""),"Mexico")</f>
        <v>Mexico</v>
      </c>
      <c r="B1914" t="str">
        <f>IFERROR(__xludf.DUMMYFUNCTION("""COMPUTED_VALUE"""),"North America")</f>
        <v>North America</v>
      </c>
      <c r="C1914">
        <f>IFERROR(__xludf.DUMMYFUNCTION("""COMPUTED_VALUE"""),13.0)</f>
        <v>13</v>
      </c>
      <c r="D1914" t="str">
        <f>IFERROR(__xludf.DUMMYFUNCTION("""COMPUTED_VALUE"""),"Tusa")</f>
        <v>Tusa</v>
      </c>
      <c r="E1914" t="str">
        <f>IFERROR(__xludf.DUMMYFUNCTION("""COMPUTED_VALUE"""),"KAROL G, Nicki Minaj")</f>
        <v>KAROL G, Nicki Minaj</v>
      </c>
      <c r="F1914" t="str">
        <f>IFERROR(__xludf.DUMMYFUNCTION("""COMPUTED_VALUE"""),"Tusa")</f>
        <v>Tusa</v>
      </c>
      <c r="G1914">
        <f>IFERROR(__xludf.DUMMYFUNCTION("""COMPUTED_VALUE"""),0.0)</f>
        <v>0</v>
      </c>
      <c r="H1914" s="5">
        <f>IFERROR(__xludf.DUMMYFUNCTION("""COMPUTED_VALUE"""),0.13888888889050577)</f>
        <v>0.1388888889</v>
      </c>
    </row>
    <row r="1915">
      <c r="A1915" t="str">
        <f>IFERROR(__xludf.DUMMYFUNCTION("""COMPUTED_VALUE"""),"Mexico")</f>
        <v>Mexico</v>
      </c>
      <c r="B1915" t="str">
        <f>IFERROR(__xludf.DUMMYFUNCTION("""COMPUTED_VALUE"""),"North America")</f>
        <v>North America</v>
      </c>
      <c r="C1915">
        <f>IFERROR(__xludf.DUMMYFUNCTION("""COMPUTED_VALUE"""),14.0)</f>
        <v>14</v>
      </c>
      <c r="D1915" t="str">
        <f>IFERROR(__xludf.DUMMYFUNCTION("""COMPUTED_VALUE"""),"Elegí (feat. Dímelo Flow)")</f>
        <v>Elegí (feat. Dímelo Flow)</v>
      </c>
      <c r="E1915" t="str">
        <f>IFERROR(__xludf.DUMMYFUNCTION("""COMPUTED_VALUE"""),"Rauw Alejandro, Dalex, Lenny Tavárez, Dímelo Flow")</f>
        <v>Rauw Alejandro, Dalex, Lenny Tavárez, Dímelo Flow</v>
      </c>
      <c r="F1915" t="str">
        <f>IFERROR(__xludf.DUMMYFUNCTION("""COMPUTED_VALUE"""),"Elegí (feat. Dímelo Flow)")</f>
        <v>Elegí (feat. Dímelo Flow)</v>
      </c>
      <c r="G1915">
        <f>IFERROR(__xludf.DUMMYFUNCTION("""COMPUTED_VALUE"""),0.0)</f>
        <v>0</v>
      </c>
      <c r="H1915" s="5">
        <f>IFERROR(__xludf.DUMMYFUNCTION("""COMPUTED_VALUE"""),0.13680555555401952)</f>
        <v>0.1368055556</v>
      </c>
    </row>
    <row r="1916">
      <c r="A1916" t="str">
        <f>IFERROR(__xludf.DUMMYFUNCTION("""COMPUTED_VALUE"""),"Mexico")</f>
        <v>Mexico</v>
      </c>
      <c r="B1916" t="str">
        <f>IFERROR(__xludf.DUMMYFUNCTION("""COMPUTED_VALUE"""),"North America")</f>
        <v>North America</v>
      </c>
      <c r="C1916">
        <f>IFERROR(__xludf.DUMMYFUNCTION("""COMPUTED_VALUE"""),15.0)</f>
        <v>15</v>
      </c>
      <c r="D1916" t="str">
        <f>IFERROR(__xludf.DUMMYFUNCTION("""COMPUTED_VALUE"""),"La Difícil")</f>
        <v>La Difícil</v>
      </c>
      <c r="E1916" t="str">
        <f>IFERROR(__xludf.DUMMYFUNCTION("""COMPUTED_VALUE"""),"Bad Bunny")</f>
        <v>Bad Bunny</v>
      </c>
      <c r="F1916" t="str">
        <f>IFERROR(__xludf.DUMMYFUNCTION("""COMPUTED_VALUE"""),"YHLQMDLG")</f>
        <v>YHLQMDLG</v>
      </c>
      <c r="G1916">
        <f>IFERROR(__xludf.DUMMYFUNCTION("""COMPUTED_VALUE"""),1.0)</f>
        <v>1</v>
      </c>
      <c r="H1916" s="5">
        <f>IFERROR(__xludf.DUMMYFUNCTION("""COMPUTED_VALUE"""),0.11319444444598048)</f>
        <v>0.1131944444</v>
      </c>
    </row>
    <row r="1917">
      <c r="A1917" t="str">
        <f>IFERROR(__xludf.DUMMYFUNCTION("""COMPUTED_VALUE"""),"Mexico")</f>
        <v>Mexico</v>
      </c>
      <c r="B1917" t="str">
        <f>IFERROR(__xludf.DUMMYFUNCTION("""COMPUTED_VALUE"""),"North America")</f>
        <v>North America</v>
      </c>
      <c r="C1917">
        <f>IFERROR(__xludf.DUMMYFUNCTION("""COMPUTED_VALUE"""),16.0)</f>
        <v>16</v>
      </c>
      <c r="D1917" t="str">
        <f>IFERROR(__xludf.DUMMYFUNCTION("""COMPUTED_VALUE"""),"Don't Start Now")</f>
        <v>Don't Start Now</v>
      </c>
      <c r="E1917" t="str">
        <f>IFERROR(__xludf.DUMMYFUNCTION("""COMPUTED_VALUE"""),"Dua Lipa")</f>
        <v>Dua Lipa</v>
      </c>
      <c r="F1917" t="str">
        <f>IFERROR(__xludf.DUMMYFUNCTION("""COMPUTED_VALUE"""),"Future Nostalgia")</f>
        <v>Future Nostalgia</v>
      </c>
      <c r="G1917">
        <f>IFERROR(__xludf.DUMMYFUNCTION("""COMPUTED_VALUE"""),0.0)</f>
        <v>0</v>
      </c>
      <c r="H1917" s="5">
        <f>IFERROR(__xludf.DUMMYFUNCTION("""COMPUTED_VALUE"""),0.12708333333284827)</f>
        <v>0.1270833333</v>
      </c>
    </row>
    <row r="1918">
      <c r="A1918" t="str">
        <f>IFERROR(__xludf.DUMMYFUNCTION("""COMPUTED_VALUE"""),"Mexico")</f>
        <v>Mexico</v>
      </c>
      <c r="B1918" t="str">
        <f>IFERROR(__xludf.DUMMYFUNCTION("""COMPUTED_VALUE"""),"North America")</f>
        <v>North America</v>
      </c>
      <c r="C1918">
        <f>IFERROR(__xludf.DUMMYFUNCTION("""COMPUTED_VALUE"""),17.0)</f>
        <v>17</v>
      </c>
      <c r="D1918" t="str">
        <f>IFERROR(__xludf.DUMMYFUNCTION("""COMPUTED_VALUE"""),"El Efecto")</f>
        <v>El Efecto</v>
      </c>
      <c r="E1918" t="str">
        <f>IFERROR(__xludf.DUMMYFUNCTION("""COMPUTED_VALUE"""),"Rauw Alejandro, Chencho Corleone")</f>
        <v>Rauw Alejandro, Chencho Corleone</v>
      </c>
      <c r="F1918" t="str">
        <f>IFERROR(__xludf.DUMMYFUNCTION("""COMPUTED_VALUE"""),"El Efecto")</f>
        <v>El Efecto</v>
      </c>
      <c r="G1918">
        <f>IFERROR(__xludf.DUMMYFUNCTION("""COMPUTED_VALUE"""),0.0)</f>
        <v>0</v>
      </c>
      <c r="H1918" s="5">
        <f>IFERROR(__xludf.DUMMYFUNCTION("""COMPUTED_VALUE"""),0.1506944444445253)</f>
        <v>0.1506944444</v>
      </c>
    </row>
    <row r="1919">
      <c r="A1919" t="str">
        <f>IFERROR(__xludf.DUMMYFUNCTION("""COMPUTED_VALUE"""),"Mexico")</f>
        <v>Mexico</v>
      </c>
      <c r="B1919" t="str">
        <f>IFERROR(__xludf.DUMMYFUNCTION("""COMPUTED_VALUE"""),"North America")</f>
        <v>North America</v>
      </c>
      <c r="C1919">
        <f>IFERROR(__xludf.DUMMYFUNCTION("""COMPUTED_VALUE"""),18.0)</f>
        <v>18</v>
      </c>
      <c r="D1919" t="str">
        <f>IFERROR(__xludf.DUMMYFUNCTION("""COMPUTED_VALUE"""),"Ignorantes")</f>
        <v>Ignorantes</v>
      </c>
      <c r="E1919" t="str">
        <f>IFERROR(__xludf.DUMMYFUNCTION("""COMPUTED_VALUE"""),"Bad Bunny, Sech")</f>
        <v>Bad Bunny, Sech</v>
      </c>
      <c r="F1919" t="str">
        <f>IFERROR(__xludf.DUMMYFUNCTION("""COMPUTED_VALUE"""),"YHLQMDLG")</f>
        <v>YHLQMDLG</v>
      </c>
      <c r="G1919">
        <f>IFERROR(__xludf.DUMMYFUNCTION("""COMPUTED_VALUE"""),1.0)</f>
        <v>1</v>
      </c>
      <c r="H1919" s="5">
        <f>IFERROR(__xludf.DUMMYFUNCTION("""COMPUTED_VALUE"""),0.14583333333212067)</f>
        <v>0.1458333333</v>
      </c>
    </row>
    <row r="1920">
      <c r="A1920" t="str">
        <f>IFERROR(__xludf.DUMMYFUNCTION("""COMPUTED_VALUE"""),"Mexico")</f>
        <v>Mexico</v>
      </c>
      <c r="B1920" t="str">
        <f>IFERROR(__xludf.DUMMYFUNCTION("""COMPUTED_VALUE"""),"North America")</f>
        <v>North America</v>
      </c>
      <c r="C1920">
        <f>IFERROR(__xludf.DUMMYFUNCTION("""COMPUTED_VALUE"""),19.0)</f>
        <v>19</v>
      </c>
      <c r="D1920" t="str">
        <f>IFERROR(__xludf.DUMMYFUNCTION("""COMPUTED_VALUE"""),"PA' ROMPERLA")</f>
        <v>PA' ROMPERLA</v>
      </c>
      <c r="E1920" t="str">
        <f>IFERROR(__xludf.DUMMYFUNCTION("""COMPUTED_VALUE"""),"Bad Bunny, Don Omar")</f>
        <v>Bad Bunny, Don Omar</v>
      </c>
      <c r="F1920" t="str">
        <f>IFERROR(__xludf.DUMMYFUNCTION("""COMPUTED_VALUE"""),"LAS QUE NO IBAN A SALIR")</f>
        <v>LAS QUE NO IBAN A SALIR</v>
      </c>
      <c r="G1920">
        <f>IFERROR(__xludf.DUMMYFUNCTION("""COMPUTED_VALUE"""),1.0)</f>
        <v>1</v>
      </c>
      <c r="H1920" s="5">
        <f>IFERROR(__xludf.DUMMYFUNCTION("""COMPUTED_VALUE"""),0.13472222222117125)</f>
        <v>0.1347222222</v>
      </c>
    </row>
    <row r="1921">
      <c r="A1921" t="str">
        <f>IFERROR(__xludf.DUMMYFUNCTION("""COMPUTED_VALUE"""),"Mexico")</f>
        <v>Mexico</v>
      </c>
      <c r="B1921" t="str">
        <f>IFERROR(__xludf.DUMMYFUNCTION("""COMPUTED_VALUE"""),"North America")</f>
        <v>North America</v>
      </c>
      <c r="C1921">
        <f>IFERROR(__xludf.DUMMYFUNCTION("""COMPUTED_VALUE"""),20.0)</f>
        <v>20</v>
      </c>
      <c r="D1921" t="str">
        <f>IFERROR(__xludf.DUMMYFUNCTION("""COMPUTED_VALUE"""),"Amarillo")</f>
        <v>Amarillo</v>
      </c>
      <c r="E1921" t="str">
        <f>IFERROR(__xludf.DUMMYFUNCTION("""COMPUTED_VALUE"""),"J Balvin")</f>
        <v>J Balvin</v>
      </c>
      <c r="F1921" t="str">
        <f>IFERROR(__xludf.DUMMYFUNCTION("""COMPUTED_VALUE"""),"Colores")</f>
        <v>Colores</v>
      </c>
      <c r="G1921">
        <f>IFERROR(__xludf.DUMMYFUNCTION("""COMPUTED_VALUE"""),0.0)</f>
        <v>0</v>
      </c>
      <c r="H1921" s="5">
        <f>IFERROR(__xludf.DUMMYFUNCTION("""COMPUTED_VALUE"""),0.10902777777664596)</f>
        <v>0.1090277778</v>
      </c>
    </row>
    <row r="1922">
      <c r="A1922" t="str">
        <f>IFERROR(__xludf.DUMMYFUNCTION("""COMPUTED_VALUE"""),"Mexico")</f>
        <v>Mexico</v>
      </c>
      <c r="B1922" t="str">
        <f>IFERROR(__xludf.DUMMYFUNCTION("""COMPUTED_VALUE"""),"North America")</f>
        <v>North America</v>
      </c>
      <c r="C1922">
        <f>IFERROR(__xludf.DUMMYFUNCTION("""COMPUTED_VALUE"""),21.0)</f>
        <v>21</v>
      </c>
      <c r="D1922" t="str">
        <f>IFERROR(__xludf.DUMMYFUNCTION("""COMPUTED_VALUE"""),"Diosa")</f>
        <v>Diosa</v>
      </c>
      <c r="E1922" t="str">
        <f>IFERROR(__xludf.DUMMYFUNCTION("""COMPUTED_VALUE"""),"Myke Towers")</f>
        <v>Myke Towers</v>
      </c>
      <c r="F1922" t="str">
        <f>IFERROR(__xludf.DUMMYFUNCTION("""COMPUTED_VALUE"""),"Easy Money Baby")</f>
        <v>Easy Money Baby</v>
      </c>
      <c r="G1922">
        <f>IFERROR(__xludf.DUMMYFUNCTION("""COMPUTED_VALUE"""),1.0)</f>
        <v>1</v>
      </c>
      <c r="H1922" s="5">
        <f>IFERROR(__xludf.DUMMYFUNCTION("""COMPUTED_VALUE"""),0.14861111111167702)</f>
        <v>0.1486111111</v>
      </c>
    </row>
    <row r="1923">
      <c r="A1923" t="str">
        <f>IFERROR(__xludf.DUMMYFUNCTION("""COMPUTED_VALUE"""),"Mexico")</f>
        <v>Mexico</v>
      </c>
      <c r="B1923" t="str">
        <f>IFERROR(__xludf.DUMMYFUNCTION("""COMPUTED_VALUE"""),"North America")</f>
        <v>North America</v>
      </c>
      <c r="C1923">
        <f>IFERROR(__xludf.DUMMYFUNCTION("""COMPUTED_VALUE"""),22.0)</f>
        <v>22</v>
      </c>
      <c r="D1923" t="str">
        <f>IFERROR(__xludf.DUMMYFUNCTION("""COMPUTED_VALUE"""),"Sigues Con El")</f>
        <v>Sigues Con El</v>
      </c>
      <c r="E1923" t="str">
        <f>IFERROR(__xludf.DUMMYFUNCTION("""COMPUTED_VALUE"""),"Dímelo Flow, Arcangel, Sech")</f>
        <v>Dímelo Flow, Arcangel, Sech</v>
      </c>
      <c r="F1923" t="str">
        <f>IFERROR(__xludf.DUMMYFUNCTION("""COMPUTED_VALUE"""),"Sigues Con El")</f>
        <v>Sigues Con El</v>
      </c>
      <c r="G1923">
        <f>IFERROR(__xludf.DUMMYFUNCTION("""COMPUTED_VALUE"""),0.0)</f>
        <v>0</v>
      </c>
      <c r="H1923" s="5">
        <f>IFERROR(__xludf.DUMMYFUNCTION("""COMPUTED_VALUE"""),0.1569444444430701)</f>
        <v>0.1569444444</v>
      </c>
    </row>
    <row r="1924">
      <c r="A1924" t="str">
        <f>IFERROR(__xludf.DUMMYFUNCTION("""COMPUTED_VALUE"""),"Mexico")</f>
        <v>Mexico</v>
      </c>
      <c r="B1924" t="str">
        <f>IFERROR(__xludf.DUMMYFUNCTION("""COMPUTED_VALUE"""),"North America")</f>
        <v>North America</v>
      </c>
      <c r="C1924">
        <f>IFERROR(__xludf.DUMMYFUNCTION("""COMPUTED_VALUE"""),23.0)</f>
        <v>23</v>
      </c>
      <c r="D1924" t="str">
        <f>IFERROR(__xludf.DUMMYFUNCTION("""COMPUTED_VALUE"""),"Se Me Olvidó")</f>
        <v>Se Me Olvidó</v>
      </c>
      <c r="E1924" t="str">
        <f>IFERROR(__xludf.DUMMYFUNCTION("""COMPUTED_VALUE"""),"Christian Nodal")</f>
        <v>Christian Nodal</v>
      </c>
      <c r="F1924" t="str">
        <f>IFERROR(__xludf.DUMMYFUNCTION("""COMPUTED_VALUE"""),"Se Me Olvidó")</f>
        <v>Se Me Olvidó</v>
      </c>
      <c r="G1924">
        <f>IFERROR(__xludf.DUMMYFUNCTION("""COMPUTED_VALUE"""),0.0)</f>
        <v>0</v>
      </c>
      <c r="H1924" s="5">
        <f>IFERROR(__xludf.DUMMYFUNCTION("""COMPUTED_VALUE"""),0.11041666666642413)</f>
        <v>0.1104166667</v>
      </c>
    </row>
    <row r="1925">
      <c r="A1925" t="str">
        <f>IFERROR(__xludf.DUMMYFUNCTION("""COMPUTED_VALUE"""),"Mexico")</f>
        <v>Mexico</v>
      </c>
      <c r="B1925" t="str">
        <f>IFERROR(__xludf.DUMMYFUNCTION("""COMPUTED_VALUE"""),"North America")</f>
        <v>North America</v>
      </c>
      <c r="C1925">
        <f>IFERROR(__xludf.DUMMYFUNCTION("""COMPUTED_VALUE"""),24.0)</f>
        <v>24</v>
      </c>
      <c r="D1925" t="str">
        <f>IFERROR(__xludf.DUMMYFUNCTION("""COMPUTED_VALUE"""),"Dance Monkey")</f>
        <v>Dance Monkey</v>
      </c>
      <c r="E1925" t="str">
        <f>IFERROR(__xludf.DUMMYFUNCTION("""COMPUTED_VALUE"""),"Tones And I")</f>
        <v>Tones And I</v>
      </c>
      <c r="F1925" t="str">
        <f>IFERROR(__xludf.DUMMYFUNCTION("""COMPUTED_VALUE"""),"Dance Monkey (Stripped Back) / Dance Monkey")</f>
        <v>Dance Monkey (Stripped Back) / Dance Monkey</v>
      </c>
      <c r="G1925">
        <f>IFERROR(__xludf.DUMMYFUNCTION("""COMPUTED_VALUE"""),0.0)</f>
        <v>0</v>
      </c>
      <c r="H1925" s="5">
        <f>IFERROR(__xludf.DUMMYFUNCTION("""COMPUTED_VALUE"""),0.14513888888905058)</f>
        <v>0.1451388889</v>
      </c>
    </row>
    <row r="1926">
      <c r="A1926" t="str">
        <f>IFERROR(__xludf.DUMMYFUNCTION("""COMPUTED_VALUE"""),"Mexico")</f>
        <v>Mexico</v>
      </c>
      <c r="B1926" t="str">
        <f>IFERROR(__xludf.DUMMYFUNCTION("""COMPUTED_VALUE"""),"North America")</f>
        <v>North America</v>
      </c>
      <c r="C1926">
        <f>IFERROR(__xludf.DUMMYFUNCTION("""COMPUTED_VALUE"""),25.0)</f>
        <v>25</v>
      </c>
      <c r="D1926" t="str">
        <f>IFERROR(__xludf.DUMMYFUNCTION("""COMPUTED_VALUE"""),"Hola - Remix")</f>
        <v>Hola - Remix</v>
      </c>
      <c r="E1926" t="str">
        <f>IFERROR(__xludf.DUMMYFUNCTION("""COMPUTED_VALUE"""),"Dalex, Lenny Tavárez, Chencho Corleone, Juhn, Dímelo Flow")</f>
        <v>Dalex, Lenny Tavárez, Chencho Corleone, Juhn, Dímelo Flow</v>
      </c>
      <c r="F1926" t="str">
        <f>IFERROR(__xludf.DUMMYFUNCTION("""COMPUTED_VALUE"""),"Hola (Remix)")</f>
        <v>Hola (Remix)</v>
      </c>
      <c r="G1926">
        <f>IFERROR(__xludf.DUMMYFUNCTION("""COMPUTED_VALUE"""),0.0)</f>
        <v>0</v>
      </c>
      <c r="H1926" s="5">
        <f>IFERROR(__xludf.DUMMYFUNCTION("""COMPUTED_VALUE"""),0.17291666666642413)</f>
        <v>0.1729166667</v>
      </c>
    </row>
    <row r="1927">
      <c r="A1927" t="str">
        <f>IFERROR(__xludf.DUMMYFUNCTION("""COMPUTED_VALUE"""),"Mexico")</f>
        <v>Mexico</v>
      </c>
      <c r="B1927" t="str">
        <f>IFERROR(__xludf.DUMMYFUNCTION("""COMPUTED_VALUE"""),"North America")</f>
        <v>North America</v>
      </c>
      <c r="C1927">
        <f>IFERROR(__xludf.DUMMYFUNCTION("""COMPUTED_VALUE"""),26.0)</f>
        <v>26</v>
      </c>
      <c r="D1927" t="str">
        <f>IFERROR(__xludf.DUMMYFUNCTION("""COMPUTED_VALUE"""),"Break My Heart")</f>
        <v>Break My Heart</v>
      </c>
      <c r="E1927" t="str">
        <f>IFERROR(__xludf.DUMMYFUNCTION("""COMPUTED_VALUE"""),"Dua Lipa")</f>
        <v>Dua Lipa</v>
      </c>
      <c r="F1927" t="str">
        <f>IFERROR(__xludf.DUMMYFUNCTION("""COMPUTED_VALUE"""),"Future Nostalgia")</f>
        <v>Future Nostalgia</v>
      </c>
      <c r="G1927">
        <f>IFERROR(__xludf.DUMMYFUNCTION("""COMPUTED_VALUE"""),0.0)</f>
        <v>0</v>
      </c>
      <c r="H1927" s="5">
        <f>IFERROR(__xludf.DUMMYFUNCTION("""COMPUTED_VALUE"""),0.15347222222044365)</f>
        <v>0.1534722222</v>
      </c>
    </row>
    <row r="1928">
      <c r="A1928" t="str">
        <f>IFERROR(__xludf.DUMMYFUNCTION("""COMPUTED_VALUE"""),"Mexico")</f>
        <v>Mexico</v>
      </c>
      <c r="B1928" t="str">
        <f>IFERROR(__xludf.DUMMYFUNCTION("""COMPUTED_VALUE"""),"North America")</f>
        <v>North America</v>
      </c>
      <c r="C1928">
        <f>IFERROR(__xludf.DUMMYFUNCTION("""COMPUTED_VALUE"""),27.0)</f>
        <v>27</v>
      </c>
      <c r="D1928" t="str">
        <f>IFERROR(__xludf.DUMMYFUNCTION("""COMPUTED_VALUE"""),"BYE ME FUI")</f>
        <v>BYE ME FUI</v>
      </c>
      <c r="E1928" t="str">
        <f>IFERROR(__xludf.DUMMYFUNCTION("""COMPUTED_VALUE"""),"Bad Bunny")</f>
        <v>Bad Bunny</v>
      </c>
      <c r="F1928" t="str">
        <f>IFERROR(__xludf.DUMMYFUNCTION("""COMPUTED_VALUE"""),"LAS QUE NO IBAN A SALIR")</f>
        <v>LAS QUE NO IBAN A SALIR</v>
      </c>
      <c r="G1928">
        <f>IFERROR(__xludf.DUMMYFUNCTION("""COMPUTED_VALUE"""),1.0)</f>
        <v>1</v>
      </c>
      <c r="H1928" s="5">
        <f>IFERROR(__xludf.DUMMYFUNCTION("""COMPUTED_VALUE"""),0.12361111111022183)</f>
        <v>0.1236111111</v>
      </c>
    </row>
    <row r="1929">
      <c r="A1929" t="str">
        <f>IFERROR(__xludf.DUMMYFUNCTION("""COMPUTED_VALUE"""),"Mexico")</f>
        <v>Mexico</v>
      </c>
      <c r="B1929" t="str">
        <f>IFERROR(__xludf.DUMMYFUNCTION("""COMPUTED_VALUE"""),"North America")</f>
        <v>North America</v>
      </c>
      <c r="C1929">
        <f>IFERROR(__xludf.DUMMYFUNCTION("""COMPUTED_VALUE"""),28.0)</f>
        <v>28</v>
      </c>
      <c r="D1929" t="str">
        <f>IFERROR(__xludf.DUMMYFUNCTION("""COMPUTED_VALUE"""),"La Santa")</f>
        <v>La Santa</v>
      </c>
      <c r="E1929" t="str">
        <f>IFERROR(__xludf.DUMMYFUNCTION("""COMPUTED_VALUE"""),"Bad Bunny, Daddy Yankee")</f>
        <v>Bad Bunny, Daddy Yankee</v>
      </c>
      <c r="F1929" t="str">
        <f>IFERROR(__xludf.DUMMYFUNCTION("""COMPUTED_VALUE"""),"YHLQMDLG")</f>
        <v>YHLQMDLG</v>
      </c>
      <c r="G1929">
        <f>IFERROR(__xludf.DUMMYFUNCTION("""COMPUTED_VALUE"""),1.0)</f>
        <v>1</v>
      </c>
      <c r="H1929" s="5">
        <f>IFERROR(__xludf.DUMMYFUNCTION("""COMPUTED_VALUE"""),0.1430555555562023)</f>
        <v>0.1430555556</v>
      </c>
    </row>
    <row r="1930">
      <c r="A1930" t="str">
        <f>IFERROR(__xludf.DUMMYFUNCTION("""COMPUTED_VALUE"""),"Mexico")</f>
        <v>Mexico</v>
      </c>
      <c r="B1930" t="str">
        <f>IFERROR(__xludf.DUMMYFUNCTION("""COMPUTED_VALUE"""),"North America")</f>
        <v>North America</v>
      </c>
      <c r="C1930">
        <f>IFERROR(__xludf.DUMMYFUNCTION("""COMPUTED_VALUE"""),29.0)</f>
        <v>29</v>
      </c>
      <c r="D1930" t="str">
        <f>IFERROR(__xludf.DUMMYFUNCTION("""COMPUTED_VALUE"""),"Roses - Imanbek Remix")</f>
        <v>Roses - Imanbek Remix</v>
      </c>
      <c r="E1930" t="str">
        <f>IFERROR(__xludf.DUMMYFUNCTION("""COMPUTED_VALUE"""),"SAINt JHN, Imanbek")</f>
        <v>SAINt JHN, Imanbek</v>
      </c>
      <c r="F1930" t="str">
        <f>IFERROR(__xludf.DUMMYFUNCTION("""COMPUTED_VALUE"""),"Roses (Imanbek Remix)")</f>
        <v>Roses (Imanbek Remix)</v>
      </c>
      <c r="G1930">
        <f>IFERROR(__xludf.DUMMYFUNCTION("""COMPUTED_VALUE"""),1.0)</f>
        <v>1</v>
      </c>
      <c r="H1930" s="5">
        <f>IFERROR(__xludf.DUMMYFUNCTION("""COMPUTED_VALUE"""),0.12222222222044365)</f>
        <v>0.1222222222</v>
      </c>
    </row>
    <row r="1931">
      <c r="A1931" t="str">
        <f>IFERROR(__xludf.DUMMYFUNCTION("""COMPUTED_VALUE"""),"Mexico")</f>
        <v>Mexico</v>
      </c>
      <c r="B1931" t="str">
        <f>IFERROR(__xludf.DUMMYFUNCTION("""COMPUTED_VALUE"""),"North America")</f>
        <v>North America</v>
      </c>
      <c r="C1931">
        <f>IFERROR(__xludf.DUMMYFUNCTION("""COMPUTED_VALUE"""),30.0)</f>
        <v>30</v>
      </c>
      <c r="D1931" t="str">
        <f>IFERROR(__xludf.DUMMYFUNCTION("""COMPUTED_VALUE"""),"PORFA")</f>
        <v>PORFA</v>
      </c>
      <c r="E1931" t="str">
        <f>IFERROR(__xludf.DUMMYFUNCTION("""COMPUTED_VALUE"""),"Feid, Justin Quiles")</f>
        <v>Feid, Justin Quiles</v>
      </c>
      <c r="F1931" t="str">
        <f>IFERROR(__xludf.DUMMYFUNCTION("""COMPUTED_VALUE"""),"FERXXO (VOL 1: M.O.R)")</f>
        <v>FERXXO (VOL 1: M.O.R)</v>
      </c>
      <c r="G1931">
        <f>IFERROR(__xludf.DUMMYFUNCTION("""COMPUTED_VALUE"""),0.0)</f>
        <v>0</v>
      </c>
      <c r="H1931" s="5">
        <f>IFERROR(__xludf.DUMMYFUNCTION("""COMPUTED_VALUE"""),0.16111111111240461)</f>
        <v>0.1611111111</v>
      </c>
    </row>
    <row r="1932">
      <c r="A1932" t="str">
        <f>IFERROR(__xludf.DUMMYFUNCTION("""COMPUTED_VALUE"""),"Mexico")</f>
        <v>Mexico</v>
      </c>
      <c r="B1932" t="str">
        <f>IFERROR(__xludf.DUMMYFUNCTION("""COMPUTED_VALUE"""),"North America")</f>
        <v>North America</v>
      </c>
      <c r="C1932">
        <f>IFERROR(__xludf.DUMMYFUNCTION("""COMPUTED_VALUE"""),31.0)</f>
        <v>31</v>
      </c>
      <c r="D1932" t="str">
        <f>IFERROR(__xludf.DUMMYFUNCTION("""COMPUTED_VALUE"""),"Arriba")</f>
        <v>Arriba</v>
      </c>
      <c r="E1932" t="str">
        <f>IFERROR(__xludf.DUMMYFUNCTION("""COMPUTED_VALUE"""),"Natanael Cano")</f>
        <v>Natanael Cano</v>
      </c>
      <c r="F1932" t="str">
        <f>IFERROR(__xludf.DUMMYFUNCTION("""COMPUTED_VALUE"""),"Arriba")</f>
        <v>Arriba</v>
      </c>
      <c r="G1932">
        <f>IFERROR(__xludf.DUMMYFUNCTION("""COMPUTED_VALUE"""),1.0)</f>
        <v>1</v>
      </c>
      <c r="H1932" s="5">
        <f>IFERROR(__xludf.DUMMYFUNCTION("""COMPUTED_VALUE"""),0.12083333333430346)</f>
        <v>0.1208333333</v>
      </c>
    </row>
    <row r="1933">
      <c r="A1933" t="str">
        <f>IFERROR(__xludf.DUMMYFUNCTION("""COMPUTED_VALUE"""),"Mexico")</f>
        <v>Mexico</v>
      </c>
      <c r="B1933" t="str">
        <f>IFERROR(__xludf.DUMMYFUNCTION("""COMPUTED_VALUE"""),"North America")</f>
        <v>North America</v>
      </c>
      <c r="C1933">
        <f>IFERROR(__xludf.DUMMYFUNCTION("""COMPUTED_VALUE"""),32.0)</f>
        <v>32</v>
      </c>
      <c r="D1933" t="str">
        <f>IFERROR(__xludf.DUMMYFUNCTION("""COMPUTED_VALUE"""),"No Me Conoce - Remix")</f>
        <v>No Me Conoce - Remix</v>
      </c>
      <c r="E1933" t="str">
        <f>IFERROR(__xludf.DUMMYFUNCTION("""COMPUTED_VALUE"""),"Jhay Cortez, J Balvin, Bad Bunny")</f>
        <v>Jhay Cortez, J Balvin, Bad Bunny</v>
      </c>
      <c r="F1933" t="str">
        <f>IFERROR(__xludf.DUMMYFUNCTION("""COMPUTED_VALUE"""),"Famouz")</f>
        <v>Famouz</v>
      </c>
      <c r="G1933">
        <f>IFERROR(__xludf.DUMMYFUNCTION("""COMPUTED_VALUE"""),0.0)</f>
        <v>0</v>
      </c>
      <c r="H1933" s="5">
        <f>IFERROR(__xludf.DUMMYFUNCTION("""COMPUTED_VALUE"""),0.21458333333430346)</f>
        <v>0.2145833333</v>
      </c>
    </row>
    <row r="1934">
      <c r="A1934" t="str">
        <f>IFERROR(__xludf.DUMMYFUNCTION("""COMPUTED_VALUE"""),"Mexico")</f>
        <v>Mexico</v>
      </c>
      <c r="B1934" t="str">
        <f>IFERROR(__xludf.DUMMYFUNCTION("""COMPUTED_VALUE"""),"North America")</f>
        <v>North America</v>
      </c>
      <c r="C1934">
        <f>IFERROR(__xludf.DUMMYFUNCTION("""COMPUTED_VALUE"""),33.0)</f>
        <v>33</v>
      </c>
      <c r="D1934" t="str">
        <f>IFERROR(__xludf.DUMMYFUNCTION("""COMPUTED_VALUE"""),"death bed (coffee for your head) (feat. beabadoobee)")</f>
        <v>death bed (coffee for your head) (feat. beabadoobee)</v>
      </c>
      <c r="E1934" t="str">
        <f>IFERROR(__xludf.DUMMYFUNCTION("""COMPUTED_VALUE"""),"Powfu, beabadoobee")</f>
        <v>Powfu, beabadoobee</v>
      </c>
      <c r="F1934" t="str">
        <f>IFERROR(__xludf.DUMMYFUNCTION("""COMPUTED_VALUE"""),"death bed (coffee for your head) (feat. beabadoobee)")</f>
        <v>death bed (coffee for your head) (feat. beabadoobee)</v>
      </c>
      <c r="G1934">
        <f>IFERROR(__xludf.DUMMYFUNCTION("""COMPUTED_VALUE"""),0.0)</f>
        <v>0</v>
      </c>
      <c r="H1934" s="5">
        <f>IFERROR(__xludf.DUMMYFUNCTION("""COMPUTED_VALUE"""),0.12013888888759539)</f>
        <v>0.1201388889</v>
      </c>
    </row>
    <row r="1935">
      <c r="A1935" t="str">
        <f>IFERROR(__xludf.DUMMYFUNCTION("""COMPUTED_VALUE"""),"Mexico")</f>
        <v>Mexico</v>
      </c>
      <c r="B1935" t="str">
        <f>IFERROR(__xludf.DUMMYFUNCTION("""COMPUTED_VALUE"""),"North America")</f>
        <v>North America</v>
      </c>
      <c r="C1935">
        <f>IFERROR(__xludf.DUMMYFUNCTION("""COMPUTED_VALUE"""),34.0)</f>
        <v>34</v>
      </c>
      <c r="D1935" t="str">
        <f>IFERROR(__xludf.DUMMYFUNCTION("""COMPUTED_VALUE"""),"Pa' Olvidarme De Ella")</f>
        <v>Pa' Olvidarme De Ella</v>
      </c>
      <c r="E1935" t="str">
        <f>IFERROR(__xludf.DUMMYFUNCTION("""COMPUTED_VALUE"""),"Piso 21, Christian Nodal")</f>
        <v>Piso 21, Christian Nodal</v>
      </c>
      <c r="F1935" t="str">
        <f>IFERROR(__xludf.DUMMYFUNCTION("""COMPUTED_VALUE"""),"Pa' Olvidarme De Ella")</f>
        <v>Pa' Olvidarme De Ella</v>
      </c>
      <c r="G1935">
        <f>IFERROR(__xludf.DUMMYFUNCTION("""COMPUTED_VALUE"""),1.0)</f>
        <v>1</v>
      </c>
      <c r="H1935" s="5">
        <f>IFERROR(__xludf.DUMMYFUNCTION("""COMPUTED_VALUE"""),0.15763888888977817)</f>
        <v>0.1576388889</v>
      </c>
    </row>
    <row r="1936">
      <c r="A1936" t="str">
        <f>IFERROR(__xludf.DUMMYFUNCTION("""COMPUTED_VALUE"""),"Mexico")</f>
        <v>Mexico</v>
      </c>
      <c r="B1936" t="str">
        <f>IFERROR(__xludf.DUMMYFUNCTION("""COMPUTED_VALUE"""),"North America")</f>
        <v>North America</v>
      </c>
      <c r="C1936">
        <f>IFERROR(__xludf.DUMMYFUNCTION("""COMPUTED_VALUE"""),35.0)</f>
        <v>35</v>
      </c>
      <c r="D1936" t="str">
        <f>IFERROR(__xludf.DUMMYFUNCTION("""COMPUTED_VALUE"""),"LA CANCIÓN")</f>
        <v>LA CANCIÓN</v>
      </c>
      <c r="E1936" t="str">
        <f>IFERROR(__xludf.DUMMYFUNCTION("""COMPUTED_VALUE"""),"J Balvin, Bad Bunny")</f>
        <v>J Balvin, Bad Bunny</v>
      </c>
      <c r="F1936" t="str">
        <f>IFERROR(__xludf.DUMMYFUNCTION("""COMPUTED_VALUE"""),"OASIS")</f>
        <v>OASIS</v>
      </c>
      <c r="G1936">
        <f>IFERROR(__xludf.DUMMYFUNCTION("""COMPUTED_VALUE"""),0.0)</f>
        <v>0</v>
      </c>
      <c r="H1936" s="5">
        <f>IFERROR(__xludf.DUMMYFUNCTION("""COMPUTED_VALUE"""),0.16805555555401952)</f>
        <v>0.1680555556</v>
      </c>
    </row>
    <row r="1937">
      <c r="A1937" t="str">
        <f>IFERROR(__xludf.DUMMYFUNCTION("""COMPUTED_VALUE"""),"Mexico")</f>
        <v>Mexico</v>
      </c>
      <c r="B1937" t="str">
        <f>IFERROR(__xludf.DUMMYFUNCTION("""COMPUTED_VALUE"""),"North America")</f>
        <v>North America</v>
      </c>
      <c r="C1937">
        <f>IFERROR(__xludf.DUMMYFUNCTION("""COMPUTED_VALUE"""),36.0)</f>
        <v>36</v>
      </c>
      <c r="D1937" t="str">
        <f>IFERROR(__xludf.DUMMYFUNCTION("""COMPUTED_VALUE"""),"Vete")</f>
        <v>Vete</v>
      </c>
      <c r="E1937" t="str">
        <f>IFERROR(__xludf.DUMMYFUNCTION("""COMPUTED_VALUE"""),"Bad Bunny")</f>
        <v>Bad Bunny</v>
      </c>
      <c r="F1937" t="str">
        <f>IFERROR(__xludf.DUMMYFUNCTION("""COMPUTED_VALUE"""),"YHLQMDLG")</f>
        <v>YHLQMDLG</v>
      </c>
      <c r="G1937">
        <f>IFERROR(__xludf.DUMMYFUNCTION("""COMPUTED_VALUE"""),1.0)</f>
        <v>1</v>
      </c>
      <c r="H1937" s="5">
        <f>IFERROR(__xludf.DUMMYFUNCTION("""COMPUTED_VALUE"""),0.13333333333503106)</f>
        <v>0.1333333333</v>
      </c>
    </row>
    <row r="1938">
      <c r="A1938" t="str">
        <f>IFERROR(__xludf.DUMMYFUNCTION("""COMPUTED_VALUE"""),"Mexico")</f>
        <v>Mexico</v>
      </c>
      <c r="B1938" t="str">
        <f>IFERROR(__xludf.DUMMYFUNCTION("""COMPUTED_VALUE"""),"North America")</f>
        <v>North America</v>
      </c>
      <c r="C1938">
        <f>IFERROR(__xludf.DUMMYFUNCTION("""COMPUTED_VALUE"""),37.0)</f>
        <v>37</v>
      </c>
      <c r="D1938" t="str">
        <f>IFERROR(__xludf.DUMMYFUNCTION("""COMPUTED_VALUE"""),"A Tu Merced")</f>
        <v>A Tu Merced</v>
      </c>
      <c r="E1938" t="str">
        <f>IFERROR(__xludf.DUMMYFUNCTION("""COMPUTED_VALUE"""),"Bad Bunny")</f>
        <v>Bad Bunny</v>
      </c>
      <c r="F1938" t="str">
        <f>IFERROR(__xludf.DUMMYFUNCTION("""COMPUTED_VALUE"""),"YHLQMDLG")</f>
        <v>YHLQMDLG</v>
      </c>
      <c r="G1938">
        <f>IFERROR(__xludf.DUMMYFUNCTION("""COMPUTED_VALUE"""),0.0)</f>
        <v>0</v>
      </c>
      <c r="H1938" s="5">
        <f>IFERROR(__xludf.DUMMYFUNCTION("""COMPUTED_VALUE"""),0.12152777777737356)</f>
        <v>0.1215277778</v>
      </c>
    </row>
    <row r="1939">
      <c r="A1939" t="str">
        <f>IFERROR(__xludf.DUMMYFUNCTION("""COMPUTED_VALUE"""),"Mexico")</f>
        <v>Mexico</v>
      </c>
      <c r="B1939" t="str">
        <f>IFERROR(__xludf.DUMMYFUNCTION("""COMPUTED_VALUE"""),"North America")</f>
        <v>North America</v>
      </c>
      <c r="C1939">
        <f>IFERROR(__xludf.DUMMYFUNCTION("""COMPUTED_VALUE"""),38.0)</f>
        <v>38</v>
      </c>
      <c r="D1939" t="str">
        <f>IFERROR(__xludf.DUMMYFUNCTION("""COMPUTED_VALUE"""),"Negro")</f>
        <v>Negro</v>
      </c>
      <c r="E1939" t="str">
        <f>IFERROR(__xludf.DUMMYFUNCTION("""COMPUTED_VALUE"""),"J Balvin")</f>
        <v>J Balvin</v>
      </c>
      <c r="F1939" t="str">
        <f>IFERROR(__xludf.DUMMYFUNCTION("""COMPUTED_VALUE"""),"Colores")</f>
        <v>Colores</v>
      </c>
      <c r="G1939">
        <f>IFERROR(__xludf.DUMMYFUNCTION("""COMPUTED_VALUE"""),0.0)</f>
        <v>0</v>
      </c>
      <c r="H1939" s="5">
        <f>IFERROR(__xludf.DUMMYFUNCTION("""COMPUTED_VALUE"""),0.12638888888977817)</f>
        <v>0.1263888889</v>
      </c>
    </row>
    <row r="1940">
      <c r="A1940" t="str">
        <f>IFERROR(__xludf.DUMMYFUNCTION("""COMPUTED_VALUE"""),"Mexico")</f>
        <v>Mexico</v>
      </c>
      <c r="B1940" t="str">
        <f>IFERROR(__xludf.DUMMYFUNCTION("""COMPUTED_VALUE"""),"North America")</f>
        <v>North America</v>
      </c>
      <c r="C1940">
        <f>IFERROR(__xludf.DUMMYFUNCTION("""COMPUTED_VALUE"""),39.0)</f>
        <v>39</v>
      </c>
      <c r="D1940" t="str">
        <f>IFERROR(__xludf.DUMMYFUNCTION("""COMPUTED_VALUE"""),"Fantasias")</f>
        <v>Fantasias</v>
      </c>
      <c r="E1940" t="str">
        <f>IFERROR(__xludf.DUMMYFUNCTION("""COMPUTED_VALUE"""),"Rauw Alejandro, Farruko")</f>
        <v>Rauw Alejandro, Farruko</v>
      </c>
      <c r="F1940" t="str">
        <f>IFERROR(__xludf.DUMMYFUNCTION("""COMPUTED_VALUE"""),"Fantasias")</f>
        <v>Fantasias</v>
      </c>
      <c r="G1940">
        <f>IFERROR(__xludf.DUMMYFUNCTION("""COMPUTED_VALUE"""),0.0)</f>
        <v>0</v>
      </c>
      <c r="H1940" s="5">
        <f>IFERROR(__xludf.DUMMYFUNCTION("""COMPUTED_VALUE"""),0.1381944444437977)</f>
        <v>0.1381944444</v>
      </c>
    </row>
    <row r="1941">
      <c r="A1941" t="str">
        <f>IFERROR(__xludf.DUMMYFUNCTION("""COMPUTED_VALUE"""),"Mexico")</f>
        <v>Mexico</v>
      </c>
      <c r="B1941" t="str">
        <f>IFERROR(__xludf.DUMMYFUNCTION("""COMPUTED_VALUE"""),"North America")</f>
        <v>North America</v>
      </c>
      <c r="C1941">
        <f>IFERROR(__xludf.DUMMYFUNCTION("""COMPUTED_VALUE"""),40.0)</f>
        <v>40</v>
      </c>
      <c r="D1941" t="str">
        <f>IFERROR(__xludf.DUMMYFUNCTION("""COMPUTED_VALUE"""),"ily (i love you baby) (feat. Emilee)")</f>
        <v>ily (i love you baby) (feat. Emilee)</v>
      </c>
      <c r="E1941" t="str">
        <f>IFERROR(__xludf.DUMMYFUNCTION("""COMPUTED_VALUE"""),"Surf Mesa, Emilee")</f>
        <v>Surf Mesa, Emilee</v>
      </c>
      <c r="F1941" t="str">
        <f>IFERROR(__xludf.DUMMYFUNCTION("""COMPUTED_VALUE"""),"ily (i love you baby) (feat. Emilee)")</f>
        <v>ily (i love you baby) (feat. Emilee)</v>
      </c>
      <c r="G1941">
        <f>IFERROR(__xludf.DUMMYFUNCTION("""COMPUTED_VALUE"""),0.0)</f>
        <v>0</v>
      </c>
      <c r="H1941" s="5">
        <f>IFERROR(__xludf.DUMMYFUNCTION("""COMPUTED_VALUE"""),0.12222222222044365)</f>
        <v>0.1222222222</v>
      </c>
    </row>
    <row r="1942">
      <c r="A1942" t="str">
        <f>IFERROR(__xludf.DUMMYFUNCTION("""COMPUTED_VALUE"""),"Mexico")</f>
        <v>Mexico</v>
      </c>
      <c r="B1942" t="str">
        <f>IFERROR(__xludf.DUMMYFUNCTION("""COMPUTED_VALUE"""),"North America")</f>
        <v>North America</v>
      </c>
      <c r="C1942">
        <f>IFERROR(__xludf.DUMMYFUNCTION("""COMPUTED_VALUE"""),41.0)</f>
        <v>41</v>
      </c>
      <c r="D1942" t="str">
        <f>IFERROR(__xludf.DUMMYFUNCTION("""COMPUTED_VALUE"""),"Me La Avente")</f>
        <v>Me La Avente</v>
      </c>
      <c r="E1942" t="str">
        <f>IFERROR(__xludf.DUMMYFUNCTION("""COMPUTED_VALUE"""),"Carin Leon")</f>
        <v>Carin Leon</v>
      </c>
      <c r="F1942" t="str">
        <f>IFERROR(__xludf.DUMMYFUNCTION("""COMPUTED_VALUE"""),"El Malo")</f>
        <v>El Malo</v>
      </c>
      <c r="G1942">
        <f>IFERROR(__xludf.DUMMYFUNCTION("""COMPUTED_VALUE"""),0.0)</f>
        <v>0</v>
      </c>
      <c r="H1942" s="5">
        <f>IFERROR(__xludf.DUMMYFUNCTION("""COMPUTED_VALUE"""),0.10763888889050577)</f>
        <v>0.1076388889</v>
      </c>
    </row>
    <row r="1943">
      <c r="A1943" t="str">
        <f>IFERROR(__xludf.DUMMYFUNCTION("""COMPUTED_VALUE"""),"Mexico")</f>
        <v>Mexico</v>
      </c>
      <c r="B1943" t="str">
        <f>IFERROR(__xludf.DUMMYFUNCTION("""COMPUTED_VALUE"""),"North America")</f>
        <v>North America</v>
      </c>
      <c r="C1943">
        <f>IFERROR(__xludf.DUMMYFUNCTION("""COMPUTED_VALUE"""),42.0)</f>
        <v>42</v>
      </c>
      <c r="D1943" t="str">
        <f>IFERROR(__xludf.DUMMYFUNCTION("""COMPUTED_VALUE"""),"Say So")</f>
        <v>Say So</v>
      </c>
      <c r="E1943" t="str">
        <f>IFERROR(__xludf.DUMMYFUNCTION("""COMPUTED_VALUE"""),"Doja Cat")</f>
        <v>Doja Cat</v>
      </c>
      <c r="F1943" t="str">
        <f>IFERROR(__xludf.DUMMYFUNCTION("""COMPUTED_VALUE"""),"Hot Pink")</f>
        <v>Hot Pink</v>
      </c>
      <c r="G1943">
        <f>IFERROR(__xludf.DUMMYFUNCTION("""COMPUTED_VALUE"""),1.0)</f>
        <v>1</v>
      </c>
      <c r="H1943" s="5">
        <f>IFERROR(__xludf.DUMMYFUNCTION("""COMPUTED_VALUE"""),0.16458333333503106)</f>
        <v>0.1645833333</v>
      </c>
    </row>
    <row r="1944">
      <c r="A1944" t="str">
        <f>IFERROR(__xludf.DUMMYFUNCTION("""COMPUTED_VALUE"""),"Mexico")</f>
        <v>Mexico</v>
      </c>
      <c r="B1944" t="str">
        <f>IFERROR(__xludf.DUMMYFUNCTION("""COMPUTED_VALUE"""),"North America")</f>
        <v>North America</v>
      </c>
      <c r="C1944">
        <f>IFERROR(__xludf.DUMMYFUNCTION("""COMPUTED_VALUE"""),43.0)</f>
        <v>43</v>
      </c>
      <c r="D1944" t="str">
        <f>IFERROR(__xludf.DUMMYFUNCTION("""COMPUTED_VALUE"""),"AYAYAY!")</f>
        <v>AYAYAY!</v>
      </c>
      <c r="E1944" t="str">
        <f>IFERROR(__xludf.DUMMYFUNCTION("""COMPUTED_VALUE"""),"Christian Nodal")</f>
        <v>Christian Nodal</v>
      </c>
      <c r="F1944" t="str">
        <f>IFERROR(__xludf.DUMMYFUNCTION("""COMPUTED_VALUE"""),"AYAYAY!")</f>
        <v>AYAYAY!</v>
      </c>
      <c r="G1944">
        <f>IFERROR(__xludf.DUMMYFUNCTION("""COMPUTED_VALUE"""),0.0)</f>
        <v>0</v>
      </c>
      <c r="H1944" s="5">
        <f>IFERROR(__xludf.DUMMYFUNCTION("""COMPUTED_VALUE"""),0.09027777777737356)</f>
        <v>0.09027777778</v>
      </c>
    </row>
    <row r="1945">
      <c r="A1945" t="str">
        <f>IFERROR(__xludf.DUMMYFUNCTION("""COMPUTED_VALUE"""),"Mexico")</f>
        <v>Mexico</v>
      </c>
      <c r="B1945" t="str">
        <f>IFERROR(__xludf.DUMMYFUNCTION("""COMPUTED_VALUE"""),"North America")</f>
        <v>North America</v>
      </c>
      <c r="C1945">
        <f>IFERROR(__xludf.DUMMYFUNCTION("""COMPUTED_VALUE"""),44.0)</f>
        <v>44</v>
      </c>
      <c r="D1945" t="str">
        <f>IFERROR(__xludf.DUMMYFUNCTION("""COMPUTED_VALUE"""),"CANCIÓN CON YANDEL")</f>
        <v>CANCIÓN CON YANDEL</v>
      </c>
      <c r="E1945" t="str">
        <f>IFERROR(__xludf.DUMMYFUNCTION("""COMPUTED_VALUE"""),"Yandel, Bad Bunny")</f>
        <v>Yandel, Bad Bunny</v>
      </c>
      <c r="F1945" t="str">
        <f>IFERROR(__xludf.DUMMYFUNCTION("""COMPUTED_VALUE"""),"LAS QUE NO IBAN A SALIR")</f>
        <v>LAS QUE NO IBAN A SALIR</v>
      </c>
      <c r="G1945">
        <f>IFERROR(__xludf.DUMMYFUNCTION("""COMPUTED_VALUE"""),1.0)</f>
        <v>1</v>
      </c>
      <c r="H1945" s="5">
        <f>IFERROR(__xludf.DUMMYFUNCTION("""COMPUTED_VALUE"""),0.14513888888905058)</f>
        <v>0.1451388889</v>
      </c>
    </row>
    <row r="1946">
      <c r="A1946" t="str">
        <f>IFERROR(__xludf.DUMMYFUNCTION("""COMPUTED_VALUE"""),"Mexico")</f>
        <v>Mexico</v>
      </c>
      <c r="B1946" t="str">
        <f>IFERROR(__xludf.DUMMYFUNCTION("""COMPUTED_VALUE"""),"North America")</f>
        <v>North America</v>
      </c>
      <c r="C1946">
        <f>IFERROR(__xludf.DUMMYFUNCTION("""COMPUTED_VALUE"""),45.0)</f>
        <v>45</v>
      </c>
      <c r="D1946" t="str">
        <f>IFERROR(__xludf.DUMMYFUNCTION("""COMPUTED_VALUE"""),"Callaita")</f>
        <v>Callaita</v>
      </c>
      <c r="E1946" t="str">
        <f>IFERROR(__xludf.DUMMYFUNCTION("""COMPUTED_VALUE"""),"Bad Bunny, Tainy")</f>
        <v>Bad Bunny, Tainy</v>
      </c>
      <c r="F1946" t="str">
        <f>IFERROR(__xludf.DUMMYFUNCTION("""COMPUTED_VALUE"""),"Callaita")</f>
        <v>Callaita</v>
      </c>
      <c r="G1946">
        <f>IFERROR(__xludf.DUMMYFUNCTION("""COMPUTED_VALUE"""),1.0)</f>
        <v>1</v>
      </c>
      <c r="H1946" s="5">
        <f>IFERROR(__xludf.DUMMYFUNCTION("""COMPUTED_VALUE"""),0.17361111110949423)</f>
        <v>0.1736111111</v>
      </c>
    </row>
    <row r="1947">
      <c r="A1947" t="str">
        <f>IFERROR(__xludf.DUMMYFUNCTION("""COMPUTED_VALUE"""),"Mexico")</f>
        <v>Mexico</v>
      </c>
      <c r="B1947" t="str">
        <f>IFERROR(__xludf.DUMMYFUNCTION("""COMPUTED_VALUE"""),"North America")</f>
        <v>North America</v>
      </c>
      <c r="C1947">
        <f>IFERROR(__xludf.DUMMYFUNCTION("""COMPUTED_VALUE"""),46.0)</f>
        <v>46</v>
      </c>
      <c r="D1947" t="str">
        <f>IFERROR(__xludf.DUMMYFUNCTION("""COMPUTED_VALUE"""),"Yo Ya No Vuelvo Contigo - En Vivo")</f>
        <v>Yo Ya No Vuelvo Contigo - En Vivo</v>
      </c>
      <c r="E1947" t="str">
        <f>IFERROR(__xludf.DUMMYFUNCTION("""COMPUTED_VALUE"""),"Lenin Ramírez, Grupo Firme")</f>
        <v>Lenin Ramírez, Grupo Firme</v>
      </c>
      <c r="F1947" t="str">
        <f>IFERROR(__xludf.DUMMYFUNCTION("""COMPUTED_VALUE"""),"En Vivo Desde Mi Ranchito")</f>
        <v>En Vivo Desde Mi Ranchito</v>
      </c>
      <c r="G1947">
        <f>IFERROR(__xludf.DUMMYFUNCTION("""COMPUTED_VALUE"""),0.0)</f>
        <v>0</v>
      </c>
      <c r="H1947" s="5">
        <f>IFERROR(__xludf.DUMMYFUNCTION("""COMPUTED_VALUE"""),0.16666666666787933)</f>
        <v>0.1666666667</v>
      </c>
    </row>
    <row r="1948">
      <c r="A1948" t="str">
        <f>IFERROR(__xludf.DUMMYFUNCTION("""COMPUTED_VALUE"""),"Mexico")</f>
        <v>Mexico</v>
      </c>
      <c r="B1948" t="str">
        <f>IFERROR(__xludf.DUMMYFUNCTION("""COMPUTED_VALUE"""),"North America")</f>
        <v>North America</v>
      </c>
      <c r="C1948">
        <f>IFERROR(__xludf.DUMMYFUNCTION("""COMPUTED_VALUE"""),47.0)</f>
        <v>47</v>
      </c>
      <c r="D1948" t="str">
        <f>IFERROR(__xludf.DUMMYFUNCTION("""COMPUTED_VALUE"""),"Amor Tumbado")</f>
        <v>Amor Tumbado</v>
      </c>
      <c r="E1948" t="str">
        <f>IFERROR(__xludf.DUMMYFUNCTION("""COMPUTED_VALUE"""),"Natanael Cano")</f>
        <v>Natanael Cano</v>
      </c>
      <c r="F1948" t="str">
        <f>IFERROR(__xludf.DUMMYFUNCTION("""COMPUTED_VALUE"""),"Mi Nuevo Yo")</f>
        <v>Mi Nuevo Yo</v>
      </c>
      <c r="G1948">
        <f>IFERROR(__xludf.DUMMYFUNCTION("""COMPUTED_VALUE"""),0.0)</f>
        <v>0</v>
      </c>
      <c r="H1948" s="5">
        <f>IFERROR(__xludf.DUMMYFUNCTION("""COMPUTED_VALUE"""),0.15347222222044365)</f>
        <v>0.1534722222</v>
      </c>
    </row>
    <row r="1949">
      <c r="A1949" t="str">
        <f>IFERROR(__xludf.DUMMYFUNCTION("""COMPUTED_VALUE"""),"Mexico")</f>
        <v>Mexico</v>
      </c>
      <c r="B1949" t="str">
        <f>IFERROR(__xludf.DUMMYFUNCTION("""COMPUTED_VALUE"""),"North America")</f>
        <v>North America</v>
      </c>
      <c r="C1949">
        <f>IFERROR(__xludf.DUMMYFUNCTION("""COMPUTED_VALUE"""),48.0)</f>
        <v>48</v>
      </c>
      <c r="D1949" t="str">
        <f>IFERROR(__xludf.DUMMYFUNCTION("""COMPUTED_VALUE"""),"Blanco")</f>
        <v>Blanco</v>
      </c>
      <c r="E1949" t="str">
        <f>IFERROR(__xludf.DUMMYFUNCTION("""COMPUTED_VALUE"""),"J Balvin")</f>
        <v>J Balvin</v>
      </c>
      <c r="F1949" t="str">
        <f>IFERROR(__xludf.DUMMYFUNCTION("""COMPUTED_VALUE"""),"Colores")</f>
        <v>Colores</v>
      </c>
      <c r="G1949">
        <f>IFERROR(__xludf.DUMMYFUNCTION("""COMPUTED_VALUE"""),0.0)</f>
        <v>0</v>
      </c>
      <c r="H1949" s="5">
        <f>IFERROR(__xludf.DUMMYFUNCTION("""COMPUTED_VALUE"""),0.10069444444525288)</f>
        <v>0.1006944444</v>
      </c>
    </row>
    <row r="1950">
      <c r="A1950" t="str">
        <f>IFERROR(__xludf.DUMMYFUNCTION("""COMPUTED_VALUE"""),"Mexico")</f>
        <v>Mexico</v>
      </c>
      <c r="B1950" t="str">
        <f>IFERROR(__xludf.DUMMYFUNCTION("""COMPUTED_VALUE"""),"North America")</f>
        <v>North America</v>
      </c>
      <c r="C1950">
        <f>IFERROR(__xludf.DUMMYFUNCTION("""COMPUTED_VALUE"""),49.0)</f>
        <v>49</v>
      </c>
      <c r="D1950" t="str">
        <f>IFERROR(__xludf.DUMMYFUNCTION("""COMPUTED_VALUE"""),"CÓMO SE SIENTE - Remix")</f>
        <v>CÓMO SE SIENTE - Remix</v>
      </c>
      <c r="E1950" t="str">
        <f>IFERROR(__xludf.DUMMYFUNCTION("""COMPUTED_VALUE"""),"Jhay Cortez, Bad Bunny")</f>
        <v>Jhay Cortez, Bad Bunny</v>
      </c>
      <c r="F1950" t="str">
        <f>IFERROR(__xludf.DUMMYFUNCTION("""COMPUTED_VALUE"""),"CÓMO SE SIENTE (Remix)")</f>
        <v>CÓMO SE SIENTE (Remix)</v>
      </c>
      <c r="G1950">
        <f>IFERROR(__xludf.DUMMYFUNCTION("""COMPUTED_VALUE"""),1.0)</f>
        <v>1</v>
      </c>
      <c r="H1950" s="5">
        <f>IFERROR(__xludf.DUMMYFUNCTION("""COMPUTED_VALUE"""),0.15763888888977817)</f>
        <v>0.1576388889</v>
      </c>
    </row>
    <row r="1951">
      <c r="A1951" t="str">
        <f>IFERROR(__xludf.DUMMYFUNCTION("""COMPUTED_VALUE"""),"Mexico")</f>
        <v>Mexico</v>
      </c>
      <c r="B1951" t="str">
        <f>IFERROR(__xludf.DUMMYFUNCTION("""COMPUTED_VALUE"""),"North America")</f>
        <v>North America</v>
      </c>
      <c r="C1951">
        <f>IFERROR(__xludf.DUMMYFUNCTION("""COMPUTED_VALUE"""),50.0)</f>
        <v>50</v>
      </c>
      <c r="D1951" t="str">
        <f>IFERROR(__xludf.DUMMYFUNCTION("""COMPUTED_VALUE"""),"Supalonely")</f>
        <v>Supalonely</v>
      </c>
      <c r="E1951" t="str">
        <f>IFERROR(__xludf.DUMMYFUNCTION("""COMPUTED_VALUE"""),"BENEE, Gus Dapperton")</f>
        <v>BENEE, Gus Dapperton</v>
      </c>
      <c r="F1951" t="str">
        <f>IFERROR(__xludf.DUMMYFUNCTION("""COMPUTED_VALUE"""),"STELLA &amp; STEVE")</f>
        <v>STELLA &amp; STEVE</v>
      </c>
      <c r="G1951">
        <f>IFERROR(__xludf.DUMMYFUNCTION("""COMPUTED_VALUE"""),1.0)</f>
        <v>1</v>
      </c>
      <c r="H1951" s="5">
        <f>IFERROR(__xludf.DUMMYFUNCTION("""COMPUTED_VALUE"""),0.15486111111022183)</f>
        <v>0.1548611111</v>
      </c>
    </row>
    <row r="1952">
      <c r="A1952" t="str">
        <f>IFERROR(__xludf.DUMMYFUNCTION("""COMPUTED_VALUE"""),"Netherlands")</f>
        <v>Netherlands</v>
      </c>
      <c r="B1952" t="str">
        <f>IFERROR(__xludf.DUMMYFUNCTION("""COMPUTED_VALUE"""),"Europe")</f>
        <v>Europe</v>
      </c>
      <c r="C1952">
        <f>IFERROR(__xludf.DUMMYFUNCTION("""COMPUTED_VALUE"""),1.0)</f>
        <v>1</v>
      </c>
      <c r="D1952" t="str">
        <f>IFERROR(__xludf.DUMMYFUNCTION("""COMPUTED_VALUE"""),"Gordelweg")</f>
        <v>Gordelweg</v>
      </c>
      <c r="E1952" t="str">
        <f>IFERROR(__xludf.DUMMYFUNCTION("""COMPUTED_VALUE"""),"Kevin")</f>
        <v>Kevin</v>
      </c>
      <c r="F1952" t="str">
        <f>IFERROR(__xludf.DUMMYFUNCTION("""COMPUTED_VALUE"""),"Gordelweg")</f>
        <v>Gordelweg</v>
      </c>
      <c r="G1952">
        <f>IFERROR(__xludf.DUMMYFUNCTION("""COMPUTED_VALUE"""),1.0)</f>
        <v>1</v>
      </c>
      <c r="H1952" s="5">
        <f>IFERROR(__xludf.DUMMYFUNCTION("""COMPUTED_VALUE"""),0.10763888889050577)</f>
        <v>0.1076388889</v>
      </c>
    </row>
    <row r="1953">
      <c r="A1953" t="str">
        <f>IFERROR(__xludf.DUMMYFUNCTION("""COMPUTED_VALUE"""),"Netherlands")</f>
        <v>Netherlands</v>
      </c>
      <c r="B1953" t="str">
        <f>IFERROR(__xludf.DUMMYFUNCTION("""COMPUTED_VALUE"""),"Europe")</f>
        <v>Europe</v>
      </c>
      <c r="C1953">
        <f>IFERROR(__xludf.DUMMYFUNCTION("""COMPUTED_VALUE"""),2.0)</f>
        <v>2</v>
      </c>
      <c r="D1953" t="str">
        <f>IFERROR(__xludf.DUMMYFUNCTION("""COMPUTED_VALUE"""),"ROCKSTAR (feat. Roddy Ricch)")</f>
        <v>ROCKSTAR (feat. Roddy Ricch)</v>
      </c>
      <c r="E1953" t="str">
        <f>IFERROR(__xludf.DUMMYFUNCTION("""COMPUTED_VALUE"""),"DaBaby, Roddy Ricch")</f>
        <v>DaBaby, Roddy Ricch</v>
      </c>
      <c r="F1953" t="str">
        <f>IFERROR(__xludf.DUMMYFUNCTION("""COMPUTED_VALUE"""),"BLAME IT ON BABY")</f>
        <v>BLAME IT ON BABY</v>
      </c>
      <c r="G1953">
        <f>IFERROR(__xludf.DUMMYFUNCTION("""COMPUTED_VALUE"""),1.0)</f>
        <v>1</v>
      </c>
      <c r="H1953" s="5">
        <f>IFERROR(__xludf.DUMMYFUNCTION("""COMPUTED_VALUE"""),0.1256944444430701)</f>
        <v>0.1256944444</v>
      </c>
    </row>
    <row r="1954">
      <c r="A1954" t="str">
        <f>IFERROR(__xludf.DUMMYFUNCTION("""COMPUTED_VALUE"""),"Netherlands")</f>
        <v>Netherlands</v>
      </c>
      <c r="B1954" t="str">
        <f>IFERROR(__xludf.DUMMYFUNCTION("""COMPUTED_VALUE"""),"Europe")</f>
        <v>Europe</v>
      </c>
      <c r="C1954">
        <f>IFERROR(__xludf.DUMMYFUNCTION("""COMPUTED_VALUE"""),3.0)</f>
        <v>3</v>
      </c>
      <c r="D1954" t="str">
        <f>IFERROR(__xludf.DUMMYFUNCTION("""COMPUTED_VALUE"""),"Roses - Imanbek Remix")</f>
        <v>Roses - Imanbek Remix</v>
      </c>
      <c r="E1954" t="str">
        <f>IFERROR(__xludf.DUMMYFUNCTION("""COMPUTED_VALUE"""),"SAINt JHN, Imanbek")</f>
        <v>SAINt JHN, Imanbek</v>
      </c>
      <c r="F1954" t="str">
        <f>IFERROR(__xludf.DUMMYFUNCTION("""COMPUTED_VALUE"""),"Roses (Imanbek Remix)")</f>
        <v>Roses (Imanbek Remix)</v>
      </c>
      <c r="G1954">
        <f>IFERROR(__xludf.DUMMYFUNCTION("""COMPUTED_VALUE"""),1.0)</f>
        <v>1</v>
      </c>
      <c r="H1954" s="5">
        <f>IFERROR(__xludf.DUMMYFUNCTION("""COMPUTED_VALUE"""),0.12222222222044365)</f>
        <v>0.1222222222</v>
      </c>
    </row>
    <row r="1955">
      <c r="A1955" t="str">
        <f>IFERROR(__xludf.DUMMYFUNCTION("""COMPUTED_VALUE"""),"Netherlands")</f>
        <v>Netherlands</v>
      </c>
      <c r="B1955" t="str">
        <f>IFERROR(__xludf.DUMMYFUNCTION("""COMPUTED_VALUE"""),"Europe")</f>
        <v>Europe</v>
      </c>
      <c r="C1955">
        <f>IFERROR(__xludf.DUMMYFUNCTION("""COMPUTED_VALUE"""),4.0)</f>
        <v>4</v>
      </c>
      <c r="D1955" t="str">
        <f>IFERROR(__xludf.DUMMYFUNCTION("""COMPUTED_VALUE"""),"Blinding Lights")</f>
        <v>Blinding Lights</v>
      </c>
      <c r="E1955" t="str">
        <f>IFERROR(__xludf.DUMMYFUNCTION("""COMPUTED_VALUE"""),"The Weeknd")</f>
        <v>The Weeknd</v>
      </c>
      <c r="F1955" t="str">
        <f>IFERROR(__xludf.DUMMYFUNCTION("""COMPUTED_VALUE"""),"After Hours")</f>
        <v>After Hours</v>
      </c>
      <c r="G1955">
        <f>IFERROR(__xludf.DUMMYFUNCTION("""COMPUTED_VALUE"""),0.0)</f>
        <v>0</v>
      </c>
      <c r="H1955" s="5">
        <f>IFERROR(__xludf.DUMMYFUNCTION("""COMPUTED_VALUE"""),0.13888888889050577)</f>
        <v>0.1388888889</v>
      </c>
    </row>
    <row r="1956">
      <c r="A1956" t="str">
        <f>IFERROR(__xludf.DUMMYFUNCTION("""COMPUTED_VALUE"""),"Netherlands")</f>
        <v>Netherlands</v>
      </c>
      <c r="B1956" t="str">
        <f>IFERROR(__xludf.DUMMYFUNCTION("""COMPUTED_VALUE"""),"Europe")</f>
        <v>Europe</v>
      </c>
      <c r="C1956">
        <f>IFERROR(__xludf.DUMMYFUNCTION("""COMPUTED_VALUE"""),5.0)</f>
        <v>5</v>
      </c>
      <c r="D1956" t="str">
        <f>IFERROR(__xludf.DUMMYFUNCTION("""COMPUTED_VALUE"""),"Breaking Me")</f>
        <v>Breaking Me</v>
      </c>
      <c r="E1956" t="str">
        <f>IFERROR(__xludf.DUMMYFUNCTION("""COMPUTED_VALUE"""),"Topic, A7S")</f>
        <v>Topic, A7S</v>
      </c>
      <c r="F1956" t="str">
        <f>IFERROR(__xludf.DUMMYFUNCTION("""COMPUTED_VALUE"""),"Breaking Me")</f>
        <v>Breaking Me</v>
      </c>
      <c r="G1956">
        <f>IFERROR(__xludf.DUMMYFUNCTION("""COMPUTED_VALUE"""),0.0)</f>
        <v>0</v>
      </c>
      <c r="H1956" s="5">
        <f>IFERROR(__xludf.DUMMYFUNCTION("""COMPUTED_VALUE"""),0.11527777777882875)</f>
        <v>0.1152777778</v>
      </c>
    </row>
    <row r="1957">
      <c r="A1957" t="str">
        <f>IFERROR(__xludf.DUMMYFUNCTION("""COMPUTED_VALUE"""),"Netherlands")</f>
        <v>Netherlands</v>
      </c>
      <c r="B1957" t="str">
        <f>IFERROR(__xludf.DUMMYFUNCTION("""COMPUTED_VALUE"""),"Europe")</f>
        <v>Europe</v>
      </c>
      <c r="C1957">
        <f>IFERROR(__xludf.DUMMYFUNCTION("""COMPUTED_VALUE"""),6.0)</f>
        <v>6</v>
      </c>
      <c r="D1957" t="str">
        <f>IFERROR(__xludf.DUMMYFUNCTION("""COMPUTED_VALUE"""),"Video Vixen")</f>
        <v>Video Vixen</v>
      </c>
      <c r="E1957" t="str">
        <f>IFERROR(__xludf.DUMMYFUNCTION("""COMPUTED_VALUE"""),"Bilal Wahib, Bizzey")</f>
        <v>Bilal Wahib, Bizzey</v>
      </c>
      <c r="F1957" t="str">
        <f>IFERROR(__xludf.DUMMYFUNCTION("""COMPUTED_VALUE"""),"Video Vixen")</f>
        <v>Video Vixen</v>
      </c>
      <c r="G1957">
        <f>IFERROR(__xludf.DUMMYFUNCTION("""COMPUTED_VALUE"""),1.0)</f>
        <v>1</v>
      </c>
      <c r="H1957" s="5">
        <f>IFERROR(__xludf.DUMMYFUNCTION("""COMPUTED_VALUE"""),0.09999999999854481)</f>
        <v>0.1</v>
      </c>
    </row>
    <row r="1958">
      <c r="A1958" t="str">
        <f>IFERROR(__xludf.DUMMYFUNCTION("""COMPUTED_VALUE"""),"Netherlands")</f>
        <v>Netherlands</v>
      </c>
      <c r="B1958" t="str">
        <f>IFERROR(__xludf.DUMMYFUNCTION("""COMPUTED_VALUE"""),"Europe")</f>
        <v>Europe</v>
      </c>
      <c r="C1958">
        <f>IFERROR(__xludf.DUMMYFUNCTION("""COMPUTED_VALUE"""),7.0)</f>
        <v>7</v>
      </c>
      <c r="D1958" t="str">
        <f>IFERROR(__xludf.DUMMYFUNCTION("""COMPUTED_VALUE"""),"Stuck with U (with Justin Bieber)")</f>
        <v>Stuck with U (with Justin Bieber)</v>
      </c>
      <c r="E1958" t="str">
        <f>IFERROR(__xludf.DUMMYFUNCTION("""COMPUTED_VALUE"""),"Ariana Grande, Justin Bieber")</f>
        <v>Ariana Grande, Justin Bieber</v>
      </c>
      <c r="F1958" t="str">
        <f>IFERROR(__xludf.DUMMYFUNCTION("""COMPUTED_VALUE"""),"Stuck with U")</f>
        <v>Stuck with U</v>
      </c>
      <c r="G1958">
        <f>IFERROR(__xludf.DUMMYFUNCTION("""COMPUTED_VALUE"""),0.0)</f>
        <v>0</v>
      </c>
      <c r="H1958" s="5">
        <f>IFERROR(__xludf.DUMMYFUNCTION("""COMPUTED_VALUE"""),0.15833333333284827)</f>
        <v>0.1583333333</v>
      </c>
    </row>
    <row r="1959">
      <c r="A1959" t="str">
        <f>IFERROR(__xludf.DUMMYFUNCTION("""COMPUTED_VALUE"""),"Netherlands")</f>
        <v>Netherlands</v>
      </c>
      <c r="B1959" t="str">
        <f>IFERROR(__xludf.DUMMYFUNCTION("""COMPUTED_VALUE"""),"Europe")</f>
        <v>Europe</v>
      </c>
      <c r="C1959">
        <f>IFERROR(__xludf.DUMMYFUNCTION("""COMPUTED_VALUE"""),8.0)</f>
        <v>8</v>
      </c>
      <c r="D1959" t="str">
        <f>IFERROR(__xludf.DUMMYFUNCTION("""COMPUTED_VALUE"""),"Toosie Slide")</f>
        <v>Toosie Slide</v>
      </c>
      <c r="E1959" t="str">
        <f>IFERROR(__xludf.DUMMYFUNCTION("""COMPUTED_VALUE"""),"Drake")</f>
        <v>Drake</v>
      </c>
      <c r="F1959" t="str">
        <f>IFERROR(__xludf.DUMMYFUNCTION("""COMPUTED_VALUE"""),"Dark Lane Demo Tapes")</f>
        <v>Dark Lane Demo Tapes</v>
      </c>
      <c r="G1959">
        <f>IFERROR(__xludf.DUMMYFUNCTION("""COMPUTED_VALUE"""),1.0)</f>
        <v>1</v>
      </c>
      <c r="H1959" s="5">
        <f>IFERROR(__xludf.DUMMYFUNCTION("""COMPUTED_VALUE"""),0.17152777777664596)</f>
        <v>0.1715277778</v>
      </c>
    </row>
    <row r="1960">
      <c r="A1960" t="str">
        <f>IFERROR(__xludf.DUMMYFUNCTION("""COMPUTED_VALUE"""),"Netherlands")</f>
        <v>Netherlands</v>
      </c>
      <c r="B1960" t="str">
        <f>IFERROR(__xludf.DUMMYFUNCTION("""COMPUTED_VALUE"""),"Europe")</f>
        <v>Europe</v>
      </c>
      <c r="C1960">
        <f>IFERROR(__xludf.DUMMYFUNCTION("""COMPUTED_VALUE"""),9.0)</f>
        <v>9</v>
      </c>
      <c r="D1960" t="str">
        <f>IFERROR(__xludf.DUMMYFUNCTION("""COMPUTED_VALUE"""),"ily (i love you baby) (feat. Emilee)")</f>
        <v>ily (i love you baby) (feat. Emilee)</v>
      </c>
      <c r="E1960" t="str">
        <f>IFERROR(__xludf.DUMMYFUNCTION("""COMPUTED_VALUE"""),"Surf Mesa, Emilee")</f>
        <v>Surf Mesa, Emilee</v>
      </c>
      <c r="F1960" t="str">
        <f>IFERROR(__xludf.DUMMYFUNCTION("""COMPUTED_VALUE"""),"ily (i love you baby) (feat. Emilee)")</f>
        <v>ily (i love you baby) (feat. Emilee)</v>
      </c>
      <c r="G1960">
        <f>IFERROR(__xludf.DUMMYFUNCTION("""COMPUTED_VALUE"""),0.0)</f>
        <v>0</v>
      </c>
      <c r="H1960" s="5">
        <f>IFERROR(__xludf.DUMMYFUNCTION("""COMPUTED_VALUE"""),0.12222222222044365)</f>
        <v>0.1222222222</v>
      </c>
    </row>
    <row r="1961">
      <c r="A1961" t="str">
        <f>IFERROR(__xludf.DUMMYFUNCTION("""COMPUTED_VALUE"""),"Netherlands")</f>
        <v>Netherlands</v>
      </c>
      <c r="B1961" t="str">
        <f>IFERROR(__xludf.DUMMYFUNCTION("""COMPUTED_VALUE"""),"Europe")</f>
        <v>Europe</v>
      </c>
      <c r="C1961">
        <f>IFERROR(__xludf.DUMMYFUNCTION("""COMPUTED_VALUE"""),10.0)</f>
        <v>10</v>
      </c>
      <c r="D1961" t="str">
        <f>IFERROR(__xludf.DUMMYFUNCTION("""COMPUTED_VALUE"""),"Supalonely")</f>
        <v>Supalonely</v>
      </c>
      <c r="E1961" t="str">
        <f>IFERROR(__xludf.DUMMYFUNCTION("""COMPUTED_VALUE"""),"BENEE, Gus Dapperton")</f>
        <v>BENEE, Gus Dapperton</v>
      </c>
      <c r="F1961" t="str">
        <f>IFERROR(__xludf.DUMMYFUNCTION("""COMPUTED_VALUE"""),"STELLA &amp; STEVE")</f>
        <v>STELLA &amp; STEVE</v>
      </c>
      <c r="G1961">
        <f>IFERROR(__xludf.DUMMYFUNCTION("""COMPUTED_VALUE"""),1.0)</f>
        <v>1</v>
      </c>
      <c r="H1961" s="5">
        <f>IFERROR(__xludf.DUMMYFUNCTION("""COMPUTED_VALUE"""),0.15486111111022183)</f>
        <v>0.1548611111</v>
      </c>
    </row>
    <row r="1962">
      <c r="A1962" t="str">
        <f>IFERROR(__xludf.DUMMYFUNCTION("""COMPUTED_VALUE"""),"Netherlands")</f>
        <v>Netherlands</v>
      </c>
      <c r="B1962" t="str">
        <f>IFERROR(__xludf.DUMMYFUNCTION("""COMPUTED_VALUE"""),"Europe")</f>
        <v>Europe</v>
      </c>
      <c r="C1962">
        <f>IFERROR(__xludf.DUMMYFUNCTION("""COMPUTED_VALUE"""),11.0)</f>
        <v>11</v>
      </c>
      <c r="D1962" t="str">
        <f>IFERROR(__xludf.DUMMYFUNCTION("""COMPUTED_VALUE"""),"17 Miljoen Mensen - Live @538 in Ahoy")</f>
        <v>17 Miljoen Mensen - Live @538 in Ahoy</v>
      </c>
      <c r="E1962" t="str">
        <f>IFERROR(__xludf.DUMMYFUNCTION("""COMPUTED_VALUE"""),"Davina Michelle, Snelle")</f>
        <v>Davina Michelle, Snelle</v>
      </c>
      <c r="F1962" t="str">
        <f>IFERROR(__xludf.DUMMYFUNCTION("""COMPUTED_VALUE"""),"17 Miljoen Mensen (Live @538 in Ahoy)")</f>
        <v>17 Miljoen Mensen (Live @538 in Ahoy)</v>
      </c>
      <c r="G1962">
        <f>IFERROR(__xludf.DUMMYFUNCTION("""COMPUTED_VALUE"""),0.0)</f>
        <v>0</v>
      </c>
      <c r="H1962" s="5">
        <f>IFERROR(__xludf.DUMMYFUNCTION("""COMPUTED_VALUE"""),0.07430555555401952)</f>
        <v>0.07430555555</v>
      </c>
    </row>
    <row r="1963">
      <c r="A1963" t="str">
        <f>IFERROR(__xludf.DUMMYFUNCTION("""COMPUTED_VALUE"""),"Netherlands")</f>
        <v>Netherlands</v>
      </c>
      <c r="B1963" t="str">
        <f>IFERROR(__xludf.DUMMYFUNCTION("""COMPUTED_VALUE"""),"Europe")</f>
        <v>Europe</v>
      </c>
      <c r="C1963">
        <f>IFERROR(__xludf.DUMMYFUNCTION("""COMPUTED_VALUE"""),12.0)</f>
        <v>12</v>
      </c>
      <c r="D1963" t="str">
        <f>IFERROR(__xludf.DUMMYFUNCTION("""COMPUTED_VALUE"""),"Rain On Me (with Ariana Grande)")</f>
        <v>Rain On Me (with Ariana Grande)</v>
      </c>
      <c r="E1963" t="str">
        <f>IFERROR(__xludf.DUMMYFUNCTION("""COMPUTED_VALUE"""),"Lady Gaga, Ariana Grande")</f>
        <v>Lady Gaga, Ariana Grande</v>
      </c>
      <c r="F1963" t="str">
        <f>IFERROR(__xludf.DUMMYFUNCTION("""COMPUTED_VALUE"""),"Rain On Me (with Ariana Grande)")</f>
        <v>Rain On Me (with Ariana Grande)</v>
      </c>
      <c r="G1963">
        <f>IFERROR(__xludf.DUMMYFUNCTION("""COMPUTED_VALUE"""),0.0)</f>
        <v>0</v>
      </c>
      <c r="H1963" s="5">
        <f>IFERROR(__xludf.DUMMYFUNCTION("""COMPUTED_VALUE"""),0.12638888888977817)</f>
        <v>0.1263888889</v>
      </c>
    </row>
    <row r="1964">
      <c r="A1964" t="str">
        <f>IFERROR(__xludf.DUMMYFUNCTION("""COMPUTED_VALUE"""),"Netherlands")</f>
        <v>Netherlands</v>
      </c>
      <c r="B1964" t="str">
        <f>IFERROR(__xludf.DUMMYFUNCTION("""COMPUTED_VALUE"""),"Europe")</f>
        <v>Europe</v>
      </c>
      <c r="C1964">
        <f>IFERROR(__xludf.DUMMYFUNCTION("""COMPUTED_VALUE"""),13.0)</f>
        <v>13</v>
      </c>
      <c r="D1964" t="str">
        <f>IFERROR(__xludf.DUMMYFUNCTION("""COMPUTED_VALUE"""),"death bed (coffee for your head) (feat. beabadoobee)")</f>
        <v>death bed (coffee for your head) (feat. beabadoobee)</v>
      </c>
      <c r="E1964" t="str">
        <f>IFERROR(__xludf.DUMMYFUNCTION("""COMPUTED_VALUE"""),"Powfu, beabadoobee")</f>
        <v>Powfu, beabadoobee</v>
      </c>
      <c r="F1964" t="str">
        <f>IFERROR(__xludf.DUMMYFUNCTION("""COMPUTED_VALUE"""),"death bed (coffee for your head) (feat. beabadoobee)")</f>
        <v>death bed (coffee for your head) (feat. beabadoobee)</v>
      </c>
      <c r="G1964">
        <f>IFERROR(__xludf.DUMMYFUNCTION("""COMPUTED_VALUE"""),0.0)</f>
        <v>0</v>
      </c>
      <c r="H1964" s="5">
        <f>IFERROR(__xludf.DUMMYFUNCTION("""COMPUTED_VALUE"""),0.12013888888759539)</f>
        <v>0.1201388889</v>
      </c>
    </row>
    <row r="1965">
      <c r="A1965" t="str">
        <f>IFERROR(__xludf.DUMMYFUNCTION("""COMPUTED_VALUE"""),"Netherlands")</f>
        <v>Netherlands</v>
      </c>
      <c r="B1965" t="str">
        <f>IFERROR(__xludf.DUMMYFUNCTION("""COMPUTED_VALUE"""),"Europe")</f>
        <v>Europe</v>
      </c>
      <c r="C1965">
        <f>IFERROR(__xludf.DUMMYFUNCTION("""COMPUTED_VALUE"""),14.0)</f>
        <v>14</v>
      </c>
      <c r="D1965" t="str">
        <f>IFERROR(__xludf.DUMMYFUNCTION("""COMPUTED_VALUE"""),"Break My Heart")</f>
        <v>Break My Heart</v>
      </c>
      <c r="E1965" t="str">
        <f>IFERROR(__xludf.DUMMYFUNCTION("""COMPUTED_VALUE"""),"Dua Lipa")</f>
        <v>Dua Lipa</v>
      </c>
      <c r="F1965" t="str">
        <f>IFERROR(__xludf.DUMMYFUNCTION("""COMPUTED_VALUE"""),"Future Nostalgia")</f>
        <v>Future Nostalgia</v>
      </c>
      <c r="G1965">
        <f>IFERROR(__xludf.DUMMYFUNCTION("""COMPUTED_VALUE"""),0.0)</f>
        <v>0</v>
      </c>
      <c r="H1965" s="5">
        <f>IFERROR(__xludf.DUMMYFUNCTION("""COMPUTED_VALUE"""),0.15347222222044365)</f>
        <v>0.1534722222</v>
      </c>
    </row>
    <row r="1966">
      <c r="A1966" t="str">
        <f>IFERROR(__xludf.DUMMYFUNCTION("""COMPUTED_VALUE"""),"Netherlands")</f>
        <v>Netherlands</v>
      </c>
      <c r="B1966" t="str">
        <f>IFERROR(__xludf.DUMMYFUNCTION("""COMPUTED_VALUE"""),"Europe")</f>
        <v>Europe</v>
      </c>
      <c r="C1966">
        <f>IFERROR(__xludf.DUMMYFUNCTION("""COMPUTED_VALUE"""),15.0)</f>
        <v>15</v>
      </c>
      <c r="D1966" t="str">
        <f>IFERROR(__xludf.DUMMYFUNCTION("""COMPUTED_VALUE"""),"Het Is Al Laat Toch")</f>
        <v>Het Is Al Laat Toch</v>
      </c>
      <c r="E1966" t="str">
        <f>IFERROR(__xludf.DUMMYFUNCTION("""COMPUTED_VALUE"""),"Racoon")</f>
        <v>Racoon</v>
      </c>
      <c r="F1966" t="str">
        <f>IFERROR(__xludf.DUMMYFUNCTION("""COMPUTED_VALUE"""),"Het Is Al Laat Toch")</f>
        <v>Het Is Al Laat Toch</v>
      </c>
      <c r="G1966">
        <f>IFERROR(__xludf.DUMMYFUNCTION("""COMPUTED_VALUE"""),0.0)</f>
        <v>0</v>
      </c>
      <c r="H1966" s="5">
        <f>IFERROR(__xludf.DUMMYFUNCTION("""COMPUTED_VALUE"""),0.14444444444598048)</f>
        <v>0.1444444444</v>
      </c>
    </row>
    <row r="1967">
      <c r="A1967" t="str">
        <f>IFERROR(__xludf.DUMMYFUNCTION("""COMPUTED_VALUE"""),"Netherlands")</f>
        <v>Netherlands</v>
      </c>
      <c r="B1967" t="str">
        <f>IFERROR(__xludf.DUMMYFUNCTION("""COMPUTED_VALUE"""),"Europe")</f>
        <v>Europe</v>
      </c>
      <c r="C1967">
        <f>IFERROR(__xludf.DUMMYFUNCTION("""COMPUTED_VALUE"""),16.0)</f>
        <v>16</v>
      </c>
      <c r="D1967" t="str">
        <f>IFERROR(__xludf.DUMMYFUNCTION("""COMPUTED_VALUE"""),"Intentions (feat. Quavo)")</f>
        <v>Intentions (feat. Quavo)</v>
      </c>
      <c r="E1967" t="str">
        <f>IFERROR(__xludf.DUMMYFUNCTION("""COMPUTED_VALUE"""),"Justin Bieber, Quavo")</f>
        <v>Justin Bieber, Quavo</v>
      </c>
      <c r="F1967" t="str">
        <f>IFERROR(__xludf.DUMMYFUNCTION("""COMPUTED_VALUE"""),"Changes")</f>
        <v>Changes</v>
      </c>
      <c r="G1967">
        <f>IFERROR(__xludf.DUMMYFUNCTION("""COMPUTED_VALUE"""),0.0)</f>
        <v>0</v>
      </c>
      <c r="H1967" s="5">
        <f>IFERROR(__xludf.DUMMYFUNCTION("""COMPUTED_VALUE"""),0.14722222222189885)</f>
        <v>0.1472222222</v>
      </c>
    </row>
    <row r="1968">
      <c r="A1968" t="str">
        <f>IFERROR(__xludf.DUMMYFUNCTION("""COMPUTED_VALUE"""),"Netherlands")</f>
        <v>Netherlands</v>
      </c>
      <c r="B1968" t="str">
        <f>IFERROR(__xludf.DUMMYFUNCTION("""COMPUTED_VALUE"""),"Europe")</f>
        <v>Europe</v>
      </c>
      <c r="C1968">
        <f>IFERROR(__xludf.DUMMYFUNCTION("""COMPUTED_VALUE"""),17.0)</f>
        <v>17</v>
      </c>
      <c r="D1968" t="str">
        <f>IFERROR(__xludf.DUMMYFUNCTION("""COMPUTED_VALUE"""),"Jongen Van De Straat")</f>
        <v>Jongen Van De Straat</v>
      </c>
      <c r="E1968" t="str">
        <f>IFERROR(__xludf.DUMMYFUNCTION("""COMPUTED_VALUE"""),"Lil Kleine")</f>
        <v>Lil Kleine</v>
      </c>
      <c r="F1968" t="str">
        <f>IFERROR(__xludf.DUMMYFUNCTION("""COMPUTED_VALUE"""),"Jongen Van De Straat")</f>
        <v>Jongen Van De Straat</v>
      </c>
      <c r="G1968">
        <f>IFERROR(__xludf.DUMMYFUNCTION("""COMPUTED_VALUE"""),0.0)</f>
        <v>0</v>
      </c>
      <c r="H1968" s="5">
        <f>IFERROR(__xludf.DUMMYFUNCTION("""COMPUTED_VALUE"""),0.10833333333357587)</f>
        <v>0.1083333333</v>
      </c>
    </row>
    <row r="1969">
      <c r="A1969" t="str">
        <f>IFERROR(__xludf.DUMMYFUNCTION("""COMPUTED_VALUE"""),"Netherlands")</f>
        <v>Netherlands</v>
      </c>
      <c r="B1969" t="str">
        <f>IFERROR(__xludf.DUMMYFUNCTION("""COMPUTED_VALUE"""),"Europe")</f>
        <v>Europe</v>
      </c>
      <c r="C1969">
        <f>IFERROR(__xludf.DUMMYFUNCTION("""COMPUTED_VALUE"""),18.0)</f>
        <v>18</v>
      </c>
      <c r="D1969" t="str">
        <f>IFERROR(__xludf.DUMMYFUNCTION("""COMPUTED_VALUE"""),"In Your Eyes")</f>
        <v>In Your Eyes</v>
      </c>
      <c r="E1969" t="str">
        <f>IFERROR(__xludf.DUMMYFUNCTION("""COMPUTED_VALUE"""),"The Weeknd")</f>
        <v>The Weeknd</v>
      </c>
      <c r="F1969" t="str">
        <f>IFERROR(__xludf.DUMMYFUNCTION("""COMPUTED_VALUE"""),"After Hours")</f>
        <v>After Hours</v>
      </c>
      <c r="G1969">
        <f>IFERROR(__xludf.DUMMYFUNCTION("""COMPUTED_VALUE"""),1.0)</f>
        <v>1</v>
      </c>
      <c r="H1969" s="5">
        <f>IFERROR(__xludf.DUMMYFUNCTION("""COMPUTED_VALUE"""),0.16458333333503106)</f>
        <v>0.1645833333</v>
      </c>
    </row>
    <row r="1970">
      <c r="A1970" t="str">
        <f>IFERROR(__xludf.DUMMYFUNCTION("""COMPUTED_VALUE"""),"Netherlands")</f>
        <v>Netherlands</v>
      </c>
      <c r="B1970" t="str">
        <f>IFERROR(__xludf.DUMMYFUNCTION("""COMPUTED_VALUE"""),"Europe")</f>
        <v>Europe</v>
      </c>
      <c r="C1970">
        <f>IFERROR(__xludf.DUMMYFUNCTION("""COMPUTED_VALUE"""),19.0)</f>
        <v>19</v>
      </c>
      <c r="D1970" t="str">
        <f>IFERROR(__xludf.DUMMYFUNCTION("""COMPUTED_VALUE"""),"Soldier On")</f>
        <v>Soldier On</v>
      </c>
      <c r="E1970" t="str">
        <f>IFERROR(__xludf.DUMMYFUNCTION("""COMPUTED_VALUE"""),"DI-RECT")</f>
        <v>DI-RECT</v>
      </c>
      <c r="F1970" t="str">
        <f>IFERROR(__xludf.DUMMYFUNCTION("""COMPUTED_VALUE"""),"Soldier On")</f>
        <v>Soldier On</v>
      </c>
      <c r="G1970">
        <f>IFERROR(__xludf.DUMMYFUNCTION("""COMPUTED_VALUE"""),0.0)</f>
        <v>0</v>
      </c>
      <c r="H1970" s="5">
        <f>IFERROR(__xludf.DUMMYFUNCTION("""COMPUTED_VALUE"""),0.1437499999992724)</f>
        <v>0.14375</v>
      </c>
    </row>
    <row r="1971">
      <c r="A1971" t="str">
        <f>IFERROR(__xludf.DUMMYFUNCTION("""COMPUTED_VALUE"""),"Netherlands")</f>
        <v>Netherlands</v>
      </c>
      <c r="B1971" t="str">
        <f>IFERROR(__xludf.DUMMYFUNCTION("""COMPUTED_VALUE"""),"Europe")</f>
        <v>Europe</v>
      </c>
      <c r="C1971">
        <f>IFERROR(__xludf.DUMMYFUNCTION("""COMPUTED_VALUE"""),20.0)</f>
        <v>20</v>
      </c>
      <c r="D1971" t="str">
        <f>IFERROR(__xludf.DUMMYFUNCTION("""COMPUTED_VALUE"""),"Loop Niet Weg")</f>
        <v>Loop Niet Weg</v>
      </c>
      <c r="E1971" t="str">
        <f>IFERROR(__xludf.DUMMYFUNCTION("""COMPUTED_VALUE"""),"Kris Kross Amsterdam, Tino Martin, Emma Heesters")</f>
        <v>Kris Kross Amsterdam, Tino Martin, Emma Heesters</v>
      </c>
      <c r="F1971" t="str">
        <f>IFERROR(__xludf.DUMMYFUNCTION("""COMPUTED_VALUE"""),"Loop Niet Weg")</f>
        <v>Loop Niet Weg</v>
      </c>
      <c r="G1971">
        <f>IFERROR(__xludf.DUMMYFUNCTION("""COMPUTED_VALUE"""),0.0)</f>
        <v>0</v>
      </c>
      <c r="H1971" s="5">
        <f>IFERROR(__xludf.DUMMYFUNCTION("""COMPUTED_VALUE"""),0.12847222222262644)</f>
        <v>0.1284722222</v>
      </c>
    </row>
    <row r="1972">
      <c r="A1972" t="str">
        <f>IFERROR(__xludf.DUMMYFUNCTION("""COMPUTED_VALUE"""),"Netherlands")</f>
        <v>Netherlands</v>
      </c>
      <c r="B1972" t="str">
        <f>IFERROR(__xludf.DUMMYFUNCTION("""COMPUTED_VALUE"""),"Europe")</f>
        <v>Europe</v>
      </c>
      <c r="C1972">
        <f>IFERROR(__xludf.DUMMYFUNCTION("""COMPUTED_VALUE"""),21.0)</f>
        <v>21</v>
      </c>
      <c r="D1972" t="str">
        <f>IFERROR(__xludf.DUMMYFUNCTION("""COMPUTED_VALUE"""),"Pa Olvidarte (Beste Zangers Seizoen 2019)")</f>
        <v>Pa Olvidarte (Beste Zangers Seizoen 2019)</v>
      </c>
      <c r="E1972" t="str">
        <f>IFERROR(__xludf.DUMMYFUNCTION("""COMPUTED_VALUE"""),"Emma Heesters, Rolf Sanchez")</f>
        <v>Emma Heesters, Rolf Sanchez</v>
      </c>
      <c r="F1972" t="str">
        <f>IFERROR(__xludf.DUMMYFUNCTION("""COMPUTED_VALUE"""),"Pa Olvidarte (Beste Zangers Seizoen 2019)")</f>
        <v>Pa Olvidarte (Beste Zangers Seizoen 2019)</v>
      </c>
      <c r="G1972">
        <f>IFERROR(__xludf.DUMMYFUNCTION("""COMPUTED_VALUE"""),0.0)</f>
        <v>0</v>
      </c>
      <c r="H1972" s="5">
        <f>IFERROR(__xludf.DUMMYFUNCTION("""COMPUTED_VALUE"""),0.11875000000145519)</f>
        <v>0.11875</v>
      </c>
    </row>
    <row r="1973">
      <c r="A1973" t="str">
        <f>IFERROR(__xludf.DUMMYFUNCTION("""COMPUTED_VALUE"""),"Netherlands")</f>
        <v>Netherlands</v>
      </c>
      <c r="B1973" t="str">
        <f>IFERROR(__xludf.DUMMYFUNCTION("""COMPUTED_VALUE"""),"Europe")</f>
        <v>Europe</v>
      </c>
      <c r="C1973">
        <f>IFERROR(__xludf.DUMMYFUNCTION("""COMPUTED_VALUE"""),22.0)</f>
        <v>22</v>
      </c>
      <c r="D1973" t="str">
        <f>IFERROR(__xludf.DUMMYFUNCTION("""COMPUTED_VALUE"""),"Christian Dior (feat. Bryan Mg &amp; SRNO)")</f>
        <v>Christian Dior (feat. Bryan Mg &amp; SRNO)</v>
      </c>
      <c r="E1973" t="str">
        <f>IFERROR(__xludf.DUMMYFUNCTION("""COMPUTED_VALUE"""),"Dopebwoy, Bryan Mg, SRNO")</f>
        <v>Dopebwoy, Bryan Mg, SRNO</v>
      </c>
      <c r="F1973" t="str">
        <f>IFERROR(__xludf.DUMMYFUNCTION("""COMPUTED_VALUE"""),"Christian Dior (feat. Bryan Mg &amp; SRNO)")</f>
        <v>Christian Dior (feat. Bryan Mg &amp; SRNO)</v>
      </c>
      <c r="G1973">
        <f>IFERROR(__xludf.DUMMYFUNCTION("""COMPUTED_VALUE"""),0.0)</f>
        <v>0</v>
      </c>
      <c r="H1973" s="5">
        <f>IFERROR(__xludf.DUMMYFUNCTION("""COMPUTED_VALUE"""),0.10555555555401952)</f>
        <v>0.1055555556</v>
      </c>
    </row>
    <row r="1974">
      <c r="A1974" t="str">
        <f>IFERROR(__xludf.DUMMYFUNCTION("""COMPUTED_VALUE"""),"Netherlands")</f>
        <v>Netherlands</v>
      </c>
      <c r="B1974" t="str">
        <f>IFERROR(__xludf.DUMMYFUNCTION("""COMPUTED_VALUE"""),"Europe")</f>
        <v>Europe</v>
      </c>
      <c r="C1974">
        <f>IFERROR(__xludf.DUMMYFUNCTION("""COMPUTED_VALUE"""),23.0)</f>
        <v>23</v>
      </c>
      <c r="D1974" t="str">
        <f>IFERROR(__xludf.DUMMYFUNCTION("""COMPUTED_VALUE"""),"In Your Eyes (feat. Alida)")</f>
        <v>In Your Eyes (feat. Alida)</v>
      </c>
      <c r="E1974" t="str">
        <f>IFERROR(__xludf.DUMMYFUNCTION("""COMPUTED_VALUE"""),"Robin Schulz, Alida")</f>
        <v>Robin Schulz, Alida</v>
      </c>
      <c r="F1974" t="str">
        <f>IFERROR(__xludf.DUMMYFUNCTION("""COMPUTED_VALUE"""),"In Your Eyes (feat. Alida)")</f>
        <v>In Your Eyes (feat. Alida)</v>
      </c>
      <c r="G1974">
        <f>IFERROR(__xludf.DUMMYFUNCTION("""COMPUTED_VALUE"""),0.0)</f>
        <v>0</v>
      </c>
      <c r="H1974" s="5">
        <f>IFERROR(__xludf.DUMMYFUNCTION("""COMPUTED_VALUE"""),0.14444444444598048)</f>
        <v>0.1444444444</v>
      </c>
    </row>
    <row r="1975">
      <c r="A1975" t="str">
        <f>IFERROR(__xludf.DUMMYFUNCTION("""COMPUTED_VALUE"""),"Netherlands")</f>
        <v>Netherlands</v>
      </c>
      <c r="B1975" t="str">
        <f>IFERROR(__xludf.DUMMYFUNCTION("""COMPUTED_VALUE"""),"Europe")</f>
        <v>Europe</v>
      </c>
      <c r="C1975">
        <f>IFERROR(__xludf.DUMMYFUNCTION("""COMPUTED_VALUE"""),24.0)</f>
        <v>24</v>
      </c>
      <c r="D1975" t="str">
        <f>IFERROR(__xludf.DUMMYFUNCTION("""COMPUTED_VALUE"""),"Wat Is Je Naam")</f>
        <v>Wat Is Je Naam</v>
      </c>
      <c r="E1975" t="str">
        <f>IFERROR(__xludf.DUMMYFUNCTION("""COMPUTED_VALUE"""),"Yxng Le, Frenna")</f>
        <v>Yxng Le, Frenna</v>
      </c>
      <c r="F1975" t="str">
        <f>IFERROR(__xludf.DUMMYFUNCTION("""COMPUTED_VALUE"""),"Wat Is Je Naam")</f>
        <v>Wat Is Je Naam</v>
      </c>
      <c r="G1975">
        <f>IFERROR(__xludf.DUMMYFUNCTION("""COMPUTED_VALUE"""),0.0)</f>
        <v>0</v>
      </c>
      <c r="H1975" s="5">
        <f>IFERROR(__xludf.DUMMYFUNCTION("""COMPUTED_VALUE"""),0.10902777777664596)</f>
        <v>0.1090277778</v>
      </c>
    </row>
    <row r="1976">
      <c r="A1976" t="str">
        <f>IFERROR(__xludf.DUMMYFUNCTION("""COMPUTED_VALUE"""),"Netherlands")</f>
        <v>Netherlands</v>
      </c>
      <c r="B1976" t="str">
        <f>IFERROR(__xludf.DUMMYFUNCTION("""COMPUTED_VALUE"""),"Europe")</f>
        <v>Europe</v>
      </c>
      <c r="C1976">
        <f>IFERROR(__xludf.DUMMYFUNCTION("""COMPUTED_VALUE"""),25.0)</f>
        <v>25</v>
      </c>
      <c r="D1976" t="str">
        <f>IFERROR(__xludf.DUMMYFUNCTION("""COMPUTED_VALUE"""),"Don't Start Now")</f>
        <v>Don't Start Now</v>
      </c>
      <c r="E1976" t="str">
        <f>IFERROR(__xludf.DUMMYFUNCTION("""COMPUTED_VALUE"""),"Dua Lipa")</f>
        <v>Dua Lipa</v>
      </c>
      <c r="F1976" t="str">
        <f>IFERROR(__xludf.DUMMYFUNCTION("""COMPUTED_VALUE"""),"Future Nostalgia")</f>
        <v>Future Nostalgia</v>
      </c>
      <c r="G1976">
        <f>IFERROR(__xludf.DUMMYFUNCTION("""COMPUTED_VALUE"""),0.0)</f>
        <v>0</v>
      </c>
      <c r="H1976" s="5">
        <f>IFERROR(__xludf.DUMMYFUNCTION("""COMPUTED_VALUE"""),0.12708333333284827)</f>
        <v>0.1270833333</v>
      </c>
    </row>
    <row r="1977">
      <c r="A1977" t="str">
        <f>IFERROR(__xludf.DUMMYFUNCTION("""COMPUTED_VALUE"""),"Netherlands")</f>
        <v>Netherlands</v>
      </c>
      <c r="B1977" t="str">
        <f>IFERROR(__xludf.DUMMYFUNCTION("""COMPUTED_VALUE"""),"Europe")</f>
        <v>Europe</v>
      </c>
      <c r="C1977">
        <f>IFERROR(__xludf.DUMMYFUNCTION("""COMPUTED_VALUE"""),26.0)</f>
        <v>26</v>
      </c>
      <c r="D1977" t="str">
        <f>IFERROR(__xludf.DUMMYFUNCTION("""COMPUTED_VALUE"""),"Beat Me - Official Song F1 Dutch Grand Prix")</f>
        <v>Beat Me - Official Song F1 Dutch Grand Prix</v>
      </c>
      <c r="E1977" t="str">
        <f>IFERROR(__xludf.DUMMYFUNCTION("""COMPUTED_VALUE"""),"Davina Michelle")</f>
        <v>Davina Michelle</v>
      </c>
      <c r="F1977" t="str">
        <f>IFERROR(__xludf.DUMMYFUNCTION("""COMPUTED_VALUE"""),"Beat Me (Official Song F1 Dutch Grand Prix)")</f>
        <v>Beat Me (Official Song F1 Dutch Grand Prix)</v>
      </c>
      <c r="G1977">
        <f>IFERROR(__xludf.DUMMYFUNCTION("""COMPUTED_VALUE"""),0.0)</f>
        <v>0</v>
      </c>
      <c r="H1977" s="5">
        <f>IFERROR(__xludf.DUMMYFUNCTION("""COMPUTED_VALUE"""),0.13333333333503106)</f>
        <v>0.1333333333</v>
      </c>
    </row>
    <row r="1978">
      <c r="A1978" t="str">
        <f>IFERROR(__xludf.DUMMYFUNCTION("""COMPUTED_VALUE"""),"Netherlands")</f>
        <v>Netherlands</v>
      </c>
      <c r="B1978" t="str">
        <f>IFERROR(__xludf.DUMMYFUNCTION("""COMPUTED_VALUE"""),"Europe")</f>
        <v>Europe</v>
      </c>
      <c r="C1978">
        <f>IFERROR(__xludf.DUMMYFUNCTION("""COMPUTED_VALUE"""),27.0)</f>
        <v>27</v>
      </c>
      <c r="D1978" t="str">
        <f>IFERROR(__xludf.DUMMYFUNCTION("""COMPUTED_VALUE"""),"Weg Van Jou")</f>
        <v>Weg Van Jou</v>
      </c>
      <c r="E1978" t="str">
        <f>IFERROR(__xludf.DUMMYFUNCTION("""COMPUTED_VALUE"""),"Suzan &amp; Freek")</f>
        <v>Suzan &amp; Freek</v>
      </c>
      <c r="F1978" t="str">
        <f>IFERROR(__xludf.DUMMYFUNCTION("""COMPUTED_VALUE"""),"Weg Van Jou")</f>
        <v>Weg Van Jou</v>
      </c>
      <c r="G1978">
        <f>IFERROR(__xludf.DUMMYFUNCTION("""COMPUTED_VALUE"""),0.0)</f>
        <v>0</v>
      </c>
      <c r="H1978" s="5">
        <f>IFERROR(__xludf.DUMMYFUNCTION("""COMPUTED_VALUE"""),0.10138888888832298)</f>
        <v>0.1013888889</v>
      </c>
    </row>
    <row r="1979">
      <c r="A1979" t="str">
        <f>IFERROR(__xludf.DUMMYFUNCTION("""COMPUTED_VALUE"""),"Netherlands")</f>
        <v>Netherlands</v>
      </c>
      <c r="B1979" t="str">
        <f>IFERROR(__xludf.DUMMYFUNCTION("""COMPUTED_VALUE"""),"Europe")</f>
        <v>Europe</v>
      </c>
      <c r="C1979">
        <f>IFERROR(__xludf.DUMMYFUNCTION("""COMPUTED_VALUE"""),28.0)</f>
        <v>28</v>
      </c>
      <c r="D1979" t="str">
        <f>IFERROR(__xludf.DUMMYFUNCTION("""COMPUTED_VALUE"""),"Say So")</f>
        <v>Say So</v>
      </c>
      <c r="E1979" t="str">
        <f>IFERROR(__xludf.DUMMYFUNCTION("""COMPUTED_VALUE"""),"Doja Cat")</f>
        <v>Doja Cat</v>
      </c>
      <c r="F1979" t="str">
        <f>IFERROR(__xludf.DUMMYFUNCTION("""COMPUTED_VALUE"""),"Hot Pink")</f>
        <v>Hot Pink</v>
      </c>
      <c r="G1979">
        <f>IFERROR(__xludf.DUMMYFUNCTION("""COMPUTED_VALUE"""),1.0)</f>
        <v>1</v>
      </c>
      <c r="H1979" s="5">
        <f>IFERROR(__xludf.DUMMYFUNCTION("""COMPUTED_VALUE"""),0.16458333333503106)</f>
        <v>0.1645833333</v>
      </c>
    </row>
    <row r="1980">
      <c r="A1980" t="str">
        <f>IFERROR(__xludf.DUMMYFUNCTION("""COMPUTED_VALUE"""),"Netherlands")</f>
        <v>Netherlands</v>
      </c>
      <c r="B1980" t="str">
        <f>IFERROR(__xludf.DUMMYFUNCTION("""COMPUTED_VALUE"""),"Europe")</f>
        <v>Europe</v>
      </c>
      <c r="C1980">
        <f>IFERROR(__xludf.DUMMYFUNCTION("""COMPUTED_VALUE"""),29.0)</f>
        <v>29</v>
      </c>
      <c r="D1980" t="str">
        <f>IFERROR(__xludf.DUMMYFUNCTION("""COMPUTED_VALUE"""),"Dance Monkey")</f>
        <v>Dance Monkey</v>
      </c>
      <c r="E1980" t="str">
        <f>IFERROR(__xludf.DUMMYFUNCTION("""COMPUTED_VALUE"""),"Tones And I")</f>
        <v>Tones And I</v>
      </c>
      <c r="F1980" t="str">
        <f>IFERROR(__xludf.DUMMYFUNCTION("""COMPUTED_VALUE"""),"Dance Monkey (Stripped Back) / Dance Monkey")</f>
        <v>Dance Monkey (Stripped Back) / Dance Monkey</v>
      </c>
      <c r="G1980">
        <f>IFERROR(__xludf.DUMMYFUNCTION("""COMPUTED_VALUE"""),0.0)</f>
        <v>0</v>
      </c>
      <c r="H1980" s="5">
        <f>IFERROR(__xludf.DUMMYFUNCTION("""COMPUTED_VALUE"""),0.14513888888905058)</f>
        <v>0.1451388889</v>
      </c>
    </row>
    <row r="1981">
      <c r="A1981" t="str">
        <f>IFERROR(__xludf.DUMMYFUNCTION("""COMPUTED_VALUE"""),"Netherlands")</f>
        <v>Netherlands</v>
      </c>
      <c r="B1981" t="str">
        <f>IFERROR(__xludf.DUMMYFUNCTION("""COMPUTED_VALUE"""),"Europe")</f>
        <v>Europe</v>
      </c>
      <c r="C1981">
        <f>IFERROR(__xludf.DUMMYFUNCTION("""COMPUTED_VALUE"""),30.0)</f>
        <v>30</v>
      </c>
      <c r="D1981" t="str">
        <f>IFERROR(__xludf.DUMMYFUNCTION("""COMPUTED_VALUE"""),"Never Seen The Rain")</f>
        <v>Never Seen The Rain</v>
      </c>
      <c r="E1981" t="str">
        <f>IFERROR(__xludf.DUMMYFUNCTION("""COMPUTED_VALUE"""),"Tones And I")</f>
        <v>Tones And I</v>
      </c>
      <c r="F1981" t="str">
        <f>IFERROR(__xludf.DUMMYFUNCTION("""COMPUTED_VALUE"""),"Never Seen The Rain (Alternate Version)")</f>
        <v>Never Seen The Rain (Alternate Version)</v>
      </c>
      <c r="G1981">
        <f>IFERROR(__xludf.DUMMYFUNCTION("""COMPUTED_VALUE"""),0.0)</f>
        <v>0</v>
      </c>
      <c r="H1981" s="5">
        <f>IFERROR(__xludf.DUMMYFUNCTION("""COMPUTED_VALUE"""),0.13888888889050577)</f>
        <v>0.1388888889</v>
      </c>
    </row>
    <row r="1982">
      <c r="A1982" t="str">
        <f>IFERROR(__xludf.DUMMYFUNCTION("""COMPUTED_VALUE"""),"Netherlands")</f>
        <v>Netherlands</v>
      </c>
      <c r="B1982" t="str">
        <f>IFERROR(__xludf.DUMMYFUNCTION("""COMPUTED_VALUE"""),"Europe")</f>
        <v>Europe</v>
      </c>
      <c r="C1982">
        <f>IFERROR(__xludf.DUMMYFUNCTION("""COMPUTED_VALUE"""),31.0)</f>
        <v>31</v>
      </c>
      <c r="D1982" t="str">
        <f>IFERROR(__xludf.DUMMYFUNCTION("""COMPUTED_VALUE"""),"GOOBA")</f>
        <v>GOOBA</v>
      </c>
      <c r="E1982" t="str">
        <f>IFERROR(__xludf.DUMMYFUNCTION("""COMPUTED_VALUE"""),"6ix9ine")</f>
        <v>6ix9ine</v>
      </c>
      <c r="F1982" t="str">
        <f>IFERROR(__xludf.DUMMYFUNCTION("""COMPUTED_VALUE"""),"GOOBA")</f>
        <v>GOOBA</v>
      </c>
      <c r="G1982">
        <f>IFERROR(__xludf.DUMMYFUNCTION("""COMPUTED_VALUE"""),1.0)</f>
        <v>1</v>
      </c>
      <c r="H1982" s="5">
        <f>IFERROR(__xludf.DUMMYFUNCTION("""COMPUTED_VALUE"""),0.09166666666715173)</f>
        <v>0.09166666667</v>
      </c>
    </row>
    <row r="1983">
      <c r="A1983" t="str">
        <f>IFERROR(__xludf.DUMMYFUNCTION("""COMPUTED_VALUE"""),"Netherlands")</f>
        <v>Netherlands</v>
      </c>
      <c r="B1983" t="str">
        <f>IFERROR(__xludf.DUMMYFUNCTION("""COMPUTED_VALUE"""),"Europe")</f>
        <v>Europe</v>
      </c>
      <c r="C1983">
        <f>IFERROR(__xludf.DUMMYFUNCTION("""COMPUTED_VALUE"""),32.0)</f>
        <v>32</v>
      </c>
      <c r="D1983" t="str">
        <f>IFERROR(__xludf.DUMMYFUNCTION("""COMPUTED_VALUE"""),"Roller Coaster")</f>
        <v>Roller Coaster</v>
      </c>
      <c r="E1983" t="str">
        <f>IFERROR(__xludf.DUMMYFUNCTION("""COMPUTED_VALUE"""),"Danny Vera")</f>
        <v>Danny Vera</v>
      </c>
      <c r="F1983" t="str">
        <f>IFERROR(__xludf.DUMMYFUNCTION("""COMPUTED_VALUE"""),"Pressure Makes Diamonds")</f>
        <v>Pressure Makes Diamonds</v>
      </c>
      <c r="G1983">
        <f>IFERROR(__xludf.DUMMYFUNCTION("""COMPUTED_VALUE"""),0.0)</f>
        <v>0</v>
      </c>
      <c r="H1983" s="5">
        <f>IFERROR(__xludf.DUMMYFUNCTION("""COMPUTED_VALUE"""),0.1868055555569299)</f>
        <v>0.1868055556</v>
      </c>
    </row>
    <row r="1984">
      <c r="A1984" t="str">
        <f>IFERROR(__xludf.DUMMYFUNCTION("""COMPUTED_VALUE"""),"Netherlands")</f>
        <v>Netherlands</v>
      </c>
      <c r="B1984" t="str">
        <f>IFERROR(__xludf.DUMMYFUNCTION("""COMPUTED_VALUE"""),"Europe")</f>
        <v>Europe</v>
      </c>
      <c r="C1984">
        <f>IFERROR(__xludf.DUMMYFUNCTION("""COMPUTED_VALUE"""),33.0)</f>
        <v>33</v>
      </c>
      <c r="D1984" t="str">
        <f>IFERROR(__xludf.DUMMYFUNCTION("""COMPUTED_VALUE"""),"Alone, Pt. II")</f>
        <v>Alone, Pt. II</v>
      </c>
      <c r="E1984" t="str">
        <f>IFERROR(__xludf.DUMMYFUNCTION("""COMPUTED_VALUE"""),"Alan Walker, Ava Max")</f>
        <v>Alan Walker, Ava Max</v>
      </c>
      <c r="F1984" t="str">
        <f>IFERROR(__xludf.DUMMYFUNCTION("""COMPUTED_VALUE"""),"Alone, Pt. II")</f>
        <v>Alone, Pt. II</v>
      </c>
      <c r="G1984">
        <f>IFERROR(__xludf.DUMMYFUNCTION("""COMPUTED_VALUE"""),0.0)</f>
        <v>0</v>
      </c>
      <c r="H1984" s="5">
        <f>IFERROR(__xludf.DUMMYFUNCTION("""COMPUTED_VALUE"""),0.1243055555569299)</f>
        <v>0.1243055556</v>
      </c>
    </row>
    <row r="1985">
      <c r="A1985" t="str">
        <f>IFERROR(__xludf.DUMMYFUNCTION("""COMPUTED_VALUE"""),"Netherlands")</f>
        <v>Netherlands</v>
      </c>
      <c r="B1985" t="str">
        <f>IFERROR(__xludf.DUMMYFUNCTION("""COMPUTED_VALUE"""),"Europe")</f>
        <v>Europe</v>
      </c>
      <c r="C1985">
        <f>IFERROR(__xludf.DUMMYFUNCTION("""COMPUTED_VALUE"""),34.0)</f>
        <v>34</v>
      </c>
      <c r="D1985" t="str">
        <f>IFERROR(__xludf.DUMMYFUNCTION("""COMPUTED_VALUE"""),"Before You Go")</f>
        <v>Before You Go</v>
      </c>
      <c r="E1985" t="str">
        <f>IFERROR(__xludf.DUMMYFUNCTION("""COMPUTED_VALUE"""),"Lewis Capaldi")</f>
        <v>Lewis Capaldi</v>
      </c>
      <c r="F1985" t="str">
        <f>IFERROR(__xludf.DUMMYFUNCTION("""COMPUTED_VALUE"""),"Divinely Uninspired To A Hellish Extent (Extended Edition)")</f>
        <v>Divinely Uninspired To A Hellish Extent (Extended Edition)</v>
      </c>
      <c r="G1985">
        <f>IFERROR(__xludf.DUMMYFUNCTION("""COMPUTED_VALUE"""),0.0)</f>
        <v>0</v>
      </c>
      <c r="H1985" s="5">
        <f>IFERROR(__xludf.DUMMYFUNCTION("""COMPUTED_VALUE"""),0.14930555555474712)</f>
        <v>0.1493055556</v>
      </c>
    </row>
    <row r="1986">
      <c r="A1986" t="str">
        <f>IFERROR(__xludf.DUMMYFUNCTION("""COMPUTED_VALUE"""),"Netherlands")</f>
        <v>Netherlands</v>
      </c>
      <c r="B1986" t="str">
        <f>IFERROR(__xludf.DUMMYFUNCTION("""COMPUTED_VALUE"""),"Europe")</f>
        <v>Europe</v>
      </c>
      <c r="C1986">
        <f>IFERROR(__xludf.DUMMYFUNCTION("""COMPUTED_VALUE"""),35.0)</f>
        <v>35</v>
      </c>
      <c r="D1986" t="str">
        <f>IFERROR(__xludf.DUMMYFUNCTION("""COMPUTED_VALUE"""),"Be Kind (with Halsey)")</f>
        <v>Be Kind (with Halsey)</v>
      </c>
      <c r="E1986" t="str">
        <f>IFERROR(__xludf.DUMMYFUNCTION("""COMPUTED_VALUE"""),"Marshmello, Halsey")</f>
        <v>Marshmello, Halsey</v>
      </c>
      <c r="F1986" t="str">
        <f>IFERROR(__xludf.DUMMYFUNCTION("""COMPUTED_VALUE"""),"Be Kind (with Halsey)")</f>
        <v>Be Kind (with Halsey)</v>
      </c>
      <c r="G1986">
        <f>IFERROR(__xludf.DUMMYFUNCTION("""COMPUTED_VALUE"""),0.0)</f>
        <v>0</v>
      </c>
      <c r="H1986" s="5">
        <f>IFERROR(__xludf.DUMMYFUNCTION("""COMPUTED_VALUE"""),0.11944444444452529)</f>
        <v>0.1194444444</v>
      </c>
    </row>
    <row r="1987">
      <c r="A1987" t="str">
        <f>IFERROR(__xludf.DUMMYFUNCTION("""COMPUTED_VALUE"""),"Netherlands")</f>
        <v>Netherlands</v>
      </c>
      <c r="B1987" t="str">
        <f>IFERROR(__xludf.DUMMYFUNCTION("""COMPUTED_VALUE"""),"Europe")</f>
        <v>Europe</v>
      </c>
      <c r="C1987">
        <f>IFERROR(__xludf.DUMMYFUNCTION("""COMPUTED_VALUE"""),36.0)</f>
        <v>36</v>
      </c>
      <c r="D1987" t="str">
        <f>IFERROR(__xludf.DUMMYFUNCTION("""COMPUTED_VALUE"""),"Rode Wijn")</f>
        <v>Rode Wijn</v>
      </c>
      <c r="E1987" t="str">
        <f>IFERROR(__xludf.DUMMYFUNCTION("""COMPUTED_VALUE"""),"Maan, Kraantje Pappie")</f>
        <v>Maan, Kraantje Pappie</v>
      </c>
      <c r="F1987" t="str">
        <f>IFERROR(__xludf.DUMMYFUNCTION("""COMPUTED_VALUE"""),"Rode Wijn")</f>
        <v>Rode Wijn</v>
      </c>
      <c r="G1987">
        <f>IFERROR(__xludf.DUMMYFUNCTION("""COMPUTED_VALUE"""),0.0)</f>
        <v>0</v>
      </c>
      <c r="H1987" s="5">
        <f>IFERROR(__xludf.DUMMYFUNCTION("""COMPUTED_VALUE"""),0.14097222222335404)</f>
        <v>0.1409722222</v>
      </c>
    </row>
    <row r="1988">
      <c r="A1988" t="str">
        <f>IFERROR(__xludf.DUMMYFUNCTION("""COMPUTED_VALUE"""),"Netherlands")</f>
        <v>Netherlands</v>
      </c>
      <c r="B1988" t="str">
        <f>IFERROR(__xludf.DUMMYFUNCTION("""COMPUTED_VALUE"""),"Europe")</f>
        <v>Europe</v>
      </c>
      <c r="C1988">
        <f>IFERROR(__xludf.DUMMYFUNCTION("""COMPUTED_VALUE"""),37.0)</f>
        <v>37</v>
      </c>
      <c r="D1988" t="str">
        <f>IFERROR(__xludf.DUMMYFUNCTION("""COMPUTED_VALUE"""),"Smoorverliefd")</f>
        <v>Smoorverliefd</v>
      </c>
      <c r="E1988" t="str">
        <f>IFERROR(__xludf.DUMMYFUNCTION("""COMPUTED_VALUE"""),"Snelle")</f>
        <v>Snelle</v>
      </c>
      <c r="F1988" t="str">
        <f>IFERROR(__xludf.DUMMYFUNCTION("""COMPUTED_VALUE"""),"Smoorverliefd")</f>
        <v>Smoorverliefd</v>
      </c>
      <c r="G1988">
        <f>IFERROR(__xludf.DUMMYFUNCTION("""COMPUTED_VALUE"""),0.0)</f>
        <v>0</v>
      </c>
      <c r="H1988" s="5">
        <f>IFERROR(__xludf.DUMMYFUNCTION("""COMPUTED_VALUE"""),0.12291666666715173)</f>
        <v>0.1229166667</v>
      </c>
    </row>
    <row r="1989">
      <c r="A1989" t="str">
        <f>IFERROR(__xludf.DUMMYFUNCTION("""COMPUTED_VALUE"""),"Netherlands")</f>
        <v>Netherlands</v>
      </c>
      <c r="B1989" t="str">
        <f>IFERROR(__xludf.DUMMYFUNCTION("""COMPUTED_VALUE"""),"Europe")</f>
        <v>Europe</v>
      </c>
      <c r="C1989">
        <f>IFERROR(__xludf.DUMMYFUNCTION("""COMPUTED_VALUE"""),38.0)</f>
        <v>38</v>
      </c>
      <c r="D1989" t="str">
        <f>IFERROR(__xludf.DUMMYFUNCTION("""COMPUTED_VALUE"""),"Blueberry Faygo")</f>
        <v>Blueberry Faygo</v>
      </c>
      <c r="E1989" t="str">
        <f>IFERROR(__xludf.DUMMYFUNCTION("""COMPUTED_VALUE"""),"Lil Mosey")</f>
        <v>Lil Mosey</v>
      </c>
      <c r="F1989" t="str">
        <f>IFERROR(__xludf.DUMMYFUNCTION("""COMPUTED_VALUE"""),"Certified Hitmaker")</f>
        <v>Certified Hitmaker</v>
      </c>
      <c r="G1989">
        <f>IFERROR(__xludf.DUMMYFUNCTION("""COMPUTED_VALUE"""),1.0)</f>
        <v>1</v>
      </c>
      <c r="H1989" s="5">
        <f>IFERROR(__xludf.DUMMYFUNCTION("""COMPUTED_VALUE"""),0.1124999999992724)</f>
        <v>0.1125</v>
      </c>
    </row>
    <row r="1990">
      <c r="A1990" t="str">
        <f>IFERROR(__xludf.DUMMYFUNCTION("""COMPUTED_VALUE"""),"Netherlands")</f>
        <v>Netherlands</v>
      </c>
      <c r="B1990" t="str">
        <f>IFERROR(__xludf.DUMMYFUNCTION("""COMPUTED_VALUE"""),"Europe")</f>
        <v>Europe</v>
      </c>
      <c r="C1990">
        <f>IFERROR(__xludf.DUMMYFUNCTION("""COMPUTED_VALUE"""),39.0)</f>
        <v>39</v>
      </c>
      <c r="D1990" t="str">
        <f>IFERROR(__xludf.DUMMYFUNCTION("""COMPUTED_VALUE"""),"Drown (feat. Clinton Kane)")</f>
        <v>Drown (feat. Clinton Kane)</v>
      </c>
      <c r="E1990" t="str">
        <f>IFERROR(__xludf.DUMMYFUNCTION("""COMPUTED_VALUE"""),"Martin Garrix, Clinton Kane")</f>
        <v>Martin Garrix, Clinton Kane</v>
      </c>
      <c r="F1990" t="str">
        <f>IFERROR(__xludf.DUMMYFUNCTION("""COMPUTED_VALUE"""),"Drown (feat. Clinton Kane)")</f>
        <v>Drown (feat. Clinton Kane)</v>
      </c>
      <c r="G1990">
        <f>IFERROR(__xludf.DUMMYFUNCTION("""COMPUTED_VALUE"""),0.0)</f>
        <v>0</v>
      </c>
      <c r="H1990" s="5">
        <f>IFERROR(__xludf.DUMMYFUNCTION("""COMPUTED_VALUE"""),0.12083333333430346)</f>
        <v>0.1208333333</v>
      </c>
    </row>
    <row r="1991">
      <c r="A1991" t="str">
        <f>IFERROR(__xludf.DUMMYFUNCTION("""COMPUTED_VALUE"""),"Netherlands")</f>
        <v>Netherlands</v>
      </c>
      <c r="B1991" t="str">
        <f>IFERROR(__xludf.DUMMYFUNCTION("""COMPUTED_VALUE"""),"Europe")</f>
        <v>Europe</v>
      </c>
      <c r="C1991">
        <f>IFERROR(__xludf.DUMMYFUNCTION("""COMPUTED_VALUE"""),40.0)</f>
        <v>40</v>
      </c>
      <c r="D1991" t="str">
        <f>IFERROR(__xludf.DUMMYFUNCTION("""COMPUTED_VALUE"""),"THE SCOTTS")</f>
        <v>THE SCOTTS</v>
      </c>
      <c r="E1991" t="str">
        <f>IFERROR(__xludf.DUMMYFUNCTION("""COMPUTED_VALUE"""),"THE SCOTTS, Travis Scott, Kid Cudi")</f>
        <v>THE SCOTTS, Travis Scott, Kid Cudi</v>
      </c>
      <c r="F1991" t="str">
        <f>IFERROR(__xludf.DUMMYFUNCTION("""COMPUTED_VALUE"""),"THE SCOTTS")</f>
        <v>THE SCOTTS</v>
      </c>
      <c r="G1991">
        <f>IFERROR(__xludf.DUMMYFUNCTION("""COMPUTED_VALUE"""),1.0)</f>
        <v>1</v>
      </c>
      <c r="H1991" s="5">
        <f>IFERROR(__xludf.DUMMYFUNCTION("""COMPUTED_VALUE"""),0.11458333333212067)</f>
        <v>0.1145833333</v>
      </c>
    </row>
    <row r="1992">
      <c r="A1992" t="str">
        <f>IFERROR(__xludf.DUMMYFUNCTION("""COMPUTED_VALUE"""),"Netherlands")</f>
        <v>Netherlands</v>
      </c>
      <c r="B1992" t="str">
        <f>IFERROR(__xludf.DUMMYFUNCTION("""COMPUTED_VALUE"""),"Europe")</f>
        <v>Europe</v>
      </c>
      <c r="C1992">
        <f>IFERROR(__xludf.DUMMYFUNCTION("""COMPUTED_VALUE"""),41.0)</f>
        <v>41</v>
      </c>
      <c r="D1992" t="str">
        <f>IFERROR(__xludf.DUMMYFUNCTION("""COMPUTED_VALUE"""),"Underdog")</f>
        <v>Underdog</v>
      </c>
      <c r="E1992" t="str">
        <f>IFERROR(__xludf.DUMMYFUNCTION("""COMPUTED_VALUE"""),"Alicia Keys")</f>
        <v>Alicia Keys</v>
      </c>
      <c r="F1992" t="str">
        <f>IFERROR(__xludf.DUMMYFUNCTION("""COMPUTED_VALUE"""),"Underdog")</f>
        <v>Underdog</v>
      </c>
      <c r="G1992">
        <f>IFERROR(__xludf.DUMMYFUNCTION("""COMPUTED_VALUE"""),0.0)</f>
        <v>0</v>
      </c>
      <c r="H1992" s="5">
        <f>IFERROR(__xludf.DUMMYFUNCTION("""COMPUTED_VALUE"""),0.14444444444598048)</f>
        <v>0.1444444444</v>
      </c>
    </row>
    <row r="1993">
      <c r="A1993" t="str">
        <f>IFERROR(__xludf.DUMMYFUNCTION("""COMPUTED_VALUE"""),"Netherlands")</f>
        <v>Netherlands</v>
      </c>
      <c r="B1993" t="str">
        <f>IFERROR(__xludf.DUMMYFUNCTION("""COMPUTED_VALUE"""),"Europe")</f>
        <v>Europe</v>
      </c>
      <c r="C1993">
        <f>IFERROR(__xludf.DUMMYFUNCTION("""COMPUTED_VALUE"""),42.0)</f>
        <v>42</v>
      </c>
      <c r="D1993" t="str">
        <f>IFERROR(__xludf.DUMMYFUNCTION("""COMPUTED_VALUE"""),"Busje (feat. Chivv &amp; Lauwtje)")</f>
        <v>Busje (feat. Chivv &amp; Lauwtje)</v>
      </c>
      <c r="E1993" t="str">
        <f>IFERROR(__xludf.DUMMYFUNCTION("""COMPUTED_VALUE"""),"Zefanio, Chivv, Lauwtje")</f>
        <v>Zefanio, Chivv, Lauwtje</v>
      </c>
      <c r="F1993" t="str">
        <f>IFERROR(__xludf.DUMMYFUNCTION("""COMPUTED_VALUE"""),"Busje (feat. Chivv &amp; Lauwtje)")</f>
        <v>Busje (feat. Chivv &amp; Lauwtje)</v>
      </c>
      <c r="G1993">
        <f>IFERROR(__xludf.DUMMYFUNCTION("""COMPUTED_VALUE"""),0.0)</f>
        <v>0</v>
      </c>
      <c r="H1993" s="5">
        <f>IFERROR(__xludf.DUMMYFUNCTION("""COMPUTED_VALUE"""),0.1243055555569299)</f>
        <v>0.1243055556</v>
      </c>
    </row>
    <row r="1994">
      <c r="A1994" t="str">
        <f>IFERROR(__xludf.DUMMYFUNCTION("""COMPUTED_VALUE"""),"Netherlands")</f>
        <v>Netherlands</v>
      </c>
      <c r="B1994" t="str">
        <f>IFERROR(__xludf.DUMMYFUNCTION("""COMPUTED_VALUE"""),"Europe")</f>
        <v>Europe</v>
      </c>
      <c r="C1994">
        <f>IFERROR(__xludf.DUMMYFUNCTION("""COMPUTED_VALUE"""),43.0)</f>
        <v>43</v>
      </c>
      <c r="D1994" t="str">
        <f>IFERROR(__xludf.DUMMYFUNCTION("""COMPUTED_VALUE"""),"Watermelon Sugar")</f>
        <v>Watermelon Sugar</v>
      </c>
      <c r="E1994" t="str">
        <f>IFERROR(__xludf.DUMMYFUNCTION("""COMPUTED_VALUE"""),"Harry Styles")</f>
        <v>Harry Styles</v>
      </c>
      <c r="F1994" t="str">
        <f>IFERROR(__xludf.DUMMYFUNCTION("""COMPUTED_VALUE"""),"Fine Line")</f>
        <v>Fine Line</v>
      </c>
      <c r="G1994">
        <f>IFERROR(__xludf.DUMMYFUNCTION("""COMPUTED_VALUE"""),0.0)</f>
        <v>0</v>
      </c>
      <c r="H1994" s="5">
        <f>IFERROR(__xludf.DUMMYFUNCTION("""COMPUTED_VALUE"""),0.12083333333430346)</f>
        <v>0.1208333333</v>
      </c>
    </row>
    <row r="1995">
      <c r="A1995" t="str">
        <f>IFERROR(__xludf.DUMMYFUNCTION("""COMPUTED_VALUE"""),"Netherlands")</f>
        <v>Netherlands</v>
      </c>
      <c r="B1995" t="str">
        <f>IFERROR(__xludf.DUMMYFUNCTION("""COMPUTED_VALUE"""),"Europe")</f>
        <v>Europe</v>
      </c>
      <c r="C1995">
        <f>IFERROR(__xludf.DUMMYFUNCTION("""COMPUTED_VALUE"""),44.0)</f>
        <v>44</v>
      </c>
      <c r="D1995" t="str">
        <f>IFERROR(__xludf.DUMMYFUNCTION("""COMPUTED_VALUE"""),"Follow Your Dreams (with Jonna Fraser)")</f>
        <v>Follow Your Dreams (with Jonna Fraser)</v>
      </c>
      <c r="E1995" t="str">
        <f>IFERROR(__xludf.DUMMYFUNCTION("""COMPUTED_VALUE"""),"Emms, Jonna Fraser")</f>
        <v>Emms, Jonna Fraser</v>
      </c>
      <c r="F1995" t="str">
        <f>IFERROR(__xludf.DUMMYFUNCTION("""COMPUTED_VALUE"""),"Follow Your Dreams")</f>
        <v>Follow Your Dreams</v>
      </c>
      <c r="G1995">
        <f>IFERROR(__xludf.DUMMYFUNCTION("""COMPUTED_VALUE"""),0.0)</f>
        <v>0</v>
      </c>
      <c r="H1995" s="5">
        <f>IFERROR(__xludf.DUMMYFUNCTION("""COMPUTED_VALUE"""),0.1124999999992724)</f>
        <v>0.1125</v>
      </c>
    </row>
    <row r="1996">
      <c r="A1996" t="str">
        <f>IFERROR(__xludf.DUMMYFUNCTION("""COMPUTED_VALUE"""),"Netherlands")</f>
        <v>Netherlands</v>
      </c>
      <c r="B1996" t="str">
        <f>IFERROR(__xludf.DUMMYFUNCTION("""COMPUTED_VALUE"""),"Europe")</f>
        <v>Europe</v>
      </c>
      <c r="C1996">
        <f>IFERROR(__xludf.DUMMYFUNCTION("""COMPUTED_VALUE"""),45.0)</f>
        <v>45</v>
      </c>
      <c r="D1996" t="str">
        <f>IFERROR(__xludf.DUMMYFUNCTION("""COMPUTED_VALUE"""),"Slapen Met Het Licht Aan")</f>
        <v>Slapen Met Het Licht Aan</v>
      </c>
      <c r="E1996" t="str">
        <f>IFERROR(__xludf.DUMMYFUNCTION("""COMPUTED_VALUE"""),"Tabitha, Nielson")</f>
        <v>Tabitha, Nielson</v>
      </c>
      <c r="F1996" t="str">
        <f>IFERROR(__xludf.DUMMYFUNCTION("""COMPUTED_VALUE"""),"Slapen Met Het Licht Aan")</f>
        <v>Slapen Met Het Licht Aan</v>
      </c>
      <c r="G1996">
        <f>IFERROR(__xludf.DUMMYFUNCTION("""COMPUTED_VALUE"""),0.0)</f>
        <v>0</v>
      </c>
      <c r="H1996" s="5">
        <f>IFERROR(__xludf.DUMMYFUNCTION("""COMPUTED_VALUE"""),0.1437499999992724)</f>
        <v>0.14375</v>
      </c>
    </row>
    <row r="1997">
      <c r="A1997" t="str">
        <f>IFERROR(__xludf.DUMMYFUNCTION("""COMPUTED_VALUE"""),"Netherlands")</f>
        <v>Netherlands</v>
      </c>
      <c r="B1997" t="str">
        <f>IFERROR(__xludf.DUMMYFUNCTION("""COMPUTED_VALUE"""),"Europe")</f>
        <v>Europe</v>
      </c>
      <c r="C1997">
        <f>IFERROR(__xludf.DUMMYFUNCTION("""COMPUTED_VALUE"""),46.0)</f>
        <v>46</v>
      </c>
      <c r="D1997" t="str">
        <f>IFERROR(__xludf.DUMMYFUNCTION("""COMPUTED_VALUE"""),"Someone You Loved")</f>
        <v>Someone You Loved</v>
      </c>
      <c r="E1997" t="str">
        <f>IFERROR(__xludf.DUMMYFUNCTION("""COMPUTED_VALUE"""),"Lewis Capaldi")</f>
        <v>Lewis Capaldi</v>
      </c>
      <c r="F1997" t="str">
        <f>IFERROR(__xludf.DUMMYFUNCTION("""COMPUTED_VALUE"""),"Divinely Uninspired To A Hellish Extent")</f>
        <v>Divinely Uninspired To A Hellish Extent</v>
      </c>
      <c r="G1997">
        <f>IFERROR(__xludf.DUMMYFUNCTION("""COMPUTED_VALUE"""),0.0)</f>
        <v>0</v>
      </c>
      <c r="H1997" s="5">
        <f>IFERROR(__xludf.DUMMYFUNCTION("""COMPUTED_VALUE"""),0.12638888888977817)</f>
        <v>0.1263888889</v>
      </c>
    </row>
    <row r="1998">
      <c r="A1998" t="str">
        <f>IFERROR(__xludf.DUMMYFUNCTION("""COMPUTED_VALUE"""),"Netherlands")</f>
        <v>Netherlands</v>
      </c>
      <c r="B1998" t="str">
        <f>IFERROR(__xludf.DUMMYFUNCTION("""COMPUTED_VALUE"""),"Europe")</f>
        <v>Europe</v>
      </c>
      <c r="C1998">
        <f>IFERROR(__xludf.DUMMYFUNCTION("""COMPUTED_VALUE"""),47.0)</f>
        <v>47</v>
      </c>
      <c r="D1998" t="str">
        <f>IFERROR(__xludf.DUMMYFUNCTION("""COMPUTED_VALUE"""),"The Box")</f>
        <v>The Box</v>
      </c>
      <c r="E1998" t="str">
        <f>IFERROR(__xludf.DUMMYFUNCTION("""COMPUTED_VALUE"""),"Roddy Ricch")</f>
        <v>Roddy Ricch</v>
      </c>
      <c r="F1998" t="str">
        <f>IFERROR(__xludf.DUMMYFUNCTION("""COMPUTED_VALUE"""),"Please Excuse Me For Being Antisocial")</f>
        <v>Please Excuse Me For Being Antisocial</v>
      </c>
      <c r="G1998">
        <f>IFERROR(__xludf.DUMMYFUNCTION("""COMPUTED_VALUE"""),1.0)</f>
        <v>1</v>
      </c>
      <c r="H1998" s="5">
        <f>IFERROR(__xludf.DUMMYFUNCTION("""COMPUTED_VALUE"""),0.13611111111094942)</f>
        <v>0.1361111111</v>
      </c>
    </row>
    <row r="1999">
      <c r="A1999" t="str">
        <f>IFERROR(__xludf.DUMMYFUNCTION("""COMPUTED_VALUE"""),"Netherlands")</f>
        <v>Netherlands</v>
      </c>
      <c r="B1999" t="str">
        <f>IFERROR(__xludf.DUMMYFUNCTION("""COMPUTED_VALUE"""),"Europe")</f>
        <v>Europe</v>
      </c>
      <c r="C1999">
        <f>IFERROR(__xludf.DUMMYFUNCTION("""COMPUTED_VALUE"""),48.0)</f>
        <v>48</v>
      </c>
      <c r="D1999" t="str">
        <f>IFERROR(__xludf.DUMMYFUNCTION("""COMPUTED_VALUE"""),"Perfect (feat. Haris)")</f>
        <v>Perfect (feat. Haris)</v>
      </c>
      <c r="E1999" t="str">
        <f>IFERROR(__xludf.DUMMYFUNCTION("""COMPUTED_VALUE"""),"Lucas &amp; Steve, Haris")</f>
        <v>Lucas &amp; Steve, Haris</v>
      </c>
      <c r="F1999" t="str">
        <f>IFERROR(__xludf.DUMMYFUNCTION("""COMPUTED_VALUE"""),"Perfect (feat. Haris)")</f>
        <v>Perfect (feat. Haris)</v>
      </c>
      <c r="G1999">
        <f>IFERROR(__xludf.DUMMYFUNCTION("""COMPUTED_VALUE"""),0.0)</f>
        <v>0</v>
      </c>
      <c r="H1999" s="5">
        <f>IFERROR(__xludf.DUMMYFUNCTION("""COMPUTED_VALUE"""),0.12222222222044365)</f>
        <v>0.1222222222</v>
      </c>
    </row>
    <row r="2000">
      <c r="A2000" t="str">
        <f>IFERROR(__xludf.DUMMYFUNCTION("""COMPUTED_VALUE"""),"Netherlands")</f>
        <v>Netherlands</v>
      </c>
      <c r="B2000" t="str">
        <f>IFERROR(__xludf.DUMMYFUNCTION("""COMPUTED_VALUE"""),"Europe")</f>
        <v>Europe</v>
      </c>
      <c r="C2000">
        <f>IFERROR(__xludf.DUMMYFUNCTION("""COMPUTED_VALUE"""),49.0)</f>
        <v>49</v>
      </c>
      <c r="D2000" t="str">
        <f>IFERROR(__xludf.DUMMYFUNCTION("""COMPUTED_VALUE"""),"Ride It")</f>
        <v>Ride It</v>
      </c>
      <c r="E2000" t="str">
        <f>IFERROR(__xludf.DUMMYFUNCTION("""COMPUTED_VALUE"""),"Regard")</f>
        <v>Regard</v>
      </c>
      <c r="F2000" t="str">
        <f>IFERROR(__xludf.DUMMYFUNCTION("""COMPUTED_VALUE"""),"Ride It")</f>
        <v>Ride It</v>
      </c>
      <c r="G2000">
        <f>IFERROR(__xludf.DUMMYFUNCTION("""COMPUTED_VALUE"""),0.0)</f>
        <v>0</v>
      </c>
      <c r="H2000" s="5">
        <f>IFERROR(__xludf.DUMMYFUNCTION("""COMPUTED_VALUE"""),0.10902777777664596)</f>
        <v>0.1090277778</v>
      </c>
    </row>
    <row r="2001">
      <c r="A2001" t="str">
        <f>IFERROR(__xludf.DUMMYFUNCTION("""COMPUTED_VALUE"""),"Netherlands")</f>
        <v>Netherlands</v>
      </c>
      <c r="B2001" t="str">
        <f>IFERROR(__xludf.DUMMYFUNCTION("""COMPUTED_VALUE"""),"Europe")</f>
        <v>Europe</v>
      </c>
      <c r="C2001">
        <f>IFERROR(__xludf.DUMMYFUNCTION("""COMPUTED_VALUE"""),50.0)</f>
        <v>50</v>
      </c>
      <c r="D2001" t="str">
        <f>IFERROR(__xludf.DUMMYFUNCTION("""COMPUTED_VALUE"""),"Afrika")</f>
        <v>Afrika</v>
      </c>
      <c r="E2001" t="str">
        <f>IFERROR(__xludf.DUMMYFUNCTION("""COMPUTED_VALUE"""),"Chivv, Boef")</f>
        <v>Chivv, Boef</v>
      </c>
      <c r="F2001" t="str">
        <f>IFERROR(__xludf.DUMMYFUNCTION("""COMPUTED_VALUE"""),"UN4GETTABLE NIGHTS")</f>
        <v>UN4GETTABLE NIGHTS</v>
      </c>
      <c r="G2001">
        <f>IFERROR(__xludf.DUMMYFUNCTION("""COMPUTED_VALUE"""),0.0)</f>
        <v>0</v>
      </c>
      <c r="H2001" s="5">
        <f>IFERROR(__xludf.DUMMYFUNCTION("""COMPUTED_VALUE"""),0.13888888889050577)</f>
        <v>0.1388888889</v>
      </c>
    </row>
    <row r="2002">
      <c r="A2002" t="str">
        <f>IFERROR(__xludf.DUMMYFUNCTION("""COMPUTED_VALUE"""),"New Zealand")</f>
        <v>New Zealand</v>
      </c>
      <c r="B2002" t="str">
        <f>IFERROR(__xludf.DUMMYFUNCTION("""COMPUTED_VALUE"""),"Australia")</f>
        <v>Australia</v>
      </c>
      <c r="C2002">
        <f>IFERROR(__xludf.DUMMYFUNCTION("""COMPUTED_VALUE"""),1.0)</f>
        <v>1</v>
      </c>
      <c r="D2002" t="str">
        <f>IFERROR(__xludf.DUMMYFUNCTION("""COMPUTED_VALUE"""),"ROCKSTAR (feat. Roddy Ricch)")</f>
        <v>ROCKSTAR (feat. Roddy Ricch)</v>
      </c>
      <c r="E2002" t="str">
        <f>IFERROR(__xludf.DUMMYFUNCTION("""COMPUTED_VALUE"""),"DaBaby, Roddy Ricch")</f>
        <v>DaBaby, Roddy Ricch</v>
      </c>
      <c r="F2002" t="str">
        <f>IFERROR(__xludf.DUMMYFUNCTION("""COMPUTED_VALUE"""),"BLAME IT ON BABY")</f>
        <v>BLAME IT ON BABY</v>
      </c>
      <c r="G2002">
        <f>IFERROR(__xludf.DUMMYFUNCTION("""COMPUTED_VALUE"""),1.0)</f>
        <v>1</v>
      </c>
      <c r="H2002" s="5">
        <f>IFERROR(__xludf.DUMMYFUNCTION("""COMPUTED_VALUE"""),0.1256944444430701)</f>
        <v>0.1256944444</v>
      </c>
    </row>
    <row r="2003">
      <c r="A2003" t="str">
        <f>IFERROR(__xludf.DUMMYFUNCTION("""COMPUTED_VALUE"""),"New Zealand")</f>
        <v>New Zealand</v>
      </c>
      <c r="B2003" t="str">
        <f>IFERROR(__xludf.DUMMYFUNCTION("""COMPUTED_VALUE"""),"Australia")</f>
        <v>Australia</v>
      </c>
      <c r="C2003">
        <f>IFERROR(__xludf.DUMMYFUNCTION("""COMPUTED_VALUE"""),2.0)</f>
        <v>2</v>
      </c>
      <c r="D2003" t="str">
        <f>IFERROR(__xludf.DUMMYFUNCTION("""COMPUTED_VALUE"""),"Roses - Imanbek Remix")</f>
        <v>Roses - Imanbek Remix</v>
      </c>
      <c r="E2003" t="str">
        <f>IFERROR(__xludf.DUMMYFUNCTION("""COMPUTED_VALUE"""),"SAINt JHN, Imanbek")</f>
        <v>SAINt JHN, Imanbek</v>
      </c>
      <c r="F2003" t="str">
        <f>IFERROR(__xludf.DUMMYFUNCTION("""COMPUTED_VALUE"""),"Roses (Imanbek Remix)")</f>
        <v>Roses (Imanbek Remix)</v>
      </c>
      <c r="G2003">
        <f>IFERROR(__xludf.DUMMYFUNCTION("""COMPUTED_VALUE"""),1.0)</f>
        <v>1</v>
      </c>
      <c r="H2003" s="5">
        <f>IFERROR(__xludf.DUMMYFUNCTION("""COMPUTED_VALUE"""),0.12222222222044365)</f>
        <v>0.1222222222</v>
      </c>
    </row>
    <row r="2004">
      <c r="A2004" t="str">
        <f>IFERROR(__xludf.DUMMYFUNCTION("""COMPUTED_VALUE"""),"New Zealand")</f>
        <v>New Zealand</v>
      </c>
      <c r="B2004" t="str">
        <f>IFERROR(__xludf.DUMMYFUNCTION("""COMPUTED_VALUE"""),"Australia")</f>
        <v>Australia</v>
      </c>
      <c r="C2004">
        <f>IFERROR(__xludf.DUMMYFUNCTION("""COMPUTED_VALUE"""),3.0)</f>
        <v>3</v>
      </c>
      <c r="D2004" t="str">
        <f>IFERROR(__xludf.DUMMYFUNCTION("""COMPUTED_VALUE"""),"In the Air")</f>
        <v>In the Air</v>
      </c>
      <c r="E2004" t="str">
        <f>IFERROR(__xludf.DUMMYFUNCTION("""COMPUTED_VALUE"""),"L.A.B.")</f>
        <v>L.A.B.</v>
      </c>
      <c r="F2004" t="str">
        <f>IFERROR(__xludf.DUMMYFUNCTION("""COMPUTED_VALUE"""),"L.A.B. III")</f>
        <v>L.A.B. III</v>
      </c>
      <c r="G2004">
        <f>IFERROR(__xludf.DUMMYFUNCTION("""COMPUTED_VALUE"""),0.0)</f>
        <v>0</v>
      </c>
      <c r="H2004" s="5">
        <f>IFERROR(__xludf.DUMMYFUNCTION("""COMPUTED_VALUE"""),0.1749999999992724)</f>
        <v>0.175</v>
      </c>
    </row>
    <row r="2005">
      <c r="A2005" t="str">
        <f>IFERROR(__xludf.DUMMYFUNCTION("""COMPUTED_VALUE"""),"New Zealand")</f>
        <v>New Zealand</v>
      </c>
      <c r="B2005" t="str">
        <f>IFERROR(__xludf.DUMMYFUNCTION("""COMPUTED_VALUE"""),"Australia")</f>
        <v>Australia</v>
      </c>
      <c r="C2005">
        <f>IFERROR(__xludf.DUMMYFUNCTION("""COMPUTED_VALUE"""),4.0)</f>
        <v>4</v>
      </c>
      <c r="D2005" t="str">
        <f>IFERROR(__xludf.DUMMYFUNCTION("""COMPUTED_VALUE"""),"Blinding Lights")</f>
        <v>Blinding Lights</v>
      </c>
      <c r="E2005" t="str">
        <f>IFERROR(__xludf.DUMMYFUNCTION("""COMPUTED_VALUE"""),"The Weeknd")</f>
        <v>The Weeknd</v>
      </c>
      <c r="F2005" t="str">
        <f>IFERROR(__xludf.DUMMYFUNCTION("""COMPUTED_VALUE"""),"After Hours")</f>
        <v>After Hours</v>
      </c>
      <c r="G2005">
        <f>IFERROR(__xludf.DUMMYFUNCTION("""COMPUTED_VALUE"""),0.0)</f>
        <v>0</v>
      </c>
      <c r="H2005" s="5">
        <f>IFERROR(__xludf.DUMMYFUNCTION("""COMPUTED_VALUE"""),0.13888888889050577)</f>
        <v>0.1388888889</v>
      </c>
    </row>
    <row r="2006">
      <c r="A2006" t="str">
        <f>IFERROR(__xludf.DUMMYFUNCTION("""COMPUTED_VALUE"""),"New Zealand")</f>
        <v>New Zealand</v>
      </c>
      <c r="B2006" t="str">
        <f>IFERROR(__xludf.DUMMYFUNCTION("""COMPUTED_VALUE"""),"Australia")</f>
        <v>Australia</v>
      </c>
      <c r="C2006">
        <f>IFERROR(__xludf.DUMMYFUNCTION("""COMPUTED_VALUE"""),5.0)</f>
        <v>5</v>
      </c>
      <c r="D2006" t="str">
        <f>IFERROR(__xludf.DUMMYFUNCTION("""COMPUTED_VALUE"""),"Stuck with U (with Justin Bieber)")</f>
        <v>Stuck with U (with Justin Bieber)</v>
      </c>
      <c r="E2006" t="str">
        <f>IFERROR(__xludf.DUMMYFUNCTION("""COMPUTED_VALUE"""),"Ariana Grande, Justin Bieber")</f>
        <v>Ariana Grande, Justin Bieber</v>
      </c>
      <c r="F2006" t="str">
        <f>IFERROR(__xludf.DUMMYFUNCTION("""COMPUTED_VALUE"""),"Stuck with U")</f>
        <v>Stuck with U</v>
      </c>
      <c r="G2006">
        <f>IFERROR(__xludf.DUMMYFUNCTION("""COMPUTED_VALUE"""),0.0)</f>
        <v>0</v>
      </c>
      <c r="H2006" s="5">
        <f>IFERROR(__xludf.DUMMYFUNCTION("""COMPUTED_VALUE"""),0.15833333333284827)</f>
        <v>0.1583333333</v>
      </c>
    </row>
    <row r="2007">
      <c r="A2007" t="str">
        <f>IFERROR(__xludf.DUMMYFUNCTION("""COMPUTED_VALUE"""),"New Zealand")</f>
        <v>New Zealand</v>
      </c>
      <c r="B2007" t="str">
        <f>IFERROR(__xludf.DUMMYFUNCTION("""COMPUTED_VALUE"""),"Australia")</f>
        <v>Australia</v>
      </c>
      <c r="C2007">
        <f>IFERROR(__xludf.DUMMYFUNCTION("""COMPUTED_VALUE"""),6.0)</f>
        <v>6</v>
      </c>
      <c r="D2007" t="str">
        <f>IFERROR(__xludf.DUMMYFUNCTION("""COMPUTED_VALUE"""),"Supalonely")</f>
        <v>Supalonely</v>
      </c>
      <c r="E2007" t="str">
        <f>IFERROR(__xludf.DUMMYFUNCTION("""COMPUTED_VALUE"""),"BENEE, Gus Dapperton")</f>
        <v>BENEE, Gus Dapperton</v>
      </c>
      <c r="F2007" t="str">
        <f>IFERROR(__xludf.DUMMYFUNCTION("""COMPUTED_VALUE"""),"STELLA &amp; STEVE")</f>
        <v>STELLA &amp; STEVE</v>
      </c>
      <c r="G2007">
        <f>IFERROR(__xludf.DUMMYFUNCTION("""COMPUTED_VALUE"""),1.0)</f>
        <v>1</v>
      </c>
      <c r="H2007" s="5">
        <f>IFERROR(__xludf.DUMMYFUNCTION("""COMPUTED_VALUE"""),0.15486111111022183)</f>
        <v>0.1548611111</v>
      </c>
    </row>
    <row r="2008">
      <c r="A2008" t="str">
        <f>IFERROR(__xludf.DUMMYFUNCTION("""COMPUTED_VALUE"""),"New Zealand")</f>
        <v>New Zealand</v>
      </c>
      <c r="B2008" t="str">
        <f>IFERROR(__xludf.DUMMYFUNCTION("""COMPUTED_VALUE"""),"Australia")</f>
        <v>Australia</v>
      </c>
      <c r="C2008">
        <f>IFERROR(__xludf.DUMMYFUNCTION("""COMPUTED_VALUE"""),7.0)</f>
        <v>7</v>
      </c>
      <c r="D2008" t="str">
        <f>IFERROR(__xludf.DUMMYFUNCTION("""COMPUTED_VALUE"""),"Rain On Me (with Ariana Grande)")</f>
        <v>Rain On Me (with Ariana Grande)</v>
      </c>
      <c r="E2008" t="str">
        <f>IFERROR(__xludf.DUMMYFUNCTION("""COMPUTED_VALUE"""),"Lady Gaga, Ariana Grande")</f>
        <v>Lady Gaga, Ariana Grande</v>
      </c>
      <c r="F2008" t="str">
        <f>IFERROR(__xludf.DUMMYFUNCTION("""COMPUTED_VALUE"""),"Rain On Me (with Ariana Grande)")</f>
        <v>Rain On Me (with Ariana Grande)</v>
      </c>
      <c r="G2008">
        <f>IFERROR(__xludf.DUMMYFUNCTION("""COMPUTED_VALUE"""),0.0)</f>
        <v>0</v>
      </c>
      <c r="H2008" s="5">
        <f>IFERROR(__xludf.DUMMYFUNCTION("""COMPUTED_VALUE"""),0.12638888888977817)</f>
        <v>0.1263888889</v>
      </c>
    </row>
    <row r="2009">
      <c r="A2009" t="str">
        <f>IFERROR(__xludf.DUMMYFUNCTION("""COMPUTED_VALUE"""),"New Zealand")</f>
        <v>New Zealand</v>
      </c>
      <c r="B2009" t="str">
        <f>IFERROR(__xludf.DUMMYFUNCTION("""COMPUTED_VALUE"""),"Australia")</f>
        <v>Australia</v>
      </c>
      <c r="C2009">
        <f>IFERROR(__xludf.DUMMYFUNCTION("""COMPUTED_VALUE"""),8.0)</f>
        <v>8</v>
      </c>
      <c r="D2009" t="str">
        <f>IFERROR(__xludf.DUMMYFUNCTION("""COMPUTED_VALUE"""),"THE SCOTTS")</f>
        <v>THE SCOTTS</v>
      </c>
      <c r="E2009" t="str">
        <f>IFERROR(__xludf.DUMMYFUNCTION("""COMPUTED_VALUE"""),"THE SCOTTS, Travis Scott, Kid Cudi")</f>
        <v>THE SCOTTS, Travis Scott, Kid Cudi</v>
      </c>
      <c r="F2009" t="str">
        <f>IFERROR(__xludf.DUMMYFUNCTION("""COMPUTED_VALUE"""),"THE SCOTTS")</f>
        <v>THE SCOTTS</v>
      </c>
      <c r="G2009">
        <f>IFERROR(__xludf.DUMMYFUNCTION("""COMPUTED_VALUE"""),1.0)</f>
        <v>1</v>
      </c>
      <c r="H2009" s="5">
        <f>IFERROR(__xludf.DUMMYFUNCTION("""COMPUTED_VALUE"""),0.11458333333212067)</f>
        <v>0.1145833333</v>
      </c>
    </row>
    <row r="2010">
      <c r="A2010" t="str">
        <f>IFERROR(__xludf.DUMMYFUNCTION("""COMPUTED_VALUE"""),"New Zealand")</f>
        <v>New Zealand</v>
      </c>
      <c r="B2010" t="str">
        <f>IFERROR(__xludf.DUMMYFUNCTION("""COMPUTED_VALUE"""),"Australia")</f>
        <v>Australia</v>
      </c>
      <c r="C2010">
        <f>IFERROR(__xludf.DUMMYFUNCTION("""COMPUTED_VALUE"""),9.0)</f>
        <v>9</v>
      </c>
      <c r="D2010" t="str">
        <f>IFERROR(__xludf.DUMMYFUNCTION("""COMPUTED_VALUE"""),"death bed (coffee for your head) (feat. beabadoobee)")</f>
        <v>death bed (coffee for your head) (feat. beabadoobee)</v>
      </c>
      <c r="E2010" t="str">
        <f>IFERROR(__xludf.DUMMYFUNCTION("""COMPUTED_VALUE"""),"Powfu, beabadoobee")</f>
        <v>Powfu, beabadoobee</v>
      </c>
      <c r="F2010" t="str">
        <f>IFERROR(__xludf.DUMMYFUNCTION("""COMPUTED_VALUE"""),"death bed (coffee for your head) (feat. beabadoobee)")</f>
        <v>death bed (coffee for your head) (feat. beabadoobee)</v>
      </c>
      <c r="G2010">
        <f>IFERROR(__xludf.DUMMYFUNCTION("""COMPUTED_VALUE"""),0.0)</f>
        <v>0</v>
      </c>
      <c r="H2010" s="5">
        <f>IFERROR(__xludf.DUMMYFUNCTION("""COMPUTED_VALUE"""),0.12013888888759539)</f>
        <v>0.1201388889</v>
      </c>
    </row>
    <row r="2011">
      <c r="A2011" t="str">
        <f>IFERROR(__xludf.DUMMYFUNCTION("""COMPUTED_VALUE"""),"New Zealand")</f>
        <v>New Zealand</v>
      </c>
      <c r="B2011" t="str">
        <f>IFERROR(__xludf.DUMMYFUNCTION("""COMPUTED_VALUE"""),"Australia")</f>
        <v>Australia</v>
      </c>
      <c r="C2011">
        <f>IFERROR(__xludf.DUMMYFUNCTION("""COMPUTED_VALUE"""),10.0)</f>
        <v>10</v>
      </c>
      <c r="D2011" t="str">
        <f>IFERROR(__xludf.DUMMYFUNCTION("""COMPUTED_VALUE"""),"Toosie Slide")</f>
        <v>Toosie Slide</v>
      </c>
      <c r="E2011" t="str">
        <f>IFERROR(__xludf.DUMMYFUNCTION("""COMPUTED_VALUE"""),"Drake")</f>
        <v>Drake</v>
      </c>
      <c r="F2011" t="str">
        <f>IFERROR(__xludf.DUMMYFUNCTION("""COMPUTED_VALUE"""),"Dark Lane Demo Tapes")</f>
        <v>Dark Lane Demo Tapes</v>
      </c>
      <c r="G2011">
        <f>IFERROR(__xludf.DUMMYFUNCTION("""COMPUTED_VALUE"""),1.0)</f>
        <v>1</v>
      </c>
      <c r="H2011" s="5">
        <f>IFERROR(__xludf.DUMMYFUNCTION("""COMPUTED_VALUE"""),0.17152777777664596)</f>
        <v>0.1715277778</v>
      </c>
    </row>
    <row r="2012">
      <c r="A2012" t="str">
        <f>IFERROR(__xludf.DUMMYFUNCTION("""COMPUTED_VALUE"""),"New Zealand")</f>
        <v>New Zealand</v>
      </c>
      <c r="B2012" t="str">
        <f>IFERROR(__xludf.DUMMYFUNCTION("""COMPUTED_VALUE"""),"Australia")</f>
        <v>Australia</v>
      </c>
      <c r="C2012">
        <f>IFERROR(__xludf.DUMMYFUNCTION("""COMPUTED_VALUE"""),11.0)</f>
        <v>11</v>
      </c>
      <c r="D2012" t="str">
        <f>IFERROR(__xludf.DUMMYFUNCTION("""COMPUTED_VALUE"""),"Blueberry Faygo")</f>
        <v>Blueberry Faygo</v>
      </c>
      <c r="E2012" t="str">
        <f>IFERROR(__xludf.DUMMYFUNCTION("""COMPUTED_VALUE"""),"Lil Mosey")</f>
        <v>Lil Mosey</v>
      </c>
      <c r="F2012" t="str">
        <f>IFERROR(__xludf.DUMMYFUNCTION("""COMPUTED_VALUE"""),"Certified Hitmaker")</f>
        <v>Certified Hitmaker</v>
      </c>
      <c r="G2012">
        <f>IFERROR(__xludf.DUMMYFUNCTION("""COMPUTED_VALUE"""),1.0)</f>
        <v>1</v>
      </c>
      <c r="H2012" s="5">
        <f>IFERROR(__xludf.DUMMYFUNCTION("""COMPUTED_VALUE"""),0.1124999999992724)</f>
        <v>0.1125</v>
      </c>
    </row>
    <row r="2013">
      <c r="A2013" t="str">
        <f>IFERROR(__xludf.DUMMYFUNCTION("""COMPUTED_VALUE"""),"New Zealand")</f>
        <v>New Zealand</v>
      </c>
      <c r="B2013" t="str">
        <f>IFERROR(__xludf.DUMMYFUNCTION("""COMPUTED_VALUE"""),"Australia")</f>
        <v>Australia</v>
      </c>
      <c r="C2013">
        <f>IFERROR(__xludf.DUMMYFUNCTION("""COMPUTED_VALUE"""),12.0)</f>
        <v>12</v>
      </c>
      <c r="D2013" t="str">
        <f>IFERROR(__xludf.DUMMYFUNCTION("""COMPUTED_VALUE"""),"Intentions (feat. Quavo)")</f>
        <v>Intentions (feat. Quavo)</v>
      </c>
      <c r="E2013" t="str">
        <f>IFERROR(__xludf.DUMMYFUNCTION("""COMPUTED_VALUE"""),"Justin Bieber, Quavo")</f>
        <v>Justin Bieber, Quavo</v>
      </c>
      <c r="F2013" t="str">
        <f>IFERROR(__xludf.DUMMYFUNCTION("""COMPUTED_VALUE"""),"Changes")</f>
        <v>Changes</v>
      </c>
      <c r="G2013">
        <f>IFERROR(__xludf.DUMMYFUNCTION("""COMPUTED_VALUE"""),0.0)</f>
        <v>0</v>
      </c>
      <c r="H2013" s="5">
        <f>IFERROR(__xludf.DUMMYFUNCTION("""COMPUTED_VALUE"""),0.14722222222189885)</f>
        <v>0.1472222222</v>
      </c>
    </row>
    <row r="2014">
      <c r="A2014" t="str">
        <f>IFERROR(__xludf.DUMMYFUNCTION("""COMPUTED_VALUE"""),"New Zealand")</f>
        <v>New Zealand</v>
      </c>
      <c r="B2014" t="str">
        <f>IFERROR(__xludf.DUMMYFUNCTION("""COMPUTED_VALUE"""),"Australia")</f>
        <v>Australia</v>
      </c>
      <c r="C2014">
        <f>IFERROR(__xludf.DUMMYFUNCTION("""COMPUTED_VALUE"""),13.0)</f>
        <v>13</v>
      </c>
      <c r="D2014" t="str">
        <f>IFERROR(__xludf.DUMMYFUNCTION("""COMPUTED_VALUE"""),"Don't Start Now")</f>
        <v>Don't Start Now</v>
      </c>
      <c r="E2014" t="str">
        <f>IFERROR(__xludf.DUMMYFUNCTION("""COMPUTED_VALUE"""),"Dua Lipa")</f>
        <v>Dua Lipa</v>
      </c>
      <c r="F2014" t="str">
        <f>IFERROR(__xludf.DUMMYFUNCTION("""COMPUTED_VALUE"""),"Future Nostalgia")</f>
        <v>Future Nostalgia</v>
      </c>
      <c r="G2014">
        <f>IFERROR(__xludf.DUMMYFUNCTION("""COMPUTED_VALUE"""),0.0)</f>
        <v>0</v>
      </c>
      <c r="H2014" s="5">
        <f>IFERROR(__xludf.DUMMYFUNCTION("""COMPUTED_VALUE"""),0.12708333333284827)</f>
        <v>0.1270833333</v>
      </c>
    </row>
    <row r="2015">
      <c r="A2015" t="str">
        <f>IFERROR(__xludf.DUMMYFUNCTION("""COMPUTED_VALUE"""),"New Zealand")</f>
        <v>New Zealand</v>
      </c>
      <c r="B2015" t="str">
        <f>IFERROR(__xludf.DUMMYFUNCTION("""COMPUTED_VALUE"""),"Australia")</f>
        <v>Australia</v>
      </c>
      <c r="C2015">
        <f>IFERROR(__xludf.DUMMYFUNCTION("""COMPUTED_VALUE"""),14.0)</f>
        <v>14</v>
      </c>
      <c r="D2015" t="str">
        <f>IFERROR(__xludf.DUMMYFUNCTION("""COMPUTED_VALUE"""),"Sunday Best")</f>
        <v>Sunday Best</v>
      </c>
      <c r="E2015" t="str">
        <f>IFERROR(__xludf.DUMMYFUNCTION("""COMPUTED_VALUE"""),"Surfaces")</f>
        <v>Surfaces</v>
      </c>
      <c r="F2015" t="str">
        <f>IFERROR(__xludf.DUMMYFUNCTION("""COMPUTED_VALUE"""),"Where the Light Is")</f>
        <v>Where the Light Is</v>
      </c>
      <c r="G2015">
        <f>IFERROR(__xludf.DUMMYFUNCTION("""COMPUTED_VALUE"""),0.0)</f>
        <v>0</v>
      </c>
      <c r="H2015" s="5">
        <f>IFERROR(__xludf.DUMMYFUNCTION("""COMPUTED_VALUE"""),0.10972222222335404)</f>
        <v>0.1097222222</v>
      </c>
    </row>
    <row r="2016">
      <c r="A2016" t="str">
        <f>IFERROR(__xludf.DUMMYFUNCTION("""COMPUTED_VALUE"""),"New Zealand")</f>
        <v>New Zealand</v>
      </c>
      <c r="B2016" t="str">
        <f>IFERROR(__xludf.DUMMYFUNCTION("""COMPUTED_VALUE"""),"Australia")</f>
        <v>Australia</v>
      </c>
      <c r="C2016">
        <f>IFERROR(__xludf.DUMMYFUNCTION("""COMPUTED_VALUE"""),15.0)</f>
        <v>15</v>
      </c>
      <c r="D2016" t="str">
        <f>IFERROR(__xludf.DUMMYFUNCTION("""COMPUTED_VALUE"""),"The Box")</f>
        <v>The Box</v>
      </c>
      <c r="E2016" t="str">
        <f>IFERROR(__xludf.DUMMYFUNCTION("""COMPUTED_VALUE"""),"Roddy Ricch")</f>
        <v>Roddy Ricch</v>
      </c>
      <c r="F2016" t="str">
        <f>IFERROR(__xludf.DUMMYFUNCTION("""COMPUTED_VALUE"""),"Please Excuse Me For Being Antisocial")</f>
        <v>Please Excuse Me For Being Antisocial</v>
      </c>
      <c r="G2016">
        <f>IFERROR(__xludf.DUMMYFUNCTION("""COMPUTED_VALUE"""),1.0)</f>
        <v>1</v>
      </c>
      <c r="H2016" s="5">
        <f>IFERROR(__xludf.DUMMYFUNCTION("""COMPUTED_VALUE"""),0.13611111111094942)</f>
        <v>0.1361111111</v>
      </c>
    </row>
    <row r="2017">
      <c r="A2017" t="str">
        <f>IFERROR(__xludf.DUMMYFUNCTION("""COMPUTED_VALUE"""),"New Zealand")</f>
        <v>New Zealand</v>
      </c>
      <c r="B2017" t="str">
        <f>IFERROR(__xludf.DUMMYFUNCTION("""COMPUTED_VALUE"""),"Australia")</f>
        <v>Australia</v>
      </c>
      <c r="C2017">
        <f>IFERROR(__xludf.DUMMYFUNCTION("""COMPUTED_VALUE"""),16.0)</f>
        <v>16</v>
      </c>
      <c r="D2017" t="str">
        <f>IFERROR(__xludf.DUMMYFUNCTION("""COMPUTED_VALUE"""),"Savage Remix (feat. Beyoncé)")</f>
        <v>Savage Remix (feat. Beyoncé)</v>
      </c>
      <c r="E2017" t="str">
        <f>IFERROR(__xludf.DUMMYFUNCTION("""COMPUTED_VALUE"""),"Megan Thee Stallion, Beyoncé")</f>
        <v>Megan Thee Stallion, Beyoncé</v>
      </c>
      <c r="F2017" t="str">
        <f>IFERROR(__xludf.DUMMYFUNCTION("""COMPUTED_VALUE"""),"Savage Remix (feat. Beyoncé)")</f>
        <v>Savage Remix (feat. Beyoncé)</v>
      </c>
      <c r="G2017">
        <f>IFERROR(__xludf.DUMMYFUNCTION("""COMPUTED_VALUE"""),1.0)</f>
        <v>1</v>
      </c>
      <c r="H2017" s="5">
        <f>IFERROR(__xludf.DUMMYFUNCTION("""COMPUTED_VALUE"""),0.16805555555401952)</f>
        <v>0.1680555556</v>
      </c>
    </row>
    <row r="2018">
      <c r="A2018" t="str">
        <f>IFERROR(__xludf.DUMMYFUNCTION("""COMPUTED_VALUE"""),"New Zealand")</f>
        <v>New Zealand</v>
      </c>
      <c r="B2018" t="str">
        <f>IFERROR(__xludf.DUMMYFUNCTION("""COMPUTED_VALUE"""),"Australia")</f>
        <v>Australia</v>
      </c>
      <c r="C2018">
        <f>IFERROR(__xludf.DUMMYFUNCTION("""COMPUTED_VALUE"""),17.0)</f>
        <v>17</v>
      </c>
      <c r="D2018" t="str">
        <f>IFERROR(__xludf.DUMMYFUNCTION("""COMPUTED_VALUE"""),"Go Crazy")</f>
        <v>Go Crazy</v>
      </c>
      <c r="E2018" t="str">
        <f>IFERROR(__xludf.DUMMYFUNCTION("""COMPUTED_VALUE"""),"Chris Brown, Young Thug")</f>
        <v>Chris Brown, Young Thug</v>
      </c>
      <c r="F2018" t="str">
        <f>IFERROR(__xludf.DUMMYFUNCTION("""COMPUTED_VALUE"""),"Slime &amp; B")</f>
        <v>Slime &amp; B</v>
      </c>
      <c r="G2018">
        <f>IFERROR(__xludf.DUMMYFUNCTION("""COMPUTED_VALUE"""),1.0)</f>
        <v>1</v>
      </c>
      <c r="H2018" s="5">
        <f>IFERROR(__xludf.DUMMYFUNCTION("""COMPUTED_VALUE"""),0.12222222222044365)</f>
        <v>0.1222222222</v>
      </c>
    </row>
    <row r="2019">
      <c r="A2019" t="str">
        <f>IFERROR(__xludf.DUMMYFUNCTION("""COMPUTED_VALUE"""),"New Zealand")</f>
        <v>New Zealand</v>
      </c>
      <c r="B2019" t="str">
        <f>IFERROR(__xludf.DUMMYFUNCTION("""COMPUTED_VALUE"""),"Australia")</f>
        <v>Australia</v>
      </c>
      <c r="C2019">
        <f>IFERROR(__xludf.DUMMYFUNCTION("""COMPUTED_VALUE"""),18.0)</f>
        <v>18</v>
      </c>
      <c r="D2019" t="str">
        <f>IFERROR(__xludf.DUMMYFUNCTION("""COMPUTED_VALUE"""),"Long Gone")</f>
        <v>Long Gone</v>
      </c>
      <c r="E2019" t="str">
        <f>IFERROR(__xludf.DUMMYFUNCTION("""COMPUTED_VALUE"""),"SIX60")</f>
        <v>SIX60</v>
      </c>
      <c r="F2019" t="str">
        <f>IFERROR(__xludf.DUMMYFUNCTION("""COMPUTED_VALUE"""),"SIX60")</f>
        <v>SIX60</v>
      </c>
      <c r="G2019">
        <f>IFERROR(__xludf.DUMMYFUNCTION("""COMPUTED_VALUE"""),1.0)</f>
        <v>1</v>
      </c>
      <c r="H2019" s="5">
        <f>IFERROR(__xludf.DUMMYFUNCTION("""COMPUTED_VALUE"""),0.12361111111022183)</f>
        <v>0.1236111111</v>
      </c>
    </row>
    <row r="2020">
      <c r="A2020" t="str">
        <f>IFERROR(__xludf.DUMMYFUNCTION("""COMPUTED_VALUE"""),"New Zealand")</f>
        <v>New Zealand</v>
      </c>
      <c r="B2020" t="str">
        <f>IFERROR(__xludf.DUMMYFUNCTION("""COMPUTED_VALUE"""),"Australia")</f>
        <v>Australia</v>
      </c>
      <c r="C2020">
        <f>IFERROR(__xludf.DUMMYFUNCTION("""COMPUTED_VALUE"""),19.0)</f>
        <v>19</v>
      </c>
      <c r="D2020" t="str">
        <f>IFERROR(__xludf.DUMMYFUNCTION("""COMPUTED_VALUE"""),"GOOBA")</f>
        <v>GOOBA</v>
      </c>
      <c r="E2020" t="str">
        <f>IFERROR(__xludf.DUMMYFUNCTION("""COMPUTED_VALUE"""),"6ix9ine")</f>
        <v>6ix9ine</v>
      </c>
      <c r="F2020" t="str">
        <f>IFERROR(__xludf.DUMMYFUNCTION("""COMPUTED_VALUE"""),"GOOBA")</f>
        <v>GOOBA</v>
      </c>
      <c r="G2020">
        <f>IFERROR(__xludf.DUMMYFUNCTION("""COMPUTED_VALUE"""),1.0)</f>
        <v>1</v>
      </c>
      <c r="H2020" s="5">
        <f>IFERROR(__xludf.DUMMYFUNCTION("""COMPUTED_VALUE"""),0.09166666666715173)</f>
        <v>0.09166666667</v>
      </c>
    </row>
    <row r="2021">
      <c r="A2021" t="str">
        <f>IFERROR(__xludf.DUMMYFUNCTION("""COMPUTED_VALUE"""),"New Zealand")</f>
        <v>New Zealand</v>
      </c>
      <c r="B2021" t="str">
        <f>IFERROR(__xludf.DUMMYFUNCTION("""COMPUTED_VALUE"""),"Australia")</f>
        <v>Australia</v>
      </c>
      <c r="C2021">
        <f>IFERROR(__xludf.DUMMYFUNCTION("""COMPUTED_VALUE"""),20.0)</f>
        <v>20</v>
      </c>
      <c r="D2021" t="str">
        <f>IFERROR(__xludf.DUMMYFUNCTION("""COMPUTED_VALUE"""),"Dance Monkey")</f>
        <v>Dance Monkey</v>
      </c>
      <c r="E2021" t="str">
        <f>IFERROR(__xludf.DUMMYFUNCTION("""COMPUTED_VALUE"""),"Tones And I")</f>
        <v>Tones And I</v>
      </c>
      <c r="F2021" t="str">
        <f>IFERROR(__xludf.DUMMYFUNCTION("""COMPUTED_VALUE"""),"Dance Monkey (Stripped Back) / Dance Monkey")</f>
        <v>Dance Monkey (Stripped Back) / Dance Monkey</v>
      </c>
      <c r="G2021">
        <f>IFERROR(__xludf.DUMMYFUNCTION("""COMPUTED_VALUE"""),0.0)</f>
        <v>0</v>
      </c>
      <c r="H2021" s="5">
        <f>IFERROR(__xludf.DUMMYFUNCTION("""COMPUTED_VALUE"""),0.14513888888905058)</f>
        <v>0.1451388889</v>
      </c>
    </row>
    <row r="2022">
      <c r="A2022" t="str">
        <f>IFERROR(__xludf.DUMMYFUNCTION("""COMPUTED_VALUE"""),"New Zealand")</f>
        <v>New Zealand</v>
      </c>
      <c r="B2022" t="str">
        <f>IFERROR(__xludf.DUMMYFUNCTION("""COMPUTED_VALUE"""),"Australia")</f>
        <v>Australia</v>
      </c>
      <c r="C2022">
        <f>IFERROR(__xludf.DUMMYFUNCTION("""COMPUTED_VALUE"""),21.0)</f>
        <v>21</v>
      </c>
      <c r="D2022" t="str">
        <f>IFERROR(__xludf.DUMMYFUNCTION("""COMPUTED_VALUE"""),"Watermelon Sugar")</f>
        <v>Watermelon Sugar</v>
      </c>
      <c r="E2022" t="str">
        <f>IFERROR(__xludf.DUMMYFUNCTION("""COMPUTED_VALUE"""),"Harry Styles")</f>
        <v>Harry Styles</v>
      </c>
      <c r="F2022" t="str">
        <f>IFERROR(__xludf.DUMMYFUNCTION("""COMPUTED_VALUE"""),"Fine Line")</f>
        <v>Fine Line</v>
      </c>
      <c r="G2022">
        <f>IFERROR(__xludf.DUMMYFUNCTION("""COMPUTED_VALUE"""),0.0)</f>
        <v>0</v>
      </c>
      <c r="H2022" s="5">
        <f>IFERROR(__xludf.DUMMYFUNCTION("""COMPUTED_VALUE"""),0.12083333333430346)</f>
        <v>0.1208333333</v>
      </c>
    </row>
    <row r="2023">
      <c r="A2023" t="str">
        <f>IFERROR(__xludf.DUMMYFUNCTION("""COMPUTED_VALUE"""),"New Zealand")</f>
        <v>New Zealand</v>
      </c>
      <c r="B2023" t="str">
        <f>IFERROR(__xludf.DUMMYFUNCTION("""COMPUTED_VALUE"""),"Australia")</f>
        <v>Australia</v>
      </c>
      <c r="C2023">
        <f>IFERROR(__xludf.DUMMYFUNCTION("""COMPUTED_VALUE"""),22.0)</f>
        <v>22</v>
      </c>
      <c r="D2023" t="str">
        <f>IFERROR(__xludf.DUMMYFUNCTION("""COMPUTED_VALUE"""),"ily (i love you baby) (feat. Emilee)")</f>
        <v>ily (i love you baby) (feat. Emilee)</v>
      </c>
      <c r="E2023" t="str">
        <f>IFERROR(__xludf.DUMMYFUNCTION("""COMPUTED_VALUE"""),"Surf Mesa, Emilee")</f>
        <v>Surf Mesa, Emilee</v>
      </c>
      <c r="F2023" t="str">
        <f>IFERROR(__xludf.DUMMYFUNCTION("""COMPUTED_VALUE"""),"ily (i love you baby) (feat. Emilee)")</f>
        <v>ily (i love you baby) (feat. Emilee)</v>
      </c>
      <c r="G2023">
        <f>IFERROR(__xludf.DUMMYFUNCTION("""COMPUTED_VALUE"""),0.0)</f>
        <v>0</v>
      </c>
      <c r="H2023" s="5">
        <f>IFERROR(__xludf.DUMMYFUNCTION("""COMPUTED_VALUE"""),0.12222222222044365)</f>
        <v>0.1222222222</v>
      </c>
    </row>
    <row r="2024">
      <c r="A2024" t="str">
        <f>IFERROR(__xludf.DUMMYFUNCTION("""COMPUTED_VALUE"""),"New Zealand")</f>
        <v>New Zealand</v>
      </c>
      <c r="B2024" t="str">
        <f>IFERROR(__xludf.DUMMYFUNCTION("""COMPUTED_VALUE"""),"Australia")</f>
        <v>Australia</v>
      </c>
      <c r="C2024">
        <f>IFERROR(__xludf.DUMMYFUNCTION("""COMPUTED_VALUE"""),23.0)</f>
        <v>23</v>
      </c>
      <c r="D2024" t="str">
        <f>IFERROR(__xludf.DUMMYFUNCTION("""COMPUTED_VALUE"""),"Catching Feelings (feat. SIX60)")</f>
        <v>Catching Feelings (feat. SIX60)</v>
      </c>
      <c r="E2024" t="str">
        <f>IFERROR(__xludf.DUMMYFUNCTION("""COMPUTED_VALUE"""),"Drax Project, SIX60")</f>
        <v>Drax Project, SIX60</v>
      </c>
      <c r="F2024" t="str">
        <f>IFERROR(__xludf.DUMMYFUNCTION("""COMPUTED_VALUE"""),"Drax Project")</f>
        <v>Drax Project</v>
      </c>
      <c r="G2024">
        <f>IFERROR(__xludf.DUMMYFUNCTION("""COMPUTED_VALUE"""),0.0)</f>
        <v>0</v>
      </c>
      <c r="H2024" s="5">
        <f>IFERROR(__xludf.DUMMYFUNCTION("""COMPUTED_VALUE"""),0.15138888888759539)</f>
        <v>0.1513888889</v>
      </c>
    </row>
    <row r="2025">
      <c r="A2025" t="str">
        <f>IFERROR(__xludf.DUMMYFUNCTION("""COMPUTED_VALUE"""),"New Zealand")</f>
        <v>New Zealand</v>
      </c>
      <c r="B2025" t="str">
        <f>IFERROR(__xludf.DUMMYFUNCTION("""COMPUTED_VALUE"""),"Australia")</f>
        <v>Australia</v>
      </c>
      <c r="C2025">
        <f>IFERROR(__xludf.DUMMYFUNCTION("""COMPUTED_VALUE"""),24.0)</f>
        <v>24</v>
      </c>
      <c r="D2025" t="str">
        <f>IFERROR(__xludf.DUMMYFUNCTION("""COMPUTED_VALUE"""),"Glitter")</f>
        <v>Glitter</v>
      </c>
      <c r="E2025" t="str">
        <f>IFERROR(__xludf.DUMMYFUNCTION("""COMPUTED_VALUE"""),"BENEE")</f>
        <v>BENEE</v>
      </c>
      <c r="F2025" t="str">
        <f>IFERROR(__xludf.DUMMYFUNCTION("""COMPUTED_VALUE"""),"FIRE ON MARZZ")</f>
        <v>FIRE ON MARZZ</v>
      </c>
      <c r="G2025">
        <f>IFERROR(__xludf.DUMMYFUNCTION("""COMPUTED_VALUE"""),0.0)</f>
        <v>0</v>
      </c>
      <c r="H2025" s="5">
        <f>IFERROR(__xludf.DUMMYFUNCTION("""COMPUTED_VALUE"""),0.125)</f>
        <v>0.125</v>
      </c>
    </row>
    <row r="2026">
      <c r="A2026" t="str">
        <f>IFERROR(__xludf.DUMMYFUNCTION("""COMPUTED_VALUE"""),"New Zealand")</f>
        <v>New Zealand</v>
      </c>
      <c r="B2026" t="str">
        <f>IFERROR(__xludf.DUMMYFUNCTION("""COMPUTED_VALUE"""),"Australia")</f>
        <v>Australia</v>
      </c>
      <c r="C2026">
        <f>IFERROR(__xludf.DUMMYFUNCTION("""COMPUTED_VALUE"""),25.0)</f>
        <v>25</v>
      </c>
      <c r="D2026" t="str">
        <f>IFERROR(__xludf.DUMMYFUNCTION("""COMPUTED_VALUE"""),"WHATS POPPIN")</f>
        <v>WHATS POPPIN</v>
      </c>
      <c r="E2026" t="str">
        <f>IFERROR(__xludf.DUMMYFUNCTION("""COMPUTED_VALUE"""),"Jack Harlow")</f>
        <v>Jack Harlow</v>
      </c>
      <c r="F2026" t="str">
        <f>IFERROR(__xludf.DUMMYFUNCTION("""COMPUTED_VALUE"""),"Sweet Action")</f>
        <v>Sweet Action</v>
      </c>
      <c r="G2026">
        <f>IFERROR(__xludf.DUMMYFUNCTION("""COMPUTED_VALUE"""),1.0)</f>
        <v>1</v>
      </c>
      <c r="H2026" s="5">
        <f>IFERROR(__xludf.DUMMYFUNCTION("""COMPUTED_VALUE"""),0.09652777777955635)</f>
        <v>0.09652777778</v>
      </c>
    </row>
    <row r="2027">
      <c r="A2027" t="str">
        <f>IFERROR(__xludf.DUMMYFUNCTION("""COMPUTED_VALUE"""),"New Zealand")</f>
        <v>New Zealand</v>
      </c>
      <c r="B2027" t="str">
        <f>IFERROR(__xludf.DUMMYFUNCTION("""COMPUTED_VALUE"""),"Australia")</f>
        <v>Australia</v>
      </c>
      <c r="C2027">
        <f>IFERROR(__xludf.DUMMYFUNCTION("""COMPUTED_VALUE"""),26.0)</f>
        <v>26</v>
      </c>
      <c r="D2027" t="str">
        <f>IFERROR(__xludf.DUMMYFUNCTION("""COMPUTED_VALUE"""),"Break My Heart")</f>
        <v>Break My Heart</v>
      </c>
      <c r="E2027" t="str">
        <f>IFERROR(__xludf.DUMMYFUNCTION("""COMPUTED_VALUE"""),"Dua Lipa")</f>
        <v>Dua Lipa</v>
      </c>
      <c r="F2027" t="str">
        <f>IFERROR(__xludf.DUMMYFUNCTION("""COMPUTED_VALUE"""),"Future Nostalgia")</f>
        <v>Future Nostalgia</v>
      </c>
      <c r="G2027">
        <f>IFERROR(__xludf.DUMMYFUNCTION("""COMPUTED_VALUE"""),0.0)</f>
        <v>0</v>
      </c>
      <c r="H2027" s="5">
        <f>IFERROR(__xludf.DUMMYFUNCTION("""COMPUTED_VALUE"""),0.15347222222044365)</f>
        <v>0.1534722222</v>
      </c>
    </row>
    <row r="2028">
      <c r="A2028" t="str">
        <f>IFERROR(__xludf.DUMMYFUNCTION("""COMPUTED_VALUE"""),"New Zealand")</f>
        <v>New Zealand</v>
      </c>
      <c r="B2028" t="str">
        <f>IFERROR(__xludf.DUMMYFUNCTION("""COMPUTED_VALUE"""),"Australia")</f>
        <v>Australia</v>
      </c>
      <c r="C2028">
        <f>IFERROR(__xludf.DUMMYFUNCTION("""COMPUTED_VALUE"""),27.0)</f>
        <v>27</v>
      </c>
      <c r="D2028" t="str">
        <f>IFERROR(__xludf.DUMMYFUNCTION("""COMPUTED_VALUE"""),"Rover (feat. DTG)")</f>
        <v>Rover (feat. DTG)</v>
      </c>
      <c r="E2028" t="str">
        <f>IFERROR(__xludf.DUMMYFUNCTION("""COMPUTED_VALUE"""),"S1mba, DTG")</f>
        <v>S1mba, DTG</v>
      </c>
      <c r="F2028" t="str">
        <f>IFERROR(__xludf.DUMMYFUNCTION("""COMPUTED_VALUE"""),"Rover (feat. DTG)")</f>
        <v>Rover (feat. DTG)</v>
      </c>
      <c r="G2028">
        <f>IFERROR(__xludf.DUMMYFUNCTION("""COMPUTED_VALUE"""),1.0)</f>
        <v>1</v>
      </c>
      <c r="H2028" s="5">
        <f>IFERROR(__xludf.DUMMYFUNCTION("""COMPUTED_VALUE"""),0.11597222222189885)</f>
        <v>0.1159722222</v>
      </c>
    </row>
    <row r="2029">
      <c r="A2029" t="str">
        <f>IFERROR(__xludf.DUMMYFUNCTION("""COMPUTED_VALUE"""),"New Zealand")</f>
        <v>New Zealand</v>
      </c>
      <c r="B2029" t="str">
        <f>IFERROR(__xludf.DUMMYFUNCTION("""COMPUTED_VALUE"""),"Australia")</f>
        <v>Australia</v>
      </c>
      <c r="C2029">
        <f>IFERROR(__xludf.DUMMYFUNCTION("""COMPUTED_VALUE"""),28.0)</f>
        <v>28</v>
      </c>
      <c r="D2029" t="str">
        <f>IFERROR(__xludf.DUMMYFUNCTION("""COMPUTED_VALUE"""),"Before You Go")</f>
        <v>Before You Go</v>
      </c>
      <c r="E2029" t="str">
        <f>IFERROR(__xludf.DUMMYFUNCTION("""COMPUTED_VALUE"""),"Lewis Capaldi")</f>
        <v>Lewis Capaldi</v>
      </c>
      <c r="F2029" t="str">
        <f>IFERROR(__xludf.DUMMYFUNCTION("""COMPUTED_VALUE"""),"Divinely Uninspired To A Hellish Extent (Extended Edition)")</f>
        <v>Divinely Uninspired To A Hellish Extent (Extended Edition)</v>
      </c>
      <c r="G2029">
        <f>IFERROR(__xludf.DUMMYFUNCTION("""COMPUTED_VALUE"""),0.0)</f>
        <v>0</v>
      </c>
      <c r="H2029" s="5">
        <f>IFERROR(__xludf.DUMMYFUNCTION("""COMPUTED_VALUE"""),0.14930555555474712)</f>
        <v>0.1493055556</v>
      </c>
    </row>
    <row r="2030">
      <c r="A2030" t="str">
        <f>IFERROR(__xludf.DUMMYFUNCTION("""COMPUTED_VALUE"""),"New Zealand")</f>
        <v>New Zealand</v>
      </c>
      <c r="B2030" t="str">
        <f>IFERROR(__xludf.DUMMYFUNCTION("""COMPUTED_VALUE"""),"Australia")</f>
        <v>Australia</v>
      </c>
      <c r="C2030">
        <f>IFERROR(__xludf.DUMMYFUNCTION("""COMPUTED_VALUE"""),29.0)</f>
        <v>29</v>
      </c>
      <c r="D2030" t="str">
        <f>IFERROR(__xludf.DUMMYFUNCTION("""COMPUTED_VALUE"""),"Adore You")</f>
        <v>Adore You</v>
      </c>
      <c r="E2030" t="str">
        <f>IFERROR(__xludf.DUMMYFUNCTION("""COMPUTED_VALUE"""),"Harry Styles")</f>
        <v>Harry Styles</v>
      </c>
      <c r="F2030" t="str">
        <f>IFERROR(__xludf.DUMMYFUNCTION("""COMPUTED_VALUE"""),"Fine Line")</f>
        <v>Fine Line</v>
      </c>
      <c r="G2030">
        <f>IFERROR(__xludf.DUMMYFUNCTION("""COMPUTED_VALUE"""),0.0)</f>
        <v>0</v>
      </c>
      <c r="H2030" s="5">
        <f>IFERROR(__xludf.DUMMYFUNCTION("""COMPUTED_VALUE"""),0.1437499999992724)</f>
        <v>0.14375</v>
      </c>
    </row>
    <row r="2031">
      <c r="A2031" t="str">
        <f>IFERROR(__xludf.DUMMYFUNCTION("""COMPUTED_VALUE"""),"New Zealand")</f>
        <v>New Zealand</v>
      </c>
      <c r="B2031" t="str">
        <f>IFERROR(__xludf.DUMMYFUNCTION("""COMPUTED_VALUE"""),"Australia")</f>
        <v>Australia</v>
      </c>
      <c r="C2031">
        <f>IFERROR(__xludf.DUMMYFUNCTION("""COMPUTED_VALUE"""),30.0)</f>
        <v>30</v>
      </c>
      <c r="D2031" t="str">
        <f>IFERROR(__xludf.DUMMYFUNCTION("""COMPUTED_VALUE"""),"Say So")</f>
        <v>Say So</v>
      </c>
      <c r="E2031" t="str">
        <f>IFERROR(__xludf.DUMMYFUNCTION("""COMPUTED_VALUE"""),"Doja Cat")</f>
        <v>Doja Cat</v>
      </c>
      <c r="F2031" t="str">
        <f>IFERROR(__xludf.DUMMYFUNCTION("""COMPUTED_VALUE"""),"Hot Pink")</f>
        <v>Hot Pink</v>
      </c>
      <c r="G2031">
        <f>IFERROR(__xludf.DUMMYFUNCTION("""COMPUTED_VALUE"""),1.0)</f>
        <v>1</v>
      </c>
      <c r="H2031" s="5">
        <f>IFERROR(__xludf.DUMMYFUNCTION("""COMPUTED_VALUE"""),0.16458333333503106)</f>
        <v>0.1645833333</v>
      </c>
    </row>
    <row r="2032">
      <c r="A2032" t="str">
        <f>IFERROR(__xludf.DUMMYFUNCTION("""COMPUTED_VALUE"""),"New Zealand")</f>
        <v>New Zealand</v>
      </c>
      <c r="B2032" t="str">
        <f>IFERROR(__xludf.DUMMYFUNCTION("""COMPUTED_VALUE"""),"Australia")</f>
        <v>Australia</v>
      </c>
      <c r="C2032">
        <f>IFERROR(__xludf.DUMMYFUNCTION("""COMPUTED_VALUE"""),31.0)</f>
        <v>31</v>
      </c>
      <c r="D2032" t="str">
        <f>IFERROR(__xludf.DUMMYFUNCTION("""COMPUTED_VALUE"""),"Someone You Loved")</f>
        <v>Someone You Loved</v>
      </c>
      <c r="E2032" t="str">
        <f>IFERROR(__xludf.DUMMYFUNCTION("""COMPUTED_VALUE"""),"Lewis Capaldi")</f>
        <v>Lewis Capaldi</v>
      </c>
      <c r="F2032" t="str">
        <f>IFERROR(__xludf.DUMMYFUNCTION("""COMPUTED_VALUE"""),"Divinely Uninspired To A Hellish Extent")</f>
        <v>Divinely Uninspired To A Hellish Extent</v>
      </c>
      <c r="G2032">
        <f>IFERROR(__xludf.DUMMYFUNCTION("""COMPUTED_VALUE"""),0.0)</f>
        <v>0</v>
      </c>
      <c r="H2032" s="5">
        <f>IFERROR(__xludf.DUMMYFUNCTION("""COMPUTED_VALUE"""),0.12638888888977817)</f>
        <v>0.1263888889</v>
      </c>
    </row>
    <row r="2033">
      <c r="A2033" t="str">
        <f>IFERROR(__xludf.DUMMYFUNCTION("""COMPUTED_VALUE"""),"New Zealand")</f>
        <v>New Zealand</v>
      </c>
      <c r="B2033" t="str">
        <f>IFERROR(__xludf.DUMMYFUNCTION("""COMPUTED_VALUE"""),"Australia")</f>
        <v>Australia</v>
      </c>
      <c r="C2033">
        <f>IFERROR(__xludf.DUMMYFUNCTION("""COMPUTED_VALUE"""),32.0)</f>
        <v>32</v>
      </c>
      <c r="D2033" t="str">
        <f>IFERROR(__xludf.DUMMYFUNCTION("""COMPUTED_VALUE"""),"If the World Was Ending - feat. Julia Michaels")</f>
        <v>If the World Was Ending - feat. Julia Michaels</v>
      </c>
      <c r="E2033" t="str">
        <f>IFERROR(__xludf.DUMMYFUNCTION("""COMPUTED_VALUE"""),"JP Saxe, Julia Michaels")</f>
        <v>JP Saxe, Julia Michaels</v>
      </c>
      <c r="F2033" t="str">
        <f>IFERROR(__xludf.DUMMYFUNCTION("""COMPUTED_VALUE"""),"If the World Was Ending (feat. Julia Michaels)")</f>
        <v>If the World Was Ending (feat. Julia Michaels)</v>
      </c>
      <c r="G2033">
        <f>IFERROR(__xludf.DUMMYFUNCTION("""COMPUTED_VALUE"""),0.0)</f>
        <v>0</v>
      </c>
      <c r="H2033" s="5">
        <f>IFERROR(__xludf.DUMMYFUNCTION("""COMPUTED_VALUE"""),0.14444444444598048)</f>
        <v>0.1444444444</v>
      </c>
    </row>
    <row r="2034">
      <c r="A2034" t="str">
        <f>IFERROR(__xludf.DUMMYFUNCTION("""COMPUTED_VALUE"""),"New Zealand")</f>
        <v>New Zealand</v>
      </c>
      <c r="B2034" t="str">
        <f>IFERROR(__xludf.DUMMYFUNCTION("""COMPUTED_VALUE"""),"Australia")</f>
        <v>Australia</v>
      </c>
      <c r="C2034">
        <f>IFERROR(__xludf.DUMMYFUNCTION("""COMPUTED_VALUE"""),33.0)</f>
        <v>33</v>
      </c>
      <c r="D2034" t="str">
        <f>IFERROR(__xludf.DUMMYFUNCTION("""COMPUTED_VALUE"""),"BELIEVE IT")</f>
        <v>BELIEVE IT</v>
      </c>
      <c r="E2034" t="str">
        <f>IFERROR(__xludf.DUMMYFUNCTION("""COMPUTED_VALUE"""),"PARTYNEXTDOOR, Rihanna")</f>
        <v>PARTYNEXTDOOR, Rihanna</v>
      </c>
      <c r="F2034" t="str">
        <f>IFERROR(__xludf.DUMMYFUNCTION("""COMPUTED_VALUE"""),"PARTYMOBILE")</f>
        <v>PARTYMOBILE</v>
      </c>
      <c r="G2034">
        <f>IFERROR(__xludf.DUMMYFUNCTION("""COMPUTED_VALUE"""),1.0)</f>
        <v>1</v>
      </c>
      <c r="H2034" s="5">
        <f>IFERROR(__xludf.DUMMYFUNCTION("""COMPUTED_VALUE"""),0.12708333333284827)</f>
        <v>0.1270833333</v>
      </c>
    </row>
    <row r="2035">
      <c r="A2035" t="str">
        <f>IFERROR(__xludf.DUMMYFUNCTION("""COMPUTED_VALUE"""),"New Zealand")</f>
        <v>New Zealand</v>
      </c>
      <c r="B2035" t="str">
        <f>IFERROR(__xludf.DUMMYFUNCTION("""COMPUTED_VALUE"""),"Australia")</f>
        <v>Australia</v>
      </c>
      <c r="C2035">
        <f>IFERROR(__xludf.DUMMYFUNCTION("""COMPUTED_VALUE"""),34.0)</f>
        <v>34</v>
      </c>
      <c r="D2035" t="str">
        <f>IFERROR(__xludf.DUMMYFUNCTION("""COMPUTED_VALUE"""),"Circles")</f>
        <v>Circles</v>
      </c>
      <c r="E2035" t="str">
        <f>IFERROR(__xludf.DUMMYFUNCTION("""COMPUTED_VALUE"""),"Post Malone")</f>
        <v>Post Malone</v>
      </c>
      <c r="F2035" t="str">
        <f>IFERROR(__xludf.DUMMYFUNCTION("""COMPUTED_VALUE"""),"Hollywood's Bleeding")</f>
        <v>Hollywood's Bleeding</v>
      </c>
      <c r="G2035">
        <f>IFERROR(__xludf.DUMMYFUNCTION("""COMPUTED_VALUE"""),0.0)</f>
        <v>0</v>
      </c>
      <c r="H2035" s="5">
        <f>IFERROR(__xludf.DUMMYFUNCTION("""COMPUTED_VALUE"""),0.14930555555474712)</f>
        <v>0.1493055556</v>
      </c>
    </row>
    <row r="2036">
      <c r="A2036" t="str">
        <f>IFERROR(__xludf.DUMMYFUNCTION("""COMPUTED_VALUE"""),"New Zealand")</f>
        <v>New Zealand</v>
      </c>
      <c r="B2036" t="str">
        <f>IFERROR(__xludf.DUMMYFUNCTION("""COMPUTED_VALUE"""),"Australia")</f>
        <v>Australia</v>
      </c>
      <c r="C2036">
        <f>IFERROR(__xludf.DUMMYFUNCTION("""COMPUTED_VALUE"""),35.0)</f>
        <v>35</v>
      </c>
      <c r="D2036" t="str">
        <f>IFERROR(__xludf.DUMMYFUNCTION("""COMPUTED_VALUE"""),"After Party")</f>
        <v>After Party</v>
      </c>
      <c r="E2036" t="str">
        <f>IFERROR(__xludf.DUMMYFUNCTION("""COMPUTED_VALUE"""),"Don Toliver")</f>
        <v>Don Toliver</v>
      </c>
      <c r="F2036" t="str">
        <f>IFERROR(__xludf.DUMMYFUNCTION("""COMPUTED_VALUE"""),"Heaven Or Hell")</f>
        <v>Heaven Or Hell</v>
      </c>
      <c r="G2036">
        <f>IFERROR(__xludf.DUMMYFUNCTION("""COMPUTED_VALUE"""),1.0)</f>
        <v>1</v>
      </c>
      <c r="H2036" s="5">
        <f>IFERROR(__xludf.DUMMYFUNCTION("""COMPUTED_VALUE"""),0.11597222222189885)</f>
        <v>0.1159722222</v>
      </c>
    </row>
    <row r="2037">
      <c r="A2037" t="str">
        <f>IFERROR(__xludf.DUMMYFUNCTION("""COMPUTED_VALUE"""),"New Zealand")</f>
        <v>New Zealand</v>
      </c>
      <c r="B2037" t="str">
        <f>IFERROR(__xludf.DUMMYFUNCTION("""COMPUTED_VALUE"""),"Australia")</f>
        <v>Australia</v>
      </c>
      <c r="C2037">
        <f>IFERROR(__xludf.DUMMYFUNCTION("""COMPUTED_VALUE"""),36.0)</f>
        <v>36</v>
      </c>
      <c r="D2037" t="str">
        <f>IFERROR(__xludf.DUMMYFUNCTION("""COMPUTED_VALUE"""),"In Your Eyes")</f>
        <v>In Your Eyes</v>
      </c>
      <c r="E2037" t="str">
        <f>IFERROR(__xludf.DUMMYFUNCTION("""COMPUTED_VALUE"""),"The Weeknd")</f>
        <v>The Weeknd</v>
      </c>
      <c r="F2037" t="str">
        <f>IFERROR(__xludf.DUMMYFUNCTION("""COMPUTED_VALUE"""),"After Hours")</f>
        <v>After Hours</v>
      </c>
      <c r="G2037">
        <f>IFERROR(__xludf.DUMMYFUNCTION("""COMPUTED_VALUE"""),1.0)</f>
        <v>1</v>
      </c>
      <c r="H2037" s="5">
        <f>IFERROR(__xludf.DUMMYFUNCTION("""COMPUTED_VALUE"""),0.16458333333503106)</f>
        <v>0.1645833333</v>
      </c>
    </row>
    <row r="2038">
      <c r="A2038" t="str">
        <f>IFERROR(__xludf.DUMMYFUNCTION("""COMPUTED_VALUE"""),"New Zealand")</f>
        <v>New Zealand</v>
      </c>
      <c r="B2038" t="str">
        <f>IFERROR(__xludf.DUMMYFUNCTION("""COMPUTED_VALUE"""),"Australia")</f>
        <v>Australia</v>
      </c>
      <c r="C2038">
        <f>IFERROR(__xludf.DUMMYFUNCTION("""COMPUTED_VALUE"""),37.0)</f>
        <v>37</v>
      </c>
      <c r="D2038" t="str">
        <f>IFERROR(__xludf.DUMMYFUNCTION("""COMPUTED_VALUE"""),"Say So (feat. Nicki Minaj)")</f>
        <v>Say So (feat. Nicki Minaj)</v>
      </c>
      <c r="E2038" t="str">
        <f>IFERROR(__xludf.DUMMYFUNCTION("""COMPUTED_VALUE"""),"Doja Cat, Nicki Minaj")</f>
        <v>Doja Cat, Nicki Minaj</v>
      </c>
      <c r="F2038" t="str">
        <f>IFERROR(__xludf.DUMMYFUNCTION("""COMPUTED_VALUE"""),"Say So (feat. Nicki Minaj)")</f>
        <v>Say So (feat. Nicki Minaj)</v>
      </c>
      <c r="G2038">
        <f>IFERROR(__xludf.DUMMYFUNCTION("""COMPUTED_VALUE"""),1.0)</f>
        <v>1</v>
      </c>
      <c r="H2038" s="5">
        <f>IFERROR(__xludf.DUMMYFUNCTION("""COMPUTED_VALUE"""),0.1430555555562023)</f>
        <v>0.1430555556</v>
      </c>
    </row>
    <row r="2039">
      <c r="A2039" t="str">
        <f>IFERROR(__xludf.DUMMYFUNCTION("""COMPUTED_VALUE"""),"New Zealand")</f>
        <v>New Zealand</v>
      </c>
      <c r="B2039" t="str">
        <f>IFERROR(__xludf.DUMMYFUNCTION("""COMPUTED_VALUE"""),"Australia")</f>
        <v>Australia</v>
      </c>
      <c r="C2039">
        <f>IFERROR(__xludf.DUMMYFUNCTION("""COMPUTED_VALUE"""),38.0)</f>
        <v>38</v>
      </c>
      <c r="D2039" t="str">
        <f>IFERROR(__xludf.DUMMYFUNCTION("""COMPUTED_VALUE"""),"ROXANNE")</f>
        <v>ROXANNE</v>
      </c>
      <c r="E2039" t="str">
        <f>IFERROR(__xludf.DUMMYFUNCTION("""COMPUTED_VALUE"""),"Arizona Zervas")</f>
        <v>Arizona Zervas</v>
      </c>
      <c r="F2039" t="str">
        <f>IFERROR(__xludf.DUMMYFUNCTION("""COMPUTED_VALUE"""),"ROXANNE")</f>
        <v>ROXANNE</v>
      </c>
      <c r="G2039">
        <f>IFERROR(__xludf.DUMMYFUNCTION("""COMPUTED_VALUE"""),1.0)</f>
        <v>1</v>
      </c>
      <c r="H2039" s="5">
        <f>IFERROR(__xludf.DUMMYFUNCTION("""COMPUTED_VALUE"""),0.11319444444598048)</f>
        <v>0.1131944444</v>
      </c>
    </row>
    <row r="2040">
      <c r="A2040" t="str">
        <f>IFERROR(__xludf.DUMMYFUNCTION("""COMPUTED_VALUE"""),"New Zealand")</f>
        <v>New Zealand</v>
      </c>
      <c r="B2040" t="str">
        <f>IFERROR(__xludf.DUMMYFUNCTION("""COMPUTED_VALUE"""),"Australia")</f>
        <v>Australia</v>
      </c>
      <c r="C2040">
        <f>IFERROR(__xludf.DUMMYFUNCTION("""COMPUTED_VALUE"""),39.0)</f>
        <v>39</v>
      </c>
      <c r="D2040" t="str">
        <f>IFERROR(__xludf.DUMMYFUNCTION("""COMPUTED_VALUE"""),"Boss Bitch")</f>
        <v>Boss Bitch</v>
      </c>
      <c r="E2040" t="str">
        <f>IFERROR(__xludf.DUMMYFUNCTION("""COMPUTED_VALUE"""),"Doja Cat")</f>
        <v>Doja Cat</v>
      </c>
      <c r="F2040" t="str">
        <f>IFERROR(__xludf.DUMMYFUNCTION("""COMPUTED_VALUE"""),"Boss Bitch")</f>
        <v>Boss Bitch</v>
      </c>
      <c r="G2040">
        <f>IFERROR(__xludf.DUMMYFUNCTION("""COMPUTED_VALUE"""),0.0)</f>
        <v>0</v>
      </c>
      <c r="H2040" s="5">
        <f>IFERROR(__xludf.DUMMYFUNCTION("""COMPUTED_VALUE"""),0.0930555555569299)</f>
        <v>0.09305555556</v>
      </c>
    </row>
    <row r="2041">
      <c r="A2041" t="str">
        <f>IFERROR(__xludf.DUMMYFUNCTION("""COMPUTED_VALUE"""),"New Zealand")</f>
        <v>New Zealand</v>
      </c>
      <c r="B2041" t="str">
        <f>IFERROR(__xludf.DUMMYFUNCTION("""COMPUTED_VALUE"""),"Australia")</f>
        <v>Australia</v>
      </c>
      <c r="C2041">
        <f>IFERROR(__xludf.DUMMYFUNCTION("""COMPUTED_VALUE"""),40.0)</f>
        <v>40</v>
      </c>
      <c r="D2041" t="str">
        <f>IFERROR(__xludf.DUMMYFUNCTION("""COMPUTED_VALUE"""),"Party Girl")</f>
        <v>Party Girl</v>
      </c>
      <c r="E2041" t="str">
        <f>IFERROR(__xludf.DUMMYFUNCTION("""COMPUTED_VALUE"""),"StaySolidRocky")</f>
        <v>StaySolidRocky</v>
      </c>
      <c r="F2041" t="str">
        <f>IFERROR(__xludf.DUMMYFUNCTION("""COMPUTED_VALUE"""),"Party Girl")</f>
        <v>Party Girl</v>
      </c>
      <c r="G2041">
        <f>IFERROR(__xludf.DUMMYFUNCTION("""COMPUTED_VALUE"""),0.0)</f>
        <v>0</v>
      </c>
      <c r="H2041" s="5">
        <f>IFERROR(__xludf.DUMMYFUNCTION("""COMPUTED_VALUE"""),0.10208333333503106)</f>
        <v>0.1020833333</v>
      </c>
    </row>
    <row r="2042">
      <c r="A2042" t="str">
        <f>IFERROR(__xludf.DUMMYFUNCTION("""COMPUTED_VALUE"""),"New Zealand")</f>
        <v>New Zealand</v>
      </c>
      <c r="B2042" t="str">
        <f>IFERROR(__xludf.DUMMYFUNCTION("""COMPUTED_VALUE"""),"Australia")</f>
        <v>Australia</v>
      </c>
      <c r="C2042">
        <f>IFERROR(__xludf.DUMMYFUNCTION("""COMPUTED_VALUE"""),41.0)</f>
        <v>41</v>
      </c>
      <c r="D2042" t="str">
        <f>IFERROR(__xludf.DUMMYFUNCTION("""COMPUTED_VALUE"""),"Memories")</f>
        <v>Memories</v>
      </c>
      <c r="E2042" t="str">
        <f>IFERROR(__xludf.DUMMYFUNCTION("""COMPUTED_VALUE"""),"Maroon 5")</f>
        <v>Maroon 5</v>
      </c>
      <c r="F2042" t="str">
        <f>IFERROR(__xludf.DUMMYFUNCTION("""COMPUTED_VALUE"""),"Memories")</f>
        <v>Memories</v>
      </c>
      <c r="G2042">
        <f>IFERROR(__xludf.DUMMYFUNCTION("""COMPUTED_VALUE"""),0.0)</f>
        <v>0</v>
      </c>
      <c r="H2042" s="5">
        <f>IFERROR(__xludf.DUMMYFUNCTION("""COMPUTED_VALUE"""),0.1312499999985448)</f>
        <v>0.13125</v>
      </c>
    </row>
    <row r="2043">
      <c r="A2043" t="str">
        <f>IFERROR(__xludf.DUMMYFUNCTION("""COMPUTED_VALUE"""),"New Zealand")</f>
        <v>New Zealand</v>
      </c>
      <c r="B2043" t="str">
        <f>IFERROR(__xludf.DUMMYFUNCTION("""COMPUTED_VALUE"""),"Australia")</f>
        <v>Australia</v>
      </c>
      <c r="C2043">
        <f>IFERROR(__xludf.DUMMYFUNCTION("""COMPUTED_VALUE"""),42.0)</f>
        <v>42</v>
      </c>
      <c r="D2043" t="str">
        <f>IFERROR(__xludf.DUMMYFUNCTION("""COMPUTED_VALUE"""),"Falling")</f>
        <v>Falling</v>
      </c>
      <c r="E2043" t="str">
        <f>IFERROR(__xludf.DUMMYFUNCTION("""COMPUTED_VALUE"""),"Trevor Daniel")</f>
        <v>Trevor Daniel</v>
      </c>
      <c r="F2043" t="str">
        <f>IFERROR(__xludf.DUMMYFUNCTION("""COMPUTED_VALUE"""),"Nicotine")</f>
        <v>Nicotine</v>
      </c>
      <c r="G2043">
        <f>IFERROR(__xludf.DUMMYFUNCTION("""COMPUTED_VALUE"""),0.0)</f>
        <v>0</v>
      </c>
      <c r="H2043" s="5">
        <f>IFERROR(__xludf.DUMMYFUNCTION("""COMPUTED_VALUE"""),0.11041666666642413)</f>
        <v>0.1104166667</v>
      </c>
    </row>
    <row r="2044">
      <c r="A2044" t="str">
        <f>IFERROR(__xludf.DUMMYFUNCTION("""COMPUTED_VALUE"""),"New Zealand")</f>
        <v>New Zealand</v>
      </c>
      <c r="B2044" t="str">
        <f>IFERROR(__xludf.DUMMYFUNCTION("""COMPUTED_VALUE"""),"Australia")</f>
        <v>Australia</v>
      </c>
      <c r="C2044">
        <f>IFERROR(__xludf.DUMMYFUNCTION("""COMPUTED_VALUE"""),43.0)</f>
        <v>43</v>
      </c>
      <c r="D2044" t="str">
        <f>IFERROR(__xludf.DUMMYFUNCTION("""COMPUTED_VALUE"""),"This City")</f>
        <v>This City</v>
      </c>
      <c r="E2044" t="str">
        <f>IFERROR(__xludf.DUMMYFUNCTION("""COMPUTED_VALUE"""),"Sam Fischer")</f>
        <v>Sam Fischer</v>
      </c>
      <c r="F2044" t="str">
        <f>IFERROR(__xludf.DUMMYFUNCTION("""COMPUTED_VALUE"""),"This City")</f>
        <v>This City</v>
      </c>
      <c r="G2044">
        <f>IFERROR(__xludf.DUMMYFUNCTION("""COMPUTED_VALUE"""),0.0)</f>
        <v>0</v>
      </c>
      <c r="H2044" s="5">
        <f>IFERROR(__xludf.DUMMYFUNCTION("""COMPUTED_VALUE"""),0.13472222222117125)</f>
        <v>0.1347222222</v>
      </c>
    </row>
    <row r="2045">
      <c r="A2045" t="str">
        <f>IFERROR(__xludf.DUMMYFUNCTION("""COMPUTED_VALUE"""),"New Zealand")</f>
        <v>New Zealand</v>
      </c>
      <c r="B2045" t="str">
        <f>IFERROR(__xludf.DUMMYFUNCTION("""COMPUTED_VALUE"""),"Australia")</f>
        <v>Australia</v>
      </c>
      <c r="C2045">
        <f>IFERROR(__xludf.DUMMYFUNCTION("""COMPUTED_VALUE"""),44.0)</f>
        <v>44</v>
      </c>
      <c r="D2045" t="str">
        <f>IFERROR(__xludf.DUMMYFUNCTION("""COMPUTED_VALUE"""),"Be Kind (with Halsey)")</f>
        <v>Be Kind (with Halsey)</v>
      </c>
      <c r="E2045" t="str">
        <f>IFERROR(__xludf.DUMMYFUNCTION("""COMPUTED_VALUE"""),"Marshmello, Halsey")</f>
        <v>Marshmello, Halsey</v>
      </c>
      <c r="F2045" t="str">
        <f>IFERROR(__xludf.DUMMYFUNCTION("""COMPUTED_VALUE"""),"Be Kind (with Halsey)")</f>
        <v>Be Kind (with Halsey)</v>
      </c>
      <c r="G2045">
        <f>IFERROR(__xludf.DUMMYFUNCTION("""COMPUTED_VALUE"""),0.0)</f>
        <v>0</v>
      </c>
      <c r="H2045" s="5">
        <f>IFERROR(__xludf.DUMMYFUNCTION("""COMPUTED_VALUE"""),0.11944444444452529)</f>
        <v>0.1194444444</v>
      </c>
    </row>
    <row r="2046">
      <c r="A2046" t="str">
        <f>IFERROR(__xludf.DUMMYFUNCTION("""COMPUTED_VALUE"""),"New Zealand")</f>
        <v>New Zealand</v>
      </c>
      <c r="B2046" t="str">
        <f>IFERROR(__xludf.DUMMYFUNCTION("""COMPUTED_VALUE"""),"Australia")</f>
        <v>Australia</v>
      </c>
      <c r="C2046">
        <f>IFERROR(__xludf.DUMMYFUNCTION("""COMPUTED_VALUE"""),45.0)</f>
        <v>45</v>
      </c>
      <c r="D2046" t="str">
        <f>IFERROR(__xludf.DUMMYFUNCTION("""COMPUTED_VALUE"""),"Life Is Good (feat. Drake)")</f>
        <v>Life Is Good (feat. Drake)</v>
      </c>
      <c r="E2046" t="str">
        <f>IFERROR(__xludf.DUMMYFUNCTION("""COMPUTED_VALUE"""),"Future, Drake")</f>
        <v>Future, Drake</v>
      </c>
      <c r="F2046" t="str">
        <f>IFERROR(__xludf.DUMMYFUNCTION("""COMPUTED_VALUE"""),"High Off Life")</f>
        <v>High Off Life</v>
      </c>
      <c r="G2046">
        <f>IFERROR(__xludf.DUMMYFUNCTION("""COMPUTED_VALUE"""),1.0)</f>
        <v>1</v>
      </c>
      <c r="H2046" s="5">
        <f>IFERROR(__xludf.DUMMYFUNCTION("""COMPUTED_VALUE"""),0.16458333333503106)</f>
        <v>0.1645833333</v>
      </c>
    </row>
    <row r="2047">
      <c r="A2047" t="str">
        <f>IFERROR(__xludf.DUMMYFUNCTION("""COMPUTED_VALUE"""),"New Zealand")</f>
        <v>New Zealand</v>
      </c>
      <c r="B2047" t="str">
        <f>IFERROR(__xludf.DUMMYFUNCTION("""COMPUTED_VALUE"""),"Australia")</f>
        <v>Australia</v>
      </c>
      <c r="C2047">
        <f>IFERROR(__xludf.DUMMYFUNCTION("""COMPUTED_VALUE"""),46.0)</f>
        <v>46</v>
      </c>
      <c r="D2047" t="str">
        <f>IFERROR(__xludf.DUMMYFUNCTION("""COMPUTED_VALUE"""),"The Greatest")</f>
        <v>The Greatest</v>
      </c>
      <c r="E2047" t="str">
        <f>IFERROR(__xludf.DUMMYFUNCTION("""COMPUTED_VALUE"""),"SIX60")</f>
        <v>SIX60</v>
      </c>
      <c r="F2047" t="str">
        <f>IFERROR(__xludf.DUMMYFUNCTION("""COMPUTED_VALUE"""),"SIX60")</f>
        <v>SIX60</v>
      </c>
      <c r="G2047">
        <f>IFERROR(__xludf.DUMMYFUNCTION("""COMPUTED_VALUE"""),0.0)</f>
        <v>0</v>
      </c>
      <c r="H2047" s="5">
        <f>IFERROR(__xludf.DUMMYFUNCTION("""COMPUTED_VALUE"""),0.11805555555474712)</f>
        <v>0.1180555556</v>
      </c>
    </row>
    <row r="2048">
      <c r="A2048" t="str">
        <f>IFERROR(__xludf.DUMMYFUNCTION("""COMPUTED_VALUE"""),"New Zealand")</f>
        <v>New Zealand</v>
      </c>
      <c r="B2048" t="str">
        <f>IFERROR(__xludf.DUMMYFUNCTION("""COMPUTED_VALUE"""),"Australia")</f>
        <v>Australia</v>
      </c>
      <c r="C2048">
        <f>IFERROR(__xludf.DUMMYFUNCTION("""COMPUTED_VALUE"""),47.0)</f>
        <v>47</v>
      </c>
      <c r="D2048" t="str">
        <f>IFERROR(__xludf.DUMMYFUNCTION("""COMPUTED_VALUE"""),"goosebumps")</f>
        <v>goosebumps</v>
      </c>
      <c r="E2048" t="str">
        <f>IFERROR(__xludf.DUMMYFUNCTION("""COMPUTED_VALUE"""),"Travis Scott")</f>
        <v>Travis Scott</v>
      </c>
      <c r="F2048" t="str">
        <f>IFERROR(__xludf.DUMMYFUNCTION("""COMPUTED_VALUE"""),"Birds In The Trap Sing McKnight")</f>
        <v>Birds In The Trap Sing McKnight</v>
      </c>
      <c r="G2048">
        <f>IFERROR(__xludf.DUMMYFUNCTION("""COMPUTED_VALUE"""),1.0)</f>
        <v>1</v>
      </c>
      <c r="H2048" s="5">
        <f>IFERROR(__xludf.DUMMYFUNCTION("""COMPUTED_VALUE"""),0.1687500000007276)</f>
        <v>0.16875</v>
      </c>
    </row>
    <row r="2049">
      <c r="A2049" t="str">
        <f>IFERROR(__xludf.DUMMYFUNCTION("""COMPUTED_VALUE"""),"New Zealand")</f>
        <v>New Zealand</v>
      </c>
      <c r="B2049" t="str">
        <f>IFERROR(__xludf.DUMMYFUNCTION("""COMPUTED_VALUE"""),"Australia")</f>
        <v>Australia</v>
      </c>
      <c r="C2049">
        <f>IFERROR(__xludf.DUMMYFUNCTION("""COMPUTED_VALUE"""),48.0)</f>
        <v>48</v>
      </c>
      <c r="D2049" t="str">
        <f>IFERROR(__xludf.DUMMYFUNCTION("""COMPUTED_VALUE"""),"Controller")</f>
        <v>Controller</v>
      </c>
      <c r="E2049" t="str">
        <f>IFERROR(__xludf.DUMMYFUNCTION("""COMPUTED_VALUE"""),"L.A.B.")</f>
        <v>L.A.B.</v>
      </c>
      <c r="F2049" t="str">
        <f>IFERROR(__xludf.DUMMYFUNCTION("""COMPUTED_VALUE"""),"L.A.B.")</f>
        <v>L.A.B.</v>
      </c>
      <c r="G2049">
        <f>IFERROR(__xludf.DUMMYFUNCTION("""COMPUTED_VALUE"""),0.0)</f>
        <v>0</v>
      </c>
      <c r="H2049" s="5">
        <f>IFERROR(__xludf.DUMMYFUNCTION("""COMPUTED_VALUE"""),0.19097222222262644)</f>
        <v>0.1909722222</v>
      </c>
    </row>
    <row r="2050">
      <c r="A2050" t="str">
        <f>IFERROR(__xludf.DUMMYFUNCTION("""COMPUTED_VALUE"""),"New Zealand")</f>
        <v>New Zealand</v>
      </c>
      <c r="B2050" t="str">
        <f>IFERROR(__xludf.DUMMYFUNCTION("""COMPUTED_VALUE"""),"Australia")</f>
        <v>Australia</v>
      </c>
      <c r="C2050">
        <f>IFERROR(__xludf.DUMMYFUNCTION("""COMPUTED_VALUE"""),49.0)</f>
        <v>49</v>
      </c>
      <c r="D2050" t="str">
        <f>IFERROR(__xludf.DUMMYFUNCTION("""COMPUTED_VALUE"""),"6 To The WORLD")</f>
        <v>6 To The WORLD</v>
      </c>
      <c r="E2050" t="str">
        <f>IFERROR(__xludf.DUMMYFUNCTION("""COMPUTED_VALUE"""),"Hp Boyz")</f>
        <v>Hp Boyz</v>
      </c>
      <c r="F2050" t="str">
        <f>IFERROR(__xludf.DUMMYFUNCTION("""COMPUTED_VALUE"""),"6 To The WORLD")</f>
        <v>6 To The WORLD</v>
      </c>
      <c r="G2050">
        <f>IFERROR(__xludf.DUMMYFUNCTION("""COMPUTED_VALUE"""),1.0)</f>
        <v>1</v>
      </c>
      <c r="H2050" s="5">
        <f>IFERROR(__xludf.DUMMYFUNCTION("""COMPUTED_VALUE"""),0.10833333333357587)</f>
        <v>0.1083333333</v>
      </c>
    </row>
    <row r="2051">
      <c r="A2051" t="str">
        <f>IFERROR(__xludf.DUMMYFUNCTION("""COMPUTED_VALUE"""),"New Zealand")</f>
        <v>New Zealand</v>
      </c>
      <c r="B2051" t="str">
        <f>IFERROR(__xludf.DUMMYFUNCTION("""COMPUTED_VALUE"""),"Australia")</f>
        <v>Australia</v>
      </c>
      <c r="C2051">
        <f>IFERROR(__xludf.DUMMYFUNCTION("""COMPUTED_VALUE"""),50.0)</f>
        <v>50</v>
      </c>
      <c r="D2051" t="str">
        <f>IFERROR(__xludf.DUMMYFUNCTION("""COMPUTED_VALUE"""),"SICKO MODE")</f>
        <v>SICKO MODE</v>
      </c>
      <c r="E2051" t="str">
        <f>IFERROR(__xludf.DUMMYFUNCTION("""COMPUTED_VALUE"""),"Travis Scott")</f>
        <v>Travis Scott</v>
      </c>
      <c r="F2051" t="str">
        <f>IFERROR(__xludf.DUMMYFUNCTION("""COMPUTED_VALUE"""),"ASTROWORLD")</f>
        <v>ASTROWORLD</v>
      </c>
      <c r="G2051">
        <f>IFERROR(__xludf.DUMMYFUNCTION("""COMPUTED_VALUE"""),1.0)</f>
        <v>1</v>
      </c>
      <c r="H2051" s="5">
        <f>IFERROR(__xludf.DUMMYFUNCTION("""COMPUTED_VALUE"""),0.21666666666715173)</f>
        <v>0.2166666667</v>
      </c>
    </row>
    <row r="2052">
      <c r="A2052" t="str">
        <f>IFERROR(__xludf.DUMMYFUNCTION("""COMPUTED_VALUE"""),"Nicaragua")</f>
        <v>Nicaragua</v>
      </c>
      <c r="B2052" t="str">
        <f>IFERROR(__xludf.DUMMYFUNCTION("""COMPUTED_VALUE"""),"North America")</f>
        <v>North America</v>
      </c>
      <c r="C2052">
        <f>IFERROR(__xludf.DUMMYFUNCTION("""COMPUTED_VALUE"""),1.0)</f>
        <v>1</v>
      </c>
      <c r="D2052" t="str">
        <f>IFERROR(__xludf.DUMMYFUNCTION("""COMPUTED_VALUE"""),"Safaera")</f>
        <v>Safaera</v>
      </c>
      <c r="E2052" t="str">
        <f>IFERROR(__xludf.DUMMYFUNCTION("""COMPUTED_VALUE"""),"Bad Bunny, Jowell &amp; Randy, Nengo Flow")</f>
        <v>Bad Bunny, Jowell &amp; Randy, Nengo Flow</v>
      </c>
      <c r="F2052" t="str">
        <f>IFERROR(__xludf.DUMMYFUNCTION("""COMPUTED_VALUE"""),"YHLQMDLG")</f>
        <v>YHLQMDLG</v>
      </c>
      <c r="G2052">
        <f>IFERROR(__xludf.DUMMYFUNCTION("""COMPUTED_VALUE"""),1.0)</f>
        <v>1</v>
      </c>
      <c r="H2052" s="5">
        <f>IFERROR(__xludf.DUMMYFUNCTION("""COMPUTED_VALUE"""),0.20486111110949423)</f>
        <v>0.2048611111</v>
      </c>
    </row>
    <row r="2053">
      <c r="A2053" t="str">
        <f>IFERROR(__xludf.DUMMYFUNCTION("""COMPUTED_VALUE"""),"Nicaragua")</f>
        <v>Nicaragua</v>
      </c>
      <c r="B2053" t="str">
        <f>IFERROR(__xludf.DUMMYFUNCTION("""COMPUTED_VALUE"""),"North America")</f>
        <v>North America</v>
      </c>
      <c r="C2053">
        <f>IFERROR(__xludf.DUMMYFUNCTION("""COMPUTED_VALUE"""),2.0)</f>
        <v>2</v>
      </c>
      <c r="D2053" t="str">
        <f>IFERROR(__xludf.DUMMYFUNCTION("""COMPUTED_VALUE"""),"Yo Perreo Sola")</f>
        <v>Yo Perreo Sola</v>
      </c>
      <c r="E2053" t="str">
        <f>IFERROR(__xludf.DUMMYFUNCTION("""COMPUTED_VALUE"""),"Bad Bunny")</f>
        <v>Bad Bunny</v>
      </c>
      <c r="F2053" t="str">
        <f>IFERROR(__xludf.DUMMYFUNCTION("""COMPUTED_VALUE"""),"YHLQMDLG")</f>
        <v>YHLQMDLG</v>
      </c>
      <c r="G2053">
        <f>IFERROR(__xludf.DUMMYFUNCTION("""COMPUTED_VALUE"""),0.0)</f>
        <v>0</v>
      </c>
      <c r="H2053" s="5">
        <f>IFERROR(__xludf.DUMMYFUNCTION("""COMPUTED_VALUE"""),0.11944444444452529)</f>
        <v>0.1194444444</v>
      </c>
    </row>
    <row r="2054">
      <c r="A2054" t="str">
        <f>IFERROR(__xludf.DUMMYFUNCTION("""COMPUTED_VALUE"""),"Nicaragua")</f>
        <v>Nicaragua</v>
      </c>
      <c r="B2054" t="str">
        <f>IFERROR(__xludf.DUMMYFUNCTION("""COMPUTED_VALUE"""),"North America")</f>
        <v>North America</v>
      </c>
      <c r="C2054">
        <f>IFERROR(__xludf.DUMMYFUNCTION("""COMPUTED_VALUE"""),3.0)</f>
        <v>3</v>
      </c>
      <c r="D2054" t="str">
        <f>IFERROR(__xludf.DUMMYFUNCTION("""COMPUTED_VALUE"""),"Rojo")</f>
        <v>Rojo</v>
      </c>
      <c r="E2054" t="str">
        <f>IFERROR(__xludf.DUMMYFUNCTION("""COMPUTED_VALUE"""),"J Balvin")</f>
        <v>J Balvin</v>
      </c>
      <c r="F2054" t="str">
        <f>IFERROR(__xludf.DUMMYFUNCTION("""COMPUTED_VALUE"""),"Colores")</f>
        <v>Colores</v>
      </c>
      <c r="G2054">
        <f>IFERROR(__xludf.DUMMYFUNCTION("""COMPUTED_VALUE"""),0.0)</f>
        <v>0</v>
      </c>
      <c r="H2054" s="5">
        <f>IFERROR(__xludf.DUMMYFUNCTION("""COMPUTED_VALUE"""),0.10416666666787933)</f>
        <v>0.1041666667</v>
      </c>
    </row>
    <row r="2055">
      <c r="A2055" t="str">
        <f>IFERROR(__xludf.DUMMYFUNCTION("""COMPUTED_VALUE"""),"Nicaragua")</f>
        <v>Nicaragua</v>
      </c>
      <c r="B2055" t="str">
        <f>IFERROR(__xludf.DUMMYFUNCTION("""COMPUTED_VALUE"""),"North America")</f>
        <v>North America</v>
      </c>
      <c r="C2055">
        <f>IFERROR(__xludf.DUMMYFUNCTION("""COMPUTED_VALUE"""),4.0)</f>
        <v>4</v>
      </c>
      <c r="D2055" t="str">
        <f>IFERROR(__xludf.DUMMYFUNCTION("""COMPUTED_VALUE"""),"Tattoo")</f>
        <v>Tattoo</v>
      </c>
      <c r="E2055" t="str">
        <f>IFERROR(__xludf.DUMMYFUNCTION("""COMPUTED_VALUE"""),"Rauw Alejandro")</f>
        <v>Rauw Alejandro</v>
      </c>
      <c r="F2055" t="str">
        <f>IFERROR(__xludf.DUMMYFUNCTION("""COMPUTED_VALUE"""),"Tattoo")</f>
        <v>Tattoo</v>
      </c>
      <c r="G2055">
        <f>IFERROR(__xludf.DUMMYFUNCTION("""COMPUTED_VALUE"""),0.0)</f>
        <v>0</v>
      </c>
      <c r="H2055" s="5">
        <f>IFERROR(__xludf.DUMMYFUNCTION("""COMPUTED_VALUE"""),0.14027777777664596)</f>
        <v>0.1402777778</v>
      </c>
    </row>
    <row r="2056">
      <c r="A2056" t="str">
        <f>IFERROR(__xludf.DUMMYFUNCTION("""COMPUTED_VALUE"""),"Nicaragua")</f>
        <v>Nicaragua</v>
      </c>
      <c r="B2056" t="str">
        <f>IFERROR(__xludf.DUMMYFUNCTION("""COMPUTED_VALUE"""),"North America")</f>
        <v>North America</v>
      </c>
      <c r="C2056">
        <f>IFERROR(__xludf.DUMMYFUNCTION("""COMPUTED_VALUE"""),5.0)</f>
        <v>5</v>
      </c>
      <c r="D2056" t="str">
        <f>IFERROR(__xludf.DUMMYFUNCTION("""COMPUTED_VALUE"""),"Si Veo a Tu Mamá")</f>
        <v>Si Veo a Tu Mamá</v>
      </c>
      <c r="E2056" t="str">
        <f>IFERROR(__xludf.DUMMYFUNCTION("""COMPUTED_VALUE"""),"Bad Bunny")</f>
        <v>Bad Bunny</v>
      </c>
      <c r="F2056" t="str">
        <f>IFERROR(__xludf.DUMMYFUNCTION("""COMPUTED_VALUE"""),"YHLQMDLG")</f>
        <v>YHLQMDLG</v>
      </c>
      <c r="G2056">
        <f>IFERROR(__xludf.DUMMYFUNCTION("""COMPUTED_VALUE"""),0.0)</f>
        <v>0</v>
      </c>
      <c r="H2056" s="5">
        <f>IFERROR(__xludf.DUMMYFUNCTION("""COMPUTED_VALUE"""),0.11805555555474712)</f>
        <v>0.1180555556</v>
      </c>
    </row>
    <row r="2057">
      <c r="A2057" t="str">
        <f>IFERROR(__xludf.DUMMYFUNCTION("""COMPUTED_VALUE"""),"Nicaragua")</f>
        <v>Nicaragua</v>
      </c>
      <c r="B2057" t="str">
        <f>IFERROR(__xludf.DUMMYFUNCTION("""COMPUTED_VALUE"""),"North America")</f>
        <v>North America</v>
      </c>
      <c r="C2057">
        <f>IFERROR(__xludf.DUMMYFUNCTION("""COMPUTED_VALUE"""),6.0)</f>
        <v>6</v>
      </c>
      <c r="D2057" t="str">
        <f>IFERROR(__xludf.DUMMYFUNCTION("""COMPUTED_VALUE"""),"Favorito")</f>
        <v>Favorito</v>
      </c>
      <c r="E2057" t="str">
        <f>IFERROR(__xludf.DUMMYFUNCTION("""COMPUTED_VALUE"""),"Camilo")</f>
        <v>Camilo</v>
      </c>
      <c r="F2057" t="str">
        <f>IFERROR(__xludf.DUMMYFUNCTION("""COMPUTED_VALUE"""),"Por Primera Vez")</f>
        <v>Por Primera Vez</v>
      </c>
      <c r="G2057">
        <f>IFERROR(__xludf.DUMMYFUNCTION("""COMPUTED_VALUE"""),0.0)</f>
        <v>0</v>
      </c>
      <c r="H2057" s="5">
        <f>IFERROR(__xludf.DUMMYFUNCTION("""COMPUTED_VALUE"""),0.14513888888905058)</f>
        <v>0.1451388889</v>
      </c>
    </row>
    <row r="2058">
      <c r="A2058" t="str">
        <f>IFERROR(__xludf.DUMMYFUNCTION("""COMPUTED_VALUE"""),"Nicaragua")</f>
        <v>Nicaragua</v>
      </c>
      <c r="B2058" t="str">
        <f>IFERROR(__xludf.DUMMYFUNCTION("""COMPUTED_VALUE"""),"North America")</f>
        <v>North America</v>
      </c>
      <c r="C2058">
        <f>IFERROR(__xludf.DUMMYFUNCTION("""COMPUTED_VALUE"""),7.0)</f>
        <v>7</v>
      </c>
      <c r="D2058" t="str">
        <f>IFERROR(__xludf.DUMMYFUNCTION("""COMPUTED_VALUE"""),"Blinding Lights")</f>
        <v>Blinding Lights</v>
      </c>
      <c r="E2058" t="str">
        <f>IFERROR(__xludf.DUMMYFUNCTION("""COMPUTED_VALUE"""),"The Weeknd")</f>
        <v>The Weeknd</v>
      </c>
      <c r="F2058" t="str">
        <f>IFERROR(__xludf.DUMMYFUNCTION("""COMPUTED_VALUE"""),"After Hours")</f>
        <v>After Hours</v>
      </c>
      <c r="G2058">
        <f>IFERROR(__xludf.DUMMYFUNCTION("""COMPUTED_VALUE"""),0.0)</f>
        <v>0</v>
      </c>
      <c r="H2058" s="5">
        <f>IFERROR(__xludf.DUMMYFUNCTION("""COMPUTED_VALUE"""),0.13888888889050577)</f>
        <v>0.1388888889</v>
      </c>
    </row>
    <row r="2059">
      <c r="A2059" t="str">
        <f>IFERROR(__xludf.DUMMYFUNCTION("""COMPUTED_VALUE"""),"Nicaragua")</f>
        <v>Nicaragua</v>
      </c>
      <c r="B2059" t="str">
        <f>IFERROR(__xludf.DUMMYFUNCTION("""COMPUTED_VALUE"""),"North America")</f>
        <v>North America</v>
      </c>
      <c r="C2059">
        <f>IFERROR(__xludf.DUMMYFUNCTION("""COMPUTED_VALUE"""),8.0)</f>
        <v>8</v>
      </c>
      <c r="D2059" t="str">
        <f>IFERROR(__xludf.DUMMYFUNCTION("""COMPUTED_VALUE"""),"Ignorantes")</f>
        <v>Ignorantes</v>
      </c>
      <c r="E2059" t="str">
        <f>IFERROR(__xludf.DUMMYFUNCTION("""COMPUTED_VALUE"""),"Bad Bunny, Sech")</f>
        <v>Bad Bunny, Sech</v>
      </c>
      <c r="F2059" t="str">
        <f>IFERROR(__xludf.DUMMYFUNCTION("""COMPUTED_VALUE"""),"YHLQMDLG")</f>
        <v>YHLQMDLG</v>
      </c>
      <c r="G2059">
        <f>IFERROR(__xludf.DUMMYFUNCTION("""COMPUTED_VALUE"""),1.0)</f>
        <v>1</v>
      </c>
      <c r="H2059" s="5">
        <f>IFERROR(__xludf.DUMMYFUNCTION("""COMPUTED_VALUE"""),0.14583333333212067)</f>
        <v>0.1458333333</v>
      </c>
    </row>
    <row r="2060">
      <c r="A2060" t="str">
        <f>IFERROR(__xludf.DUMMYFUNCTION("""COMPUTED_VALUE"""),"Nicaragua")</f>
        <v>Nicaragua</v>
      </c>
      <c r="B2060" t="str">
        <f>IFERROR(__xludf.DUMMYFUNCTION("""COMPUTED_VALUE"""),"North America")</f>
        <v>North America</v>
      </c>
      <c r="C2060">
        <f>IFERROR(__xludf.DUMMYFUNCTION("""COMPUTED_VALUE"""),9.0)</f>
        <v>9</v>
      </c>
      <c r="D2060" t="str">
        <f>IFERROR(__xludf.DUMMYFUNCTION("""COMPUTED_VALUE"""),"Diosa")</f>
        <v>Diosa</v>
      </c>
      <c r="E2060" t="str">
        <f>IFERROR(__xludf.DUMMYFUNCTION("""COMPUTED_VALUE"""),"Myke Towers")</f>
        <v>Myke Towers</v>
      </c>
      <c r="F2060" t="str">
        <f>IFERROR(__xludf.DUMMYFUNCTION("""COMPUTED_VALUE"""),"Easy Money Baby")</f>
        <v>Easy Money Baby</v>
      </c>
      <c r="G2060">
        <f>IFERROR(__xludf.DUMMYFUNCTION("""COMPUTED_VALUE"""),1.0)</f>
        <v>1</v>
      </c>
      <c r="H2060" s="5">
        <f>IFERROR(__xludf.DUMMYFUNCTION("""COMPUTED_VALUE"""),0.14861111111167702)</f>
        <v>0.1486111111</v>
      </c>
    </row>
    <row r="2061">
      <c r="A2061" t="str">
        <f>IFERROR(__xludf.DUMMYFUNCTION("""COMPUTED_VALUE"""),"Nicaragua")</f>
        <v>Nicaragua</v>
      </c>
      <c r="B2061" t="str">
        <f>IFERROR(__xludf.DUMMYFUNCTION("""COMPUTED_VALUE"""),"North America")</f>
        <v>North America</v>
      </c>
      <c r="C2061">
        <f>IFERROR(__xludf.DUMMYFUNCTION("""COMPUTED_VALUE"""),10.0)</f>
        <v>10</v>
      </c>
      <c r="D2061" t="str">
        <f>IFERROR(__xludf.DUMMYFUNCTION("""COMPUTED_VALUE"""),"BYE ME FUI")</f>
        <v>BYE ME FUI</v>
      </c>
      <c r="E2061" t="str">
        <f>IFERROR(__xludf.DUMMYFUNCTION("""COMPUTED_VALUE"""),"Bad Bunny")</f>
        <v>Bad Bunny</v>
      </c>
      <c r="F2061" t="str">
        <f>IFERROR(__xludf.DUMMYFUNCTION("""COMPUTED_VALUE"""),"LAS QUE NO IBAN A SALIR")</f>
        <v>LAS QUE NO IBAN A SALIR</v>
      </c>
      <c r="G2061">
        <f>IFERROR(__xludf.DUMMYFUNCTION("""COMPUTED_VALUE"""),1.0)</f>
        <v>1</v>
      </c>
      <c r="H2061" s="5">
        <f>IFERROR(__xludf.DUMMYFUNCTION("""COMPUTED_VALUE"""),0.12361111111022183)</f>
        <v>0.1236111111</v>
      </c>
    </row>
    <row r="2062">
      <c r="A2062" t="str">
        <f>IFERROR(__xludf.DUMMYFUNCTION("""COMPUTED_VALUE"""),"Nicaragua")</f>
        <v>Nicaragua</v>
      </c>
      <c r="B2062" t="str">
        <f>IFERROR(__xludf.DUMMYFUNCTION("""COMPUTED_VALUE"""),"North America")</f>
        <v>North America</v>
      </c>
      <c r="C2062">
        <f>IFERROR(__xludf.DUMMYFUNCTION("""COMPUTED_VALUE"""),11.0)</f>
        <v>11</v>
      </c>
      <c r="D2062" t="str">
        <f>IFERROR(__xludf.DUMMYFUNCTION("""COMPUTED_VALUE"""),"A Tu Merced")</f>
        <v>A Tu Merced</v>
      </c>
      <c r="E2062" t="str">
        <f>IFERROR(__xludf.DUMMYFUNCTION("""COMPUTED_VALUE"""),"Bad Bunny")</f>
        <v>Bad Bunny</v>
      </c>
      <c r="F2062" t="str">
        <f>IFERROR(__xludf.DUMMYFUNCTION("""COMPUTED_VALUE"""),"YHLQMDLG")</f>
        <v>YHLQMDLG</v>
      </c>
      <c r="G2062">
        <f>IFERROR(__xludf.DUMMYFUNCTION("""COMPUTED_VALUE"""),0.0)</f>
        <v>0</v>
      </c>
      <c r="H2062" s="5">
        <f>IFERROR(__xludf.DUMMYFUNCTION("""COMPUTED_VALUE"""),0.12152777777737356)</f>
        <v>0.1215277778</v>
      </c>
    </row>
    <row r="2063">
      <c r="A2063" t="str">
        <f>IFERROR(__xludf.DUMMYFUNCTION("""COMPUTED_VALUE"""),"Nicaragua")</f>
        <v>Nicaragua</v>
      </c>
      <c r="B2063" t="str">
        <f>IFERROR(__xludf.DUMMYFUNCTION("""COMPUTED_VALUE"""),"North America")</f>
        <v>North America</v>
      </c>
      <c r="C2063">
        <f>IFERROR(__xludf.DUMMYFUNCTION("""COMPUTED_VALUE"""),12.0)</f>
        <v>12</v>
      </c>
      <c r="D2063" t="str">
        <f>IFERROR(__xludf.DUMMYFUNCTION("""COMPUTED_VALUE"""),"La Difícil")</f>
        <v>La Difícil</v>
      </c>
      <c r="E2063" t="str">
        <f>IFERROR(__xludf.DUMMYFUNCTION("""COMPUTED_VALUE"""),"Bad Bunny")</f>
        <v>Bad Bunny</v>
      </c>
      <c r="F2063" t="str">
        <f>IFERROR(__xludf.DUMMYFUNCTION("""COMPUTED_VALUE"""),"YHLQMDLG")</f>
        <v>YHLQMDLG</v>
      </c>
      <c r="G2063">
        <f>IFERROR(__xludf.DUMMYFUNCTION("""COMPUTED_VALUE"""),1.0)</f>
        <v>1</v>
      </c>
      <c r="H2063" s="5">
        <f>IFERROR(__xludf.DUMMYFUNCTION("""COMPUTED_VALUE"""),0.11319444444598048)</f>
        <v>0.1131944444</v>
      </c>
    </row>
    <row r="2064">
      <c r="A2064" t="str">
        <f>IFERROR(__xludf.DUMMYFUNCTION("""COMPUTED_VALUE"""),"Nicaragua")</f>
        <v>Nicaragua</v>
      </c>
      <c r="B2064" t="str">
        <f>IFERROR(__xludf.DUMMYFUNCTION("""COMPUTED_VALUE"""),"North America")</f>
        <v>North America</v>
      </c>
      <c r="C2064">
        <f>IFERROR(__xludf.DUMMYFUNCTION("""COMPUTED_VALUE"""),13.0)</f>
        <v>13</v>
      </c>
      <c r="D2064" t="str">
        <f>IFERROR(__xludf.DUMMYFUNCTION("""COMPUTED_VALUE"""),"La Santa")</f>
        <v>La Santa</v>
      </c>
      <c r="E2064" t="str">
        <f>IFERROR(__xludf.DUMMYFUNCTION("""COMPUTED_VALUE"""),"Bad Bunny, Daddy Yankee")</f>
        <v>Bad Bunny, Daddy Yankee</v>
      </c>
      <c r="F2064" t="str">
        <f>IFERROR(__xludf.DUMMYFUNCTION("""COMPUTED_VALUE"""),"YHLQMDLG")</f>
        <v>YHLQMDLG</v>
      </c>
      <c r="G2064">
        <f>IFERROR(__xludf.DUMMYFUNCTION("""COMPUTED_VALUE"""),1.0)</f>
        <v>1</v>
      </c>
      <c r="H2064" s="5">
        <f>IFERROR(__xludf.DUMMYFUNCTION("""COMPUTED_VALUE"""),0.1430555555562023)</f>
        <v>0.1430555556</v>
      </c>
    </row>
    <row r="2065">
      <c r="A2065" t="str">
        <f>IFERROR(__xludf.DUMMYFUNCTION("""COMPUTED_VALUE"""),"Nicaragua")</f>
        <v>Nicaragua</v>
      </c>
      <c r="B2065" t="str">
        <f>IFERROR(__xludf.DUMMYFUNCTION("""COMPUTED_VALUE"""),"North America")</f>
        <v>North America</v>
      </c>
      <c r="C2065">
        <f>IFERROR(__xludf.DUMMYFUNCTION("""COMPUTED_VALUE"""),14.0)</f>
        <v>14</v>
      </c>
      <c r="D2065" t="str">
        <f>IFERROR(__xludf.DUMMYFUNCTION("""COMPUTED_VALUE"""),"Rain On Me (with Ariana Grande)")</f>
        <v>Rain On Me (with Ariana Grande)</v>
      </c>
      <c r="E2065" t="str">
        <f>IFERROR(__xludf.DUMMYFUNCTION("""COMPUTED_VALUE"""),"Lady Gaga, Ariana Grande")</f>
        <v>Lady Gaga, Ariana Grande</v>
      </c>
      <c r="F2065" t="str">
        <f>IFERROR(__xludf.DUMMYFUNCTION("""COMPUTED_VALUE"""),"Rain On Me (with Ariana Grande)")</f>
        <v>Rain On Me (with Ariana Grande)</v>
      </c>
      <c r="G2065">
        <f>IFERROR(__xludf.DUMMYFUNCTION("""COMPUTED_VALUE"""),0.0)</f>
        <v>0</v>
      </c>
      <c r="H2065" s="5">
        <f>IFERROR(__xludf.DUMMYFUNCTION("""COMPUTED_VALUE"""),0.12638888888977817)</f>
        <v>0.1263888889</v>
      </c>
    </row>
    <row r="2066">
      <c r="A2066" t="str">
        <f>IFERROR(__xludf.DUMMYFUNCTION("""COMPUTED_VALUE"""),"Nicaragua")</f>
        <v>Nicaragua</v>
      </c>
      <c r="B2066" t="str">
        <f>IFERROR(__xludf.DUMMYFUNCTION("""COMPUTED_VALUE"""),"North America")</f>
        <v>North America</v>
      </c>
      <c r="C2066">
        <f>IFERROR(__xludf.DUMMYFUNCTION("""COMPUTED_VALUE"""),15.0)</f>
        <v>15</v>
      </c>
      <c r="D2066" t="str">
        <f>IFERROR(__xludf.DUMMYFUNCTION("""COMPUTED_VALUE"""),"CÓMO SE SIENTE - Remix")</f>
        <v>CÓMO SE SIENTE - Remix</v>
      </c>
      <c r="E2066" t="str">
        <f>IFERROR(__xludf.DUMMYFUNCTION("""COMPUTED_VALUE"""),"Jhay Cortez, Bad Bunny")</f>
        <v>Jhay Cortez, Bad Bunny</v>
      </c>
      <c r="F2066" t="str">
        <f>IFERROR(__xludf.DUMMYFUNCTION("""COMPUTED_VALUE"""),"CÓMO SE SIENTE (Remix)")</f>
        <v>CÓMO SE SIENTE (Remix)</v>
      </c>
      <c r="G2066">
        <f>IFERROR(__xludf.DUMMYFUNCTION("""COMPUTED_VALUE"""),1.0)</f>
        <v>1</v>
      </c>
      <c r="H2066" s="5">
        <f>IFERROR(__xludf.DUMMYFUNCTION("""COMPUTED_VALUE"""),0.15763888888977817)</f>
        <v>0.1576388889</v>
      </c>
    </row>
    <row r="2067">
      <c r="A2067" t="str">
        <f>IFERROR(__xludf.DUMMYFUNCTION("""COMPUTED_VALUE"""),"Nicaragua")</f>
        <v>Nicaragua</v>
      </c>
      <c r="B2067" t="str">
        <f>IFERROR(__xludf.DUMMYFUNCTION("""COMPUTED_VALUE"""),"North America")</f>
        <v>North America</v>
      </c>
      <c r="C2067">
        <f>IFERROR(__xludf.DUMMYFUNCTION("""COMPUTED_VALUE"""),16.0)</f>
        <v>16</v>
      </c>
      <c r="D2067" t="str">
        <f>IFERROR(__xludf.DUMMYFUNCTION("""COMPUTED_VALUE"""),"Vete")</f>
        <v>Vete</v>
      </c>
      <c r="E2067" t="str">
        <f>IFERROR(__xludf.DUMMYFUNCTION("""COMPUTED_VALUE"""),"Bad Bunny")</f>
        <v>Bad Bunny</v>
      </c>
      <c r="F2067" t="str">
        <f>IFERROR(__xludf.DUMMYFUNCTION("""COMPUTED_VALUE"""),"YHLQMDLG")</f>
        <v>YHLQMDLG</v>
      </c>
      <c r="G2067">
        <f>IFERROR(__xludf.DUMMYFUNCTION("""COMPUTED_VALUE"""),1.0)</f>
        <v>1</v>
      </c>
      <c r="H2067" s="5">
        <f>IFERROR(__xludf.DUMMYFUNCTION("""COMPUTED_VALUE"""),0.13333333333503106)</f>
        <v>0.1333333333</v>
      </c>
    </row>
    <row r="2068">
      <c r="A2068" t="str">
        <f>IFERROR(__xludf.DUMMYFUNCTION("""COMPUTED_VALUE"""),"Nicaragua")</f>
        <v>Nicaragua</v>
      </c>
      <c r="B2068" t="str">
        <f>IFERROR(__xludf.DUMMYFUNCTION("""COMPUTED_VALUE"""),"North America")</f>
        <v>North America</v>
      </c>
      <c r="C2068">
        <f>IFERROR(__xludf.DUMMYFUNCTION("""COMPUTED_VALUE"""),17.0)</f>
        <v>17</v>
      </c>
      <c r="D2068" t="str">
        <f>IFERROR(__xludf.DUMMYFUNCTION("""COMPUTED_VALUE"""),"Tusa")</f>
        <v>Tusa</v>
      </c>
      <c r="E2068" t="str">
        <f>IFERROR(__xludf.DUMMYFUNCTION("""COMPUTED_VALUE"""),"KAROL G, Nicki Minaj")</f>
        <v>KAROL G, Nicki Minaj</v>
      </c>
      <c r="F2068" t="str">
        <f>IFERROR(__xludf.DUMMYFUNCTION("""COMPUTED_VALUE"""),"Tusa")</f>
        <v>Tusa</v>
      </c>
      <c r="G2068">
        <f>IFERROR(__xludf.DUMMYFUNCTION("""COMPUTED_VALUE"""),0.0)</f>
        <v>0</v>
      </c>
      <c r="H2068" s="5">
        <f>IFERROR(__xludf.DUMMYFUNCTION("""COMPUTED_VALUE"""),0.13888888889050577)</f>
        <v>0.1388888889</v>
      </c>
    </row>
    <row r="2069">
      <c r="A2069" t="str">
        <f>IFERROR(__xludf.DUMMYFUNCTION("""COMPUTED_VALUE"""),"Nicaragua")</f>
        <v>Nicaragua</v>
      </c>
      <c r="B2069" t="str">
        <f>IFERROR(__xludf.DUMMYFUNCTION("""COMPUTED_VALUE"""),"North America")</f>
        <v>North America</v>
      </c>
      <c r="C2069">
        <f>IFERROR(__xludf.DUMMYFUNCTION("""COMPUTED_VALUE"""),18.0)</f>
        <v>18</v>
      </c>
      <c r="D2069" t="str">
        <f>IFERROR(__xludf.DUMMYFUNCTION("""COMPUTED_VALUE"""),"LA CANCIÓN")</f>
        <v>LA CANCIÓN</v>
      </c>
      <c r="E2069" t="str">
        <f>IFERROR(__xludf.DUMMYFUNCTION("""COMPUTED_VALUE"""),"J Balvin, Bad Bunny")</f>
        <v>J Balvin, Bad Bunny</v>
      </c>
      <c r="F2069" t="str">
        <f>IFERROR(__xludf.DUMMYFUNCTION("""COMPUTED_VALUE"""),"OASIS")</f>
        <v>OASIS</v>
      </c>
      <c r="G2069">
        <f>IFERROR(__xludf.DUMMYFUNCTION("""COMPUTED_VALUE"""),0.0)</f>
        <v>0</v>
      </c>
      <c r="H2069" s="5">
        <f>IFERROR(__xludf.DUMMYFUNCTION("""COMPUTED_VALUE"""),0.16805555555401952)</f>
        <v>0.1680555556</v>
      </c>
    </row>
    <row r="2070">
      <c r="A2070" t="str">
        <f>IFERROR(__xludf.DUMMYFUNCTION("""COMPUTED_VALUE"""),"Nicaragua")</f>
        <v>Nicaragua</v>
      </c>
      <c r="B2070" t="str">
        <f>IFERROR(__xludf.DUMMYFUNCTION("""COMPUTED_VALUE"""),"North America")</f>
        <v>North America</v>
      </c>
      <c r="C2070">
        <f>IFERROR(__xludf.DUMMYFUNCTION("""COMPUTED_VALUE"""),19.0)</f>
        <v>19</v>
      </c>
      <c r="D2070" t="str">
        <f>IFERROR(__xludf.DUMMYFUNCTION("""COMPUTED_VALUE"""),"Fantasias")</f>
        <v>Fantasias</v>
      </c>
      <c r="E2070" t="str">
        <f>IFERROR(__xludf.DUMMYFUNCTION("""COMPUTED_VALUE"""),"Rauw Alejandro, Farruko")</f>
        <v>Rauw Alejandro, Farruko</v>
      </c>
      <c r="F2070" t="str">
        <f>IFERROR(__xludf.DUMMYFUNCTION("""COMPUTED_VALUE"""),"Fantasias")</f>
        <v>Fantasias</v>
      </c>
      <c r="G2070">
        <f>IFERROR(__xludf.DUMMYFUNCTION("""COMPUTED_VALUE"""),0.0)</f>
        <v>0</v>
      </c>
      <c r="H2070" s="5">
        <f>IFERROR(__xludf.DUMMYFUNCTION("""COMPUTED_VALUE"""),0.1381944444437977)</f>
        <v>0.1381944444</v>
      </c>
    </row>
    <row r="2071">
      <c r="A2071" t="str">
        <f>IFERROR(__xludf.DUMMYFUNCTION("""COMPUTED_VALUE"""),"Nicaragua")</f>
        <v>Nicaragua</v>
      </c>
      <c r="B2071" t="str">
        <f>IFERROR(__xludf.DUMMYFUNCTION("""COMPUTED_VALUE"""),"North America")</f>
        <v>North America</v>
      </c>
      <c r="C2071">
        <f>IFERROR(__xludf.DUMMYFUNCTION("""COMPUTED_VALUE"""),20.0)</f>
        <v>20</v>
      </c>
      <c r="D2071" t="str">
        <f>IFERROR(__xludf.DUMMYFUNCTION("""COMPUTED_VALUE"""),"CANCIÓN CON YANDEL")</f>
        <v>CANCIÓN CON YANDEL</v>
      </c>
      <c r="E2071" t="str">
        <f>IFERROR(__xludf.DUMMYFUNCTION("""COMPUTED_VALUE"""),"Yandel, Bad Bunny")</f>
        <v>Yandel, Bad Bunny</v>
      </c>
      <c r="F2071" t="str">
        <f>IFERROR(__xludf.DUMMYFUNCTION("""COMPUTED_VALUE"""),"LAS QUE NO IBAN A SALIR")</f>
        <v>LAS QUE NO IBAN A SALIR</v>
      </c>
      <c r="G2071">
        <f>IFERROR(__xludf.DUMMYFUNCTION("""COMPUTED_VALUE"""),1.0)</f>
        <v>1</v>
      </c>
      <c r="H2071" s="5">
        <f>IFERROR(__xludf.DUMMYFUNCTION("""COMPUTED_VALUE"""),0.14513888888905058)</f>
        <v>0.1451388889</v>
      </c>
    </row>
    <row r="2072">
      <c r="A2072" t="str">
        <f>IFERROR(__xludf.DUMMYFUNCTION("""COMPUTED_VALUE"""),"Nicaragua")</f>
        <v>Nicaragua</v>
      </c>
      <c r="B2072" t="str">
        <f>IFERROR(__xludf.DUMMYFUNCTION("""COMPUTED_VALUE"""),"North America")</f>
        <v>North America</v>
      </c>
      <c r="C2072">
        <f>IFERROR(__xludf.DUMMYFUNCTION("""COMPUTED_VALUE"""),21.0)</f>
        <v>21</v>
      </c>
      <c r="D2072" t="str">
        <f>IFERROR(__xludf.DUMMYFUNCTION("""COMPUTED_VALUE"""),"Amarillo")</f>
        <v>Amarillo</v>
      </c>
      <c r="E2072" t="str">
        <f>IFERROR(__xludf.DUMMYFUNCTION("""COMPUTED_VALUE"""),"J Balvin")</f>
        <v>J Balvin</v>
      </c>
      <c r="F2072" t="str">
        <f>IFERROR(__xludf.DUMMYFUNCTION("""COMPUTED_VALUE"""),"Colores")</f>
        <v>Colores</v>
      </c>
      <c r="G2072">
        <f>IFERROR(__xludf.DUMMYFUNCTION("""COMPUTED_VALUE"""),0.0)</f>
        <v>0</v>
      </c>
      <c r="H2072" s="5">
        <f>IFERROR(__xludf.DUMMYFUNCTION("""COMPUTED_VALUE"""),0.10902777777664596)</f>
        <v>0.1090277778</v>
      </c>
    </row>
    <row r="2073">
      <c r="A2073" t="str">
        <f>IFERROR(__xludf.DUMMYFUNCTION("""COMPUTED_VALUE"""),"Nicaragua")</f>
        <v>Nicaragua</v>
      </c>
      <c r="B2073" t="str">
        <f>IFERROR(__xludf.DUMMYFUNCTION("""COMPUTED_VALUE"""),"North America")</f>
        <v>North America</v>
      </c>
      <c r="C2073">
        <f>IFERROR(__xludf.DUMMYFUNCTION("""COMPUTED_VALUE"""),22.0)</f>
        <v>22</v>
      </c>
      <c r="D2073" t="str">
        <f>IFERROR(__xludf.DUMMYFUNCTION("""COMPUTED_VALUE"""),"No Me Conoce - Remix")</f>
        <v>No Me Conoce - Remix</v>
      </c>
      <c r="E2073" t="str">
        <f>IFERROR(__xludf.DUMMYFUNCTION("""COMPUTED_VALUE"""),"Jhay Cortez, J Balvin, Bad Bunny")</f>
        <v>Jhay Cortez, J Balvin, Bad Bunny</v>
      </c>
      <c r="F2073" t="str">
        <f>IFERROR(__xludf.DUMMYFUNCTION("""COMPUTED_VALUE"""),"Famouz")</f>
        <v>Famouz</v>
      </c>
      <c r="G2073">
        <f>IFERROR(__xludf.DUMMYFUNCTION("""COMPUTED_VALUE"""),0.0)</f>
        <v>0</v>
      </c>
      <c r="H2073" s="5">
        <f>IFERROR(__xludf.DUMMYFUNCTION("""COMPUTED_VALUE"""),0.21458333333430346)</f>
        <v>0.2145833333</v>
      </c>
    </row>
    <row r="2074">
      <c r="A2074" t="str">
        <f>IFERROR(__xludf.DUMMYFUNCTION("""COMPUTED_VALUE"""),"Nicaragua")</f>
        <v>Nicaragua</v>
      </c>
      <c r="B2074" t="str">
        <f>IFERROR(__xludf.DUMMYFUNCTION("""COMPUTED_VALUE"""),"North America")</f>
        <v>North America</v>
      </c>
      <c r="C2074">
        <f>IFERROR(__xludf.DUMMYFUNCTION("""COMPUTED_VALUE"""),23.0)</f>
        <v>23</v>
      </c>
      <c r="D2074" t="str">
        <f>IFERROR(__xludf.DUMMYFUNCTION("""COMPUTED_VALUE"""),"PA' ROMPERLA")</f>
        <v>PA' ROMPERLA</v>
      </c>
      <c r="E2074" t="str">
        <f>IFERROR(__xludf.DUMMYFUNCTION("""COMPUTED_VALUE"""),"Bad Bunny, Don Omar")</f>
        <v>Bad Bunny, Don Omar</v>
      </c>
      <c r="F2074" t="str">
        <f>IFERROR(__xludf.DUMMYFUNCTION("""COMPUTED_VALUE"""),"LAS QUE NO IBAN A SALIR")</f>
        <v>LAS QUE NO IBAN A SALIR</v>
      </c>
      <c r="G2074">
        <f>IFERROR(__xludf.DUMMYFUNCTION("""COMPUTED_VALUE"""),1.0)</f>
        <v>1</v>
      </c>
      <c r="H2074" s="5">
        <f>IFERROR(__xludf.DUMMYFUNCTION("""COMPUTED_VALUE"""),0.13472222222117125)</f>
        <v>0.1347222222</v>
      </c>
    </row>
    <row r="2075">
      <c r="A2075" t="str">
        <f>IFERROR(__xludf.DUMMYFUNCTION("""COMPUTED_VALUE"""),"Nicaragua")</f>
        <v>Nicaragua</v>
      </c>
      <c r="B2075" t="str">
        <f>IFERROR(__xludf.DUMMYFUNCTION("""COMPUTED_VALUE"""),"North America")</f>
        <v>North America</v>
      </c>
      <c r="C2075">
        <f>IFERROR(__xludf.DUMMYFUNCTION("""COMPUTED_VALUE"""),24.0)</f>
        <v>24</v>
      </c>
      <c r="D2075" t="str">
        <f>IFERROR(__xludf.DUMMYFUNCTION("""COMPUTED_VALUE"""),"Pa' Olvidarme De Ella")</f>
        <v>Pa' Olvidarme De Ella</v>
      </c>
      <c r="E2075" t="str">
        <f>IFERROR(__xludf.DUMMYFUNCTION("""COMPUTED_VALUE"""),"Piso 21, Christian Nodal")</f>
        <v>Piso 21, Christian Nodal</v>
      </c>
      <c r="F2075" t="str">
        <f>IFERROR(__xludf.DUMMYFUNCTION("""COMPUTED_VALUE"""),"Pa' Olvidarme De Ella")</f>
        <v>Pa' Olvidarme De Ella</v>
      </c>
      <c r="G2075">
        <f>IFERROR(__xludf.DUMMYFUNCTION("""COMPUTED_VALUE"""),1.0)</f>
        <v>1</v>
      </c>
      <c r="H2075" s="5">
        <f>IFERROR(__xludf.DUMMYFUNCTION("""COMPUTED_VALUE"""),0.15763888888977817)</f>
        <v>0.1576388889</v>
      </c>
    </row>
    <row r="2076">
      <c r="A2076" t="str">
        <f>IFERROR(__xludf.DUMMYFUNCTION("""COMPUTED_VALUE"""),"Nicaragua")</f>
        <v>Nicaragua</v>
      </c>
      <c r="B2076" t="str">
        <f>IFERROR(__xludf.DUMMYFUNCTION("""COMPUTED_VALUE"""),"North America")</f>
        <v>North America</v>
      </c>
      <c r="C2076">
        <f>IFERROR(__xludf.DUMMYFUNCTION("""COMPUTED_VALUE"""),25.0)</f>
        <v>25</v>
      </c>
      <c r="D2076" t="str">
        <f>IFERROR(__xludf.DUMMYFUNCTION("""COMPUTED_VALUE"""),"Sigues Con El")</f>
        <v>Sigues Con El</v>
      </c>
      <c r="E2076" t="str">
        <f>IFERROR(__xludf.DUMMYFUNCTION("""COMPUTED_VALUE"""),"Dímelo Flow, Arcangel, Sech")</f>
        <v>Dímelo Flow, Arcangel, Sech</v>
      </c>
      <c r="F2076" t="str">
        <f>IFERROR(__xludf.DUMMYFUNCTION("""COMPUTED_VALUE"""),"Sigues Con El")</f>
        <v>Sigues Con El</v>
      </c>
      <c r="G2076">
        <f>IFERROR(__xludf.DUMMYFUNCTION("""COMPUTED_VALUE"""),0.0)</f>
        <v>0</v>
      </c>
      <c r="H2076" s="5">
        <f>IFERROR(__xludf.DUMMYFUNCTION("""COMPUTED_VALUE"""),0.1569444444430701)</f>
        <v>0.1569444444</v>
      </c>
    </row>
    <row r="2077">
      <c r="A2077" t="str">
        <f>IFERROR(__xludf.DUMMYFUNCTION("""COMPUTED_VALUE"""),"Nicaragua")</f>
        <v>Nicaragua</v>
      </c>
      <c r="B2077" t="str">
        <f>IFERROR(__xludf.DUMMYFUNCTION("""COMPUTED_VALUE"""),"North America")</f>
        <v>North America</v>
      </c>
      <c r="C2077">
        <f>IFERROR(__xludf.DUMMYFUNCTION("""COMPUTED_VALUE"""),26.0)</f>
        <v>26</v>
      </c>
      <c r="D2077" t="str">
        <f>IFERROR(__xludf.DUMMYFUNCTION("""COMPUTED_VALUE"""),"Don't Start Now")</f>
        <v>Don't Start Now</v>
      </c>
      <c r="E2077" t="str">
        <f>IFERROR(__xludf.DUMMYFUNCTION("""COMPUTED_VALUE"""),"Dua Lipa")</f>
        <v>Dua Lipa</v>
      </c>
      <c r="F2077" t="str">
        <f>IFERROR(__xludf.DUMMYFUNCTION("""COMPUTED_VALUE"""),"Future Nostalgia")</f>
        <v>Future Nostalgia</v>
      </c>
      <c r="G2077">
        <f>IFERROR(__xludf.DUMMYFUNCTION("""COMPUTED_VALUE"""),0.0)</f>
        <v>0</v>
      </c>
      <c r="H2077" s="5">
        <f>IFERROR(__xludf.DUMMYFUNCTION("""COMPUTED_VALUE"""),0.12708333333284827)</f>
        <v>0.1270833333</v>
      </c>
    </row>
    <row r="2078">
      <c r="A2078" t="str">
        <f>IFERROR(__xludf.DUMMYFUNCTION("""COMPUTED_VALUE"""),"Nicaragua")</f>
        <v>Nicaragua</v>
      </c>
      <c r="B2078" t="str">
        <f>IFERROR(__xludf.DUMMYFUNCTION("""COMPUTED_VALUE"""),"North America")</f>
        <v>North America</v>
      </c>
      <c r="C2078">
        <f>IFERROR(__xludf.DUMMYFUNCTION("""COMPUTED_VALUE"""),27.0)</f>
        <v>27</v>
      </c>
      <c r="D2078" t="str">
        <f>IFERROR(__xludf.DUMMYFUNCTION("""COMPUTED_VALUE"""),"Hola - Remix")</f>
        <v>Hola - Remix</v>
      </c>
      <c r="E2078" t="str">
        <f>IFERROR(__xludf.DUMMYFUNCTION("""COMPUTED_VALUE"""),"Dalex, Lenny Tavárez, Chencho Corleone, Juhn, Dímelo Flow")</f>
        <v>Dalex, Lenny Tavárez, Chencho Corleone, Juhn, Dímelo Flow</v>
      </c>
      <c r="F2078" t="str">
        <f>IFERROR(__xludf.DUMMYFUNCTION("""COMPUTED_VALUE"""),"Hola (Remix)")</f>
        <v>Hola (Remix)</v>
      </c>
      <c r="G2078">
        <f>IFERROR(__xludf.DUMMYFUNCTION("""COMPUTED_VALUE"""),0.0)</f>
        <v>0</v>
      </c>
      <c r="H2078" s="5">
        <f>IFERROR(__xludf.DUMMYFUNCTION("""COMPUTED_VALUE"""),0.17291666666642413)</f>
        <v>0.1729166667</v>
      </c>
    </row>
    <row r="2079">
      <c r="A2079" t="str">
        <f>IFERROR(__xludf.DUMMYFUNCTION("""COMPUTED_VALUE"""),"Nicaragua")</f>
        <v>Nicaragua</v>
      </c>
      <c r="B2079" t="str">
        <f>IFERROR(__xludf.DUMMYFUNCTION("""COMPUTED_VALUE"""),"North America")</f>
        <v>North America</v>
      </c>
      <c r="C2079">
        <f>IFERROR(__xludf.DUMMYFUNCTION("""COMPUTED_VALUE"""),28.0)</f>
        <v>28</v>
      </c>
      <c r="D2079" t="str">
        <f>IFERROR(__xludf.DUMMYFUNCTION("""COMPUTED_VALUE"""),"Morado")</f>
        <v>Morado</v>
      </c>
      <c r="E2079" t="str">
        <f>IFERROR(__xludf.DUMMYFUNCTION("""COMPUTED_VALUE"""),"J Balvin")</f>
        <v>J Balvin</v>
      </c>
      <c r="F2079" t="str">
        <f>IFERROR(__xludf.DUMMYFUNCTION("""COMPUTED_VALUE"""),"Colores")</f>
        <v>Colores</v>
      </c>
      <c r="G2079">
        <f>IFERROR(__xludf.DUMMYFUNCTION("""COMPUTED_VALUE"""),0.0)</f>
        <v>0</v>
      </c>
      <c r="H2079" s="5">
        <f>IFERROR(__xludf.DUMMYFUNCTION("""COMPUTED_VALUE"""),0.13888888889050577)</f>
        <v>0.1388888889</v>
      </c>
    </row>
    <row r="2080">
      <c r="A2080" t="str">
        <f>IFERROR(__xludf.DUMMYFUNCTION("""COMPUTED_VALUE"""),"Nicaragua")</f>
        <v>Nicaragua</v>
      </c>
      <c r="B2080" t="str">
        <f>IFERROR(__xludf.DUMMYFUNCTION("""COMPUTED_VALUE"""),"North America")</f>
        <v>North America</v>
      </c>
      <c r="C2080">
        <f>IFERROR(__xludf.DUMMYFUNCTION("""COMPUTED_VALUE"""),29.0)</f>
        <v>29</v>
      </c>
      <c r="D2080" t="str">
        <f>IFERROR(__xludf.DUMMYFUNCTION("""COMPUTED_VALUE"""),"Callaita")</f>
        <v>Callaita</v>
      </c>
      <c r="E2080" t="str">
        <f>IFERROR(__xludf.DUMMYFUNCTION("""COMPUTED_VALUE"""),"Bad Bunny, Tainy")</f>
        <v>Bad Bunny, Tainy</v>
      </c>
      <c r="F2080" t="str">
        <f>IFERROR(__xludf.DUMMYFUNCTION("""COMPUTED_VALUE"""),"Callaita")</f>
        <v>Callaita</v>
      </c>
      <c r="G2080">
        <f>IFERROR(__xludf.DUMMYFUNCTION("""COMPUTED_VALUE"""),1.0)</f>
        <v>1</v>
      </c>
      <c r="H2080" s="5">
        <f>IFERROR(__xludf.DUMMYFUNCTION("""COMPUTED_VALUE"""),0.17361111110949423)</f>
        <v>0.1736111111</v>
      </c>
    </row>
    <row r="2081">
      <c r="A2081" t="str">
        <f>IFERROR(__xludf.DUMMYFUNCTION("""COMPUTED_VALUE"""),"Nicaragua")</f>
        <v>Nicaragua</v>
      </c>
      <c r="B2081" t="str">
        <f>IFERROR(__xludf.DUMMYFUNCTION("""COMPUTED_VALUE"""),"North America")</f>
        <v>North America</v>
      </c>
      <c r="C2081">
        <f>IFERROR(__xludf.DUMMYFUNCTION("""COMPUTED_VALUE"""),30.0)</f>
        <v>30</v>
      </c>
      <c r="D2081" t="str">
        <f>IFERROR(__xludf.DUMMYFUNCTION("""COMPUTED_VALUE"""),"Dance Monkey")</f>
        <v>Dance Monkey</v>
      </c>
      <c r="E2081" t="str">
        <f>IFERROR(__xludf.DUMMYFUNCTION("""COMPUTED_VALUE"""),"Tones And I")</f>
        <v>Tones And I</v>
      </c>
      <c r="F2081" t="str">
        <f>IFERROR(__xludf.DUMMYFUNCTION("""COMPUTED_VALUE"""),"Dance Monkey (Stripped Back) / Dance Monkey")</f>
        <v>Dance Monkey (Stripped Back) / Dance Monkey</v>
      </c>
      <c r="G2081">
        <f>IFERROR(__xludf.DUMMYFUNCTION("""COMPUTED_VALUE"""),0.0)</f>
        <v>0</v>
      </c>
      <c r="H2081" s="5">
        <f>IFERROR(__xludf.DUMMYFUNCTION("""COMPUTED_VALUE"""),0.14513888888905058)</f>
        <v>0.1451388889</v>
      </c>
    </row>
    <row r="2082">
      <c r="A2082" t="str">
        <f>IFERROR(__xludf.DUMMYFUNCTION("""COMPUTED_VALUE"""),"Nicaragua")</f>
        <v>Nicaragua</v>
      </c>
      <c r="B2082" t="str">
        <f>IFERROR(__xludf.DUMMYFUNCTION("""COMPUTED_VALUE"""),"North America")</f>
        <v>North America</v>
      </c>
      <c r="C2082">
        <f>IFERROR(__xludf.DUMMYFUNCTION("""COMPUTED_VALUE"""),31.0)</f>
        <v>31</v>
      </c>
      <c r="D2082" t="str">
        <f>IFERROR(__xludf.DUMMYFUNCTION("""COMPUTED_VALUE"""),"BAD CON NICKY")</f>
        <v>BAD CON NICKY</v>
      </c>
      <c r="E2082" t="str">
        <f>IFERROR(__xludf.DUMMYFUNCTION("""COMPUTED_VALUE"""),"Bad Bunny, Nicky Jam")</f>
        <v>Bad Bunny, Nicky Jam</v>
      </c>
      <c r="F2082" t="str">
        <f>IFERROR(__xludf.DUMMYFUNCTION("""COMPUTED_VALUE"""),"LAS QUE NO IBAN A SALIR")</f>
        <v>LAS QUE NO IBAN A SALIR</v>
      </c>
      <c r="G2082">
        <f>IFERROR(__xludf.DUMMYFUNCTION("""COMPUTED_VALUE"""),1.0)</f>
        <v>1</v>
      </c>
      <c r="H2082" s="5">
        <f>IFERROR(__xludf.DUMMYFUNCTION("""COMPUTED_VALUE"""),0.14027777777664596)</f>
        <v>0.1402777778</v>
      </c>
    </row>
    <row r="2083">
      <c r="A2083" t="str">
        <f>IFERROR(__xludf.DUMMYFUNCTION("""COMPUTED_VALUE"""),"Nicaragua")</f>
        <v>Nicaragua</v>
      </c>
      <c r="B2083" t="str">
        <f>IFERROR(__xludf.DUMMYFUNCTION("""COMPUTED_VALUE"""),"North America")</f>
        <v>North America</v>
      </c>
      <c r="C2083">
        <f>IFERROR(__xludf.DUMMYFUNCTION("""COMPUTED_VALUE"""),32.0)</f>
        <v>32</v>
      </c>
      <c r="D2083" t="str">
        <f>IFERROR(__xludf.DUMMYFUNCTION("""COMPUTED_VALUE"""),"MÁS DE UNA CITA")</f>
        <v>MÁS DE UNA CITA</v>
      </c>
      <c r="E2083" t="str">
        <f>IFERROR(__xludf.DUMMYFUNCTION("""COMPUTED_VALUE"""),"Bad Bunny, Zion &amp; Lennox")</f>
        <v>Bad Bunny, Zion &amp; Lennox</v>
      </c>
      <c r="F2083" t="str">
        <f>IFERROR(__xludf.DUMMYFUNCTION("""COMPUTED_VALUE"""),"LAS QUE NO IBAN A SALIR")</f>
        <v>LAS QUE NO IBAN A SALIR</v>
      </c>
      <c r="G2083">
        <f>IFERROR(__xludf.DUMMYFUNCTION("""COMPUTED_VALUE"""),1.0)</f>
        <v>1</v>
      </c>
      <c r="H2083" s="5">
        <f>IFERROR(__xludf.DUMMYFUNCTION("""COMPUTED_VALUE"""),0.12708333333284827)</f>
        <v>0.1270833333</v>
      </c>
    </row>
    <row r="2084">
      <c r="A2084" t="str">
        <f>IFERROR(__xludf.DUMMYFUNCTION("""COMPUTED_VALUE"""),"Nicaragua")</f>
        <v>Nicaragua</v>
      </c>
      <c r="B2084" t="str">
        <f>IFERROR(__xludf.DUMMYFUNCTION("""COMPUTED_VALUE"""),"North America")</f>
        <v>North America</v>
      </c>
      <c r="C2084">
        <f>IFERROR(__xludf.DUMMYFUNCTION("""COMPUTED_VALUE"""),33.0)</f>
        <v>33</v>
      </c>
      <c r="D2084" t="str">
        <f>IFERROR(__xludf.DUMMYFUNCTION("""COMPUTED_VALUE"""),"death bed (coffee for your head) (feat. beabadoobee)")</f>
        <v>death bed (coffee for your head) (feat. beabadoobee)</v>
      </c>
      <c r="E2084" t="str">
        <f>IFERROR(__xludf.DUMMYFUNCTION("""COMPUTED_VALUE"""),"Powfu, beabadoobee")</f>
        <v>Powfu, beabadoobee</v>
      </c>
      <c r="F2084" t="str">
        <f>IFERROR(__xludf.DUMMYFUNCTION("""COMPUTED_VALUE"""),"death bed (coffee for your head) (feat. beabadoobee)")</f>
        <v>death bed (coffee for your head) (feat. beabadoobee)</v>
      </c>
      <c r="G2084">
        <f>IFERROR(__xludf.DUMMYFUNCTION("""COMPUTED_VALUE"""),0.0)</f>
        <v>0</v>
      </c>
      <c r="H2084" s="5">
        <f>IFERROR(__xludf.DUMMYFUNCTION("""COMPUTED_VALUE"""),0.12013888888759539)</f>
        <v>0.1201388889</v>
      </c>
    </row>
    <row r="2085">
      <c r="A2085" t="str">
        <f>IFERROR(__xludf.DUMMYFUNCTION("""COMPUTED_VALUE"""),"Nicaragua")</f>
        <v>Nicaragua</v>
      </c>
      <c r="B2085" t="str">
        <f>IFERROR(__xludf.DUMMYFUNCTION("""COMPUTED_VALUE"""),"North America")</f>
        <v>North America</v>
      </c>
      <c r="C2085">
        <f>IFERROR(__xludf.DUMMYFUNCTION("""COMPUTED_VALUE"""),34.0)</f>
        <v>34</v>
      </c>
      <c r="D2085" t="str">
        <f>IFERROR(__xludf.DUMMYFUNCTION("""COMPUTED_VALUE"""),"Jangueo")</f>
        <v>Jangueo</v>
      </c>
      <c r="E2085" t="str">
        <f>IFERROR(__xludf.DUMMYFUNCTION("""COMPUTED_VALUE"""),"Alex Rose, Rafa Pabön")</f>
        <v>Alex Rose, Rafa Pabön</v>
      </c>
      <c r="F2085" t="str">
        <f>IFERROR(__xludf.DUMMYFUNCTION("""COMPUTED_VALUE"""),"LOST")</f>
        <v>LOST</v>
      </c>
      <c r="G2085">
        <f>IFERROR(__xludf.DUMMYFUNCTION("""COMPUTED_VALUE"""),0.0)</f>
        <v>0</v>
      </c>
      <c r="H2085" s="5">
        <f>IFERROR(__xludf.DUMMYFUNCTION("""COMPUTED_VALUE"""),0.17986111111167702)</f>
        <v>0.1798611111</v>
      </c>
    </row>
    <row r="2086">
      <c r="A2086" t="str">
        <f>IFERROR(__xludf.DUMMYFUNCTION("""COMPUTED_VALUE"""),"Nicaragua")</f>
        <v>Nicaragua</v>
      </c>
      <c r="B2086" t="str">
        <f>IFERROR(__xludf.DUMMYFUNCTION("""COMPUTED_VALUE"""),"North America")</f>
        <v>North America</v>
      </c>
      <c r="C2086">
        <f>IFERROR(__xludf.DUMMYFUNCTION("""COMPUTED_VALUE"""),35.0)</f>
        <v>35</v>
      </c>
      <c r="D2086" t="str">
        <f>IFERROR(__xludf.DUMMYFUNCTION("""COMPUTED_VALUE"""),"Djadja")</f>
        <v>Djadja</v>
      </c>
      <c r="E2086" t="str">
        <f>IFERROR(__xludf.DUMMYFUNCTION("""COMPUTED_VALUE"""),"Aya Nakamura")</f>
        <v>Aya Nakamura</v>
      </c>
      <c r="F2086" t="str">
        <f>IFERROR(__xludf.DUMMYFUNCTION("""COMPUTED_VALUE"""),"NAKAMURA")</f>
        <v>NAKAMURA</v>
      </c>
      <c r="G2086">
        <f>IFERROR(__xludf.DUMMYFUNCTION("""COMPUTED_VALUE"""),0.0)</f>
        <v>0</v>
      </c>
      <c r="H2086" s="5">
        <f>IFERROR(__xludf.DUMMYFUNCTION("""COMPUTED_VALUE"""),0.11875000000145519)</f>
        <v>0.11875</v>
      </c>
    </row>
    <row r="2087">
      <c r="A2087" t="str">
        <f>IFERROR(__xludf.DUMMYFUNCTION("""COMPUTED_VALUE"""),"Nicaragua")</f>
        <v>Nicaragua</v>
      </c>
      <c r="B2087" t="str">
        <f>IFERROR(__xludf.DUMMYFUNCTION("""COMPUTED_VALUE"""),"North America")</f>
        <v>North America</v>
      </c>
      <c r="C2087">
        <f>IFERROR(__xludf.DUMMYFUNCTION("""COMPUTED_VALUE"""),36.0)</f>
        <v>36</v>
      </c>
      <c r="D2087" t="str">
        <f>IFERROR(__xludf.DUMMYFUNCTION("""COMPUTED_VALUE"""),"China")</f>
        <v>China</v>
      </c>
      <c r="E2087" t="str">
        <f>IFERROR(__xludf.DUMMYFUNCTION("""COMPUTED_VALUE"""),"Anuel AA, Daddy Yankee, KAROL G, J Balvin, Ozuna")</f>
        <v>Anuel AA, Daddy Yankee, KAROL G, J Balvin, Ozuna</v>
      </c>
      <c r="F2087" t="str">
        <f>IFERROR(__xludf.DUMMYFUNCTION("""COMPUTED_VALUE"""),"China")</f>
        <v>China</v>
      </c>
      <c r="G2087">
        <f>IFERROR(__xludf.DUMMYFUNCTION("""COMPUTED_VALUE"""),0.0)</f>
        <v>0</v>
      </c>
      <c r="H2087" s="5">
        <f>IFERROR(__xludf.DUMMYFUNCTION("""COMPUTED_VALUE"""),0.20902777777882875)</f>
        <v>0.2090277778</v>
      </c>
    </row>
    <row r="2088">
      <c r="A2088" t="str">
        <f>IFERROR(__xludf.DUMMYFUNCTION("""COMPUTED_VALUE"""),"Nicaragua")</f>
        <v>Nicaragua</v>
      </c>
      <c r="B2088" t="str">
        <f>IFERROR(__xludf.DUMMYFUNCTION("""COMPUTED_VALUE"""),"North America")</f>
        <v>North America</v>
      </c>
      <c r="C2088">
        <f>IFERROR(__xludf.DUMMYFUNCTION("""COMPUTED_VALUE"""),37.0)</f>
        <v>37</v>
      </c>
      <c r="D2088" t="str">
        <f>IFERROR(__xludf.DUMMYFUNCTION("""COMPUTED_VALUE"""),"Medusa")</f>
        <v>Medusa</v>
      </c>
      <c r="E2088" t="str">
        <f>IFERROR(__xludf.DUMMYFUNCTION("""COMPUTED_VALUE"""),"Jhay Cortez, Anuel AA, J Balvin")</f>
        <v>Jhay Cortez, Anuel AA, J Balvin</v>
      </c>
      <c r="F2088" t="str">
        <f>IFERROR(__xludf.DUMMYFUNCTION("""COMPUTED_VALUE"""),"Medusa")</f>
        <v>Medusa</v>
      </c>
      <c r="G2088">
        <f>IFERROR(__xludf.DUMMYFUNCTION("""COMPUTED_VALUE"""),1.0)</f>
        <v>1</v>
      </c>
      <c r="H2088" s="5">
        <f>IFERROR(__xludf.DUMMYFUNCTION("""COMPUTED_VALUE"""),0.21180555555474712)</f>
        <v>0.2118055556</v>
      </c>
    </row>
    <row r="2089">
      <c r="A2089" t="str">
        <f>IFERROR(__xludf.DUMMYFUNCTION("""COMPUTED_VALUE"""),"Nicaragua")</f>
        <v>Nicaragua</v>
      </c>
      <c r="B2089" t="str">
        <f>IFERROR(__xludf.DUMMYFUNCTION("""COMPUTED_VALUE"""),"North America")</f>
        <v>North America</v>
      </c>
      <c r="C2089">
        <f>IFERROR(__xludf.DUMMYFUNCTION("""COMPUTED_VALUE"""),38.0)</f>
        <v>38</v>
      </c>
      <c r="D2089" t="str">
        <f>IFERROR(__xludf.DUMMYFUNCTION("""COMPUTED_VALUE"""),"BENDICIONES")</f>
        <v>BENDICIONES</v>
      </c>
      <c r="E2089" t="str">
        <f>IFERROR(__xludf.DUMMYFUNCTION("""COMPUTED_VALUE"""),"Bad Bunny")</f>
        <v>Bad Bunny</v>
      </c>
      <c r="F2089" t="str">
        <f>IFERROR(__xludf.DUMMYFUNCTION("""COMPUTED_VALUE"""),"LAS QUE NO IBAN A SALIR")</f>
        <v>LAS QUE NO IBAN A SALIR</v>
      </c>
      <c r="G2089">
        <f>IFERROR(__xludf.DUMMYFUNCTION("""COMPUTED_VALUE"""),0.0)</f>
        <v>0</v>
      </c>
      <c r="H2089" s="5">
        <f>IFERROR(__xludf.DUMMYFUNCTION("""COMPUTED_VALUE"""),0.10763888889050577)</f>
        <v>0.1076388889</v>
      </c>
    </row>
    <row r="2090">
      <c r="A2090" t="str">
        <f>IFERROR(__xludf.DUMMYFUNCTION("""COMPUTED_VALUE"""),"Nicaragua")</f>
        <v>Nicaragua</v>
      </c>
      <c r="B2090" t="str">
        <f>IFERROR(__xludf.DUMMYFUNCTION("""COMPUTED_VALUE"""),"North America")</f>
        <v>North America</v>
      </c>
      <c r="C2090">
        <f>IFERROR(__xludf.DUMMYFUNCTION("""COMPUTED_VALUE"""),39.0)</f>
        <v>39</v>
      </c>
      <c r="D2090" t="str">
        <f>IFERROR(__xludf.DUMMYFUNCTION("""COMPUTED_VALUE"""),"Bellaquita - Remix")</f>
        <v>Bellaquita - Remix</v>
      </c>
      <c r="E2090" t="str">
        <f>IFERROR(__xludf.DUMMYFUNCTION("""COMPUTED_VALUE"""),"Dalex, Lenny Tavárez, Anitta, Natti Natasha, Farruko, Justin Quiles")</f>
        <v>Dalex, Lenny Tavárez, Anitta, Natti Natasha, Farruko, Justin Quiles</v>
      </c>
      <c r="F2090" t="str">
        <f>IFERROR(__xludf.DUMMYFUNCTION("""COMPUTED_VALUE"""),"Modo Avión")</f>
        <v>Modo Avión</v>
      </c>
      <c r="G2090">
        <f>IFERROR(__xludf.DUMMYFUNCTION("""COMPUTED_VALUE"""),1.0)</f>
        <v>1</v>
      </c>
      <c r="H2090" s="5">
        <f>IFERROR(__xludf.DUMMYFUNCTION("""COMPUTED_VALUE"""),0.21111111111167702)</f>
        <v>0.2111111111</v>
      </c>
    </row>
    <row r="2091">
      <c r="A2091" t="str">
        <f>IFERROR(__xludf.DUMMYFUNCTION("""COMPUTED_VALUE"""),"Nicaragua")</f>
        <v>Nicaragua</v>
      </c>
      <c r="B2091" t="str">
        <f>IFERROR(__xludf.DUMMYFUNCTION("""COMPUTED_VALUE"""),"North America")</f>
        <v>North America</v>
      </c>
      <c r="C2091">
        <f>IFERROR(__xludf.DUMMYFUNCTION("""COMPUTED_VALUE"""),40.0)</f>
        <v>40</v>
      </c>
      <c r="D2091" t="str">
        <f>IFERROR(__xludf.DUMMYFUNCTION("""COMPUTED_VALUE"""),"Elegí (feat. Dímelo Flow)")</f>
        <v>Elegí (feat. Dímelo Flow)</v>
      </c>
      <c r="E2091" t="str">
        <f>IFERROR(__xludf.DUMMYFUNCTION("""COMPUTED_VALUE"""),"Rauw Alejandro, Dalex, Lenny Tavárez, Dímelo Flow")</f>
        <v>Rauw Alejandro, Dalex, Lenny Tavárez, Dímelo Flow</v>
      </c>
      <c r="F2091" t="str">
        <f>IFERROR(__xludf.DUMMYFUNCTION("""COMPUTED_VALUE"""),"Elegí (feat. Dímelo Flow)")</f>
        <v>Elegí (feat. Dímelo Flow)</v>
      </c>
      <c r="G2091">
        <f>IFERROR(__xludf.DUMMYFUNCTION("""COMPUTED_VALUE"""),0.0)</f>
        <v>0</v>
      </c>
      <c r="H2091" s="5">
        <f>IFERROR(__xludf.DUMMYFUNCTION("""COMPUTED_VALUE"""),0.13680555555401952)</f>
        <v>0.1368055556</v>
      </c>
    </row>
    <row r="2092">
      <c r="A2092" t="str">
        <f>IFERROR(__xludf.DUMMYFUNCTION("""COMPUTED_VALUE"""),"Nicaragua")</f>
        <v>Nicaragua</v>
      </c>
      <c r="B2092" t="str">
        <f>IFERROR(__xludf.DUMMYFUNCTION("""COMPUTED_VALUE"""),"North America")</f>
        <v>North America</v>
      </c>
      <c r="C2092">
        <f>IFERROR(__xludf.DUMMYFUNCTION("""COMPUTED_VALUE"""),41.0)</f>
        <v>41</v>
      </c>
      <c r="D2092" t="str">
        <f>IFERROR(__xludf.DUMMYFUNCTION("""COMPUTED_VALUE"""),"RITMO (Bad Boys For Life)")</f>
        <v>RITMO (Bad Boys For Life)</v>
      </c>
      <c r="E2092" t="str">
        <f>IFERROR(__xludf.DUMMYFUNCTION("""COMPUTED_VALUE"""),"Black Eyed Peas, J Balvin")</f>
        <v>Black Eyed Peas, J Balvin</v>
      </c>
      <c r="F2092" t="str">
        <f>IFERROR(__xludf.DUMMYFUNCTION("""COMPUTED_VALUE"""),"RITMO (Bad Boys For Life)")</f>
        <v>RITMO (Bad Boys For Life)</v>
      </c>
      <c r="G2092">
        <f>IFERROR(__xludf.DUMMYFUNCTION("""COMPUTED_VALUE"""),1.0)</f>
        <v>1</v>
      </c>
      <c r="H2092" s="5">
        <f>IFERROR(__xludf.DUMMYFUNCTION("""COMPUTED_VALUE"""),0.15347222222044365)</f>
        <v>0.1534722222</v>
      </c>
    </row>
    <row r="2093">
      <c r="A2093" t="str">
        <f>IFERROR(__xludf.DUMMYFUNCTION("""COMPUTED_VALUE"""),"Nicaragua")</f>
        <v>Nicaragua</v>
      </c>
      <c r="B2093" t="str">
        <f>IFERROR(__xludf.DUMMYFUNCTION("""COMPUTED_VALUE"""),"North America")</f>
        <v>North America</v>
      </c>
      <c r="C2093">
        <f>IFERROR(__xludf.DUMMYFUNCTION("""COMPUTED_VALUE"""),42.0)</f>
        <v>42</v>
      </c>
      <c r="D2093" t="str">
        <f>IFERROR(__xludf.DUMMYFUNCTION("""COMPUTED_VALUE"""),"Pero Ya No")</f>
        <v>Pero Ya No</v>
      </c>
      <c r="E2093" t="str">
        <f>IFERROR(__xludf.DUMMYFUNCTION("""COMPUTED_VALUE"""),"Bad Bunny")</f>
        <v>Bad Bunny</v>
      </c>
      <c r="F2093" t="str">
        <f>IFERROR(__xludf.DUMMYFUNCTION("""COMPUTED_VALUE"""),"YHLQMDLG")</f>
        <v>YHLQMDLG</v>
      </c>
      <c r="G2093">
        <f>IFERROR(__xludf.DUMMYFUNCTION("""COMPUTED_VALUE"""),0.0)</f>
        <v>0</v>
      </c>
      <c r="H2093" s="5">
        <f>IFERROR(__xludf.DUMMYFUNCTION("""COMPUTED_VALUE"""),0.11111111110949423)</f>
        <v>0.1111111111</v>
      </c>
    </row>
    <row r="2094">
      <c r="A2094" t="str">
        <f>IFERROR(__xludf.DUMMYFUNCTION("""COMPUTED_VALUE"""),"Nicaragua")</f>
        <v>Nicaragua</v>
      </c>
      <c r="B2094" t="str">
        <f>IFERROR(__xludf.DUMMYFUNCTION("""COMPUTED_VALUE"""),"North America")</f>
        <v>North America</v>
      </c>
      <c r="C2094">
        <f>IFERROR(__xludf.DUMMYFUNCTION("""COMPUTED_VALUE"""),43.0)</f>
        <v>43</v>
      </c>
      <c r="D2094" t="str">
        <f>IFERROR(__xludf.DUMMYFUNCTION("""COMPUTED_VALUE"""),"Bajo La Mesa")</f>
        <v>Bajo La Mesa</v>
      </c>
      <c r="E2094" t="str">
        <f>IFERROR(__xludf.DUMMYFUNCTION("""COMPUTED_VALUE"""),"Morat, Sebastian Yatra")</f>
        <v>Morat, Sebastian Yatra</v>
      </c>
      <c r="F2094" t="str">
        <f>IFERROR(__xludf.DUMMYFUNCTION("""COMPUTED_VALUE"""),"Bajo La Mesa")</f>
        <v>Bajo La Mesa</v>
      </c>
      <c r="G2094">
        <f>IFERROR(__xludf.DUMMYFUNCTION("""COMPUTED_VALUE"""),0.0)</f>
        <v>0</v>
      </c>
      <c r="H2094" s="5">
        <f>IFERROR(__xludf.DUMMYFUNCTION("""COMPUTED_VALUE"""),0.10902777777664596)</f>
        <v>0.1090277778</v>
      </c>
    </row>
    <row r="2095">
      <c r="A2095" t="str">
        <f>IFERROR(__xludf.DUMMYFUNCTION("""COMPUTED_VALUE"""),"Nicaragua")</f>
        <v>Nicaragua</v>
      </c>
      <c r="B2095" t="str">
        <f>IFERROR(__xludf.DUMMYFUNCTION("""COMPUTED_VALUE"""),"North America")</f>
        <v>North America</v>
      </c>
      <c r="C2095">
        <f>IFERROR(__xludf.DUMMYFUNCTION("""COMPUTED_VALUE"""),44.0)</f>
        <v>44</v>
      </c>
      <c r="D2095" t="str">
        <f>IFERROR(__xludf.DUMMYFUNCTION("""COMPUTED_VALUE"""),"Girl")</f>
        <v>Girl</v>
      </c>
      <c r="E2095" t="str">
        <f>IFERROR(__xludf.DUMMYFUNCTION("""COMPUTED_VALUE"""),"Myke Towers")</f>
        <v>Myke Towers</v>
      </c>
      <c r="F2095" t="str">
        <f>IFERROR(__xludf.DUMMYFUNCTION("""COMPUTED_VALUE"""),"Easy Money Baby")</f>
        <v>Easy Money Baby</v>
      </c>
      <c r="G2095">
        <f>IFERROR(__xludf.DUMMYFUNCTION("""COMPUTED_VALUE"""),1.0)</f>
        <v>1</v>
      </c>
      <c r="H2095" s="5">
        <f>IFERROR(__xludf.DUMMYFUNCTION("""COMPUTED_VALUE"""),0.12916666666569654)</f>
        <v>0.1291666667</v>
      </c>
    </row>
    <row r="2096">
      <c r="A2096" t="str">
        <f>IFERROR(__xludf.DUMMYFUNCTION("""COMPUTED_VALUE"""),"Nicaragua")</f>
        <v>Nicaragua</v>
      </c>
      <c r="B2096" t="str">
        <f>IFERROR(__xludf.DUMMYFUNCTION("""COMPUTED_VALUE"""),"North America")</f>
        <v>North America</v>
      </c>
      <c r="C2096">
        <f>IFERROR(__xludf.DUMMYFUNCTION("""COMPUTED_VALUE"""),45.0)</f>
        <v>45</v>
      </c>
      <c r="D2096" t="str">
        <f>IFERROR(__xludf.DUMMYFUNCTION("""COMPUTED_VALUE"""),"Bichiyal")</f>
        <v>Bichiyal</v>
      </c>
      <c r="E2096" t="str">
        <f>IFERROR(__xludf.DUMMYFUNCTION("""COMPUTED_VALUE"""),"Bad Bunny, Yaviah")</f>
        <v>Bad Bunny, Yaviah</v>
      </c>
      <c r="F2096" t="str">
        <f>IFERROR(__xludf.DUMMYFUNCTION("""COMPUTED_VALUE"""),"YHLQMDLG")</f>
        <v>YHLQMDLG</v>
      </c>
      <c r="G2096">
        <f>IFERROR(__xludf.DUMMYFUNCTION("""COMPUTED_VALUE"""),1.0)</f>
        <v>1</v>
      </c>
      <c r="H2096" s="5">
        <f>IFERROR(__xludf.DUMMYFUNCTION("""COMPUTED_VALUE"""),0.13611111111094942)</f>
        <v>0.1361111111</v>
      </c>
    </row>
    <row r="2097">
      <c r="A2097" t="str">
        <f>IFERROR(__xludf.DUMMYFUNCTION("""COMPUTED_VALUE"""),"Nicaragua")</f>
        <v>Nicaragua</v>
      </c>
      <c r="B2097" t="str">
        <f>IFERROR(__xludf.DUMMYFUNCTION("""COMPUTED_VALUE"""),"North America")</f>
        <v>North America</v>
      </c>
      <c r="C2097">
        <f>IFERROR(__xludf.DUMMYFUNCTION("""COMPUTED_VALUE"""),46.0)</f>
        <v>46</v>
      </c>
      <c r="D2097" t="str">
        <f>IFERROR(__xludf.DUMMYFUNCTION("""COMPUTED_VALUE"""),"Tutu")</f>
        <v>Tutu</v>
      </c>
      <c r="E2097" t="str">
        <f>IFERROR(__xludf.DUMMYFUNCTION("""COMPUTED_VALUE"""),"Camilo, Pedro Capó")</f>
        <v>Camilo, Pedro Capó</v>
      </c>
      <c r="F2097" t="str">
        <f>IFERROR(__xludf.DUMMYFUNCTION("""COMPUTED_VALUE"""),"Por Primera Vez")</f>
        <v>Por Primera Vez</v>
      </c>
      <c r="G2097">
        <f>IFERROR(__xludf.DUMMYFUNCTION("""COMPUTED_VALUE"""),0.0)</f>
        <v>0</v>
      </c>
      <c r="H2097" s="5">
        <f>IFERROR(__xludf.DUMMYFUNCTION("""COMPUTED_VALUE"""),0.1243055555569299)</f>
        <v>0.1243055556</v>
      </c>
    </row>
    <row r="2098">
      <c r="A2098" t="str">
        <f>IFERROR(__xludf.DUMMYFUNCTION("""COMPUTED_VALUE"""),"Nicaragua")</f>
        <v>Nicaragua</v>
      </c>
      <c r="B2098" t="str">
        <f>IFERROR(__xludf.DUMMYFUNCTION("""COMPUTED_VALUE"""),"North America")</f>
        <v>North America</v>
      </c>
      <c r="C2098">
        <f>IFERROR(__xludf.DUMMYFUNCTION("""COMPUTED_VALUE"""),47.0)</f>
        <v>47</v>
      </c>
      <c r="D2098" t="str">
        <f>IFERROR(__xludf.DUMMYFUNCTION("""COMPUTED_VALUE"""),"Por Primera Vez")</f>
        <v>Por Primera Vez</v>
      </c>
      <c r="E2098" t="str">
        <f>IFERROR(__xludf.DUMMYFUNCTION("""COMPUTED_VALUE"""),"Camilo, Evaluna Montaner")</f>
        <v>Camilo, Evaluna Montaner</v>
      </c>
      <c r="F2098" t="str">
        <f>IFERROR(__xludf.DUMMYFUNCTION("""COMPUTED_VALUE"""),"Por Primera Vez")</f>
        <v>Por Primera Vez</v>
      </c>
      <c r="G2098">
        <f>IFERROR(__xludf.DUMMYFUNCTION("""COMPUTED_VALUE"""),0.0)</f>
        <v>0</v>
      </c>
      <c r="H2098" s="5">
        <f>IFERROR(__xludf.DUMMYFUNCTION("""COMPUTED_VALUE"""),0.12638888888977817)</f>
        <v>0.1263888889</v>
      </c>
    </row>
    <row r="2099">
      <c r="A2099" t="str">
        <f>IFERROR(__xludf.DUMMYFUNCTION("""COMPUTED_VALUE"""),"Nicaragua")</f>
        <v>Nicaragua</v>
      </c>
      <c r="B2099" t="str">
        <f>IFERROR(__xludf.DUMMYFUNCTION("""COMPUTED_VALUE"""),"North America")</f>
        <v>North America</v>
      </c>
      <c r="C2099">
        <f>IFERROR(__xludf.DUMMYFUNCTION("""COMPUTED_VALUE"""),48.0)</f>
        <v>48</v>
      </c>
      <c r="D2099" t="str">
        <f>IFERROR(__xludf.DUMMYFUNCTION("""COMPUTED_VALUE"""),"Azul")</f>
        <v>Azul</v>
      </c>
      <c r="E2099" t="str">
        <f>IFERROR(__xludf.DUMMYFUNCTION("""COMPUTED_VALUE"""),"J Balvin")</f>
        <v>J Balvin</v>
      </c>
      <c r="F2099" t="str">
        <f>IFERROR(__xludf.DUMMYFUNCTION("""COMPUTED_VALUE"""),"Colores")</f>
        <v>Colores</v>
      </c>
      <c r="G2099">
        <f>IFERROR(__xludf.DUMMYFUNCTION("""COMPUTED_VALUE"""),0.0)</f>
        <v>0</v>
      </c>
      <c r="H2099" s="5">
        <f>IFERROR(__xludf.DUMMYFUNCTION("""COMPUTED_VALUE"""),0.14236111110949423)</f>
        <v>0.1423611111</v>
      </c>
    </row>
    <row r="2100">
      <c r="A2100" t="str">
        <f>IFERROR(__xludf.DUMMYFUNCTION("""COMPUTED_VALUE"""),"Nicaragua")</f>
        <v>Nicaragua</v>
      </c>
      <c r="B2100" t="str">
        <f>IFERROR(__xludf.DUMMYFUNCTION("""COMPUTED_VALUE"""),"North America")</f>
        <v>North America</v>
      </c>
      <c r="C2100">
        <f>IFERROR(__xludf.DUMMYFUNCTION("""COMPUTED_VALUE"""),49.0)</f>
        <v>49</v>
      </c>
      <c r="D2100" t="str">
        <f>IFERROR(__xludf.DUMMYFUNCTION("""COMPUTED_VALUE"""),"Daechwita")</f>
        <v>Daechwita</v>
      </c>
      <c r="E2100" t="str">
        <f>IFERROR(__xludf.DUMMYFUNCTION("""COMPUTED_VALUE"""),"Agust D")</f>
        <v>Agust D</v>
      </c>
      <c r="F2100" t="str">
        <f>IFERROR(__xludf.DUMMYFUNCTION("""COMPUTED_VALUE"""),"D-2")</f>
        <v>D-2</v>
      </c>
      <c r="G2100">
        <f>IFERROR(__xludf.DUMMYFUNCTION("""COMPUTED_VALUE"""),1.0)</f>
        <v>1</v>
      </c>
      <c r="H2100" s="5">
        <f>IFERROR(__xludf.DUMMYFUNCTION("""COMPUTED_VALUE"""),0.15625)</f>
        <v>0.15625</v>
      </c>
    </row>
    <row r="2101">
      <c r="A2101" t="str">
        <f>IFERROR(__xludf.DUMMYFUNCTION("""COMPUTED_VALUE"""),"Nicaragua")</f>
        <v>Nicaragua</v>
      </c>
      <c r="B2101" t="str">
        <f>IFERROR(__xludf.DUMMYFUNCTION("""COMPUTED_VALUE"""),"North America")</f>
        <v>North America</v>
      </c>
      <c r="C2101">
        <f>IFERROR(__xludf.DUMMYFUNCTION("""COMPUTED_VALUE"""),50.0)</f>
        <v>50</v>
      </c>
      <c r="D2101" t="str">
        <f>IFERROR(__xludf.DUMMYFUNCTION("""COMPUTED_VALUE"""),"Adicto (with Anuel AA &amp; Ozuna)")</f>
        <v>Adicto (with Anuel AA &amp; Ozuna)</v>
      </c>
      <c r="E2101" t="str">
        <f>IFERROR(__xludf.DUMMYFUNCTION("""COMPUTED_VALUE"""),"Tainy, Anuel AA, Ozuna")</f>
        <v>Tainy, Anuel AA, Ozuna</v>
      </c>
      <c r="F2101" t="str">
        <f>IFERROR(__xludf.DUMMYFUNCTION("""COMPUTED_VALUE"""),"Adicto (with Anuel AA &amp; Ozuna)")</f>
        <v>Adicto (with Anuel AA &amp; Ozuna)</v>
      </c>
      <c r="G2101">
        <f>IFERROR(__xludf.DUMMYFUNCTION("""COMPUTED_VALUE"""),0.0)</f>
        <v>0</v>
      </c>
      <c r="H2101" s="5">
        <f>IFERROR(__xludf.DUMMYFUNCTION("""COMPUTED_VALUE"""),0.1875)</f>
        <v>0.1875</v>
      </c>
    </row>
    <row r="2102">
      <c r="A2102" t="str">
        <f>IFERROR(__xludf.DUMMYFUNCTION("""COMPUTED_VALUE"""),"Norway")</f>
        <v>Norway</v>
      </c>
      <c r="B2102" t="str">
        <f>IFERROR(__xludf.DUMMYFUNCTION("""COMPUTED_VALUE"""),"Europe")</f>
        <v>Europe</v>
      </c>
      <c r="C2102">
        <f>IFERROR(__xludf.DUMMYFUNCTION("""COMPUTED_VALUE"""),1.0)</f>
        <v>1</v>
      </c>
      <c r="D2102" t="str">
        <f>IFERROR(__xludf.DUMMYFUNCTION("""COMPUTED_VALUE"""),"Svag")</f>
        <v>Svag</v>
      </c>
      <c r="E2102" t="str">
        <f>IFERROR(__xludf.DUMMYFUNCTION("""COMPUTED_VALUE"""),"Victor Leksell")</f>
        <v>Victor Leksell</v>
      </c>
      <c r="F2102" t="str">
        <f>IFERROR(__xludf.DUMMYFUNCTION("""COMPUTED_VALUE"""),"Svag")</f>
        <v>Svag</v>
      </c>
      <c r="G2102">
        <f>IFERROR(__xludf.DUMMYFUNCTION("""COMPUTED_VALUE"""),0.0)</f>
        <v>0</v>
      </c>
      <c r="H2102" s="5">
        <f>IFERROR(__xludf.DUMMYFUNCTION("""COMPUTED_VALUE"""),0.13263888888832298)</f>
        <v>0.1326388889</v>
      </c>
    </row>
    <row r="2103">
      <c r="A2103" t="str">
        <f>IFERROR(__xludf.DUMMYFUNCTION("""COMPUTED_VALUE"""),"Norway")</f>
        <v>Norway</v>
      </c>
      <c r="B2103" t="str">
        <f>IFERROR(__xludf.DUMMYFUNCTION("""COMPUTED_VALUE"""),"Europe")</f>
        <v>Europe</v>
      </c>
      <c r="C2103">
        <f>IFERROR(__xludf.DUMMYFUNCTION("""COMPUTED_VALUE"""),2.0)</f>
        <v>2</v>
      </c>
      <c r="D2103" t="str">
        <f>IFERROR(__xludf.DUMMYFUNCTION("""COMPUTED_VALUE"""),"ROCKSTAR (feat. Roddy Ricch)")</f>
        <v>ROCKSTAR (feat. Roddy Ricch)</v>
      </c>
      <c r="E2103" t="str">
        <f>IFERROR(__xludf.DUMMYFUNCTION("""COMPUTED_VALUE"""),"DaBaby, Roddy Ricch")</f>
        <v>DaBaby, Roddy Ricch</v>
      </c>
      <c r="F2103" t="str">
        <f>IFERROR(__xludf.DUMMYFUNCTION("""COMPUTED_VALUE"""),"BLAME IT ON BABY")</f>
        <v>BLAME IT ON BABY</v>
      </c>
      <c r="G2103">
        <f>IFERROR(__xludf.DUMMYFUNCTION("""COMPUTED_VALUE"""),1.0)</f>
        <v>1</v>
      </c>
      <c r="H2103" s="5">
        <f>IFERROR(__xludf.DUMMYFUNCTION("""COMPUTED_VALUE"""),0.1256944444430701)</f>
        <v>0.1256944444</v>
      </c>
    </row>
    <row r="2104">
      <c r="A2104" t="str">
        <f>IFERROR(__xludf.DUMMYFUNCTION("""COMPUTED_VALUE"""),"Norway")</f>
        <v>Norway</v>
      </c>
      <c r="B2104" t="str">
        <f>IFERROR(__xludf.DUMMYFUNCTION("""COMPUTED_VALUE"""),"Europe")</f>
        <v>Europe</v>
      </c>
      <c r="C2104">
        <f>IFERROR(__xludf.DUMMYFUNCTION("""COMPUTED_VALUE"""),3.0)</f>
        <v>3</v>
      </c>
      <c r="D2104" t="str">
        <f>IFERROR(__xludf.DUMMYFUNCTION("""COMPUTED_VALUE"""),"Blinding Lights")</f>
        <v>Blinding Lights</v>
      </c>
      <c r="E2104" t="str">
        <f>IFERROR(__xludf.DUMMYFUNCTION("""COMPUTED_VALUE"""),"The Weeknd")</f>
        <v>The Weeknd</v>
      </c>
      <c r="F2104" t="str">
        <f>IFERROR(__xludf.DUMMYFUNCTION("""COMPUTED_VALUE"""),"After Hours")</f>
        <v>After Hours</v>
      </c>
      <c r="G2104">
        <f>IFERROR(__xludf.DUMMYFUNCTION("""COMPUTED_VALUE"""),0.0)</f>
        <v>0</v>
      </c>
      <c r="H2104" s="5">
        <f>IFERROR(__xludf.DUMMYFUNCTION("""COMPUTED_VALUE"""),0.13888888889050577)</f>
        <v>0.1388888889</v>
      </c>
    </row>
    <row r="2105">
      <c r="A2105" t="str">
        <f>IFERROR(__xludf.DUMMYFUNCTION("""COMPUTED_VALUE"""),"Norway")</f>
        <v>Norway</v>
      </c>
      <c r="B2105" t="str">
        <f>IFERROR(__xludf.DUMMYFUNCTION("""COMPUTED_VALUE"""),"Europe")</f>
        <v>Europe</v>
      </c>
      <c r="C2105">
        <f>IFERROR(__xludf.DUMMYFUNCTION("""COMPUTED_VALUE"""),4.0)</f>
        <v>4</v>
      </c>
      <c r="D2105" t="str">
        <f>IFERROR(__xludf.DUMMYFUNCTION("""COMPUTED_VALUE"""),"Sykepleierinnen (Sykehuset 2020)")</f>
        <v>Sykepleierinnen (Sykehuset 2020)</v>
      </c>
      <c r="E2105" t="str">
        <f>IFERROR(__xludf.DUMMYFUNCTION("""COMPUTED_VALUE"""),"El Papi")</f>
        <v>El Papi</v>
      </c>
      <c r="F2105" t="str">
        <f>IFERROR(__xludf.DUMMYFUNCTION("""COMPUTED_VALUE"""),"Sykepleierinnen (Sykehuset 2020)")</f>
        <v>Sykepleierinnen (Sykehuset 2020)</v>
      </c>
      <c r="G2105">
        <f>IFERROR(__xludf.DUMMYFUNCTION("""COMPUTED_VALUE"""),0.0)</f>
        <v>0</v>
      </c>
      <c r="H2105" s="5">
        <f>IFERROR(__xludf.DUMMYFUNCTION("""COMPUTED_VALUE"""),0.12638888888977817)</f>
        <v>0.1263888889</v>
      </c>
    </row>
    <row r="2106">
      <c r="A2106" t="str">
        <f>IFERROR(__xludf.DUMMYFUNCTION("""COMPUTED_VALUE"""),"Norway")</f>
        <v>Norway</v>
      </c>
      <c r="B2106" t="str">
        <f>IFERROR(__xludf.DUMMYFUNCTION("""COMPUTED_VALUE"""),"Europe")</f>
        <v>Europe</v>
      </c>
      <c r="C2106">
        <f>IFERROR(__xludf.DUMMYFUNCTION("""COMPUTED_VALUE"""),5.0)</f>
        <v>5</v>
      </c>
      <c r="D2106" t="str">
        <f>IFERROR(__xludf.DUMMYFUNCTION("""COMPUTED_VALUE"""),"Roses - Imanbek Remix")</f>
        <v>Roses - Imanbek Remix</v>
      </c>
      <c r="E2106" t="str">
        <f>IFERROR(__xludf.DUMMYFUNCTION("""COMPUTED_VALUE"""),"SAINt JHN, Imanbek")</f>
        <v>SAINt JHN, Imanbek</v>
      </c>
      <c r="F2106" t="str">
        <f>IFERROR(__xludf.DUMMYFUNCTION("""COMPUTED_VALUE"""),"Roses (Imanbek Remix)")</f>
        <v>Roses (Imanbek Remix)</v>
      </c>
      <c r="G2106">
        <f>IFERROR(__xludf.DUMMYFUNCTION("""COMPUTED_VALUE"""),1.0)</f>
        <v>1</v>
      </c>
      <c r="H2106" s="5">
        <f>IFERROR(__xludf.DUMMYFUNCTION("""COMPUTED_VALUE"""),0.12222222222044365)</f>
        <v>0.1222222222</v>
      </c>
    </row>
    <row r="2107">
      <c r="A2107" t="str">
        <f>IFERROR(__xludf.DUMMYFUNCTION("""COMPUTED_VALUE"""),"Norway")</f>
        <v>Norway</v>
      </c>
      <c r="B2107" t="str">
        <f>IFERROR(__xludf.DUMMYFUNCTION("""COMPUTED_VALUE"""),"Europe")</f>
        <v>Europe</v>
      </c>
      <c r="C2107">
        <f>IFERROR(__xludf.DUMMYFUNCTION("""COMPUTED_VALUE"""),6.0)</f>
        <v>6</v>
      </c>
      <c r="D2107" t="str">
        <f>IFERROR(__xludf.DUMMYFUNCTION("""COMPUTED_VALUE"""),"In Your Eyes")</f>
        <v>In Your Eyes</v>
      </c>
      <c r="E2107" t="str">
        <f>IFERROR(__xludf.DUMMYFUNCTION("""COMPUTED_VALUE"""),"The Weeknd")</f>
        <v>The Weeknd</v>
      </c>
      <c r="F2107" t="str">
        <f>IFERROR(__xludf.DUMMYFUNCTION("""COMPUTED_VALUE"""),"After Hours")</f>
        <v>After Hours</v>
      </c>
      <c r="G2107">
        <f>IFERROR(__xludf.DUMMYFUNCTION("""COMPUTED_VALUE"""),1.0)</f>
        <v>1</v>
      </c>
      <c r="H2107" s="5">
        <f>IFERROR(__xludf.DUMMYFUNCTION("""COMPUTED_VALUE"""),0.16458333333503106)</f>
        <v>0.1645833333</v>
      </c>
    </row>
    <row r="2108">
      <c r="A2108" t="str">
        <f>IFERROR(__xludf.DUMMYFUNCTION("""COMPUTED_VALUE"""),"Norway")</f>
        <v>Norway</v>
      </c>
      <c r="B2108" t="str">
        <f>IFERROR(__xludf.DUMMYFUNCTION("""COMPUTED_VALUE"""),"Europe")</f>
        <v>Europe</v>
      </c>
      <c r="C2108">
        <f>IFERROR(__xludf.DUMMYFUNCTION("""COMPUTED_VALUE"""),7.0)</f>
        <v>7</v>
      </c>
      <c r="D2108" t="str">
        <f>IFERROR(__xludf.DUMMYFUNCTION("""COMPUTED_VALUE"""),"GOOBA")</f>
        <v>GOOBA</v>
      </c>
      <c r="E2108" t="str">
        <f>IFERROR(__xludf.DUMMYFUNCTION("""COMPUTED_VALUE"""),"6ix9ine")</f>
        <v>6ix9ine</v>
      </c>
      <c r="F2108" t="str">
        <f>IFERROR(__xludf.DUMMYFUNCTION("""COMPUTED_VALUE"""),"GOOBA")</f>
        <v>GOOBA</v>
      </c>
      <c r="G2108">
        <f>IFERROR(__xludf.DUMMYFUNCTION("""COMPUTED_VALUE"""),1.0)</f>
        <v>1</v>
      </c>
      <c r="H2108" s="5">
        <f>IFERROR(__xludf.DUMMYFUNCTION("""COMPUTED_VALUE"""),0.09166666666715173)</f>
        <v>0.09166666667</v>
      </c>
    </row>
    <row r="2109">
      <c r="A2109" t="str">
        <f>IFERROR(__xludf.DUMMYFUNCTION("""COMPUTED_VALUE"""),"Norway")</f>
        <v>Norway</v>
      </c>
      <c r="B2109" t="str">
        <f>IFERROR(__xludf.DUMMYFUNCTION("""COMPUTED_VALUE"""),"Europe")</f>
        <v>Europe</v>
      </c>
      <c r="C2109">
        <f>IFERROR(__xludf.DUMMYFUNCTION("""COMPUTED_VALUE"""),8.0)</f>
        <v>8</v>
      </c>
      <c r="D2109" t="str">
        <f>IFERROR(__xludf.DUMMYFUNCTION("""COMPUTED_VALUE"""),"Lose Somebody")</f>
        <v>Lose Somebody</v>
      </c>
      <c r="E2109" t="str">
        <f>IFERROR(__xludf.DUMMYFUNCTION("""COMPUTED_VALUE"""),"Kygo, OneRepublic")</f>
        <v>Kygo, OneRepublic</v>
      </c>
      <c r="F2109" t="str">
        <f>IFERROR(__xludf.DUMMYFUNCTION("""COMPUTED_VALUE"""),"Lose Somebody")</f>
        <v>Lose Somebody</v>
      </c>
      <c r="G2109">
        <f>IFERROR(__xludf.DUMMYFUNCTION("""COMPUTED_VALUE"""),0.0)</f>
        <v>0</v>
      </c>
      <c r="H2109" s="5">
        <f>IFERROR(__xludf.DUMMYFUNCTION("""COMPUTED_VALUE"""),0.1381944444437977)</f>
        <v>0.1381944444</v>
      </c>
    </row>
    <row r="2110">
      <c r="A2110" t="str">
        <f>IFERROR(__xludf.DUMMYFUNCTION("""COMPUTED_VALUE"""),"Norway")</f>
        <v>Norway</v>
      </c>
      <c r="B2110" t="str">
        <f>IFERROR(__xludf.DUMMYFUNCTION("""COMPUTED_VALUE"""),"Europe")</f>
        <v>Europe</v>
      </c>
      <c r="C2110">
        <f>IFERROR(__xludf.DUMMYFUNCTION("""COMPUTED_VALUE"""),9.0)</f>
        <v>9</v>
      </c>
      <c r="D2110" t="str">
        <f>IFERROR(__xludf.DUMMYFUNCTION("""COMPUTED_VALUE"""),"Karantene")</f>
        <v>Karantene</v>
      </c>
      <c r="E2110" t="str">
        <f>IFERROR(__xludf.DUMMYFUNCTION("""COMPUTED_VALUE"""),"TIX")</f>
        <v>TIX</v>
      </c>
      <c r="F2110" t="str">
        <f>IFERROR(__xludf.DUMMYFUNCTION("""COMPUTED_VALUE"""),"Karantene")</f>
        <v>Karantene</v>
      </c>
      <c r="G2110">
        <f>IFERROR(__xludf.DUMMYFUNCTION("""COMPUTED_VALUE"""),0.0)</f>
        <v>0</v>
      </c>
      <c r="H2110" s="5">
        <f>IFERROR(__xludf.DUMMYFUNCTION("""COMPUTED_VALUE"""),0.09166666666715173)</f>
        <v>0.09166666667</v>
      </c>
    </row>
    <row r="2111">
      <c r="A2111" t="str">
        <f>IFERROR(__xludf.DUMMYFUNCTION("""COMPUTED_VALUE"""),"Norway")</f>
        <v>Norway</v>
      </c>
      <c r="B2111" t="str">
        <f>IFERROR(__xludf.DUMMYFUNCTION("""COMPUTED_VALUE"""),"Europe")</f>
        <v>Europe</v>
      </c>
      <c r="C2111">
        <f>IFERROR(__xludf.DUMMYFUNCTION("""COMPUTED_VALUE"""),10.0)</f>
        <v>10</v>
      </c>
      <c r="D2111" t="str">
        <f>IFERROR(__xludf.DUMMYFUNCTION("""COMPUTED_VALUE"""),"SKÅL")</f>
        <v>SKÅL</v>
      </c>
      <c r="E2111" t="str">
        <f>IFERROR(__xludf.DUMMYFUNCTION("""COMPUTED_VALUE"""),"TIX")</f>
        <v>TIX</v>
      </c>
      <c r="F2111" t="str">
        <f>IFERROR(__xludf.DUMMYFUNCTION("""COMPUTED_VALUE"""),"SKÅL")</f>
        <v>SKÅL</v>
      </c>
      <c r="G2111">
        <f>IFERROR(__xludf.DUMMYFUNCTION("""COMPUTED_VALUE"""),1.0)</f>
        <v>1</v>
      </c>
      <c r="H2111" s="5">
        <f>IFERROR(__xludf.DUMMYFUNCTION("""COMPUTED_VALUE"""),0.09027777777737356)</f>
        <v>0.09027777778</v>
      </c>
    </row>
    <row r="2112">
      <c r="A2112" t="str">
        <f>IFERROR(__xludf.DUMMYFUNCTION("""COMPUTED_VALUE"""),"Norway")</f>
        <v>Norway</v>
      </c>
      <c r="B2112" t="str">
        <f>IFERROR(__xludf.DUMMYFUNCTION("""COMPUTED_VALUE"""),"Europe")</f>
        <v>Europe</v>
      </c>
      <c r="C2112">
        <f>IFERROR(__xludf.DUMMYFUNCTION("""COMPUTED_VALUE"""),11.0)</f>
        <v>11</v>
      </c>
      <c r="D2112" t="str">
        <f>IFERROR(__xludf.DUMMYFUNCTION("""COMPUTED_VALUE"""),"Kaller På Deg")</f>
        <v>Kaller På Deg</v>
      </c>
      <c r="E2112" t="str">
        <f>IFERROR(__xludf.DUMMYFUNCTION("""COMPUTED_VALUE"""),"TIX")</f>
        <v>TIX</v>
      </c>
      <c r="F2112" t="str">
        <f>IFERROR(__xludf.DUMMYFUNCTION("""COMPUTED_VALUE"""),"Kaller På Deg")</f>
        <v>Kaller På Deg</v>
      </c>
      <c r="G2112">
        <f>IFERROR(__xludf.DUMMYFUNCTION("""COMPUTED_VALUE"""),0.0)</f>
        <v>0</v>
      </c>
      <c r="H2112" s="5">
        <f>IFERROR(__xludf.DUMMYFUNCTION("""COMPUTED_VALUE"""),0.13958333333357587)</f>
        <v>0.1395833333</v>
      </c>
    </row>
    <row r="2113">
      <c r="A2113" t="str">
        <f>IFERROR(__xludf.DUMMYFUNCTION("""COMPUTED_VALUE"""),"Norway")</f>
        <v>Norway</v>
      </c>
      <c r="B2113" t="str">
        <f>IFERROR(__xludf.DUMMYFUNCTION("""COMPUTED_VALUE"""),"Europe")</f>
        <v>Europe</v>
      </c>
      <c r="C2113">
        <f>IFERROR(__xludf.DUMMYFUNCTION("""COMPUTED_VALUE"""),12.0)</f>
        <v>12</v>
      </c>
      <c r="D2113" t="str">
        <f>IFERROR(__xludf.DUMMYFUNCTION("""COMPUTED_VALUE"""),"Stuck with U (with Justin Bieber)")</f>
        <v>Stuck with U (with Justin Bieber)</v>
      </c>
      <c r="E2113" t="str">
        <f>IFERROR(__xludf.DUMMYFUNCTION("""COMPUTED_VALUE"""),"Ariana Grande, Justin Bieber")</f>
        <v>Ariana Grande, Justin Bieber</v>
      </c>
      <c r="F2113" t="str">
        <f>IFERROR(__xludf.DUMMYFUNCTION("""COMPUTED_VALUE"""),"Stuck with U")</f>
        <v>Stuck with U</v>
      </c>
      <c r="G2113">
        <f>IFERROR(__xludf.DUMMYFUNCTION("""COMPUTED_VALUE"""),0.0)</f>
        <v>0</v>
      </c>
      <c r="H2113" s="5">
        <f>IFERROR(__xludf.DUMMYFUNCTION("""COMPUTED_VALUE"""),0.15833333333284827)</f>
        <v>0.1583333333</v>
      </c>
    </row>
    <row r="2114">
      <c r="A2114" t="str">
        <f>IFERROR(__xludf.DUMMYFUNCTION("""COMPUTED_VALUE"""),"Norway")</f>
        <v>Norway</v>
      </c>
      <c r="B2114" t="str">
        <f>IFERROR(__xludf.DUMMYFUNCTION("""COMPUTED_VALUE"""),"Europe")</f>
        <v>Europe</v>
      </c>
      <c r="C2114">
        <f>IFERROR(__xludf.DUMMYFUNCTION("""COMPUTED_VALUE"""),13.0)</f>
        <v>13</v>
      </c>
      <c r="D2114" t="str">
        <f>IFERROR(__xludf.DUMMYFUNCTION("""COMPUTED_VALUE"""),"Rain On Me (with Ariana Grande)")</f>
        <v>Rain On Me (with Ariana Grande)</v>
      </c>
      <c r="E2114" t="str">
        <f>IFERROR(__xludf.DUMMYFUNCTION("""COMPUTED_VALUE"""),"Lady Gaga, Ariana Grande")</f>
        <v>Lady Gaga, Ariana Grande</v>
      </c>
      <c r="F2114" t="str">
        <f>IFERROR(__xludf.DUMMYFUNCTION("""COMPUTED_VALUE"""),"Rain On Me (with Ariana Grande)")</f>
        <v>Rain On Me (with Ariana Grande)</v>
      </c>
      <c r="G2114">
        <f>IFERROR(__xludf.DUMMYFUNCTION("""COMPUTED_VALUE"""),0.0)</f>
        <v>0</v>
      </c>
      <c r="H2114" s="5">
        <f>IFERROR(__xludf.DUMMYFUNCTION("""COMPUTED_VALUE"""),0.12638888888977817)</f>
        <v>0.1263888889</v>
      </c>
    </row>
    <row r="2115">
      <c r="A2115" t="str">
        <f>IFERROR(__xludf.DUMMYFUNCTION("""COMPUTED_VALUE"""),"Norway")</f>
        <v>Norway</v>
      </c>
      <c r="B2115" t="str">
        <f>IFERROR(__xludf.DUMMYFUNCTION("""COMPUTED_VALUE"""),"Europe")</f>
        <v>Europe</v>
      </c>
      <c r="C2115">
        <f>IFERROR(__xludf.DUMMYFUNCTION("""COMPUTED_VALUE"""),14.0)</f>
        <v>14</v>
      </c>
      <c r="D2115" t="str">
        <f>IFERROR(__xludf.DUMMYFUNCTION("""COMPUTED_VALUE"""),"Somebody")</f>
        <v>Somebody</v>
      </c>
      <c r="E2115" t="str">
        <f>IFERROR(__xludf.DUMMYFUNCTION("""COMPUTED_VALUE"""),"Dagny")</f>
        <v>Dagny</v>
      </c>
      <c r="F2115" t="str">
        <f>IFERROR(__xludf.DUMMYFUNCTION("""COMPUTED_VALUE"""),"Somebody")</f>
        <v>Somebody</v>
      </c>
      <c r="G2115">
        <f>IFERROR(__xludf.DUMMYFUNCTION("""COMPUTED_VALUE"""),0.0)</f>
        <v>0</v>
      </c>
      <c r="H2115" s="5">
        <f>IFERROR(__xludf.DUMMYFUNCTION("""COMPUTED_VALUE"""),0.13472222222117125)</f>
        <v>0.1347222222</v>
      </c>
    </row>
    <row r="2116">
      <c r="A2116" t="str">
        <f>IFERROR(__xludf.DUMMYFUNCTION("""COMPUTED_VALUE"""),"Norway")</f>
        <v>Norway</v>
      </c>
      <c r="B2116" t="str">
        <f>IFERROR(__xludf.DUMMYFUNCTION("""COMPUTED_VALUE"""),"Europe")</f>
        <v>Europe</v>
      </c>
      <c r="C2116">
        <f>IFERROR(__xludf.DUMMYFUNCTION("""COMPUTED_VALUE"""),15.0)</f>
        <v>15</v>
      </c>
      <c r="D2116" t="str">
        <f>IFERROR(__xludf.DUMMYFUNCTION("""COMPUTED_VALUE"""),"THE SCOTTS")</f>
        <v>THE SCOTTS</v>
      </c>
      <c r="E2116" t="str">
        <f>IFERROR(__xludf.DUMMYFUNCTION("""COMPUTED_VALUE"""),"THE SCOTTS, Travis Scott, Kid Cudi")</f>
        <v>THE SCOTTS, Travis Scott, Kid Cudi</v>
      </c>
      <c r="F2116" t="str">
        <f>IFERROR(__xludf.DUMMYFUNCTION("""COMPUTED_VALUE"""),"THE SCOTTS")</f>
        <v>THE SCOTTS</v>
      </c>
      <c r="G2116">
        <f>IFERROR(__xludf.DUMMYFUNCTION("""COMPUTED_VALUE"""),1.0)</f>
        <v>1</v>
      </c>
      <c r="H2116" s="5">
        <f>IFERROR(__xludf.DUMMYFUNCTION("""COMPUTED_VALUE"""),0.11458333333212067)</f>
        <v>0.1145833333</v>
      </c>
    </row>
    <row r="2117">
      <c r="A2117" t="str">
        <f>IFERROR(__xludf.DUMMYFUNCTION("""COMPUTED_VALUE"""),"Norway")</f>
        <v>Norway</v>
      </c>
      <c r="B2117" t="str">
        <f>IFERROR(__xludf.DUMMYFUNCTION("""COMPUTED_VALUE"""),"Europe")</f>
        <v>Europe</v>
      </c>
      <c r="C2117">
        <f>IFERROR(__xludf.DUMMYFUNCTION("""COMPUTED_VALUE"""),16.0)</f>
        <v>16</v>
      </c>
      <c r="D2117" t="str">
        <f>IFERROR(__xludf.DUMMYFUNCTION("""COMPUTED_VALUE"""),"Kings &amp; Queens")</f>
        <v>Kings &amp; Queens</v>
      </c>
      <c r="E2117" t="str">
        <f>IFERROR(__xludf.DUMMYFUNCTION("""COMPUTED_VALUE"""),"Ava Max")</f>
        <v>Ava Max</v>
      </c>
      <c r="F2117" t="str">
        <f>IFERROR(__xludf.DUMMYFUNCTION("""COMPUTED_VALUE"""),"Kings &amp; Queens")</f>
        <v>Kings &amp; Queens</v>
      </c>
      <c r="G2117">
        <f>IFERROR(__xludf.DUMMYFUNCTION("""COMPUTED_VALUE"""),0.0)</f>
        <v>0</v>
      </c>
      <c r="H2117" s="5">
        <f>IFERROR(__xludf.DUMMYFUNCTION("""COMPUTED_VALUE"""),0.1124999999992724)</f>
        <v>0.1125</v>
      </c>
    </row>
    <row r="2118">
      <c r="A2118" t="str">
        <f>IFERROR(__xludf.DUMMYFUNCTION("""COMPUTED_VALUE"""),"Norway")</f>
        <v>Norway</v>
      </c>
      <c r="B2118" t="str">
        <f>IFERROR(__xludf.DUMMYFUNCTION("""COMPUTED_VALUE"""),"Europe")</f>
        <v>Europe</v>
      </c>
      <c r="C2118">
        <f>IFERROR(__xludf.DUMMYFUNCTION("""COMPUTED_VALUE"""),17.0)</f>
        <v>17</v>
      </c>
      <c r="D2118" t="str">
        <f>IFERROR(__xludf.DUMMYFUNCTION("""COMPUTED_VALUE"""),"Dommedagen 2020")</f>
        <v>Dommedagen 2020</v>
      </c>
      <c r="E2118" t="str">
        <f>IFERROR(__xludf.DUMMYFUNCTION("""COMPUTED_VALUE"""),"TIX, Soppgirobygget")</f>
        <v>TIX, Soppgirobygget</v>
      </c>
      <c r="F2118" t="str">
        <f>IFERROR(__xludf.DUMMYFUNCTION("""COMPUTED_VALUE"""),"Dommedagen 2020")</f>
        <v>Dommedagen 2020</v>
      </c>
      <c r="G2118">
        <f>IFERROR(__xludf.DUMMYFUNCTION("""COMPUTED_VALUE"""),1.0)</f>
        <v>1</v>
      </c>
      <c r="H2118" s="5">
        <f>IFERROR(__xludf.DUMMYFUNCTION("""COMPUTED_VALUE"""),0.11805555555474712)</f>
        <v>0.1180555556</v>
      </c>
    </row>
    <row r="2119">
      <c r="A2119" t="str">
        <f>IFERROR(__xludf.DUMMYFUNCTION("""COMPUTED_VALUE"""),"Norway")</f>
        <v>Norway</v>
      </c>
      <c r="B2119" t="str">
        <f>IFERROR(__xludf.DUMMYFUNCTION("""COMPUTED_VALUE"""),"Europe")</f>
        <v>Europe</v>
      </c>
      <c r="C2119">
        <f>IFERROR(__xludf.DUMMYFUNCTION("""COMPUTED_VALUE"""),18.0)</f>
        <v>18</v>
      </c>
      <c r="D2119" t="str">
        <f>IFERROR(__xludf.DUMMYFUNCTION("""COMPUTED_VALUE"""),"Dance Monkey")</f>
        <v>Dance Monkey</v>
      </c>
      <c r="E2119" t="str">
        <f>IFERROR(__xludf.DUMMYFUNCTION("""COMPUTED_VALUE"""),"Tones And I")</f>
        <v>Tones And I</v>
      </c>
      <c r="F2119" t="str">
        <f>IFERROR(__xludf.DUMMYFUNCTION("""COMPUTED_VALUE"""),"Dance Monkey (Stripped Back) / Dance Monkey")</f>
        <v>Dance Monkey (Stripped Back) / Dance Monkey</v>
      </c>
      <c r="G2119">
        <f>IFERROR(__xludf.DUMMYFUNCTION("""COMPUTED_VALUE"""),0.0)</f>
        <v>0</v>
      </c>
      <c r="H2119" s="5">
        <f>IFERROR(__xludf.DUMMYFUNCTION("""COMPUTED_VALUE"""),0.14513888888905058)</f>
        <v>0.1451388889</v>
      </c>
    </row>
    <row r="2120">
      <c r="A2120" t="str">
        <f>IFERROR(__xludf.DUMMYFUNCTION("""COMPUTED_VALUE"""),"Norway")</f>
        <v>Norway</v>
      </c>
      <c r="B2120" t="str">
        <f>IFERROR(__xludf.DUMMYFUNCTION("""COMPUTED_VALUE"""),"Europe")</f>
        <v>Europe</v>
      </c>
      <c r="C2120">
        <f>IFERROR(__xludf.DUMMYFUNCTION("""COMPUTED_VALUE"""),19.0)</f>
        <v>19</v>
      </c>
      <c r="D2120" t="str">
        <f>IFERROR(__xludf.DUMMYFUNCTION("""COMPUTED_VALUE"""),"Hvis verden")</f>
        <v>Hvis verden</v>
      </c>
      <c r="E2120" t="str">
        <f>IFERROR(__xludf.DUMMYFUNCTION("""COMPUTED_VALUE"""),"Chris Holsten, Frida Ånnevik")</f>
        <v>Chris Holsten, Frida Ånnevik</v>
      </c>
      <c r="F2120" t="str">
        <f>IFERROR(__xludf.DUMMYFUNCTION("""COMPUTED_VALUE"""),"Hvis verden")</f>
        <v>Hvis verden</v>
      </c>
      <c r="G2120">
        <f>IFERROR(__xludf.DUMMYFUNCTION("""COMPUTED_VALUE"""),0.0)</f>
        <v>0</v>
      </c>
      <c r="H2120" s="5">
        <f>IFERROR(__xludf.DUMMYFUNCTION("""COMPUTED_VALUE"""),0.15486111111022183)</f>
        <v>0.1548611111</v>
      </c>
    </row>
    <row r="2121">
      <c r="A2121" t="str">
        <f>IFERROR(__xludf.DUMMYFUNCTION("""COMPUTED_VALUE"""),"Norway")</f>
        <v>Norway</v>
      </c>
      <c r="B2121" t="str">
        <f>IFERROR(__xludf.DUMMYFUNCTION("""COMPUTED_VALUE"""),"Europe")</f>
        <v>Europe</v>
      </c>
      <c r="C2121">
        <f>IFERROR(__xludf.DUMMYFUNCTION("""COMPUTED_VALUE"""),20.0)</f>
        <v>20</v>
      </c>
      <c r="D2121" t="str">
        <f>IFERROR(__xludf.DUMMYFUNCTION("""COMPUTED_VALUE"""),"End of Time")</f>
        <v>End of Time</v>
      </c>
      <c r="E2121" t="str">
        <f>IFERROR(__xludf.DUMMYFUNCTION("""COMPUTED_VALUE"""),"K-391, Alan Walker, Ahrix")</f>
        <v>K-391, Alan Walker, Ahrix</v>
      </c>
      <c r="F2121" t="str">
        <f>IFERROR(__xludf.DUMMYFUNCTION("""COMPUTED_VALUE"""),"End of Time")</f>
        <v>End of Time</v>
      </c>
      <c r="G2121">
        <f>IFERROR(__xludf.DUMMYFUNCTION("""COMPUTED_VALUE"""),0.0)</f>
        <v>0</v>
      </c>
      <c r="H2121" s="5">
        <f>IFERROR(__xludf.DUMMYFUNCTION("""COMPUTED_VALUE"""),0.12986111111240461)</f>
        <v>0.1298611111</v>
      </c>
    </row>
    <row r="2122">
      <c r="A2122" t="str">
        <f>IFERROR(__xludf.DUMMYFUNCTION("""COMPUTED_VALUE"""),"Norway")</f>
        <v>Norway</v>
      </c>
      <c r="B2122" t="str">
        <f>IFERROR(__xludf.DUMMYFUNCTION("""COMPUTED_VALUE"""),"Europe")</f>
        <v>Europe</v>
      </c>
      <c r="C2122">
        <f>IFERROR(__xludf.DUMMYFUNCTION("""COMPUTED_VALUE"""),21.0)</f>
        <v>21</v>
      </c>
      <c r="D2122" t="str">
        <f>IFERROR(__xludf.DUMMYFUNCTION("""COMPUTED_VALUE"""),"Salt")</f>
        <v>Salt</v>
      </c>
      <c r="E2122" t="str">
        <f>IFERROR(__xludf.DUMMYFUNCTION("""COMPUTED_VALUE"""),"Ava Max")</f>
        <v>Ava Max</v>
      </c>
      <c r="F2122" t="str">
        <f>IFERROR(__xludf.DUMMYFUNCTION("""COMPUTED_VALUE"""),"Salt")</f>
        <v>Salt</v>
      </c>
      <c r="G2122">
        <f>IFERROR(__xludf.DUMMYFUNCTION("""COMPUTED_VALUE"""),0.0)</f>
        <v>0</v>
      </c>
      <c r="H2122" s="5">
        <f>IFERROR(__xludf.DUMMYFUNCTION("""COMPUTED_VALUE"""),0.125)</f>
        <v>0.125</v>
      </c>
    </row>
    <row r="2123">
      <c r="A2123" t="str">
        <f>IFERROR(__xludf.DUMMYFUNCTION("""COMPUTED_VALUE"""),"Norway")</f>
        <v>Norway</v>
      </c>
      <c r="B2123" t="str">
        <f>IFERROR(__xludf.DUMMYFUNCTION("""COMPUTED_VALUE"""),"Europe")</f>
        <v>Europe</v>
      </c>
      <c r="C2123">
        <f>IFERROR(__xludf.DUMMYFUNCTION("""COMPUTED_VALUE"""),22.0)</f>
        <v>22</v>
      </c>
      <c r="D2123" t="str">
        <f>IFERROR(__xludf.DUMMYFUNCTION("""COMPUTED_VALUE"""),"Toosie Slide")</f>
        <v>Toosie Slide</v>
      </c>
      <c r="E2123" t="str">
        <f>IFERROR(__xludf.DUMMYFUNCTION("""COMPUTED_VALUE"""),"Drake")</f>
        <v>Drake</v>
      </c>
      <c r="F2123" t="str">
        <f>IFERROR(__xludf.DUMMYFUNCTION("""COMPUTED_VALUE"""),"Dark Lane Demo Tapes")</f>
        <v>Dark Lane Demo Tapes</v>
      </c>
      <c r="G2123">
        <f>IFERROR(__xludf.DUMMYFUNCTION("""COMPUTED_VALUE"""),1.0)</f>
        <v>1</v>
      </c>
      <c r="H2123" s="5">
        <f>IFERROR(__xludf.DUMMYFUNCTION("""COMPUTED_VALUE"""),0.17152777777664596)</f>
        <v>0.1715277778</v>
      </c>
    </row>
    <row r="2124">
      <c r="A2124" t="str">
        <f>IFERROR(__xludf.DUMMYFUNCTION("""COMPUTED_VALUE"""),"Norway")</f>
        <v>Norway</v>
      </c>
      <c r="B2124" t="str">
        <f>IFERROR(__xludf.DUMMYFUNCTION("""COMPUTED_VALUE"""),"Europe")</f>
        <v>Europe</v>
      </c>
      <c r="C2124">
        <f>IFERROR(__xludf.DUMMYFUNCTION("""COMPUTED_VALUE"""),23.0)</f>
        <v>23</v>
      </c>
      <c r="D2124" t="str">
        <f>IFERROR(__xludf.DUMMYFUNCTION("""COMPUTED_VALUE"""),"death bed (coffee for your head) (feat. beabadoobee)")</f>
        <v>death bed (coffee for your head) (feat. beabadoobee)</v>
      </c>
      <c r="E2124" t="str">
        <f>IFERROR(__xludf.DUMMYFUNCTION("""COMPUTED_VALUE"""),"Powfu, beabadoobee")</f>
        <v>Powfu, beabadoobee</v>
      </c>
      <c r="F2124" t="str">
        <f>IFERROR(__xludf.DUMMYFUNCTION("""COMPUTED_VALUE"""),"death bed (coffee for your head) (feat. beabadoobee)")</f>
        <v>death bed (coffee for your head) (feat. beabadoobee)</v>
      </c>
      <c r="G2124">
        <f>IFERROR(__xludf.DUMMYFUNCTION("""COMPUTED_VALUE"""),0.0)</f>
        <v>0</v>
      </c>
      <c r="H2124" s="5">
        <f>IFERROR(__xludf.DUMMYFUNCTION("""COMPUTED_VALUE"""),0.12013888888759539)</f>
        <v>0.1201388889</v>
      </c>
    </row>
    <row r="2125">
      <c r="A2125" t="str">
        <f>IFERROR(__xludf.DUMMYFUNCTION("""COMPUTED_VALUE"""),"Norway")</f>
        <v>Norway</v>
      </c>
      <c r="B2125" t="str">
        <f>IFERROR(__xludf.DUMMYFUNCTION("""COMPUTED_VALUE"""),"Europe")</f>
        <v>Europe</v>
      </c>
      <c r="C2125">
        <f>IFERROR(__xludf.DUMMYFUNCTION("""COMPUTED_VALUE"""),24.0)</f>
        <v>24</v>
      </c>
      <c r="D2125" t="str">
        <f>IFERROR(__xludf.DUMMYFUNCTION("""COMPUTED_VALUE"""),"Play Date")</f>
        <v>Play Date</v>
      </c>
      <c r="E2125" t="str">
        <f>IFERROR(__xludf.DUMMYFUNCTION("""COMPUTED_VALUE"""),"Melanie Martinez")</f>
        <v>Melanie Martinez</v>
      </c>
      <c r="F2125" t="str">
        <f>IFERROR(__xludf.DUMMYFUNCTION("""COMPUTED_VALUE"""),"Cry Baby (Deluxe Edition)")</f>
        <v>Cry Baby (Deluxe Edition)</v>
      </c>
      <c r="G2125">
        <f>IFERROR(__xludf.DUMMYFUNCTION("""COMPUTED_VALUE"""),1.0)</f>
        <v>1</v>
      </c>
      <c r="H2125" s="5">
        <f>IFERROR(__xludf.DUMMYFUNCTION("""COMPUTED_VALUE"""),0.1243055555569299)</f>
        <v>0.1243055556</v>
      </c>
    </row>
    <row r="2126">
      <c r="A2126" t="str">
        <f>IFERROR(__xludf.DUMMYFUNCTION("""COMPUTED_VALUE"""),"Norway")</f>
        <v>Norway</v>
      </c>
      <c r="B2126" t="str">
        <f>IFERROR(__xludf.DUMMYFUNCTION("""COMPUTED_VALUE"""),"Europe")</f>
        <v>Europe</v>
      </c>
      <c r="C2126">
        <f>IFERROR(__xludf.DUMMYFUNCTION("""COMPUTED_VALUE"""),25.0)</f>
        <v>25</v>
      </c>
      <c r="D2126" t="str">
        <f>IFERROR(__xludf.DUMMYFUNCTION("""COMPUTED_VALUE"""),"Bad Child")</f>
        <v>Bad Child</v>
      </c>
      <c r="E2126" t="str">
        <f>IFERROR(__xludf.DUMMYFUNCTION("""COMPUTED_VALUE"""),"Tones And I")</f>
        <v>Tones And I</v>
      </c>
      <c r="F2126" t="str">
        <f>IFERROR(__xludf.DUMMYFUNCTION("""COMPUTED_VALUE"""),"Bad Child/Can't Be Happy All The Time")</f>
        <v>Bad Child/Can't Be Happy All The Time</v>
      </c>
      <c r="G2126">
        <f>IFERROR(__xludf.DUMMYFUNCTION("""COMPUTED_VALUE"""),1.0)</f>
        <v>1</v>
      </c>
      <c r="H2126" s="5">
        <f>IFERROR(__xludf.DUMMYFUNCTION("""COMPUTED_VALUE"""),0.15347222222044365)</f>
        <v>0.1534722222</v>
      </c>
    </row>
    <row r="2127">
      <c r="A2127" t="str">
        <f>IFERROR(__xludf.DUMMYFUNCTION("""COMPUTED_VALUE"""),"Norway")</f>
        <v>Norway</v>
      </c>
      <c r="B2127" t="str">
        <f>IFERROR(__xludf.DUMMYFUNCTION("""COMPUTED_VALUE"""),"Europe")</f>
        <v>Europe</v>
      </c>
      <c r="C2127">
        <f>IFERROR(__xludf.DUMMYFUNCTION("""COMPUTED_VALUE"""),26.0)</f>
        <v>26</v>
      </c>
      <c r="D2127" t="str">
        <f>IFERROR(__xludf.DUMMYFUNCTION("""COMPUTED_VALUE"""),"I Don't Know Why")</f>
        <v>I Don't Know Why</v>
      </c>
      <c r="E2127" t="str">
        <f>IFERROR(__xludf.DUMMYFUNCTION("""COMPUTED_VALUE"""),"NOTD, Astrid S")</f>
        <v>NOTD, Astrid S</v>
      </c>
      <c r="F2127" t="str">
        <f>IFERROR(__xludf.DUMMYFUNCTION("""COMPUTED_VALUE"""),"I Don't Know Why")</f>
        <v>I Don't Know Why</v>
      </c>
      <c r="G2127">
        <f>IFERROR(__xludf.DUMMYFUNCTION("""COMPUTED_VALUE"""),0.0)</f>
        <v>0</v>
      </c>
      <c r="H2127" s="5">
        <f>IFERROR(__xludf.DUMMYFUNCTION("""COMPUTED_VALUE"""),0.1437499999992724)</f>
        <v>0.14375</v>
      </c>
    </row>
    <row r="2128">
      <c r="A2128" t="str">
        <f>IFERROR(__xludf.DUMMYFUNCTION("""COMPUTED_VALUE"""),"Norway")</f>
        <v>Norway</v>
      </c>
      <c r="B2128" t="str">
        <f>IFERROR(__xludf.DUMMYFUNCTION("""COMPUTED_VALUE"""),"Europe")</f>
        <v>Europe</v>
      </c>
      <c r="C2128">
        <f>IFERROR(__xludf.DUMMYFUNCTION("""COMPUTED_VALUE"""),27.0)</f>
        <v>27</v>
      </c>
      <c r="D2128" t="str">
        <f>IFERROR(__xludf.DUMMYFUNCTION("""COMPUTED_VALUE"""),"ily (i love you baby) (feat. Emilee)")</f>
        <v>ily (i love you baby) (feat. Emilee)</v>
      </c>
      <c r="E2128" t="str">
        <f>IFERROR(__xludf.DUMMYFUNCTION("""COMPUTED_VALUE"""),"Surf Mesa, Emilee")</f>
        <v>Surf Mesa, Emilee</v>
      </c>
      <c r="F2128" t="str">
        <f>IFERROR(__xludf.DUMMYFUNCTION("""COMPUTED_VALUE"""),"ily (i love you baby) (feat. Emilee)")</f>
        <v>ily (i love you baby) (feat. Emilee)</v>
      </c>
      <c r="G2128">
        <f>IFERROR(__xludf.DUMMYFUNCTION("""COMPUTED_VALUE"""),0.0)</f>
        <v>0</v>
      </c>
      <c r="H2128" s="5">
        <f>IFERROR(__xludf.DUMMYFUNCTION("""COMPUTED_VALUE"""),0.12222222222044365)</f>
        <v>0.1222222222</v>
      </c>
    </row>
    <row r="2129">
      <c r="A2129" t="str">
        <f>IFERROR(__xludf.DUMMYFUNCTION("""COMPUTED_VALUE"""),"Norway")</f>
        <v>Norway</v>
      </c>
      <c r="B2129" t="str">
        <f>IFERROR(__xludf.DUMMYFUNCTION("""COMPUTED_VALUE"""),"Europe")</f>
        <v>Europe</v>
      </c>
      <c r="C2129">
        <f>IFERROR(__xludf.DUMMYFUNCTION("""COMPUTED_VALUE"""),28.0)</f>
        <v>28</v>
      </c>
      <c r="D2129" t="str">
        <f>IFERROR(__xludf.DUMMYFUNCTION("""COMPUTED_VALUE"""),"If the World Was Ending - feat. Julia Michaels")</f>
        <v>If the World Was Ending - feat. Julia Michaels</v>
      </c>
      <c r="E2129" t="str">
        <f>IFERROR(__xludf.DUMMYFUNCTION("""COMPUTED_VALUE"""),"JP Saxe, Julia Michaels")</f>
        <v>JP Saxe, Julia Michaels</v>
      </c>
      <c r="F2129" t="str">
        <f>IFERROR(__xludf.DUMMYFUNCTION("""COMPUTED_VALUE"""),"If the World Was Ending (feat. Julia Michaels)")</f>
        <v>If the World Was Ending (feat. Julia Michaels)</v>
      </c>
      <c r="G2129">
        <f>IFERROR(__xludf.DUMMYFUNCTION("""COMPUTED_VALUE"""),0.0)</f>
        <v>0</v>
      </c>
      <c r="H2129" s="5">
        <f>IFERROR(__xludf.DUMMYFUNCTION("""COMPUTED_VALUE"""),0.14444444444598048)</f>
        <v>0.1444444444</v>
      </c>
    </row>
    <row r="2130">
      <c r="A2130" t="str">
        <f>IFERROR(__xludf.DUMMYFUNCTION("""COMPUTED_VALUE"""),"Norway")</f>
        <v>Norway</v>
      </c>
      <c r="B2130" t="str">
        <f>IFERROR(__xludf.DUMMYFUNCTION("""COMPUTED_VALUE"""),"Europe")</f>
        <v>Europe</v>
      </c>
      <c r="C2130">
        <f>IFERROR(__xludf.DUMMYFUNCTION("""COMPUTED_VALUE"""),29.0)</f>
        <v>29</v>
      </c>
      <c r="D2130" t="str">
        <f>IFERROR(__xludf.DUMMYFUNCTION("""COMPUTED_VALUE"""),"Someone You Loved")</f>
        <v>Someone You Loved</v>
      </c>
      <c r="E2130" t="str">
        <f>IFERROR(__xludf.DUMMYFUNCTION("""COMPUTED_VALUE"""),"Lewis Capaldi")</f>
        <v>Lewis Capaldi</v>
      </c>
      <c r="F2130" t="str">
        <f>IFERROR(__xludf.DUMMYFUNCTION("""COMPUTED_VALUE"""),"Divinely Uninspired To A Hellish Extent")</f>
        <v>Divinely Uninspired To A Hellish Extent</v>
      </c>
      <c r="G2130">
        <f>IFERROR(__xludf.DUMMYFUNCTION("""COMPUTED_VALUE"""),0.0)</f>
        <v>0</v>
      </c>
      <c r="H2130" s="5">
        <f>IFERROR(__xludf.DUMMYFUNCTION("""COMPUTED_VALUE"""),0.12638888888977817)</f>
        <v>0.1263888889</v>
      </c>
    </row>
    <row r="2131">
      <c r="A2131" t="str">
        <f>IFERROR(__xludf.DUMMYFUNCTION("""COMPUTED_VALUE"""),"Norway")</f>
        <v>Norway</v>
      </c>
      <c r="B2131" t="str">
        <f>IFERROR(__xludf.DUMMYFUNCTION("""COMPUTED_VALUE"""),"Europe")</f>
        <v>Europe</v>
      </c>
      <c r="C2131">
        <f>IFERROR(__xludf.DUMMYFUNCTION("""COMPUTED_VALUE"""),30.0)</f>
        <v>30</v>
      </c>
      <c r="D2131" t="str">
        <f>IFERROR(__xludf.DUMMYFUNCTION("""COMPUTED_VALUE"""),"The Truth")</f>
        <v>The Truth</v>
      </c>
      <c r="E2131" t="str">
        <f>IFERROR(__xludf.DUMMYFUNCTION("""COMPUTED_VALUE"""),"Kygo, Valerie Broussard")</f>
        <v>Kygo, Valerie Broussard</v>
      </c>
      <c r="F2131" t="str">
        <f>IFERROR(__xludf.DUMMYFUNCTION("""COMPUTED_VALUE"""),"The Truth")</f>
        <v>The Truth</v>
      </c>
      <c r="G2131">
        <f>IFERROR(__xludf.DUMMYFUNCTION("""COMPUTED_VALUE"""),0.0)</f>
        <v>0</v>
      </c>
      <c r="H2131" s="5">
        <f>IFERROR(__xludf.DUMMYFUNCTION("""COMPUTED_VALUE"""),0.13402777777810115)</f>
        <v>0.1340277778</v>
      </c>
    </row>
    <row r="2132">
      <c r="A2132" t="str">
        <f>IFERROR(__xludf.DUMMYFUNCTION("""COMPUTED_VALUE"""),"Norway")</f>
        <v>Norway</v>
      </c>
      <c r="B2132" t="str">
        <f>IFERROR(__xludf.DUMMYFUNCTION("""COMPUTED_VALUE"""),"Europe")</f>
        <v>Europe</v>
      </c>
      <c r="C2132">
        <f>IFERROR(__xludf.DUMMYFUNCTION("""COMPUTED_VALUE"""),31.0)</f>
        <v>31</v>
      </c>
      <c r="D2132" t="str">
        <f>IFERROR(__xludf.DUMMYFUNCTION("""COMPUTED_VALUE"""),"Like It Is")</f>
        <v>Like It Is</v>
      </c>
      <c r="E2132" t="str">
        <f>IFERROR(__xludf.DUMMYFUNCTION("""COMPUTED_VALUE"""),"Kygo, Zara Larsson, Tyga")</f>
        <v>Kygo, Zara Larsson, Tyga</v>
      </c>
      <c r="F2132" t="str">
        <f>IFERROR(__xludf.DUMMYFUNCTION("""COMPUTED_VALUE"""),"Like It Is")</f>
        <v>Like It Is</v>
      </c>
      <c r="G2132">
        <f>IFERROR(__xludf.DUMMYFUNCTION("""COMPUTED_VALUE"""),0.0)</f>
        <v>0</v>
      </c>
      <c r="H2132" s="5">
        <f>IFERROR(__xludf.DUMMYFUNCTION("""COMPUTED_VALUE"""),0.12708333333284827)</f>
        <v>0.1270833333</v>
      </c>
    </row>
    <row r="2133">
      <c r="A2133" t="str">
        <f>IFERROR(__xludf.DUMMYFUNCTION("""COMPUTED_VALUE"""),"Norway")</f>
        <v>Norway</v>
      </c>
      <c r="B2133" t="str">
        <f>IFERROR(__xludf.DUMMYFUNCTION("""COMPUTED_VALUE"""),"Europe")</f>
        <v>Europe</v>
      </c>
      <c r="C2133">
        <f>IFERROR(__xludf.DUMMYFUNCTION("""COMPUTED_VALUE"""),32.0)</f>
        <v>32</v>
      </c>
      <c r="D2133" t="str">
        <f>IFERROR(__xludf.DUMMYFUNCTION("""COMPUTED_VALUE"""),"Supalonely")</f>
        <v>Supalonely</v>
      </c>
      <c r="E2133" t="str">
        <f>IFERROR(__xludf.DUMMYFUNCTION("""COMPUTED_VALUE"""),"BENEE, Gus Dapperton")</f>
        <v>BENEE, Gus Dapperton</v>
      </c>
      <c r="F2133" t="str">
        <f>IFERROR(__xludf.DUMMYFUNCTION("""COMPUTED_VALUE"""),"STELLA &amp; STEVE")</f>
        <v>STELLA &amp; STEVE</v>
      </c>
      <c r="G2133">
        <f>IFERROR(__xludf.DUMMYFUNCTION("""COMPUTED_VALUE"""),1.0)</f>
        <v>1</v>
      </c>
      <c r="H2133" s="5">
        <f>IFERROR(__xludf.DUMMYFUNCTION("""COMPUTED_VALUE"""),0.15486111111022183)</f>
        <v>0.1548611111</v>
      </c>
    </row>
    <row r="2134">
      <c r="A2134" t="str">
        <f>IFERROR(__xludf.DUMMYFUNCTION("""COMPUTED_VALUE"""),"Norway")</f>
        <v>Norway</v>
      </c>
      <c r="B2134" t="str">
        <f>IFERROR(__xludf.DUMMYFUNCTION("""COMPUTED_VALUE"""),"Europe")</f>
        <v>Europe</v>
      </c>
      <c r="C2134">
        <f>IFERROR(__xludf.DUMMYFUNCTION("""COMPUTED_VALUE"""),33.0)</f>
        <v>33</v>
      </c>
      <c r="D2134" t="str">
        <f>IFERROR(__xludf.DUMMYFUNCTION("""COMPUTED_VALUE"""),"Breaking Me")</f>
        <v>Breaking Me</v>
      </c>
      <c r="E2134" t="str">
        <f>IFERROR(__xludf.DUMMYFUNCTION("""COMPUTED_VALUE"""),"Topic, A7S")</f>
        <v>Topic, A7S</v>
      </c>
      <c r="F2134" t="str">
        <f>IFERROR(__xludf.DUMMYFUNCTION("""COMPUTED_VALUE"""),"Breaking Me")</f>
        <v>Breaking Me</v>
      </c>
      <c r="G2134">
        <f>IFERROR(__xludf.DUMMYFUNCTION("""COMPUTED_VALUE"""),0.0)</f>
        <v>0</v>
      </c>
      <c r="H2134" s="5">
        <f>IFERROR(__xludf.DUMMYFUNCTION("""COMPUTED_VALUE"""),0.11527777777882875)</f>
        <v>0.1152777778</v>
      </c>
    </row>
    <row r="2135">
      <c r="A2135" t="str">
        <f>IFERROR(__xludf.DUMMYFUNCTION("""COMPUTED_VALUE"""),"Norway")</f>
        <v>Norway</v>
      </c>
      <c r="B2135" t="str">
        <f>IFERROR(__xludf.DUMMYFUNCTION("""COMPUTED_VALUE"""),"Europe")</f>
        <v>Europe</v>
      </c>
      <c r="C2135">
        <f>IFERROR(__xludf.DUMMYFUNCTION("""COMPUTED_VALUE"""),34.0)</f>
        <v>34</v>
      </c>
      <c r="D2135" t="str">
        <f>IFERROR(__xludf.DUMMYFUNCTION("""COMPUTED_VALUE"""),"Don't Start Now")</f>
        <v>Don't Start Now</v>
      </c>
      <c r="E2135" t="str">
        <f>IFERROR(__xludf.DUMMYFUNCTION("""COMPUTED_VALUE"""),"Dua Lipa")</f>
        <v>Dua Lipa</v>
      </c>
      <c r="F2135" t="str">
        <f>IFERROR(__xludf.DUMMYFUNCTION("""COMPUTED_VALUE"""),"Future Nostalgia")</f>
        <v>Future Nostalgia</v>
      </c>
      <c r="G2135">
        <f>IFERROR(__xludf.DUMMYFUNCTION("""COMPUTED_VALUE"""),0.0)</f>
        <v>0</v>
      </c>
      <c r="H2135" s="5">
        <f>IFERROR(__xludf.DUMMYFUNCTION("""COMPUTED_VALUE"""),0.12708333333284827)</f>
        <v>0.1270833333</v>
      </c>
    </row>
    <row r="2136">
      <c r="A2136" t="str">
        <f>IFERROR(__xludf.DUMMYFUNCTION("""COMPUTED_VALUE"""),"Norway")</f>
        <v>Norway</v>
      </c>
      <c r="B2136" t="str">
        <f>IFERROR(__xludf.DUMMYFUNCTION("""COMPUTED_VALUE"""),"Europe")</f>
        <v>Europe</v>
      </c>
      <c r="C2136">
        <f>IFERROR(__xludf.DUMMYFUNCTION("""COMPUTED_VALUE"""),35.0)</f>
        <v>35</v>
      </c>
      <c r="D2136" t="str">
        <f>IFERROR(__xludf.DUMMYFUNCTION("""COMPUTED_VALUE"""),"Blueberry Faygo")</f>
        <v>Blueberry Faygo</v>
      </c>
      <c r="E2136" t="str">
        <f>IFERROR(__xludf.DUMMYFUNCTION("""COMPUTED_VALUE"""),"Lil Mosey")</f>
        <v>Lil Mosey</v>
      </c>
      <c r="F2136" t="str">
        <f>IFERROR(__xludf.DUMMYFUNCTION("""COMPUTED_VALUE"""),"Certified Hitmaker")</f>
        <v>Certified Hitmaker</v>
      </c>
      <c r="G2136">
        <f>IFERROR(__xludf.DUMMYFUNCTION("""COMPUTED_VALUE"""),1.0)</f>
        <v>1</v>
      </c>
      <c r="H2136" s="5">
        <f>IFERROR(__xludf.DUMMYFUNCTION("""COMPUTED_VALUE"""),0.1124999999992724)</f>
        <v>0.1125</v>
      </c>
    </row>
    <row r="2137">
      <c r="A2137" t="str">
        <f>IFERROR(__xludf.DUMMYFUNCTION("""COMPUTED_VALUE"""),"Norway")</f>
        <v>Norway</v>
      </c>
      <c r="B2137" t="str">
        <f>IFERROR(__xludf.DUMMYFUNCTION("""COMPUTED_VALUE"""),"Europe")</f>
        <v>Europe</v>
      </c>
      <c r="C2137">
        <f>IFERROR(__xludf.DUMMYFUNCTION("""COMPUTED_VALUE"""),36.0)</f>
        <v>36</v>
      </c>
      <c r="D2137" t="str">
        <f>IFERROR(__xludf.DUMMYFUNCTION("""COMPUTED_VALUE"""),"Break My Heart")</f>
        <v>Break My Heart</v>
      </c>
      <c r="E2137" t="str">
        <f>IFERROR(__xludf.DUMMYFUNCTION("""COMPUTED_VALUE"""),"Dua Lipa")</f>
        <v>Dua Lipa</v>
      </c>
      <c r="F2137" t="str">
        <f>IFERROR(__xludf.DUMMYFUNCTION("""COMPUTED_VALUE"""),"Future Nostalgia")</f>
        <v>Future Nostalgia</v>
      </c>
      <c r="G2137">
        <f>IFERROR(__xludf.DUMMYFUNCTION("""COMPUTED_VALUE"""),0.0)</f>
        <v>0</v>
      </c>
      <c r="H2137" s="5">
        <f>IFERROR(__xludf.DUMMYFUNCTION("""COMPUTED_VALUE"""),0.15347222222044365)</f>
        <v>0.1534722222</v>
      </c>
    </row>
    <row r="2138">
      <c r="A2138" t="str">
        <f>IFERROR(__xludf.DUMMYFUNCTION("""COMPUTED_VALUE"""),"Norway")</f>
        <v>Norway</v>
      </c>
      <c r="B2138" t="str">
        <f>IFERROR(__xludf.DUMMYFUNCTION("""COMPUTED_VALUE"""),"Europe")</f>
        <v>Europe</v>
      </c>
      <c r="C2138">
        <f>IFERROR(__xludf.DUMMYFUNCTION("""COMPUTED_VALUE"""),37.0)</f>
        <v>37</v>
      </c>
      <c r="D2138" t="str">
        <f>IFERROR(__xludf.DUMMYFUNCTION("""COMPUTED_VALUE"""),"Burn Down This Room")</f>
        <v>Burn Down This Room</v>
      </c>
      <c r="E2138" t="str">
        <f>IFERROR(__xludf.DUMMYFUNCTION("""COMPUTED_VALUE"""),"Ruben")</f>
        <v>Ruben</v>
      </c>
      <c r="F2138" t="str">
        <f>IFERROR(__xludf.DUMMYFUNCTION("""COMPUTED_VALUE"""),"Burn Down This Room")</f>
        <v>Burn Down This Room</v>
      </c>
      <c r="G2138">
        <f>IFERROR(__xludf.DUMMYFUNCTION("""COMPUTED_VALUE"""),0.0)</f>
        <v>0</v>
      </c>
      <c r="H2138" s="5">
        <f>IFERROR(__xludf.DUMMYFUNCTION("""COMPUTED_VALUE"""),0.14652777777882875)</f>
        <v>0.1465277778</v>
      </c>
    </row>
    <row r="2139">
      <c r="A2139" t="str">
        <f>IFERROR(__xludf.DUMMYFUNCTION("""COMPUTED_VALUE"""),"Norway")</f>
        <v>Norway</v>
      </c>
      <c r="B2139" t="str">
        <f>IFERROR(__xludf.DUMMYFUNCTION("""COMPUTED_VALUE"""),"Europe")</f>
        <v>Europe</v>
      </c>
      <c r="C2139">
        <f>IFERROR(__xludf.DUMMYFUNCTION("""COMPUTED_VALUE"""),38.0)</f>
        <v>38</v>
      </c>
      <c r="D2139" t="str">
        <f>IFERROR(__xludf.DUMMYFUNCTION("""COMPUTED_VALUE"""),"Before You Go")</f>
        <v>Before You Go</v>
      </c>
      <c r="E2139" t="str">
        <f>IFERROR(__xludf.DUMMYFUNCTION("""COMPUTED_VALUE"""),"Lewis Capaldi")</f>
        <v>Lewis Capaldi</v>
      </c>
      <c r="F2139" t="str">
        <f>IFERROR(__xludf.DUMMYFUNCTION("""COMPUTED_VALUE"""),"Divinely Uninspired To A Hellish Extent (Extended Edition)")</f>
        <v>Divinely Uninspired To A Hellish Extent (Extended Edition)</v>
      </c>
      <c r="G2139">
        <f>IFERROR(__xludf.DUMMYFUNCTION("""COMPUTED_VALUE"""),0.0)</f>
        <v>0</v>
      </c>
      <c r="H2139" s="5">
        <f>IFERROR(__xludf.DUMMYFUNCTION("""COMPUTED_VALUE"""),0.14930555555474712)</f>
        <v>0.1493055556</v>
      </c>
    </row>
    <row r="2140">
      <c r="A2140" t="str">
        <f>IFERROR(__xludf.DUMMYFUNCTION("""COMPUTED_VALUE"""),"Norway")</f>
        <v>Norway</v>
      </c>
      <c r="B2140" t="str">
        <f>IFERROR(__xludf.DUMMYFUNCTION("""COMPUTED_VALUE"""),"Europe")</f>
        <v>Europe</v>
      </c>
      <c r="C2140">
        <f>IFERROR(__xludf.DUMMYFUNCTION("""COMPUTED_VALUE"""),39.0)</f>
        <v>39</v>
      </c>
      <c r="D2140" t="str">
        <f>IFERROR(__xludf.DUMMYFUNCTION("""COMPUTED_VALUE"""),"Boss Bitch")</f>
        <v>Boss Bitch</v>
      </c>
      <c r="E2140" t="str">
        <f>IFERROR(__xludf.DUMMYFUNCTION("""COMPUTED_VALUE"""),"Doja Cat")</f>
        <v>Doja Cat</v>
      </c>
      <c r="F2140" t="str">
        <f>IFERROR(__xludf.DUMMYFUNCTION("""COMPUTED_VALUE"""),"Boss Bitch")</f>
        <v>Boss Bitch</v>
      </c>
      <c r="G2140">
        <f>IFERROR(__xludf.DUMMYFUNCTION("""COMPUTED_VALUE"""),0.0)</f>
        <v>0</v>
      </c>
      <c r="H2140" s="5">
        <f>IFERROR(__xludf.DUMMYFUNCTION("""COMPUTED_VALUE"""),0.0930555555569299)</f>
        <v>0.09305555556</v>
      </c>
    </row>
    <row r="2141">
      <c r="A2141" t="str">
        <f>IFERROR(__xludf.DUMMYFUNCTION("""COMPUTED_VALUE"""),"Norway")</f>
        <v>Norway</v>
      </c>
      <c r="B2141" t="str">
        <f>IFERROR(__xludf.DUMMYFUNCTION("""COMPUTED_VALUE"""),"Europe")</f>
        <v>Europe</v>
      </c>
      <c r="C2141">
        <f>IFERROR(__xludf.DUMMYFUNCTION("""COMPUTED_VALUE"""),40.0)</f>
        <v>40</v>
      </c>
      <c r="D2141" t="str">
        <f>IFERROR(__xludf.DUMMYFUNCTION("""COMPUTED_VALUE"""),"DANCE")</f>
        <v>DANCE</v>
      </c>
      <c r="E2141" t="str">
        <f>IFERROR(__xludf.DUMMYFUNCTION("""COMPUTED_VALUE"""),"CLMD, Tungevaag")</f>
        <v>CLMD, Tungevaag</v>
      </c>
      <c r="F2141" t="str">
        <f>IFERROR(__xludf.DUMMYFUNCTION("""COMPUTED_VALUE"""),"DANCE")</f>
        <v>DANCE</v>
      </c>
      <c r="G2141">
        <f>IFERROR(__xludf.DUMMYFUNCTION("""COMPUTED_VALUE"""),0.0)</f>
        <v>0</v>
      </c>
      <c r="H2141" s="5">
        <f>IFERROR(__xludf.DUMMYFUNCTION("""COMPUTED_VALUE"""),0.12083333333430346)</f>
        <v>0.1208333333</v>
      </c>
    </row>
    <row r="2142">
      <c r="A2142" t="str">
        <f>IFERROR(__xludf.DUMMYFUNCTION("""COMPUTED_VALUE"""),"Norway")</f>
        <v>Norway</v>
      </c>
      <c r="B2142" t="str">
        <f>IFERROR(__xludf.DUMMYFUNCTION("""COMPUTED_VALUE"""),"Europe")</f>
        <v>Europe</v>
      </c>
      <c r="C2142">
        <f>IFERROR(__xludf.DUMMYFUNCTION("""COMPUTED_VALUE"""),41.0)</f>
        <v>41</v>
      </c>
      <c r="D2142" t="str">
        <f>IFERROR(__xludf.DUMMYFUNCTION("""COMPUTED_VALUE"""),"Haugenstua")</f>
        <v>Haugenstua</v>
      </c>
      <c r="E2142" t="str">
        <f>IFERROR(__xludf.DUMMYFUNCTION("""COMPUTED_VALUE"""),"Herman Flesvig")</f>
        <v>Herman Flesvig</v>
      </c>
      <c r="F2142" t="str">
        <f>IFERROR(__xludf.DUMMYFUNCTION("""COMPUTED_VALUE"""),"Haugenstua")</f>
        <v>Haugenstua</v>
      </c>
      <c r="G2142">
        <f>IFERROR(__xludf.DUMMYFUNCTION("""COMPUTED_VALUE"""),1.0)</f>
        <v>1</v>
      </c>
      <c r="H2142" s="5">
        <f>IFERROR(__xludf.DUMMYFUNCTION("""COMPUTED_VALUE"""),0.10347222222117125)</f>
        <v>0.1034722222</v>
      </c>
    </row>
    <row r="2143">
      <c r="A2143" t="str">
        <f>IFERROR(__xludf.DUMMYFUNCTION("""COMPUTED_VALUE"""),"Norway")</f>
        <v>Norway</v>
      </c>
      <c r="B2143" t="str">
        <f>IFERROR(__xludf.DUMMYFUNCTION("""COMPUTED_VALUE"""),"Europe")</f>
        <v>Europe</v>
      </c>
      <c r="C2143">
        <f>IFERROR(__xludf.DUMMYFUNCTION("""COMPUTED_VALUE"""),42.0)</f>
        <v>42</v>
      </c>
      <c r="D2143" t="str">
        <f>IFERROR(__xludf.DUMMYFUNCTION("""COMPUTED_VALUE"""),"Valhalla")</f>
        <v>Valhalla</v>
      </c>
      <c r="E2143" t="str">
        <f>IFERROR(__xludf.DUMMYFUNCTION("""COMPUTED_VALUE"""),"Ringnes-Ronny")</f>
        <v>Ringnes-Ronny</v>
      </c>
      <c r="F2143" t="str">
        <f>IFERROR(__xludf.DUMMYFUNCTION("""COMPUTED_VALUE"""),"Valhalla")</f>
        <v>Valhalla</v>
      </c>
      <c r="G2143">
        <f>IFERROR(__xludf.DUMMYFUNCTION("""COMPUTED_VALUE"""),0.0)</f>
        <v>0</v>
      </c>
      <c r="H2143" s="5">
        <f>IFERROR(__xludf.DUMMYFUNCTION("""COMPUTED_VALUE"""),0.12777777777955635)</f>
        <v>0.1277777778</v>
      </c>
    </row>
    <row r="2144">
      <c r="A2144" t="str">
        <f>IFERROR(__xludf.DUMMYFUNCTION("""COMPUTED_VALUE"""),"Norway")</f>
        <v>Norway</v>
      </c>
      <c r="B2144" t="str">
        <f>IFERROR(__xludf.DUMMYFUNCTION("""COMPUTED_VALUE"""),"Europe")</f>
        <v>Europe</v>
      </c>
      <c r="C2144">
        <f>IFERROR(__xludf.DUMMYFUNCTION("""COMPUTED_VALUE"""),43.0)</f>
        <v>43</v>
      </c>
      <c r="D2144" t="str">
        <f>IFERROR(__xludf.DUMMYFUNCTION("""COMPUTED_VALUE"""),"Be Kind (with Halsey)")</f>
        <v>Be Kind (with Halsey)</v>
      </c>
      <c r="E2144" t="str">
        <f>IFERROR(__xludf.DUMMYFUNCTION("""COMPUTED_VALUE"""),"Marshmello, Halsey")</f>
        <v>Marshmello, Halsey</v>
      </c>
      <c r="F2144" t="str">
        <f>IFERROR(__xludf.DUMMYFUNCTION("""COMPUTED_VALUE"""),"Be Kind (with Halsey)")</f>
        <v>Be Kind (with Halsey)</v>
      </c>
      <c r="G2144">
        <f>IFERROR(__xludf.DUMMYFUNCTION("""COMPUTED_VALUE"""),0.0)</f>
        <v>0</v>
      </c>
      <c r="H2144" s="5">
        <f>IFERROR(__xludf.DUMMYFUNCTION("""COMPUTED_VALUE"""),0.11944444444452529)</f>
        <v>0.1194444444</v>
      </c>
    </row>
    <row r="2145">
      <c r="A2145" t="str">
        <f>IFERROR(__xludf.DUMMYFUNCTION("""COMPUTED_VALUE"""),"Norway")</f>
        <v>Norway</v>
      </c>
      <c r="B2145" t="str">
        <f>IFERROR(__xludf.DUMMYFUNCTION("""COMPUTED_VALUE"""),"Europe")</f>
        <v>Europe</v>
      </c>
      <c r="C2145">
        <f>IFERROR(__xludf.DUMMYFUNCTION("""COMPUTED_VALUE"""),44.0)</f>
        <v>44</v>
      </c>
      <c r="D2145" t="str">
        <f>IFERROR(__xludf.DUMMYFUNCTION("""COMPUTED_VALUE"""),"In Your Eyes (feat. Alida)")</f>
        <v>In Your Eyes (feat. Alida)</v>
      </c>
      <c r="E2145" t="str">
        <f>IFERROR(__xludf.DUMMYFUNCTION("""COMPUTED_VALUE"""),"Robin Schulz, Alida")</f>
        <v>Robin Schulz, Alida</v>
      </c>
      <c r="F2145" t="str">
        <f>IFERROR(__xludf.DUMMYFUNCTION("""COMPUTED_VALUE"""),"In Your Eyes (feat. Alida)")</f>
        <v>In Your Eyes (feat. Alida)</v>
      </c>
      <c r="G2145">
        <f>IFERROR(__xludf.DUMMYFUNCTION("""COMPUTED_VALUE"""),0.0)</f>
        <v>0</v>
      </c>
      <c r="H2145" s="5">
        <f>IFERROR(__xludf.DUMMYFUNCTION("""COMPUTED_VALUE"""),0.14444444444598048)</f>
        <v>0.1444444444</v>
      </c>
    </row>
    <row r="2146">
      <c r="A2146" t="str">
        <f>IFERROR(__xludf.DUMMYFUNCTION("""COMPUTED_VALUE"""),"Norway")</f>
        <v>Norway</v>
      </c>
      <c r="B2146" t="str">
        <f>IFERROR(__xludf.DUMMYFUNCTION("""COMPUTED_VALUE"""),"Europe")</f>
        <v>Europe</v>
      </c>
      <c r="C2146">
        <f>IFERROR(__xludf.DUMMYFUNCTION("""COMPUTED_VALUE"""),45.0)</f>
        <v>45</v>
      </c>
      <c r="D2146" t="str">
        <f>IFERROR(__xludf.DUMMYFUNCTION("""COMPUTED_VALUE"""),"Jævlig")</f>
        <v>Jævlig</v>
      </c>
      <c r="E2146" t="str">
        <f>IFERROR(__xludf.DUMMYFUNCTION("""COMPUTED_VALUE"""),"TIX")</f>
        <v>TIX</v>
      </c>
      <c r="F2146" t="str">
        <f>IFERROR(__xludf.DUMMYFUNCTION("""COMPUTED_VALUE"""),"Jævlig")</f>
        <v>Jævlig</v>
      </c>
      <c r="G2146">
        <f>IFERROR(__xludf.DUMMYFUNCTION("""COMPUTED_VALUE"""),1.0)</f>
        <v>1</v>
      </c>
      <c r="H2146" s="5">
        <f>IFERROR(__xludf.DUMMYFUNCTION("""COMPUTED_VALUE"""),0.09513888888977817)</f>
        <v>0.09513888889</v>
      </c>
    </row>
    <row r="2147">
      <c r="A2147" t="str">
        <f>IFERROR(__xludf.DUMMYFUNCTION("""COMPUTED_VALUE"""),"Norway")</f>
        <v>Norway</v>
      </c>
      <c r="B2147" t="str">
        <f>IFERROR(__xludf.DUMMYFUNCTION("""COMPUTED_VALUE"""),"Europe")</f>
        <v>Europe</v>
      </c>
      <c r="C2147">
        <f>IFERROR(__xludf.DUMMYFUNCTION("""COMPUTED_VALUE"""),46.0)</f>
        <v>46</v>
      </c>
      <c r="D2147" t="str">
        <f>IFERROR(__xludf.DUMMYFUNCTION("""COMPUTED_VALUE"""),"WHATS POPPIN")</f>
        <v>WHATS POPPIN</v>
      </c>
      <c r="E2147" t="str">
        <f>IFERROR(__xludf.DUMMYFUNCTION("""COMPUTED_VALUE"""),"Jack Harlow")</f>
        <v>Jack Harlow</v>
      </c>
      <c r="F2147" t="str">
        <f>IFERROR(__xludf.DUMMYFUNCTION("""COMPUTED_VALUE"""),"Sweet Action")</f>
        <v>Sweet Action</v>
      </c>
      <c r="G2147">
        <f>IFERROR(__xludf.DUMMYFUNCTION("""COMPUTED_VALUE"""),1.0)</f>
        <v>1</v>
      </c>
      <c r="H2147" s="5">
        <f>IFERROR(__xludf.DUMMYFUNCTION("""COMPUTED_VALUE"""),0.09652777777955635)</f>
        <v>0.09652777778</v>
      </c>
    </row>
    <row r="2148">
      <c r="A2148" t="str">
        <f>IFERROR(__xludf.DUMMYFUNCTION("""COMPUTED_VALUE"""),"Norway")</f>
        <v>Norway</v>
      </c>
      <c r="B2148" t="str">
        <f>IFERROR(__xludf.DUMMYFUNCTION("""COMPUTED_VALUE"""),"Europe")</f>
        <v>Europe</v>
      </c>
      <c r="C2148">
        <f>IFERROR(__xludf.DUMMYFUNCTION("""COMPUTED_VALUE"""),47.0)</f>
        <v>47</v>
      </c>
      <c r="D2148" t="str">
        <f>IFERROR(__xludf.DUMMYFUNCTION("""COMPUTED_VALUE"""),"Josefine")</f>
        <v>Josefine</v>
      </c>
      <c r="E2148" t="str">
        <f>IFERROR(__xludf.DUMMYFUNCTION("""COMPUTED_VALUE"""),"Herman Flesvig")</f>
        <v>Herman Flesvig</v>
      </c>
      <c r="F2148" t="str">
        <f>IFERROR(__xludf.DUMMYFUNCTION("""COMPUTED_VALUE"""),"Josefine")</f>
        <v>Josefine</v>
      </c>
      <c r="G2148">
        <f>IFERROR(__xludf.DUMMYFUNCTION("""COMPUTED_VALUE"""),0.0)</f>
        <v>0</v>
      </c>
      <c r="H2148" s="5">
        <f>IFERROR(__xludf.DUMMYFUNCTION("""COMPUTED_VALUE"""),0.11805555555474712)</f>
        <v>0.1180555556</v>
      </c>
    </row>
    <row r="2149">
      <c r="A2149" t="str">
        <f>IFERROR(__xludf.DUMMYFUNCTION("""COMPUTED_VALUE"""),"Norway")</f>
        <v>Norway</v>
      </c>
      <c r="B2149" t="str">
        <f>IFERROR(__xludf.DUMMYFUNCTION("""COMPUTED_VALUE"""),"Europe")</f>
        <v>Europe</v>
      </c>
      <c r="C2149">
        <f>IFERROR(__xludf.DUMMYFUNCTION("""COMPUTED_VALUE"""),48.0)</f>
        <v>48</v>
      </c>
      <c r="D2149" t="str">
        <f>IFERROR(__xludf.DUMMYFUNCTION("""COMPUTED_VALUE"""),"Vi tar det igjen neste år")</f>
        <v>Vi tar det igjen neste år</v>
      </c>
      <c r="E2149" t="str">
        <f>IFERROR(__xludf.DUMMYFUNCTION("""COMPUTED_VALUE"""),"Kuselofte, Postgirobygget")</f>
        <v>Kuselofte, Postgirobygget</v>
      </c>
      <c r="F2149" t="str">
        <f>IFERROR(__xludf.DUMMYFUNCTION("""COMPUTED_VALUE"""),"Vi tar det igjen neste år")</f>
        <v>Vi tar det igjen neste år</v>
      </c>
      <c r="G2149">
        <f>IFERROR(__xludf.DUMMYFUNCTION("""COMPUTED_VALUE"""),0.0)</f>
        <v>0</v>
      </c>
      <c r="H2149" s="5">
        <f>IFERROR(__xludf.DUMMYFUNCTION("""COMPUTED_VALUE"""),0.125)</f>
        <v>0.125</v>
      </c>
    </row>
    <row r="2150">
      <c r="A2150" t="str">
        <f>IFERROR(__xludf.DUMMYFUNCTION("""COMPUTED_VALUE"""),"Norway")</f>
        <v>Norway</v>
      </c>
      <c r="B2150" t="str">
        <f>IFERROR(__xludf.DUMMYFUNCTION("""COMPUTED_VALUE"""),"Europe")</f>
        <v>Europe</v>
      </c>
      <c r="C2150">
        <f>IFERROR(__xludf.DUMMYFUNCTION("""COMPUTED_VALUE"""),49.0)</f>
        <v>49</v>
      </c>
      <c r="D2150" t="str">
        <f>IFERROR(__xludf.DUMMYFUNCTION("""COMPUTED_VALUE"""),"The Box")</f>
        <v>The Box</v>
      </c>
      <c r="E2150" t="str">
        <f>IFERROR(__xludf.DUMMYFUNCTION("""COMPUTED_VALUE"""),"Roddy Ricch")</f>
        <v>Roddy Ricch</v>
      </c>
      <c r="F2150" t="str">
        <f>IFERROR(__xludf.DUMMYFUNCTION("""COMPUTED_VALUE"""),"Please Excuse Me For Being Antisocial")</f>
        <v>Please Excuse Me For Being Antisocial</v>
      </c>
      <c r="G2150">
        <f>IFERROR(__xludf.DUMMYFUNCTION("""COMPUTED_VALUE"""),1.0)</f>
        <v>1</v>
      </c>
      <c r="H2150" s="5">
        <f>IFERROR(__xludf.DUMMYFUNCTION("""COMPUTED_VALUE"""),0.13611111111094942)</f>
        <v>0.1361111111</v>
      </c>
    </row>
    <row r="2151">
      <c r="A2151" t="str">
        <f>IFERROR(__xludf.DUMMYFUNCTION("""COMPUTED_VALUE"""),"Norway")</f>
        <v>Norway</v>
      </c>
      <c r="B2151" t="str">
        <f>IFERROR(__xludf.DUMMYFUNCTION("""COMPUTED_VALUE"""),"Europe")</f>
        <v>Europe</v>
      </c>
      <c r="C2151">
        <f>IFERROR(__xludf.DUMMYFUNCTION("""COMPUTED_VALUE"""),50.0)</f>
        <v>50</v>
      </c>
      <c r="D2151" t="str">
        <f>IFERROR(__xludf.DUMMYFUNCTION("""COMPUTED_VALUE"""),"Unfamiliar")</f>
        <v>Unfamiliar</v>
      </c>
      <c r="E2151" t="str">
        <f>IFERROR(__xludf.DUMMYFUNCTION("""COMPUTED_VALUE"""),"Seeb, Goodboys, HRVY")</f>
        <v>Seeb, Goodboys, HRVY</v>
      </c>
      <c r="F2151" t="str">
        <f>IFERROR(__xludf.DUMMYFUNCTION("""COMPUTED_VALUE"""),"Unfamiliar")</f>
        <v>Unfamiliar</v>
      </c>
      <c r="G2151">
        <f>IFERROR(__xludf.DUMMYFUNCTION("""COMPUTED_VALUE"""),0.0)</f>
        <v>0</v>
      </c>
      <c r="H2151" s="5">
        <f>IFERROR(__xludf.DUMMYFUNCTION("""COMPUTED_VALUE"""),0.12083333333430346)</f>
        <v>0.1208333333</v>
      </c>
    </row>
    <row r="2152">
      <c r="A2152" t="str">
        <f>IFERROR(__xludf.DUMMYFUNCTION("""COMPUTED_VALUE"""),"Panama")</f>
        <v>Panama</v>
      </c>
      <c r="B2152" t="str">
        <f>IFERROR(__xludf.DUMMYFUNCTION("""COMPUTED_VALUE"""),"North America")</f>
        <v>North America</v>
      </c>
      <c r="C2152">
        <f>IFERROR(__xludf.DUMMYFUNCTION("""COMPUTED_VALUE"""),1.0)</f>
        <v>1</v>
      </c>
      <c r="D2152" t="str">
        <f>IFERROR(__xludf.DUMMYFUNCTION("""COMPUTED_VALUE"""),"Relación")</f>
        <v>Relación</v>
      </c>
      <c r="E2152" t="str">
        <f>IFERROR(__xludf.DUMMYFUNCTION("""COMPUTED_VALUE"""),"Sech")</f>
        <v>Sech</v>
      </c>
      <c r="F2152" t="str">
        <f>IFERROR(__xludf.DUMMYFUNCTION("""COMPUTED_VALUE"""),"1 of 1")</f>
        <v>1 of 1</v>
      </c>
      <c r="G2152">
        <f>IFERROR(__xludf.DUMMYFUNCTION("""COMPUTED_VALUE"""),0.0)</f>
        <v>0</v>
      </c>
      <c r="H2152" s="5">
        <f>IFERROR(__xludf.DUMMYFUNCTION("""COMPUTED_VALUE"""),0.12777777777955635)</f>
        <v>0.1277777778</v>
      </c>
    </row>
    <row r="2153">
      <c r="A2153" t="str">
        <f>IFERROR(__xludf.DUMMYFUNCTION("""COMPUTED_VALUE"""),"Panama")</f>
        <v>Panama</v>
      </c>
      <c r="B2153" t="str">
        <f>IFERROR(__xludf.DUMMYFUNCTION("""COMPUTED_VALUE"""),"North America")</f>
        <v>North America</v>
      </c>
      <c r="C2153">
        <f>IFERROR(__xludf.DUMMYFUNCTION("""COMPUTED_VALUE"""),2.0)</f>
        <v>2</v>
      </c>
      <c r="D2153" t="str">
        <f>IFERROR(__xludf.DUMMYFUNCTION("""COMPUTED_VALUE"""),"Confía")</f>
        <v>Confía</v>
      </c>
      <c r="E2153" t="str">
        <f>IFERROR(__xludf.DUMMYFUNCTION("""COMPUTED_VALUE"""),"Sech, Daddy Yankee")</f>
        <v>Sech, Daddy Yankee</v>
      </c>
      <c r="F2153" t="str">
        <f>IFERROR(__xludf.DUMMYFUNCTION("""COMPUTED_VALUE"""),"1 of 1")</f>
        <v>1 of 1</v>
      </c>
      <c r="G2153">
        <f>IFERROR(__xludf.DUMMYFUNCTION("""COMPUTED_VALUE"""),0.0)</f>
        <v>0</v>
      </c>
      <c r="H2153" s="5">
        <f>IFERROR(__xludf.DUMMYFUNCTION("""COMPUTED_VALUE"""),0.14027777777664596)</f>
        <v>0.1402777778</v>
      </c>
    </row>
    <row r="2154">
      <c r="A2154" t="str">
        <f>IFERROR(__xludf.DUMMYFUNCTION("""COMPUTED_VALUE"""),"Panama")</f>
        <v>Panama</v>
      </c>
      <c r="B2154" t="str">
        <f>IFERROR(__xludf.DUMMYFUNCTION("""COMPUTED_VALUE"""),"North America")</f>
        <v>North America</v>
      </c>
      <c r="C2154">
        <f>IFERROR(__xludf.DUMMYFUNCTION("""COMPUTED_VALUE"""),3.0)</f>
        <v>3</v>
      </c>
      <c r="D2154" t="str">
        <f>IFERROR(__xludf.DUMMYFUNCTION("""COMPUTED_VALUE"""),"Rojo")</f>
        <v>Rojo</v>
      </c>
      <c r="E2154" t="str">
        <f>IFERROR(__xludf.DUMMYFUNCTION("""COMPUTED_VALUE"""),"J Balvin")</f>
        <v>J Balvin</v>
      </c>
      <c r="F2154" t="str">
        <f>IFERROR(__xludf.DUMMYFUNCTION("""COMPUTED_VALUE"""),"Colores")</f>
        <v>Colores</v>
      </c>
      <c r="G2154">
        <f>IFERROR(__xludf.DUMMYFUNCTION("""COMPUTED_VALUE"""),0.0)</f>
        <v>0</v>
      </c>
      <c r="H2154" s="5">
        <f>IFERROR(__xludf.DUMMYFUNCTION("""COMPUTED_VALUE"""),0.10416666666787933)</f>
        <v>0.1041666667</v>
      </c>
    </row>
    <row r="2155">
      <c r="A2155" t="str">
        <f>IFERROR(__xludf.DUMMYFUNCTION("""COMPUTED_VALUE"""),"Panama")</f>
        <v>Panama</v>
      </c>
      <c r="B2155" t="str">
        <f>IFERROR(__xludf.DUMMYFUNCTION("""COMPUTED_VALUE"""),"North America")</f>
        <v>North America</v>
      </c>
      <c r="C2155">
        <f>IFERROR(__xludf.DUMMYFUNCTION("""COMPUTED_VALUE"""),4.0)</f>
        <v>4</v>
      </c>
      <c r="D2155" t="str">
        <f>IFERROR(__xludf.DUMMYFUNCTION("""COMPUTED_VALUE"""),"Safaera")</f>
        <v>Safaera</v>
      </c>
      <c r="E2155" t="str">
        <f>IFERROR(__xludf.DUMMYFUNCTION("""COMPUTED_VALUE"""),"Bad Bunny, Jowell &amp; Randy, Nengo Flow")</f>
        <v>Bad Bunny, Jowell &amp; Randy, Nengo Flow</v>
      </c>
      <c r="F2155" t="str">
        <f>IFERROR(__xludf.DUMMYFUNCTION("""COMPUTED_VALUE"""),"YHLQMDLG")</f>
        <v>YHLQMDLG</v>
      </c>
      <c r="G2155">
        <f>IFERROR(__xludf.DUMMYFUNCTION("""COMPUTED_VALUE"""),1.0)</f>
        <v>1</v>
      </c>
      <c r="H2155" s="5">
        <f>IFERROR(__xludf.DUMMYFUNCTION("""COMPUTED_VALUE"""),0.20486111110949423)</f>
        <v>0.2048611111</v>
      </c>
    </row>
    <row r="2156">
      <c r="A2156" t="str">
        <f>IFERROR(__xludf.DUMMYFUNCTION("""COMPUTED_VALUE"""),"Panama")</f>
        <v>Panama</v>
      </c>
      <c r="B2156" t="str">
        <f>IFERROR(__xludf.DUMMYFUNCTION("""COMPUTED_VALUE"""),"North America")</f>
        <v>North America</v>
      </c>
      <c r="C2156">
        <f>IFERROR(__xludf.DUMMYFUNCTION("""COMPUTED_VALUE"""),5.0)</f>
        <v>5</v>
      </c>
      <c r="D2156" t="str">
        <f>IFERROR(__xludf.DUMMYFUNCTION("""COMPUTED_VALUE"""),"Bentley")</f>
        <v>Bentley</v>
      </c>
      <c r="E2156" t="str">
        <f>IFERROR(__xludf.DUMMYFUNCTION("""COMPUTED_VALUE"""),"Sech, Myke Towers")</f>
        <v>Sech, Myke Towers</v>
      </c>
      <c r="F2156" t="str">
        <f>IFERROR(__xludf.DUMMYFUNCTION("""COMPUTED_VALUE"""),"1 of 1")</f>
        <v>1 of 1</v>
      </c>
      <c r="G2156">
        <f>IFERROR(__xludf.DUMMYFUNCTION("""COMPUTED_VALUE"""),1.0)</f>
        <v>1</v>
      </c>
      <c r="H2156" s="5">
        <f>IFERROR(__xludf.DUMMYFUNCTION("""COMPUTED_VALUE"""),0.1305555555554747)</f>
        <v>0.1305555556</v>
      </c>
    </row>
    <row r="2157">
      <c r="A2157" t="str">
        <f>IFERROR(__xludf.DUMMYFUNCTION("""COMPUTED_VALUE"""),"Panama")</f>
        <v>Panama</v>
      </c>
      <c r="B2157" t="str">
        <f>IFERROR(__xludf.DUMMYFUNCTION("""COMPUTED_VALUE"""),"North America")</f>
        <v>North America</v>
      </c>
      <c r="C2157">
        <f>IFERROR(__xludf.DUMMYFUNCTION("""COMPUTED_VALUE"""),6.0)</f>
        <v>6</v>
      </c>
      <c r="D2157" t="str">
        <f>IFERROR(__xludf.DUMMYFUNCTION("""COMPUTED_VALUE"""),"Yo Perreo Sola")</f>
        <v>Yo Perreo Sola</v>
      </c>
      <c r="E2157" t="str">
        <f>IFERROR(__xludf.DUMMYFUNCTION("""COMPUTED_VALUE"""),"Bad Bunny")</f>
        <v>Bad Bunny</v>
      </c>
      <c r="F2157" t="str">
        <f>IFERROR(__xludf.DUMMYFUNCTION("""COMPUTED_VALUE"""),"YHLQMDLG")</f>
        <v>YHLQMDLG</v>
      </c>
      <c r="G2157">
        <f>IFERROR(__xludf.DUMMYFUNCTION("""COMPUTED_VALUE"""),0.0)</f>
        <v>0</v>
      </c>
      <c r="H2157" s="5">
        <f>IFERROR(__xludf.DUMMYFUNCTION("""COMPUTED_VALUE"""),0.11944444444452529)</f>
        <v>0.1194444444</v>
      </c>
    </row>
    <row r="2158">
      <c r="A2158" t="str">
        <f>IFERROR(__xludf.DUMMYFUNCTION("""COMPUTED_VALUE"""),"Panama")</f>
        <v>Panama</v>
      </c>
      <c r="B2158" t="str">
        <f>IFERROR(__xludf.DUMMYFUNCTION("""COMPUTED_VALUE"""),"North America")</f>
        <v>North America</v>
      </c>
      <c r="C2158">
        <f>IFERROR(__xludf.DUMMYFUNCTION("""COMPUTED_VALUE"""),7.0)</f>
        <v>7</v>
      </c>
      <c r="D2158" t="str">
        <f>IFERROR(__xludf.DUMMYFUNCTION("""COMPUTED_VALUE"""),"Me Olvidé")</f>
        <v>Me Olvidé</v>
      </c>
      <c r="E2158" t="str">
        <f>IFERROR(__xludf.DUMMYFUNCTION("""COMPUTED_VALUE"""),"Sech")</f>
        <v>Sech</v>
      </c>
      <c r="F2158" t="str">
        <f>IFERROR(__xludf.DUMMYFUNCTION("""COMPUTED_VALUE"""),"1 of 1")</f>
        <v>1 of 1</v>
      </c>
      <c r="G2158">
        <f>IFERROR(__xludf.DUMMYFUNCTION("""COMPUTED_VALUE"""),0.0)</f>
        <v>0</v>
      </c>
      <c r="H2158" s="5">
        <f>IFERROR(__xludf.DUMMYFUNCTION("""COMPUTED_VALUE"""),0.10902777777664596)</f>
        <v>0.1090277778</v>
      </c>
    </row>
    <row r="2159">
      <c r="A2159" t="str">
        <f>IFERROR(__xludf.DUMMYFUNCTION("""COMPUTED_VALUE"""),"Panama")</f>
        <v>Panama</v>
      </c>
      <c r="B2159" t="str">
        <f>IFERROR(__xludf.DUMMYFUNCTION("""COMPUTED_VALUE"""),"North America")</f>
        <v>North America</v>
      </c>
      <c r="C2159">
        <f>IFERROR(__xludf.DUMMYFUNCTION("""COMPUTED_VALUE"""),8.0)</f>
        <v>8</v>
      </c>
      <c r="D2159" t="str">
        <f>IFERROR(__xludf.DUMMYFUNCTION("""COMPUTED_VALUE"""),"Ignorantes")</f>
        <v>Ignorantes</v>
      </c>
      <c r="E2159" t="str">
        <f>IFERROR(__xludf.DUMMYFUNCTION("""COMPUTED_VALUE"""),"Bad Bunny, Sech")</f>
        <v>Bad Bunny, Sech</v>
      </c>
      <c r="F2159" t="str">
        <f>IFERROR(__xludf.DUMMYFUNCTION("""COMPUTED_VALUE"""),"YHLQMDLG")</f>
        <v>YHLQMDLG</v>
      </c>
      <c r="G2159">
        <f>IFERROR(__xludf.DUMMYFUNCTION("""COMPUTED_VALUE"""),1.0)</f>
        <v>1</v>
      </c>
      <c r="H2159" s="5">
        <f>IFERROR(__xludf.DUMMYFUNCTION("""COMPUTED_VALUE"""),0.14583333333212067)</f>
        <v>0.1458333333</v>
      </c>
    </row>
    <row r="2160">
      <c r="A2160" t="str">
        <f>IFERROR(__xludf.DUMMYFUNCTION("""COMPUTED_VALUE"""),"Panama")</f>
        <v>Panama</v>
      </c>
      <c r="B2160" t="str">
        <f>IFERROR(__xludf.DUMMYFUNCTION("""COMPUTED_VALUE"""),"North America")</f>
        <v>North America</v>
      </c>
      <c r="C2160">
        <f>IFERROR(__xludf.DUMMYFUNCTION("""COMPUTED_VALUE"""),9.0)</f>
        <v>9</v>
      </c>
      <c r="D2160" t="str">
        <f>IFERROR(__xludf.DUMMYFUNCTION("""COMPUTED_VALUE"""),"Favorito")</f>
        <v>Favorito</v>
      </c>
      <c r="E2160" t="str">
        <f>IFERROR(__xludf.DUMMYFUNCTION("""COMPUTED_VALUE"""),"Camilo")</f>
        <v>Camilo</v>
      </c>
      <c r="F2160" t="str">
        <f>IFERROR(__xludf.DUMMYFUNCTION("""COMPUTED_VALUE"""),"Por Primera Vez")</f>
        <v>Por Primera Vez</v>
      </c>
      <c r="G2160">
        <f>IFERROR(__xludf.DUMMYFUNCTION("""COMPUTED_VALUE"""),0.0)</f>
        <v>0</v>
      </c>
      <c r="H2160" s="5">
        <f>IFERROR(__xludf.DUMMYFUNCTION("""COMPUTED_VALUE"""),0.14513888888905058)</f>
        <v>0.1451388889</v>
      </c>
    </row>
    <row r="2161">
      <c r="A2161" t="str">
        <f>IFERROR(__xludf.DUMMYFUNCTION("""COMPUTED_VALUE"""),"Panama")</f>
        <v>Panama</v>
      </c>
      <c r="B2161" t="str">
        <f>IFERROR(__xludf.DUMMYFUNCTION("""COMPUTED_VALUE"""),"North America")</f>
        <v>North America</v>
      </c>
      <c r="C2161">
        <f>IFERROR(__xludf.DUMMYFUNCTION("""COMPUTED_VALUE"""),10.0)</f>
        <v>10</v>
      </c>
      <c r="D2161" t="str">
        <f>IFERROR(__xludf.DUMMYFUNCTION("""COMPUTED_VALUE"""),"Casino")</f>
        <v>Casino</v>
      </c>
      <c r="E2161" t="str">
        <f>IFERROR(__xludf.DUMMYFUNCTION("""COMPUTED_VALUE"""),"Sech")</f>
        <v>Sech</v>
      </c>
      <c r="F2161" t="str">
        <f>IFERROR(__xludf.DUMMYFUNCTION("""COMPUTED_VALUE"""),"1 of 1")</f>
        <v>1 of 1</v>
      </c>
      <c r="G2161">
        <f>IFERROR(__xludf.DUMMYFUNCTION("""COMPUTED_VALUE"""),0.0)</f>
        <v>0</v>
      </c>
      <c r="H2161" s="5">
        <f>IFERROR(__xludf.DUMMYFUNCTION("""COMPUTED_VALUE"""),0.1256944444430701)</f>
        <v>0.1256944444</v>
      </c>
    </row>
    <row r="2162">
      <c r="A2162" t="str">
        <f>IFERROR(__xludf.DUMMYFUNCTION("""COMPUTED_VALUE"""),"Panama")</f>
        <v>Panama</v>
      </c>
      <c r="B2162" t="str">
        <f>IFERROR(__xludf.DUMMYFUNCTION("""COMPUTED_VALUE"""),"North America")</f>
        <v>North America</v>
      </c>
      <c r="C2162">
        <f>IFERROR(__xludf.DUMMYFUNCTION("""COMPUTED_VALUE"""),11.0)</f>
        <v>11</v>
      </c>
      <c r="D2162" t="str">
        <f>IFERROR(__xludf.DUMMYFUNCTION("""COMPUTED_VALUE"""),"Diosa")</f>
        <v>Diosa</v>
      </c>
      <c r="E2162" t="str">
        <f>IFERROR(__xludf.DUMMYFUNCTION("""COMPUTED_VALUE"""),"Myke Towers")</f>
        <v>Myke Towers</v>
      </c>
      <c r="F2162" t="str">
        <f>IFERROR(__xludf.DUMMYFUNCTION("""COMPUTED_VALUE"""),"Easy Money Baby")</f>
        <v>Easy Money Baby</v>
      </c>
      <c r="G2162">
        <f>IFERROR(__xludf.DUMMYFUNCTION("""COMPUTED_VALUE"""),1.0)</f>
        <v>1</v>
      </c>
      <c r="H2162" s="5">
        <f>IFERROR(__xludf.DUMMYFUNCTION("""COMPUTED_VALUE"""),0.14861111111167702)</f>
        <v>0.1486111111</v>
      </c>
    </row>
    <row r="2163">
      <c r="A2163" t="str">
        <f>IFERROR(__xludf.DUMMYFUNCTION("""COMPUTED_VALUE"""),"Panama")</f>
        <v>Panama</v>
      </c>
      <c r="B2163" t="str">
        <f>IFERROR(__xludf.DUMMYFUNCTION("""COMPUTED_VALUE"""),"North America")</f>
        <v>North America</v>
      </c>
      <c r="C2163">
        <f>IFERROR(__xludf.DUMMYFUNCTION("""COMPUTED_VALUE"""),12.0)</f>
        <v>12</v>
      </c>
      <c r="D2163" t="str">
        <f>IFERROR(__xludf.DUMMYFUNCTION("""COMPUTED_VALUE"""),"BYE ME FUI")</f>
        <v>BYE ME FUI</v>
      </c>
      <c r="E2163" t="str">
        <f>IFERROR(__xludf.DUMMYFUNCTION("""COMPUTED_VALUE"""),"Bad Bunny")</f>
        <v>Bad Bunny</v>
      </c>
      <c r="F2163" t="str">
        <f>IFERROR(__xludf.DUMMYFUNCTION("""COMPUTED_VALUE"""),"LAS QUE NO IBAN A SALIR")</f>
        <v>LAS QUE NO IBAN A SALIR</v>
      </c>
      <c r="G2163">
        <f>IFERROR(__xludf.DUMMYFUNCTION("""COMPUTED_VALUE"""),1.0)</f>
        <v>1</v>
      </c>
      <c r="H2163" s="5">
        <f>IFERROR(__xludf.DUMMYFUNCTION("""COMPUTED_VALUE"""),0.12361111111022183)</f>
        <v>0.1236111111</v>
      </c>
    </row>
    <row r="2164">
      <c r="A2164" t="str">
        <f>IFERROR(__xludf.DUMMYFUNCTION("""COMPUTED_VALUE"""),"Panama")</f>
        <v>Panama</v>
      </c>
      <c r="B2164" t="str">
        <f>IFERROR(__xludf.DUMMYFUNCTION("""COMPUTED_VALUE"""),"North America")</f>
        <v>North America</v>
      </c>
      <c r="C2164">
        <f>IFERROR(__xludf.DUMMYFUNCTION("""COMPUTED_VALUE"""),13.0)</f>
        <v>13</v>
      </c>
      <c r="D2164" t="str">
        <f>IFERROR(__xludf.DUMMYFUNCTION("""COMPUTED_VALUE"""),"Tattoo")</f>
        <v>Tattoo</v>
      </c>
      <c r="E2164" t="str">
        <f>IFERROR(__xludf.DUMMYFUNCTION("""COMPUTED_VALUE"""),"Rauw Alejandro")</f>
        <v>Rauw Alejandro</v>
      </c>
      <c r="F2164" t="str">
        <f>IFERROR(__xludf.DUMMYFUNCTION("""COMPUTED_VALUE"""),"Tattoo")</f>
        <v>Tattoo</v>
      </c>
      <c r="G2164">
        <f>IFERROR(__xludf.DUMMYFUNCTION("""COMPUTED_VALUE"""),0.0)</f>
        <v>0</v>
      </c>
      <c r="H2164" s="5">
        <f>IFERROR(__xludf.DUMMYFUNCTION("""COMPUTED_VALUE"""),0.14027777777664596)</f>
        <v>0.1402777778</v>
      </c>
    </row>
    <row r="2165">
      <c r="A2165" t="str">
        <f>IFERROR(__xludf.DUMMYFUNCTION("""COMPUTED_VALUE"""),"Panama")</f>
        <v>Panama</v>
      </c>
      <c r="B2165" t="str">
        <f>IFERROR(__xludf.DUMMYFUNCTION("""COMPUTED_VALUE"""),"North America")</f>
        <v>North America</v>
      </c>
      <c r="C2165">
        <f>IFERROR(__xludf.DUMMYFUNCTION("""COMPUTED_VALUE"""),14.0)</f>
        <v>14</v>
      </c>
      <c r="D2165" t="str">
        <f>IFERROR(__xludf.DUMMYFUNCTION("""COMPUTED_VALUE"""),"Rain On Me (with Ariana Grande)")</f>
        <v>Rain On Me (with Ariana Grande)</v>
      </c>
      <c r="E2165" t="str">
        <f>IFERROR(__xludf.DUMMYFUNCTION("""COMPUTED_VALUE"""),"Lady Gaga, Ariana Grande")</f>
        <v>Lady Gaga, Ariana Grande</v>
      </c>
      <c r="F2165" t="str">
        <f>IFERROR(__xludf.DUMMYFUNCTION("""COMPUTED_VALUE"""),"Rain On Me (with Ariana Grande)")</f>
        <v>Rain On Me (with Ariana Grande)</v>
      </c>
      <c r="G2165">
        <f>IFERROR(__xludf.DUMMYFUNCTION("""COMPUTED_VALUE"""),0.0)</f>
        <v>0</v>
      </c>
      <c r="H2165" s="5">
        <f>IFERROR(__xludf.DUMMYFUNCTION("""COMPUTED_VALUE"""),0.12638888888977817)</f>
        <v>0.1263888889</v>
      </c>
    </row>
    <row r="2166">
      <c r="A2166" t="str">
        <f>IFERROR(__xludf.DUMMYFUNCTION("""COMPUTED_VALUE"""),"Panama")</f>
        <v>Panama</v>
      </c>
      <c r="B2166" t="str">
        <f>IFERROR(__xludf.DUMMYFUNCTION("""COMPUTED_VALUE"""),"North America")</f>
        <v>North America</v>
      </c>
      <c r="C2166">
        <f>IFERROR(__xludf.DUMMYFUNCTION("""COMPUTED_VALUE"""),15.0)</f>
        <v>15</v>
      </c>
      <c r="D2166" t="str">
        <f>IFERROR(__xludf.DUMMYFUNCTION("""COMPUTED_VALUE"""),"PORFA")</f>
        <v>PORFA</v>
      </c>
      <c r="E2166" t="str">
        <f>IFERROR(__xludf.DUMMYFUNCTION("""COMPUTED_VALUE"""),"Feid, Justin Quiles")</f>
        <v>Feid, Justin Quiles</v>
      </c>
      <c r="F2166" t="str">
        <f>IFERROR(__xludf.DUMMYFUNCTION("""COMPUTED_VALUE"""),"FERXXO (VOL 1: M.O.R)")</f>
        <v>FERXXO (VOL 1: M.O.R)</v>
      </c>
      <c r="G2166">
        <f>IFERROR(__xludf.DUMMYFUNCTION("""COMPUTED_VALUE"""),0.0)</f>
        <v>0</v>
      </c>
      <c r="H2166" s="5">
        <f>IFERROR(__xludf.DUMMYFUNCTION("""COMPUTED_VALUE"""),0.16111111111240461)</f>
        <v>0.1611111111</v>
      </c>
    </row>
    <row r="2167">
      <c r="A2167" t="str">
        <f>IFERROR(__xludf.DUMMYFUNCTION("""COMPUTED_VALUE"""),"Panama")</f>
        <v>Panama</v>
      </c>
      <c r="B2167" t="str">
        <f>IFERROR(__xludf.DUMMYFUNCTION("""COMPUTED_VALUE"""),"North America")</f>
        <v>North America</v>
      </c>
      <c r="C2167">
        <f>IFERROR(__xludf.DUMMYFUNCTION("""COMPUTED_VALUE"""),16.0)</f>
        <v>16</v>
      </c>
      <c r="D2167" t="str">
        <f>IFERROR(__xludf.DUMMYFUNCTION("""COMPUTED_VALUE"""),"Elegí (feat. Dímelo Flow)")</f>
        <v>Elegí (feat. Dímelo Flow)</v>
      </c>
      <c r="E2167" t="str">
        <f>IFERROR(__xludf.DUMMYFUNCTION("""COMPUTED_VALUE"""),"Rauw Alejandro, Dalex, Lenny Tavárez, Dímelo Flow")</f>
        <v>Rauw Alejandro, Dalex, Lenny Tavárez, Dímelo Flow</v>
      </c>
      <c r="F2167" t="str">
        <f>IFERROR(__xludf.DUMMYFUNCTION("""COMPUTED_VALUE"""),"Elegí (feat. Dímelo Flow)")</f>
        <v>Elegí (feat. Dímelo Flow)</v>
      </c>
      <c r="G2167">
        <f>IFERROR(__xludf.DUMMYFUNCTION("""COMPUTED_VALUE"""),0.0)</f>
        <v>0</v>
      </c>
      <c r="H2167" s="5">
        <f>IFERROR(__xludf.DUMMYFUNCTION("""COMPUTED_VALUE"""),0.13680555555401952)</f>
        <v>0.1368055556</v>
      </c>
    </row>
    <row r="2168">
      <c r="A2168" t="str">
        <f>IFERROR(__xludf.DUMMYFUNCTION("""COMPUTED_VALUE"""),"Panama")</f>
        <v>Panama</v>
      </c>
      <c r="B2168" t="str">
        <f>IFERROR(__xludf.DUMMYFUNCTION("""COMPUTED_VALUE"""),"North America")</f>
        <v>North America</v>
      </c>
      <c r="C2168">
        <f>IFERROR(__xludf.DUMMYFUNCTION("""COMPUTED_VALUE"""),17.0)</f>
        <v>17</v>
      </c>
      <c r="D2168" t="str">
        <f>IFERROR(__xludf.DUMMYFUNCTION("""COMPUTED_VALUE"""),"Oficial")</f>
        <v>Oficial</v>
      </c>
      <c r="E2168" t="str">
        <f>IFERROR(__xludf.DUMMYFUNCTION("""COMPUTED_VALUE"""),"Sech, Arcangel, Gigolo Y La Exce")</f>
        <v>Sech, Arcangel, Gigolo Y La Exce</v>
      </c>
      <c r="F2168" t="str">
        <f>IFERROR(__xludf.DUMMYFUNCTION("""COMPUTED_VALUE"""),"1 of 1")</f>
        <v>1 of 1</v>
      </c>
      <c r="G2168">
        <f>IFERROR(__xludf.DUMMYFUNCTION("""COMPUTED_VALUE"""),1.0)</f>
        <v>1</v>
      </c>
      <c r="H2168" s="5">
        <f>IFERROR(__xludf.DUMMYFUNCTION("""COMPUTED_VALUE"""),0.13680555555401952)</f>
        <v>0.1368055556</v>
      </c>
    </row>
    <row r="2169">
      <c r="A2169" t="str">
        <f>IFERROR(__xludf.DUMMYFUNCTION("""COMPUTED_VALUE"""),"Panama")</f>
        <v>Panama</v>
      </c>
      <c r="B2169" t="str">
        <f>IFERROR(__xludf.DUMMYFUNCTION("""COMPUTED_VALUE"""),"North America")</f>
        <v>North America</v>
      </c>
      <c r="C2169">
        <f>IFERROR(__xludf.DUMMYFUNCTION("""COMPUTED_VALUE"""),18.0)</f>
        <v>18</v>
      </c>
      <c r="D2169" t="str">
        <f>IFERROR(__xludf.DUMMYFUNCTION("""COMPUTED_VALUE"""),"Si Te Vas")</f>
        <v>Si Te Vas</v>
      </c>
      <c r="E2169" t="str">
        <f>IFERROR(__xludf.DUMMYFUNCTION("""COMPUTED_VALUE"""),"Sech, Ozuna")</f>
        <v>Sech, Ozuna</v>
      </c>
      <c r="F2169" t="str">
        <f>IFERROR(__xludf.DUMMYFUNCTION("""COMPUTED_VALUE"""),"1 of 1")</f>
        <v>1 of 1</v>
      </c>
      <c r="G2169">
        <f>IFERROR(__xludf.DUMMYFUNCTION("""COMPUTED_VALUE"""),0.0)</f>
        <v>0</v>
      </c>
      <c r="H2169" s="5">
        <f>IFERROR(__xludf.DUMMYFUNCTION("""COMPUTED_VALUE"""),0.14166666666642413)</f>
        <v>0.1416666667</v>
      </c>
    </row>
    <row r="2170">
      <c r="A2170" t="str">
        <f>IFERROR(__xludf.DUMMYFUNCTION("""COMPUTED_VALUE"""),"Panama")</f>
        <v>Panama</v>
      </c>
      <c r="B2170" t="str">
        <f>IFERROR(__xludf.DUMMYFUNCTION("""COMPUTED_VALUE"""),"North America")</f>
        <v>North America</v>
      </c>
      <c r="C2170">
        <f>IFERROR(__xludf.DUMMYFUNCTION("""COMPUTED_VALUE"""),19.0)</f>
        <v>19</v>
      </c>
      <c r="D2170" t="str">
        <f>IFERROR(__xludf.DUMMYFUNCTION("""COMPUTED_VALUE"""),"Party En Mi Casa")</f>
        <v>Party En Mi Casa</v>
      </c>
      <c r="E2170" t="str">
        <f>IFERROR(__xludf.DUMMYFUNCTION("""COMPUTED_VALUE"""),"Boza")</f>
        <v>Boza</v>
      </c>
      <c r="F2170" t="str">
        <f>IFERROR(__xludf.DUMMYFUNCTION("""COMPUTED_VALUE"""),"Sonrisas Tristes")</f>
        <v>Sonrisas Tristes</v>
      </c>
      <c r="G2170">
        <f>IFERROR(__xludf.DUMMYFUNCTION("""COMPUTED_VALUE"""),0.0)</f>
        <v>0</v>
      </c>
      <c r="H2170" s="5">
        <f>IFERROR(__xludf.DUMMYFUNCTION("""COMPUTED_VALUE"""),0.10902777777664596)</f>
        <v>0.1090277778</v>
      </c>
    </row>
    <row r="2171">
      <c r="A2171" t="str">
        <f>IFERROR(__xludf.DUMMYFUNCTION("""COMPUTED_VALUE"""),"Panama")</f>
        <v>Panama</v>
      </c>
      <c r="B2171" t="str">
        <f>IFERROR(__xludf.DUMMYFUNCTION("""COMPUTED_VALUE"""),"North America")</f>
        <v>North America</v>
      </c>
      <c r="C2171">
        <f>IFERROR(__xludf.DUMMYFUNCTION("""COMPUTED_VALUE"""),20.0)</f>
        <v>20</v>
      </c>
      <c r="D2171" t="str">
        <f>IFERROR(__xludf.DUMMYFUNCTION("""COMPUTED_VALUE"""),"Se Va Viral")</f>
        <v>Se Va Viral</v>
      </c>
      <c r="E2171" t="str">
        <f>IFERROR(__xludf.DUMMYFUNCTION("""COMPUTED_VALUE"""),"Sech, Nando Boom")</f>
        <v>Sech, Nando Boom</v>
      </c>
      <c r="F2171" t="str">
        <f>IFERROR(__xludf.DUMMYFUNCTION("""COMPUTED_VALUE"""),"1 of 1")</f>
        <v>1 of 1</v>
      </c>
      <c r="G2171">
        <f>IFERROR(__xludf.DUMMYFUNCTION("""COMPUTED_VALUE"""),0.0)</f>
        <v>0</v>
      </c>
      <c r="H2171" s="5">
        <f>IFERROR(__xludf.DUMMYFUNCTION("""COMPUTED_VALUE"""),0.10347222222117125)</f>
        <v>0.1034722222</v>
      </c>
    </row>
    <row r="2172">
      <c r="A2172" t="str">
        <f>IFERROR(__xludf.DUMMYFUNCTION("""COMPUTED_VALUE"""),"Panama")</f>
        <v>Panama</v>
      </c>
      <c r="B2172" t="str">
        <f>IFERROR(__xludf.DUMMYFUNCTION("""COMPUTED_VALUE"""),"North America")</f>
        <v>North America</v>
      </c>
      <c r="C2172">
        <f>IFERROR(__xludf.DUMMYFUNCTION("""COMPUTED_VALUE"""),21.0)</f>
        <v>21</v>
      </c>
      <c r="D2172" t="str">
        <f>IFERROR(__xludf.DUMMYFUNCTION("""COMPUTED_VALUE"""),"Hola - Remix")</f>
        <v>Hola - Remix</v>
      </c>
      <c r="E2172" t="str">
        <f>IFERROR(__xludf.DUMMYFUNCTION("""COMPUTED_VALUE"""),"Dalex, Lenny Tavárez, Chencho Corleone, Juhn, Dímelo Flow")</f>
        <v>Dalex, Lenny Tavárez, Chencho Corleone, Juhn, Dímelo Flow</v>
      </c>
      <c r="F2172" t="str">
        <f>IFERROR(__xludf.DUMMYFUNCTION("""COMPUTED_VALUE"""),"Hola (Remix)")</f>
        <v>Hola (Remix)</v>
      </c>
      <c r="G2172">
        <f>IFERROR(__xludf.DUMMYFUNCTION("""COMPUTED_VALUE"""),0.0)</f>
        <v>0</v>
      </c>
      <c r="H2172" s="5">
        <f>IFERROR(__xludf.DUMMYFUNCTION("""COMPUTED_VALUE"""),0.17291666666642413)</f>
        <v>0.1729166667</v>
      </c>
    </row>
    <row r="2173">
      <c r="A2173" t="str">
        <f>IFERROR(__xludf.DUMMYFUNCTION("""COMPUTED_VALUE"""),"Panama")</f>
        <v>Panama</v>
      </c>
      <c r="B2173" t="str">
        <f>IFERROR(__xludf.DUMMYFUNCTION("""COMPUTED_VALUE"""),"North America")</f>
        <v>North America</v>
      </c>
      <c r="C2173">
        <f>IFERROR(__xludf.DUMMYFUNCTION("""COMPUTED_VALUE"""),22.0)</f>
        <v>22</v>
      </c>
      <c r="D2173" t="str">
        <f>IFERROR(__xludf.DUMMYFUNCTION("""COMPUTED_VALUE"""),"Tusa")</f>
        <v>Tusa</v>
      </c>
      <c r="E2173" t="str">
        <f>IFERROR(__xludf.DUMMYFUNCTION("""COMPUTED_VALUE"""),"KAROL G, Nicki Minaj")</f>
        <v>KAROL G, Nicki Minaj</v>
      </c>
      <c r="F2173" t="str">
        <f>IFERROR(__xludf.DUMMYFUNCTION("""COMPUTED_VALUE"""),"Tusa")</f>
        <v>Tusa</v>
      </c>
      <c r="G2173">
        <f>IFERROR(__xludf.DUMMYFUNCTION("""COMPUTED_VALUE"""),0.0)</f>
        <v>0</v>
      </c>
      <c r="H2173" s="5">
        <f>IFERROR(__xludf.DUMMYFUNCTION("""COMPUTED_VALUE"""),0.13888888889050577)</f>
        <v>0.1388888889</v>
      </c>
    </row>
    <row r="2174">
      <c r="A2174" t="str">
        <f>IFERROR(__xludf.DUMMYFUNCTION("""COMPUTED_VALUE"""),"Panama")</f>
        <v>Panama</v>
      </c>
      <c r="B2174" t="str">
        <f>IFERROR(__xludf.DUMMYFUNCTION("""COMPUTED_VALUE"""),"North America")</f>
        <v>North America</v>
      </c>
      <c r="C2174">
        <f>IFERROR(__xludf.DUMMYFUNCTION("""COMPUTED_VALUE"""),23.0)</f>
        <v>23</v>
      </c>
      <c r="D2174" t="str">
        <f>IFERROR(__xludf.DUMMYFUNCTION("""COMPUTED_VALUE"""),"Trofeo")</f>
        <v>Trofeo</v>
      </c>
      <c r="E2174" t="str">
        <f>IFERROR(__xludf.DUMMYFUNCTION("""COMPUTED_VALUE"""),"Sech")</f>
        <v>Sech</v>
      </c>
      <c r="F2174" t="str">
        <f>IFERROR(__xludf.DUMMYFUNCTION("""COMPUTED_VALUE"""),"1 of 1")</f>
        <v>1 of 1</v>
      </c>
      <c r="G2174">
        <f>IFERROR(__xludf.DUMMYFUNCTION("""COMPUTED_VALUE"""),0.0)</f>
        <v>0</v>
      </c>
      <c r="H2174" s="5">
        <f>IFERROR(__xludf.DUMMYFUNCTION("""COMPUTED_VALUE"""),0.1430555555562023)</f>
        <v>0.1430555556</v>
      </c>
    </row>
    <row r="2175">
      <c r="A2175" t="str">
        <f>IFERROR(__xludf.DUMMYFUNCTION("""COMPUTED_VALUE"""),"Panama")</f>
        <v>Panama</v>
      </c>
      <c r="B2175" t="str">
        <f>IFERROR(__xludf.DUMMYFUNCTION("""COMPUTED_VALUE"""),"North America")</f>
        <v>North America</v>
      </c>
      <c r="C2175">
        <f>IFERROR(__xludf.DUMMYFUNCTION("""COMPUTED_VALUE"""),24.0)</f>
        <v>24</v>
      </c>
      <c r="D2175" t="str">
        <f>IFERROR(__xludf.DUMMYFUNCTION("""COMPUTED_VALUE"""),"CÓMO SE SIENTE - Remix")</f>
        <v>CÓMO SE SIENTE - Remix</v>
      </c>
      <c r="E2175" t="str">
        <f>IFERROR(__xludf.DUMMYFUNCTION("""COMPUTED_VALUE"""),"Jhay Cortez, Bad Bunny")</f>
        <v>Jhay Cortez, Bad Bunny</v>
      </c>
      <c r="F2175" t="str">
        <f>IFERROR(__xludf.DUMMYFUNCTION("""COMPUTED_VALUE"""),"CÓMO SE SIENTE (Remix)")</f>
        <v>CÓMO SE SIENTE (Remix)</v>
      </c>
      <c r="G2175">
        <f>IFERROR(__xludf.DUMMYFUNCTION("""COMPUTED_VALUE"""),1.0)</f>
        <v>1</v>
      </c>
      <c r="H2175" s="5">
        <f>IFERROR(__xludf.DUMMYFUNCTION("""COMPUTED_VALUE"""),0.15763888888977817)</f>
        <v>0.1576388889</v>
      </c>
    </row>
    <row r="2176">
      <c r="A2176" t="str">
        <f>IFERROR(__xludf.DUMMYFUNCTION("""COMPUTED_VALUE"""),"Panama")</f>
        <v>Panama</v>
      </c>
      <c r="B2176" t="str">
        <f>IFERROR(__xludf.DUMMYFUNCTION("""COMPUTED_VALUE"""),"North America")</f>
        <v>North America</v>
      </c>
      <c r="C2176">
        <f>IFERROR(__xludf.DUMMYFUNCTION("""COMPUTED_VALUE"""),25.0)</f>
        <v>25</v>
      </c>
      <c r="D2176" t="str">
        <f>IFERROR(__xludf.DUMMYFUNCTION("""COMPUTED_VALUE"""),"Sigues Con El")</f>
        <v>Sigues Con El</v>
      </c>
      <c r="E2176" t="str">
        <f>IFERROR(__xludf.DUMMYFUNCTION("""COMPUTED_VALUE"""),"Dímelo Flow, Arcangel, Sech")</f>
        <v>Dímelo Flow, Arcangel, Sech</v>
      </c>
      <c r="F2176" t="str">
        <f>IFERROR(__xludf.DUMMYFUNCTION("""COMPUTED_VALUE"""),"Sigues Con El")</f>
        <v>Sigues Con El</v>
      </c>
      <c r="G2176">
        <f>IFERROR(__xludf.DUMMYFUNCTION("""COMPUTED_VALUE"""),0.0)</f>
        <v>0</v>
      </c>
      <c r="H2176" s="5">
        <f>IFERROR(__xludf.DUMMYFUNCTION("""COMPUTED_VALUE"""),0.1569444444430701)</f>
        <v>0.1569444444</v>
      </c>
    </row>
    <row r="2177">
      <c r="A2177" t="str">
        <f>IFERROR(__xludf.DUMMYFUNCTION("""COMPUTED_VALUE"""),"Panama")</f>
        <v>Panama</v>
      </c>
      <c r="B2177" t="str">
        <f>IFERROR(__xludf.DUMMYFUNCTION("""COMPUTED_VALUE"""),"North America")</f>
        <v>North America</v>
      </c>
      <c r="C2177">
        <f>IFERROR(__xludf.DUMMYFUNCTION("""COMPUTED_VALUE"""),26.0)</f>
        <v>26</v>
      </c>
      <c r="D2177" t="str">
        <f>IFERROR(__xludf.DUMMYFUNCTION("""COMPUTED_VALUE"""),"La Difícil")</f>
        <v>La Difícil</v>
      </c>
      <c r="E2177" t="str">
        <f>IFERROR(__xludf.DUMMYFUNCTION("""COMPUTED_VALUE"""),"Bad Bunny")</f>
        <v>Bad Bunny</v>
      </c>
      <c r="F2177" t="str">
        <f>IFERROR(__xludf.DUMMYFUNCTION("""COMPUTED_VALUE"""),"YHLQMDLG")</f>
        <v>YHLQMDLG</v>
      </c>
      <c r="G2177">
        <f>IFERROR(__xludf.DUMMYFUNCTION("""COMPUTED_VALUE"""),1.0)</f>
        <v>1</v>
      </c>
      <c r="H2177" s="5">
        <f>IFERROR(__xludf.DUMMYFUNCTION("""COMPUTED_VALUE"""),0.11319444444598048)</f>
        <v>0.1131944444</v>
      </c>
    </row>
    <row r="2178">
      <c r="A2178" t="str">
        <f>IFERROR(__xludf.DUMMYFUNCTION("""COMPUTED_VALUE"""),"Panama")</f>
        <v>Panama</v>
      </c>
      <c r="B2178" t="str">
        <f>IFERROR(__xludf.DUMMYFUNCTION("""COMPUTED_VALUE"""),"North America")</f>
        <v>North America</v>
      </c>
      <c r="C2178">
        <f>IFERROR(__xludf.DUMMYFUNCTION("""COMPUTED_VALUE"""),27.0)</f>
        <v>27</v>
      </c>
      <c r="D2178" t="str">
        <f>IFERROR(__xludf.DUMMYFUNCTION("""COMPUTED_VALUE"""),"Sigues Con El - Remix")</f>
        <v>Sigues Con El - Remix</v>
      </c>
      <c r="E2178" t="str">
        <f>IFERROR(__xludf.DUMMYFUNCTION("""COMPUTED_VALUE"""),"Arcangel, Sech, Romeo Santos")</f>
        <v>Arcangel, Sech, Romeo Santos</v>
      </c>
      <c r="F2178" t="str">
        <f>IFERROR(__xludf.DUMMYFUNCTION("""COMPUTED_VALUE"""),"Sigues Con El (Remix)")</f>
        <v>Sigues Con El (Remix)</v>
      </c>
      <c r="G2178">
        <f>IFERROR(__xludf.DUMMYFUNCTION("""COMPUTED_VALUE"""),0.0)</f>
        <v>0</v>
      </c>
      <c r="H2178" s="5">
        <f>IFERROR(__xludf.DUMMYFUNCTION("""COMPUTED_VALUE"""),0.1312499999985448)</f>
        <v>0.13125</v>
      </c>
    </row>
    <row r="2179">
      <c r="A2179" t="str">
        <f>IFERROR(__xludf.DUMMYFUNCTION("""COMPUTED_VALUE"""),"Panama")</f>
        <v>Panama</v>
      </c>
      <c r="B2179" t="str">
        <f>IFERROR(__xludf.DUMMYFUNCTION("""COMPUTED_VALUE"""),"North America")</f>
        <v>North America</v>
      </c>
      <c r="C2179">
        <f>IFERROR(__xludf.DUMMYFUNCTION("""COMPUTED_VALUE"""),28.0)</f>
        <v>28</v>
      </c>
      <c r="D2179" t="str">
        <f>IFERROR(__xludf.DUMMYFUNCTION("""COMPUTED_VALUE"""),"Follow")</f>
        <v>Follow</v>
      </c>
      <c r="E2179" t="str">
        <f>IFERROR(__xludf.DUMMYFUNCTION("""COMPUTED_VALUE"""),"KAROL G, Anuel AA")</f>
        <v>KAROL G, Anuel AA</v>
      </c>
      <c r="F2179" t="str">
        <f>IFERROR(__xludf.DUMMYFUNCTION("""COMPUTED_VALUE"""),"Follow")</f>
        <v>Follow</v>
      </c>
      <c r="G2179">
        <f>IFERROR(__xludf.DUMMYFUNCTION("""COMPUTED_VALUE"""),0.0)</f>
        <v>0</v>
      </c>
      <c r="H2179" s="5">
        <f>IFERROR(__xludf.DUMMYFUNCTION("""COMPUTED_VALUE"""),0.14097222222335404)</f>
        <v>0.1409722222</v>
      </c>
    </row>
    <row r="2180">
      <c r="A2180" t="str">
        <f>IFERROR(__xludf.DUMMYFUNCTION("""COMPUTED_VALUE"""),"Panama")</f>
        <v>Panama</v>
      </c>
      <c r="B2180" t="str">
        <f>IFERROR(__xludf.DUMMYFUNCTION("""COMPUTED_VALUE"""),"North America")</f>
        <v>North America</v>
      </c>
      <c r="C2180">
        <f>IFERROR(__xludf.DUMMYFUNCTION("""COMPUTED_VALUE"""),29.0)</f>
        <v>29</v>
      </c>
      <c r="D2180" t="str">
        <f>IFERROR(__xludf.DUMMYFUNCTION("""COMPUTED_VALUE"""),"Blinding Lights")</f>
        <v>Blinding Lights</v>
      </c>
      <c r="E2180" t="str">
        <f>IFERROR(__xludf.DUMMYFUNCTION("""COMPUTED_VALUE"""),"The Weeknd")</f>
        <v>The Weeknd</v>
      </c>
      <c r="F2180" t="str">
        <f>IFERROR(__xludf.DUMMYFUNCTION("""COMPUTED_VALUE"""),"After Hours")</f>
        <v>After Hours</v>
      </c>
      <c r="G2180">
        <f>IFERROR(__xludf.DUMMYFUNCTION("""COMPUTED_VALUE"""),0.0)</f>
        <v>0</v>
      </c>
      <c r="H2180" s="5">
        <f>IFERROR(__xludf.DUMMYFUNCTION("""COMPUTED_VALUE"""),0.13888888889050577)</f>
        <v>0.1388888889</v>
      </c>
    </row>
    <row r="2181">
      <c r="A2181" t="str">
        <f>IFERROR(__xludf.DUMMYFUNCTION("""COMPUTED_VALUE"""),"Panama")</f>
        <v>Panama</v>
      </c>
      <c r="B2181" t="str">
        <f>IFERROR(__xludf.DUMMYFUNCTION("""COMPUTED_VALUE"""),"North America")</f>
        <v>North America</v>
      </c>
      <c r="C2181">
        <f>IFERROR(__xludf.DUMMYFUNCTION("""COMPUTED_VALUE"""),30.0)</f>
        <v>30</v>
      </c>
      <c r="D2181" t="str">
        <f>IFERROR(__xludf.DUMMYFUNCTION("""COMPUTED_VALUE"""),"Fantasias")</f>
        <v>Fantasias</v>
      </c>
      <c r="E2181" t="str">
        <f>IFERROR(__xludf.DUMMYFUNCTION("""COMPUTED_VALUE"""),"Rauw Alejandro, Farruko")</f>
        <v>Rauw Alejandro, Farruko</v>
      </c>
      <c r="F2181" t="str">
        <f>IFERROR(__xludf.DUMMYFUNCTION("""COMPUTED_VALUE"""),"Fantasias")</f>
        <v>Fantasias</v>
      </c>
      <c r="G2181">
        <f>IFERROR(__xludf.DUMMYFUNCTION("""COMPUTED_VALUE"""),0.0)</f>
        <v>0</v>
      </c>
      <c r="H2181" s="5">
        <f>IFERROR(__xludf.DUMMYFUNCTION("""COMPUTED_VALUE"""),0.1381944444437977)</f>
        <v>0.1381944444</v>
      </c>
    </row>
    <row r="2182">
      <c r="A2182" t="str">
        <f>IFERROR(__xludf.DUMMYFUNCTION("""COMPUTED_VALUE"""),"Panama")</f>
        <v>Panama</v>
      </c>
      <c r="B2182" t="str">
        <f>IFERROR(__xludf.DUMMYFUNCTION("""COMPUTED_VALUE"""),"North America")</f>
        <v>North America</v>
      </c>
      <c r="C2182">
        <f>IFERROR(__xludf.DUMMYFUNCTION("""COMPUTED_VALUE"""),31.0)</f>
        <v>31</v>
      </c>
      <c r="D2182" t="str">
        <f>IFERROR(__xludf.DUMMYFUNCTION("""COMPUTED_VALUE"""),"Vete")</f>
        <v>Vete</v>
      </c>
      <c r="E2182" t="str">
        <f>IFERROR(__xludf.DUMMYFUNCTION("""COMPUTED_VALUE"""),"Bad Bunny")</f>
        <v>Bad Bunny</v>
      </c>
      <c r="F2182" t="str">
        <f>IFERROR(__xludf.DUMMYFUNCTION("""COMPUTED_VALUE"""),"YHLQMDLG")</f>
        <v>YHLQMDLG</v>
      </c>
      <c r="G2182">
        <f>IFERROR(__xludf.DUMMYFUNCTION("""COMPUTED_VALUE"""),1.0)</f>
        <v>1</v>
      </c>
      <c r="H2182" s="5">
        <f>IFERROR(__xludf.DUMMYFUNCTION("""COMPUTED_VALUE"""),0.13333333333503106)</f>
        <v>0.1333333333</v>
      </c>
    </row>
    <row r="2183">
      <c r="A2183" t="str">
        <f>IFERROR(__xludf.DUMMYFUNCTION("""COMPUTED_VALUE"""),"Panama")</f>
        <v>Panama</v>
      </c>
      <c r="B2183" t="str">
        <f>IFERROR(__xludf.DUMMYFUNCTION("""COMPUTED_VALUE"""),"North America")</f>
        <v>North America</v>
      </c>
      <c r="C2183">
        <f>IFERROR(__xludf.DUMMYFUNCTION("""COMPUTED_VALUE"""),32.0)</f>
        <v>32</v>
      </c>
      <c r="D2183" t="str">
        <f>IFERROR(__xludf.DUMMYFUNCTION("""COMPUTED_VALUE"""),"Bajo La Mesa")</f>
        <v>Bajo La Mesa</v>
      </c>
      <c r="E2183" t="str">
        <f>IFERROR(__xludf.DUMMYFUNCTION("""COMPUTED_VALUE"""),"Morat, Sebastian Yatra")</f>
        <v>Morat, Sebastian Yatra</v>
      </c>
      <c r="F2183" t="str">
        <f>IFERROR(__xludf.DUMMYFUNCTION("""COMPUTED_VALUE"""),"Bajo La Mesa")</f>
        <v>Bajo La Mesa</v>
      </c>
      <c r="G2183">
        <f>IFERROR(__xludf.DUMMYFUNCTION("""COMPUTED_VALUE"""),0.0)</f>
        <v>0</v>
      </c>
      <c r="H2183" s="5">
        <f>IFERROR(__xludf.DUMMYFUNCTION("""COMPUTED_VALUE"""),0.10902777777664596)</f>
        <v>0.1090277778</v>
      </c>
    </row>
    <row r="2184">
      <c r="A2184" t="str">
        <f>IFERROR(__xludf.DUMMYFUNCTION("""COMPUTED_VALUE"""),"Panama")</f>
        <v>Panama</v>
      </c>
      <c r="B2184" t="str">
        <f>IFERROR(__xludf.DUMMYFUNCTION("""COMPUTED_VALUE"""),"North America")</f>
        <v>North America</v>
      </c>
      <c r="C2184">
        <f>IFERROR(__xludf.DUMMYFUNCTION("""COMPUTED_VALUE"""),33.0)</f>
        <v>33</v>
      </c>
      <c r="D2184" t="str">
        <f>IFERROR(__xludf.DUMMYFUNCTION("""COMPUTED_VALUE"""),"Portarse Mal")</f>
        <v>Portarse Mal</v>
      </c>
      <c r="E2184" t="str">
        <f>IFERROR(__xludf.DUMMYFUNCTION("""COMPUTED_VALUE"""),"Sech")</f>
        <v>Sech</v>
      </c>
      <c r="F2184" t="str">
        <f>IFERROR(__xludf.DUMMYFUNCTION("""COMPUTED_VALUE"""),"1 of 1")</f>
        <v>1 of 1</v>
      </c>
      <c r="G2184">
        <f>IFERROR(__xludf.DUMMYFUNCTION("""COMPUTED_VALUE"""),0.0)</f>
        <v>0</v>
      </c>
      <c r="H2184" s="5">
        <f>IFERROR(__xludf.DUMMYFUNCTION("""COMPUTED_VALUE"""),0.12916666666569654)</f>
        <v>0.1291666667</v>
      </c>
    </row>
    <row r="2185">
      <c r="A2185" t="str">
        <f>IFERROR(__xludf.DUMMYFUNCTION("""COMPUTED_VALUE"""),"Panama")</f>
        <v>Panama</v>
      </c>
      <c r="B2185" t="str">
        <f>IFERROR(__xludf.DUMMYFUNCTION("""COMPUTED_VALUE"""),"North America")</f>
        <v>North America</v>
      </c>
      <c r="C2185">
        <f>IFERROR(__xludf.DUMMYFUNCTION("""COMPUTED_VALUE"""),34.0)</f>
        <v>34</v>
      </c>
      <c r="D2185" t="str">
        <f>IFERROR(__xludf.DUMMYFUNCTION("""COMPUTED_VALUE"""),"Dale")</f>
        <v>Dale</v>
      </c>
      <c r="E2185" t="str">
        <f>IFERROR(__xludf.DUMMYFUNCTION("""COMPUTED_VALUE"""),"Sech, Lenny Tavárez")</f>
        <v>Sech, Lenny Tavárez</v>
      </c>
      <c r="F2185" t="str">
        <f>IFERROR(__xludf.DUMMYFUNCTION("""COMPUTED_VALUE"""),"1 of 1")</f>
        <v>1 of 1</v>
      </c>
      <c r="G2185">
        <f>IFERROR(__xludf.DUMMYFUNCTION("""COMPUTED_VALUE"""),1.0)</f>
        <v>1</v>
      </c>
      <c r="H2185" s="5">
        <f>IFERROR(__xludf.DUMMYFUNCTION("""COMPUTED_VALUE"""),0.1124999999992724)</f>
        <v>0.1125</v>
      </c>
    </row>
    <row r="2186">
      <c r="A2186" t="str">
        <f>IFERROR(__xludf.DUMMYFUNCTION("""COMPUTED_VALUE"""),"Panama")</f>
        <v>Panama</v>
      </c>
      <c r="B2186" t="str">
        <f>IFERROR(__xludf.DUMMYFUNCTION("""COMPUTED_VALUE"""),"North America")</f>
        <v>North America</v>
      </c>
      <c r="C2186">
        <f>IFERROR(__xludf.DUMMYFUNCTION("""COMPUTED_VALUE"""),35.0)</f>
        <v>35</v>
      </c>
      <c r="D2186" t="str">
        <f>IFERROR(__xludf.DUMMYFUNCTION("""COMPUTED_VALUE"""),"Fe")</f>
        <v>Fe</v>
      </c>
      <c r="E2186" t="str">
        <f>IFERROR(__xludf.DUMMYFUNCTION("""COMPUTED_VALUE"""),"Sech")</f>
        <v>Sech</v>
      </c>
      <c r="F2186" t="str">
        <f>IFERROR(__xludf.DUMMYFUNCTION("""COMPUTED_VALUE"""),"1 of 1")</f>
        <v>1 of 1</v>
      </c>
      <c r="G2186">
        <f>IFERROR(__xludf.DUMMYFUNCTION("""COMPUTED_VALUE"""),1.0)</f>
        <v>1</v>
      </c>
      <c r="H2186" s="5">
        <f>IFERROR(__xludf.DUMMYFUNCTION("""COMPUTED_VALUE"""),0.11944444444452529)</f>
        <v>0.1194444444</v>
      </c>
    </row>
    <row r="2187">
      <c r="A2187" t="str">
        <f>IFERROR(__xludf.DUMMYFUNCTION("""COMPUTED_VALUE"""),"Panama")</f>
        <v>Panama</v>
      </c>
      <c r="B2187" t="str">
        <f>IFERROR(__xludf.DUMMYFUNCTION("""COMPUTED_VALUE"""),"North America")</f>
        <v>North America</v>
      </c>
      <c r="C2187">
        <f>IFERROR(__xludf.DUMMYFUNCTION("""COMPUTED_VALUE"""),36.0)</f>
        <v>36</v>
      </c>
      <c r="D2187" t="str">
        <f>IFERROR(__xludf.DUMMYFUNCTION("""COMPUTED_VALUE"""),"Amarillo")</f>
        <v>Amarillo</v>
      </c>
      <c r="E2187" t="str">
        <f>IFERROR(__xludf.DUMMYFUNCTION("""COMPUTED_VALUE"""),"J Balvin")</f>
        <v>J Balvin</v>
      </c>
      <c r="F2187" t="str">
        <f>IFERROR(__xludf.DUMMYFUNCTION("""COMPUTED_VALUE"""),"Colores")</f>
        <v>Colores</v>
      </c>
      <c r="G2187">
        <f>IFERROR(__xludf.DUMMYFUNCTION("""COMPUTED_VALUE"""),0.0)</f>
        <v>0</v>
      </c>
      <c r="H2187" s="5">
        <f>IFERROR(__xludf.DUMMYFUNCTION("""COMPUTED_VALUE"""),0.10902777777664596)</f>
        <v>0.1090277778</v>
      </c>
    </row>
    <row r="2188">
      <c r="A2188" t="str">
        <f>IFERROR(__xludf.DUMMYFUNCTION("""COMPUTED_VALUE"""),"Panama")</f>
        <v>Panama</v>
      </c>
      <c r="B2188" t="str">
        <f>IFERROR(__xludf.DUMMYFUNCTION("""COMPUTED_VALUE"""),"North America")</f>
        <v>North America</v>
      </c>
      <c r="C2188">
        <f>IFERROR(__xludf.DUMMYFUNCTION("""COMPUTED_VALUE"""),37.0)</f>
        <v>37</v>
      </c>
      <c r="D2188" t="str">
        <f>IFERROR(__xludf.DUMMYFUNCTION("""COMPUTED_VALUE"""),"Si Veo a Tu Mamá")</f>
        <v>Si Veo a Tu Mamá</v>
      </c>
      <c r="E2188" t="str">
        <f>IFERROR(__xludf.DUMMYFUNCTION("""COMPUTED_VALUE"""),"Bad Bunny")</f>
        <v>Bad Bunny</v>
      </c>
      <c r="F2188" t="str">
        <f>IFERROR(__xludf.DUMMYFUNCTION("""COMPUTED_VALUE"""),"YHLQMDLG")</f>
        <v>YHLQMDLG</v>
      </c>
      <c r="G2188">
        <f>IFERROR(__xludf.DUMMYFUNCTION("""COMPUTED_VALUE"""),0.0)</f>
        <v>0</v>
      </c>
      <c r="H2188" s="5">
        <f>IFERROR(__xludf.DUMMYFUNCTION("""COMPUTED_VALUE"""),0.11805555555474712)</f>
        <v>0.1180555556</v>
      </c>
    </row>
    <row r="2189">
      <c r="A2189" t="str">
        <f>IFERROR(__xludf.DUMMYFUNCTION("""COMPUTED_VALUE"""),"Panama")</f>
        <v>Panama</v>
      </c>
      <c r="B2189" t="str">
        <f>IFERROR(__xludf.DUMMYFUNCTION("""COMPUTED_VALUE"""),"North America")</f>
        <v>North America</v>
      </c>
      <c r="C2189">
        <f>IFERROR(__xludf.DUMMYFUNCTION("""COMPUTED_VALUE"""),38.0)</f>
        <v>38</v>
      </c>
      <c r="D2189" t="str">
        <f>IFERROR(__xludf.DUMMYFUNCTION("""COMPUTED_VALUE"""),"Definitivamente")</f>
        <v>Definitivamente</v>
      </c>
      <c r="E2189" t="str">
        <f>IFERROR(__xludf.DUMMYFUNCTION("""COMPUTED_VALUE"""),"Daddy Yankee, Sech")</f>
        <v>Daddy Yankee, Sech</v>
      </c>
      <c r="F2189" t="str">
        <f>IFERROR(__xludf.DUMMYFUNCTION("""COMPUTED_VALUE"""),"Definitivamente")</f>
        <v>Definitivamente</v>
      </c>
      <c r="G2189">
        <f>IFERROR(__xludf.DUMMYFUNCTION("""COMPUTED_VALUE"""),0.0)</f>
        <v>0</v>
      </c>
      <c r="H2189" s="5">
        <f>IFERROR(__xludf.DUMMYFUNCTION("""COMPUTED_VALUE"""),0.1506944444445253)</f>
        <v>0.1506944444</v>
      </c>
    </row>
    <row r="2190">
      <c r="A2190" t="str">
        <f>IFERROR(__xludf.DUMMYFUNCTION("""COMPUTED_VALUE"""),"Panama")</f>
        <v>Panama</v>
      </c>
      <c r="B2190" t="str">
        <f>IFERROR(__xludf.DUMMYFUNCTION("""COMPUTED_VALUE"""),"North America")</f>
        <v>North America</v>
      </c>
      <c r="C2190">
        <f>IFERROR(__xludf.DUMMYFUNCTION("""COMPUTED_VALUE"""),39.0)</f>
        <v>39</v>
      </c>
      <c r="D2190" t="str">
        <f>IFERROR(__xludf.DUMMYFUNCTION("""COMPUTED_VALUE"""),"CANCIÓN CON YANDEL")</f>
        <v>CANCIÓN CON YANDEL</v>
      </c>
      <c r="E2190" t="str">
        <f>IFERROR(__xludf.DUMMYFUNCTION("""COMPUTED_VALUE"""),"Yandel, Bad Bunny")</f>
        <v>Yandel, Bad Bunny</v>
      </c>
      <c r="F2190" t="str">
        <f>IFERROR(__xludf.DUMMYFUNCTION("""COMPUTED_VALUE"""),"LAS QUE NO IBAN A SALIR")</f>
        <v>LAS QUE NO IBAN A SALIR</v>
      </c>
      <c r="G2190">
        <f>IFERROR(__xludf.DUMMYFUNCTION("""COMPUTED_VALUE"""),1.0)</f>
        <v>1</v>
      </c>
      <c r="H2190" s="5">
        <f>IFERROR(__xludf.DUMMYFUNCTION("""COMPUTED_VALUE"""),0.14513888888905058)</f>
        <v>0.1451388889</v>
      </c>
    </row>
    <row r="2191">
      <c r="A2191" t="str">
        <f>IFERROR(__xludf.DUMMYFUNCTION("""COMPUTED_VALUE"""),"Panama")</f>
        <v>Panama</v>
      </c>
      <c r="B2191" t="str">
        <f>IFERROR(__xludf.DUMMYFUNCTION("""COMPUTED_VALUE"""),"North America")</f>
        <v>North America</v>
      </c>
      <c r="C2191">
        <f>IFERROR(__xludf.DUMMYFUNCTION("""COMPUTED_VALUE"""),40.0)</f>
        <v>40</v>
      </c>
      <c r="D2191" t="str">
        <f>IFERROR(__xludf.DUMMYFUNCTION("""COMPUTED_VALUE"""),"Tu y Yo")</f>
        <v>Tu y Yo</v>
      </c>
      <c r="E2191" t="str">
        <f>IFERROR(__xludf.DUMMYFUNCTION("""COMPUTED_VALUE"""),"Sech, Zion &amp; Lennox")</f>
        <v>Sech, Zion &amp; Lennox</v>
      </c>
      <c r="F2191" t="str">
        <f>IFERROR(__xludf.DUMMYFUNCTION("""COMPUTED_VALUE"""),"1 of 1")</f>
        <v>1 of 1</v>
      </c>
      <c r="G2191">
        <f>IFERROR(__xludf.DUMMYFUNCTION("""COMPUTED_VALUE"""),1.0)</f>
        <v>1</v>
      </c>
      <c r="H2191" s="5">
        <f>IFERROR(__xludf.DUMMYFUNCTION("""COMPUTED_VALUE"""),0.1569444444430701)</f>
        <v>0.1569444444</v>
      </c>
    </row>
    <row r="2192">
      <c r="A2192" t="str">
        <f>IFERROR(__xludf.DUMMYFUNCTION("""COMPUTED_VALUE"""),"Panama")</f>
        <v>Panama</v>
      </c>
      <c r="B2192" t="str">
        <f>IFERROR(__xludf.DUMMYFUNCTION("""COMPUTED_VALUE"""),"North America")</f>
        <v>North America</v>
      </c>
      <c r="C2192">
        <f>IFERROR(__xludf.DUMMYFUNCTION("""COMPUTED_VALUE"""),41.0)</f>
        <v>41</v>
      </c>
      <c r="D2192" t="str">
        <f>IFERROR(__xludf.DUMMYFUNCTION("""COMPUTED_VALUE"""),"En Lo Oscuro")</f>
        <v>En Lo Oscuro</v>
      </c>
      <c r="E2192" t="str">
        <f>IFERROR(__xludf.DUMMYFUNCTION("""COMPUTED_VALUE"""),"Sech")</f>
        <v>Sech</v>
      </c>
      <c r="F2192" t="str">
        <f>IFERROR(__xludf.DUMMYFUNCTION("""COMPUTED_VALUE"""),"1 of 1")</f>
        <v>1 of 1</v>
      </c>
      <c r="G2192">
        <f>IFERROR(__xludf.DUMMYFUNCTION("""COMPUTED_VALUE"""),0.0)</f>
        <v>0</v>
      </c>
      <c r="H2192" s="5">
        <f>IFERROR(__xludf.DUMMYFUNCTION("""COMPUTED_VALUE"""),0.09791666666569654)</f>
        <v>0.09791666667</v>
      </c>
    </row>
    <row r="2193">
      <c r="A2193" t="str">
        <f>IFERROR(__xludf.DUMMYFUNCTION("""COMPUTED_VALUE"""),"Panama")</f>
        <v>Panama</v>
      </c>
      <c r="B2193" t="str">
        <f>IFERROR(__xludf.DUMMYFUNCTION("""COMPUTED_VALUE"""),"North America")</f>
        <v>North America</v>
      </c>
      <c r="C2193">
        <f>IFERROR(__xludf.DUMMYFUNCTION("""COMPUTED_VALUE"""),42.0)</f>
        <v>42</v>
      </c>
      <c r="D2193" t="str">
        <f>IFERROR(__xludf.DUMMYFUNCTION("""COMPUTED_VALUE"""),"La Santa")</f>
        <v>La Santa</v>
      </c>
      <c r="E2193" t="str">
        <f>IFERROR(__xludf.DUMMYFUNCTION("""COMPUTED_VALUE"""),"Bad Bunny, Daddy Yankee")</f>
        <v>Bad Bunny, Daddy Yankee</v>
      </c>
      <c r="F2193" t="str">
        <f>IFERROR(__xludf.DUMMYFUNCTION("""COMPUTED_VALUE"""),"YHLQMDLG")</f>
        <v>YHLQMDLG</v>
      </c>
      <c r="G2193">
        <f>IFERROR(__xludf.DUMMYFUNCTION("""COMPUTED_VALUE"""),1.0)</f>
        <v>1</v>
      </c>
      <c r="H2193" s="5">
        <f>IFERROR(__xludf.DUMMYFUNCTION("""COMPUTED_VALUE"""),0.1430555555562023)</f>
        <v>0.1430555556</v>
      </c>
    </row>
    <row r="2194">
      <c r="A2194" t="str">
        <f>IFERROR(__xludf.DUMMYFUNCTION("""COMPUTED_VALUE"""),"Panama")</f>
        <v>Panama</v>
      </c>
      <c r="B2194" t="str">
        <f>IFERROR(__xludf.DUMMYFUNCTION("""COMPUTED_VALUE"""),"North America")</f>
        <v>North America</v>
      </c>
      <c r="C2194">
        <f>IFERROR(__xludf.DUMMYFUNCTION("""COMPUTED_VALUE"""),43.0)</f>
        <v>43</v>
      </c>
      <c r="D2194" t="str">
        <f>IFERROR(__xludf.DUMMYFUNCTION("""COMPUTED_VALUE"""),"Por Primera Vez")</f>
        <v>Por Primera Vez</v>
      </c>
      <c r="E2194" t="str">
        <f>IFERROR(__xludf.DUMMYFUNCTION("""COMPUTED_VALUE"""),"Camilo, Evaluna Montaner")</f>
        <v>Camilo, Evaluna Montaner</v>
      </c>
      <c r="F2194" t="str">
        <f>IFERROR(__xludf.DUMMYFUNCTION("""COMPUTED_VALUE"""),"Por Primera Vez")</f>
        <v>Por Primera Vez</v>
      </c>
      <c r="G2194">
        <f>IFERROR(__xludf.DUMMYFUNCTION("""COMPUTED_VALUE"""),0.0)</f>
        <v>0</v>
      </c>
      <c r="H2194" s="5">
        <f>IFERROR(__xludf.DUMMYFUNCTION("""COMPUTED_VALUE"""),0.12638888888977817)</f>
        <v>0.1263888889</v>
      </c>
    </row>
    <row r="2195">
      <c r="A2195" t="str">
        <f>IFERROR(__xludf.DUMMYFUNCTION("""COMPUTED_VALUE"""),"Panama")</f>
        <v>Panama</v>
      </c>
      <c r="B2195" t="str">
        <f>IFERROR(__xludf.DUMMYFUNCTION("""COMPUTED_VALUE"""),"North America")</f>
        <v>North America</v>
      </c>
      <c r="C2195">
        <f>IFERROR(__xludf.DUMMYFUNCTION("""COMPUTED_VALUE"""),44.0)</f>
        <v>44</v>
      </c>
      <c r="D2195" t="str">
        <f>IFERROR(__xludf.DUMMYFUNCTION("""COMPUTED_VALUE"""),"Uni")</f>
        <v>Uni</v>
      </c>
      <c r="E2195" t="str">
        <f>IFERROR(__xludf.DUMMYFUNCTION("""COMPUTED_VALUE"""),"Sech")</f>
        <v>Sech</v>
      </c>
      <c r="F2195" t="str">
        <f>IFERROR(__xludf.DUMMYFUNCTION("""COMPUTED_VALUE"""),"1 of 1")</f>
        <v>1 of 1</v>
      </c>
      <c r="G2195">
        <f>IFERROR(__xludf.DUMMYFUNCTION("""COMPUTED_VALUE"""),0.0)</f>
        <v>0</v>
      </c>
      <c r="H2195" s="5">
        <f>IFERROR(__xludf.DUMMYFUNCTION("""COMPUTED_VALUE"""),0.10347222222117125)</f>
        <v>0.1034722222</v>
      </c>
    </row>
    <row r="2196">
      <c r="A2196" t="str">
        <f>IFERROR(__xludf.DUMMYFUNCTION("""COMPUTED_VALUE"""),"Panama")</f>
        <v>Panama</v>
      </c>
      <c r="B2196" t="str">
        <f>IFERROR(__xludf.DUMMYFUNCTION("""COMPUTED_VALUE"""),"North America")</f>
        <v>North America</v>
      </c>
      <c r="C2196">
        <f>IFERROR(__xludf.DUMMYFUNCTION("""COMPUTED_VALUE"""),45.0)</f>
        <v>45</v>
      </c>
      <c r="D2196" t="str">
        <f>IFERROR(__xludf.DUMMYFUNCTION("""COMPUTED_VALUE"""),"Fabuloso")</f>
        <v>Fabuloso</v>
      </c>
      <c r="E2196" t="str">
        <f>IFERROR(__xludf.DUMMYFUNCTION("""COMPUTED_VALUE"""),"Sech, Justin Quiles")</f>
        <v>Sech, Justin Quiles</v>
      </c>
      <c r="F2196" t="str">
        <f>IFERROR(__xludf.DUMMYFUNCTION("""COMPUTED_VALUE"""),"1 of 1")</f>
        <v>1 of 1</v>
      </c>
      <c r="G2196">
        <f>IFERROR(__xludf.DUMMYFUNCTION("""COMPUTED_VALUE"""),0.0)</f>
        <v>0</v>
      </c>
      <c r="H2196" s="5">
        <f>IFERROR(__xludf.DUMMYFUNCTION("""COMPUTED_VALUE"""),0.13888888889050577)</f>
        <v>0.1388888889</v>
      </c>
    </row>
    <row r="2197">
      <c r="A2197" t="str">
        <f>IFERROR(__xludf.DUMMYFUNCTION("""COMPUTED_VALUE"""),"Panama")</f>
        <v>Panama</v>
      </c>
      <c r="B2197" t="str">
        <f>IFERROR(__xludf.DUMMYFUNCTION("""COMPUTED_VALUE"""),"North America")</f>
        <v>North America</v>
      </c>
      <c r="C2197">
        <f>IFERROR(__xludf.DUMMYFUNCTION("""COMPUTED_VALUE"""),46.0)</f>
        <v>46</v>
      </c>
      <c r="D2197" t="str">
        <f>IFERROR(__xludf.DUMMYFUNCTION("""COMPUTED_VALUE"""),"Morado")</f>
        <v>Morado</v>
      </c>
      <c r="E2197" t="str">
        <f>IFERROR(__xludf.DUMMYFUNCTION("""COMPUTED_VALUE"""),"J Balvin")</f>
        <v>J Balvin</v>
      </c>
      <c r="F2197" t="str">
        <f>IFERROR(__xludf.DUMMYFUNCTION("""COMPUTED_VALUE"""),"Colores")</f>
        <v>Colores</v>
      </c>
      <c r="G2197">
        <f>IFERROR(__xludf.DUMMYFUNCTION("""COMPUTED_VALUE"""),0.0)</f>
        <v>0</v>
      </c>
      <c r="H2197" s="5">
        <f>IFERROR(__xludf.DUMMYFUNCTION("""COMPUTED_VALUE"""),0.13888888889050577)</f>
        <v>0.1388888889</v>
      </c>
    </row>
    <row r="2198">
      <c r="A2198" t="str">
        <f>IFERROR(__xludf.DUMMYFUNCTION("""COMPUTED_VALUE"""),"Panama")</f>
        <v>Panama</v>
      </c>
      <c r="B2198" t="str">
        <f>IFERROR(__xludf.DUMMYFUNCTION("""COMPUTED_VALUE"""),"North America")</f>
        <v>North America</v>
      </c>
      <c r="C2198">
        <f>IFERROR(__xludf.DUMMYFUNCTION("""COMPUTED_VALUE"""),47.0)</f>
        <v>47</v>
      </c>
      <c r="D2198" t="str">
        <f>IFERROR(__xludf.DUMMYFUNCTION("""COMPUTED_VALUE"""),"Mejor")</f>
        <v>Mejor</v>
      </c>
      <c r="E2198" t="str">
        <f>IFERROR(__xludf.DUMMYFUNCTION("""COMPUTED_VALUE"""),"Dalex, Sech")</f>
        <v>Dalex, Sech</v>
      </c>
      <c r="F2198" t="str">
        <f>IFERROR(__xludf.DUMMYFUNCTION("""COMPUTED_VALUE"""),"Modo Avión")</f>
        <v>Modo Avión</v>
      </c>
      <c r="G2198">
        <f>IFERROR(__xludf.DUMMYFUNCTION("""COMPUTED_VALUE"""),1.0)</f>
        <v>1</v>
      </c>
      <c r="H2198" s="5">
        <f>IFERROR(__xludf.DUMMYFUNCTION("""COMPUTED_VALUE"""),0.13958333333357587)</f>
        <v>0.1395833333</v>
      </c>
    </row>
    <row r="2199">
      <c r="A2199" t="str">
        <f>IFERROR(__xludf.DUMMYFUNCTION("""COMPUTED_VALUE"""),"Panama")</f>
        <v>Panama</v>
      </c>
      <c r="B2199" t="str">
        <f>IFERROR(__xludf.DUMMYFUNCTION("""COMPUTED_VALUE"""),"North America")</f>
        <v>North America</v>
      </c>
      <c r="C2199">
        <f>IFERROR(__xludf.DUMMYFUNCTION("""COMPUTED_VALUE"""),48.0)</f>
        <v>48</v>
      </c>
      <c r="D2199" t="str">
        <f>IFERROR(__xludf.DUMMYFUNCTION("""COMPUTED_VALUE"""),"Keii")</f>
        <v>Keii</v>
      </c>
      <c r="E2199" t="str">
        <f>IFERROR(__xludf.DUMMYFUNCTION("""COMPUTED_VALUE"""),"Anuel AA")</f>
        <v>Anuel AA</v>
      </c>
      <c r="F2199" t="str">
        <f>IFERROR(__xludf.DUMMYFUNCTION("""COMPUTED_VALUE"""),"Keii")</f>
        <v>Keii</v>
      </c>
      <c r="G2199">
        <f>IFERROR(__xludf.DUMMYFUNCTION("""COMPUTED_VALUE"""),0.0)</f>
        <v>0</v>
      </c>
      <c r="H2199" s="5">
        <f>IFERROR(__xludf.DUMMYFUNCTION("""COMPUTED_VALUE"""),0.14583333333212067)</f>
        <v>0.1458333333</v>
      </c>
    </row>
    <row r="2200">
      <c r="A2200" t="str">
        <f>IFERROR(__xludf.DUMMYFUNCTION("""COMPUTED_VALUE"""),"Panama")</f>
        <v>Panama</v>
      </c>
      <c r="B2200" t="str">
        <f>IFERROR(__xludf.DUMMYFUNCTION("""COMPUTED_VALUE"""),"North America")</f>
        <v>North America</v>
      </c>
      <c r="C2200">
        <f>IFERROR(__xludf.DUMMYFUNCTION("""COMPUTED_VALUE"""),49.0)</f>
        <v>49</v>
      </c>
      <c r="D2200" t="str">
        <f>IFERROR(__xludf.DUMMYFUNCTION("""COMPUTED_VALUE"""),"Arriba")</f>
        <v>Arriba</v>
      </c>
      <c r="E2200" t="str">
        <f>IFERROR(__xludf.DUMMYFUNCTION("""COMPUTED_VALUE"""),"Sech, Farruko")</f>
        <v>Sech, Farruko</v>
      </c>
      <c r="F2200" t="str">
        <f>IFERROR(__xludf.DUMMYFUNCTION("""COMPUTED_VALUE"""),"1 of 1")</f>
        <v>1 of 1</v>
      </c>
      <c r="G2200">
        <f>IFERROR(__xludf.DUMMYFUNCTION("""COMPUTED_VALUE"""),1.0)</f>
        <v>1</v>
      </c>
      <c r="H2200" s="5">
        <f>IFERROR(__xludf.DUMMYFUNCTION("""COMPUTED_VALUE"""),0.13194444444525288)</f>
        <v>0.1319444444</v>
      </c>
    </row>
    <row r="2201">
      <c r="A2201" t="str">
        <f>IFERROR(__xludf.DUMMYFUNCTION("""COMPUTED_VALUE"""),"Panama")</f>
        <v>Panama</v>
      </c>
      <c r="B2201" t="str">
        <f>IFERROR(__xludf.DUMMYFUNCTION("""COMPUTED_VALUE"""),"North America")</f>
        <v>North America</v>
      </c>
      <c r="C2201">
        <f>IFERROR(__xludf.DUMMYFUNCTION("""COMPUTED_VALUE"""),50.0)</f>
        <v>50</v>
      </c>
      <c r="D2201" t="str">
        <f>IFERROR(__xludf.DUMMYFUNCTION("""COMPUTED_VALUE"""),"PA' ROMPERLA")</f>
        <v>PA' ROMPERLA</v>
      </c>
      <c r="E2201" t="str">
        <f>IFERROR(__xludf.DUMMYFUNCTION("""COMPUTED_VALUE"""),"Bad Bunny, Don Omar")</f>
        <v>Bad Bunny, Don Omar</v>
      </c>
      <c r="F2201" t="str">
        <f>IFERROR(__xludf.DUMMYFUNCTION("""COMPUTED_VALUE"""),"LAS QUE NO IBAN A SALIR")</f>
        <v>LAS QUE NO IBAN A SALIR</v>
      </c>
      <c r="G2201">
        <f>IFERROR(__xludf.DUMMYFUNCTION("""COMPUTED_VALUE"""),1.0)</f>
        <v>1</v>
      </c>
      <c r="H2201" s="5">
        <f>IFERROR(__xludf.DUMMYFUNCTION("""COMPUTED_VALUE"""),0.13472222222117125)</f>
        <v>0.1347222222</v>
      </c>
    </row>
    <row r="2202">
      <c r="A2202" t="str">
        <f>IFERROR(__xludf.DUMMYFUNCTION("""COMPUTED_VALUE"""),"Paraguay")</f>
        <v>Paraguay</v>
      </c>
      <c r="B2202" t="str">
        <f>IFERROR(__xludf.DUMMYFUNCTION("""COMPUTED_VALUE"""),"South America")</f>
        <v>South America</v>
      </c>
      <c r="C2202">
        <f>IFERROR(__xludf.DUMMYFUNCTION("""COMPUTED_VALUE"""),1.0)</f>
        <v>1</v>
      </c>
      <c r="D2202" t="str">
        <f>IFERROR(__xludf.DUMMYFUNCTION("""COMPUTED_VALUE"""),"Rojo")</f>
        <v>Rojo</v>
      </c>
      <c r="E2202" t="str">
        <f>IFERROR(__xludf.DUMMYFUNCTION("""COMPUTED_VALUE"""),"J Balvin")</f>
        <v>J Balvin</v>
      </c>
      <c r="F2202" t="str">
        <f>IFERROR(__xludf.DUMMYFUNCTION("""COMPUTED_VALUE"""),"Colores")</f>
        <v>Colores</v>
      </c>
      <c r="G2202">
        <f>IFERROR(__xludf.DUMMYFUNCTION("""COMPUTED_VALUE"""),0.0)</f>
        <v>0</v>
      </c>
      <c r="H2202" s="5">
        <f>IFERROR(__xludf.DUMMYFUNCTION("""COMPUTED_VALUE"""),0.10416666666787933)</f>
        <v>0.1041666667</v>
      </c>
    </row>
    <row r="2203">
      <c r="A2203" t="str">
        <f>IFERROR(__xludf.DUMMYFUNCTION("""COMPUTED_VALUE"""),"Paraguay")</f>
        <v>Paraguay</v>
      </c>
      <c r="B2203" t="str">
        <f>IFERROR(__xludf.DUMMYFUNCTION("""COMPUTED_VALUE"""),"South America")</f>
        <v>South America</v>
      </c>
      <c r="C2203">
        <f>IFERROR(__xludf.DUMMYFUNCTION("""COMPUTED_VALUE"""),2.0)</f>
        <v>2</v>
      </c>
      <c r="D2203" t="str">
        <f>IFERROR(__xludf.DUMMYFUNCTION("""COMPUTED_VALUE"""),"Elegí (feat. Dímelo Flow)")</f>
        <v>Elegí (feat. Dímelo Flow)</v>
      </c>
      <c r="E2203" t="str">
        <f>IFERROR(__xludf.DUMMYFUNCTION("""COMPUTED_VALUE"""),"Rauw Alejandro, Dalex, Lenny Tavárez, Dímelo Flow")</f>
        <v>Rauw Alejandro, Dalex, Lenny Tavárez, Dímelo Flow</v>
      </c>
      <c r="F2203" t="str">
        <f>IFERROR(__xludf.DUMMYFUNCTION("""COMPUTED_VALUE"""),"Elegí (feat. Dímelo Flow)")</f>
        <v>Elegí (feat. Dímelo Flow)</v>
      </c>
      <c r="G2203">
        <f>IFERROR(__xludf.DUMMYFUNCTION("""COMPUTED_VALUE"""),0.0)</f>
        <v>0</v>
      </c>
      <c r="H2203" s="5">
        <f>IFERROR(__xludf.DUMMYFUNCTION("""COMPUTED_VALUE"""),0.13680555555401952)</f>
        <v>0.1368055556</v>
      </c>
    </row>
    <row r="2204">
      <c r="A2204" t="str">
        <f>IFERROR(__xludf.DUMMYFUNCTION("""COMPUTED_VALUE"""),"Paraguay")</f>
        <v>Paraguay</v>
      </c>
      <c r="B2204" t="str">
        <f>IFERROR(__xludf.DUMMYFUNCTION("""COMPUTED_VALUE"""),"South America")</f>
        <v>South America</v>
      </c>
      <c r="C2204">
        <f>IFERROR(__xludf.DUMMYFUNCTION("""COMPUTED_VALUE"""),3.0)</f>
        <v>3</v>
      </c>
      <c r="D2204" t="str">
        <f>IFERROR(__xludf.DUMMYFUNCTION("""COMPUTED_VALUE"""),"CANCIÓN CON YANDEL")</f>
        <v>CANCIÓN CON YANDEL</v>
      </c>
      <c r="E2204" t="str">
        <f>IFERROR(__xludf.DUMMYFUNCTION("""COMPUTED_VALUE"""),"Yandel, Bad Bunny")</f>
        <v>Yandel, Bad Bunny</v>
      </c>
      <c r="F2204" t="str">
        <f>IFERROR(__xludf.DUMMYFUNCTION("""COMPUTED_VALUE"""),"LAS QUE NO IBAN A SALIR")</f>
        <v>LAS QUE NO IBAN A SALIR</v>
      </c>
      <c r="G2204">
        <f>IFERROR(__xludf.DUMMYFUNCTION("""COMPUTED_VALUE"""),1.0)</f>
        <v>1</v>
      </c>
      <c r="H2204" s="5">
        <f>IFERROR(__xludf.DUMMYFUNCTION("""COMPUTED_VALUE"""),0.14513888888905058)</f>
        <v>0.1451388889</v>
      </c>
    </row>
    <row r="2205">
      <c r="A2205" t="str">
        <f>IFERROR(__xludf.DUMMYFUNCTION("""COMPUTED_VALUE"""),"Paraguay")</f>
        <v>Paraguay</v>
      </c>
      <c r="B2205" t="str">
        <f>IFERROR(__xludf.DUMMYFUNCTION("""COMPUTED_VALUE"""),"South America")</f>
        <v>South America</v>
      </c>
      <c r="C2205">
        <f>IFERROR(__xludf.DUMMYFUNCTION("""COMPUTED_VALUE"""),4.0)</f>
        <v>4</v>
      </c>
      <c r="D2205" t="str">
        <f>IFERROR(__xludf.DUMMYFUNCTION("""COMPUTED_VALUE"""),"Inolvidable")</f>
        <v>Inolvidable</v>
      </c>
      <c r="E2205" t="str">
        <f>IFERROR(__xludf.DUMMYFUNCTION("""COMPUTED_VALUE"""),"Ovy On The Drums, Beéle")</f>
        <v>Ovy On The Drums, Beéle</v>
      </c>
      <c r="F2205" t="str">
        <f>IFERROR(__xludf.DUMMYFUNCTION("""COMPUTED_VALUE"""),"Inolvidable")</f>
        <v>Inolvidable</v>
      </c>
      <c r="G2205">
        <f>IFERROR(__xludf.DUMMYFUNCTION("""COMPUTED_VALUE"""),0.0)</f>
        <v>0</v>
      </c>
      <c r="H2205" s="5">
        <f>IFERROR(__xludf.DUMMYFUNCTION("""COMPUTED_VALUE"""),0.15625)</f>
        <v>0.15625</v>
      </c>
    </row>
    <row r="2206">
      <c r="A2206" t="str">
        <f>IFERROR(__xludf.DUMMYFUNCTION("""COMPUTED_VALUE"""),"Paraguay")</f>
        <v>Paraguay</v>
      </c>
      <c r="B2206" t="str">
        <f>IFERROR(__xludf.DUMMYFUNCTION("""COMPUTED_VALUE"""),"South America")</f>
        <v>South America</v>
      </c>
      <c r="C2206">
        <f>IFERROR(__xludf.DUMMYFUNCTION("""COMPUTED_VALUE"""),5.0)</f>
        <v>5</v>
      </c>
      <c r="D2206" t="str">
        <f>IFERROR(__xludf.DUMMYFUNCTION("""COMPUTED_VALUE"""),"PORFA")</f>
        <v>PORFA</v>
      </c>
      <c r="E2206" t="str">
        <f>IFERROR(__xludf.DUMMYFUNCTION("""COMPUTED_VALUE"""),"Feid, Justin Quiles")</f>
        <v>Feid, Justin Quiles</v>
      </c>
      <c r="F2206" t="str">
        <f>IFERROR(__xludf.DUMMYFUNCTION("""COMPUTED_VALUE"""),"FERXXO (VOL 1: M.O.R)")</f>
        <v>FERXXO (VOL 1: M.O.R)</v>
      </c>
      <c r="G2206">
        <f>IFERROR(__xludf.DUMMYFUNCTION("""COMPUTED_VALUE"""),0.0)</f>
        <v>0</v>
      </c>
      <c r="H2206" s="5">
        <f>IFERROR(__xludf.DUMMYFUNCTION("""COMPUTED_VALUE"""),0.16111111111240461)</f>
        <v>0.1611111111</v>
      </c>
    </row>
    <row r="2207">
      <c r="A2207" t="str">
        <f>IFERROR(__xludf.DUMMYFUNCTION("""COMPUTED_VALUE"""),"Paraguay")</f>
        <v>Paraguay</v>
      </c>
      <c r="B2207" t="str">
        <f>IFERROR(__xludf.DUMMYFUNCTION("""COMPUTED_VALUE"""),"South America")</f>
        <v>South America</v>
      </c>
      <c r="C2207">
        <f>IFERROR(__xludf.DUMMYFUNCTION("""COMPUTED_VALUE"""),6.0)</f>
        <v>6</v>
      </c>
      <c r="D2207" t="str">
        <f>IFERROR(__xludf.DUMMYFUNCTION("""COMPUTED_VALUE"""),"Tattoo")</f>
        <v>Tattoo</v>
      </c>
      <c r="E2207" t="str">
        <f>IFERROR(__xludf.DUMMYFUNCTION("""COMPUTED_VALUE"""),"Rauw Alejandro")</f>
        <v>Rauw Alejandro</v>
      </c>
      <c r="F2207" t="str">
        <f>IFERROR(__xludf.DUMMYFUNCTION("""COMPUTED_VALUE"""),"Tattoo")</f>
        <v>Tattoo</v>
      </c>
      <c r="G2207">
        <f>IFERROR(__xludf.DUMMYFUNCTION("""COMPUTED_VALUE"""),0.0)</f>
        <v>0</v>
      </c>
      <c r="H2207" s="5">
        <f>IFERROR(__xludf.DUMMYFUNCTION("""COMPUTED_VALUE"""),0.14027777777664596)</f>
        <v>0.1402777778</v>
      </c>
    </row>
    <row r="2208">
      <c r="A2208" t="str">
        <f>IFERROR(__xludf.DUMMYFUNCTION("""COMPUTED_VALUE"""),"Paraguay")</f>
        <v>Paraguay</v>
      </c>
      <c r="B2208" t="str">
        <f>IFERROR(__xludf.DUMMYFUNCTION("""COMPUTED_VALUE"""),"South America")</f>
        <v>South America</v>
      </c>
      <c r="C2208">
        <f>IFERROR(__xludf.DUMMYFUNCTION("""COMPUTED_VALUE"""),7.0)</f>
        <v>7</v>
      </c>
      <c r="D2208" t="str">
        <f>IFERROR(__xludf.DUMMYFUNCTION("""COMPUTED_VALUE"""),"Ignorantes")</f>
        <v>Ignorantes</v>
      </c>
      <c r="E2208" t="str">
        <f>IFERROR(__xludf.DUMMYFUNCTION("""COMPUTED_VALUE"""),"Bad Bunny, Sech")</f>
        <v>Bad Bunny, Sech</v>
      </c>
      <c r="F2208" t="str">
        <f>IFERROR(__xludf.DUMMYFUNCTION("""COMPUTED_VALUE"""),"YHLQMDLG")</f>
        <v>YHLQMDLG</v>
      </c>
      <c r="G2208">
        <f>IFERROR(__xludf.DUMMYFUNCTION("""COMPUTED_VALUE"""),1.0)</f>
        <v>1</v>
      </c>
      <c r="H2208" s="5">
        <f>IFERROR(__xludf.DUMMYFUNCTION("""COMPUTED_VALUE"""),0.14583333333212067)</f>
        <v>0.1458333333</v>
      </c>
    </row>
    <row r="2209">
      <c r="A2209" t="str">
        <f>IFERROR(__xludf.DUMMYFUNCTION("""COMPUTED_VALUE"""),"Paraguay")</f>
        <v>Paraguay</v>
      </c>
      <c r="B2209" t="str">
        <f>IFERROR(__xludf.DUMMYFUNCTION("""COMPUTED_VALUE"""),"South America")</f>
        <v>South America</v>
      </c>
      <c r="C2209">
        <f>IFERROR(__xludf.DUMMYFUNCTION("""COMPUTED_VALUE"""),8.0)</f>
        <v>8</v>
      </c>
      <c r="D2209" t="str">
        <f>IFERROR(__xludf.DUMMYFUNCTION("""COMPUTED_VALUE"""),"Safaera")</f>
        <v>Safaera</v>
      </c>
      <c r="E2209" t="str">
        <f>IFERROR(__xludf.DUMMYFUNCTION("""COMPUTED_VALUE"""),"Bad Bunny, Jowell &amp; Randy, Nengo Flow")</f>
        <v>Bad Bunny, Jowell &amp; Randy, Nengo Flow</v>
      </c>
      <c r="F2209" t="str">
        <f>IFERROR(__xludf.DUMMYFUNCTION("""COMPUTED_VALUE"""),"YHLQMDLG")</f>
        <v>YHLQMDLG</v>
      </c>
      <c r="G2209">
        <f>IFERROR(__xludf.DUMMYFUNCTION("""COMPUTED_VALUE"""),1.0)</f>
        <v>1</v>
      </c>
      <c r="H2209" s="5">
        <f>IFERROR(__xludf.DUMMYFUNCTION("""COMPUTED_VALUE"""),0.20486111110949423)</f>
        <v>0.2048611111</v>
      </c>
    </row>
    <row r="2210">
      <c r="A2210" t="str">
        <f>IFERROR(__xludf.DUMMYFUNCTION("""COMPUTED_VALUE"""),"Paraguay")</f>
        <v>Paraguay</v>
      </c>
      <c r="B2210" t="str">
        <f>IFERROR(__xludf.DUMMYFUNCTION("""COMPUTED_VALUE"""),"South America")</f>
        <v>South America</v>
      </c>
      <c r="C2210">
        <f>IFERROR(__xludf.DUMMYFUNCTION("""COMPUTED_VALUE"""),9.0)</f>
        <v>9</v>
      </c>
      <c r="D2210" t="str">
        <f>IFERROR(__xludf.DUMMYFUNCTION("""COMPUTED_VALUE"""),"Yo Perreo Sola")</f>
        <v>Yo Perreo Sola</v>
      </c>
      <c r="E2210" t="str">
        <f>IFERROR(__xludf.DUMMYFUNCTION("""COMPUTED_VALUE"""),"Bad Bunny")</f>
        <v>Bad Bunny</v>
      </c>
      <c r="F2210" t="str">
        <f>IFERROR(__xludf.DUMMYFUNCTION("""COMPUTED_VALUE"""),"YHLQMDLG")</f>
        <v>YHLQMDLG</v>
      </c>
      <c r="G2210">
        <f>IFERROR(__xludf.DUMMYFUNCTION("""COMPUTED_VALUE"""),0.0)</f>
        <v>0</v>
      </c>
      <c r="H2210" s="5">
        <f>IFERROR(__xludf.DUMMYFUNCTION("""COMPUTED_VALUE"""),0.11944444444452529)</f>
        <v>0.1194444444</v>
      </c>
    </row>
    <row r="2211">
      <c r="A2211" t="str">
        <f>IFERROR(__xludf.DUMMYFUNCTION("""COMPUTED_VALUE"""),"Paraguay")</f>
        <v>Paraguay</v>
      </c>
      <c r="B2211" t="str">
        <f>IFERROR(__xludf.DUMMYFUNCTION("""COMPUTED_VALUE"""),"South America")</f>
        <v>South America</v>
      </c>
      <c r="C2211">
        <f>IFERROR(__xludf.DUMMYFUNCTION("""COMPUTED_VALUE"""),10.0)</f>
        <v>10</v>
      </c>
      <c r="D2211" t="str">
        <f>IFERROR(__xludf.DUMMYFUNCTION("""COMPUTED_VALUE"""),"BYE ME FUI")</f>
        <v>BYE ME FUI</v>
      </c>
      <c r="E2211" t="str">
        <f>IFERROR(__xludf.DUMMYFUNCTION("""COMPUTED_VALUE"""),"Bad Bunny")</f>
        <v>Bad Bunny</v>
      </c>
      <c r="F2211" t="str">
        <f>IFERROR(__xludf.DUMMYFUNCTION("""COMPUTED_VALUE"""),"LAS QUE NO IBAN A SALIR")</f>
        <v>LAS QUE NO IBAN A SALIR</v>
      </c>
      <c r="G2211">
        <f>IFERROR(__xludf.DUMMYFUNCTION("""COMPUTED_VALUE"""),1.0)</f>
        <v>1</v>
      </c>
      <c r="H2211" s="5">
        <f>IFERROR(__xludf.DUMMYFUNCTION("""COMPUTED_VALUE"""),0.12361111111022183)</f>
        <v>0.1236111111</v>
      </c>
    </row>
    <row r="2212">
      <c r="A2212" t="str">
        <f>IFERROR(__xludf.DUMMYFUNCTION("""COMPUTED_VALUE"""),"Paraguay")</f>
        <v>Paraguay</v>
      </c>
      <c r="B2212" t="str">
        <f>IFERROR(__xludf.DUMMYFUNCTION("""COMPUTED_VALUE"""),"South America")</f>
        <v>South America</v>
      </c>
      <c r="C2212">
        <f>IFERROR(__xludf.DUMMYFUNCTION("""COMPUTED_VALUE"""),11.0)</f>
        <v>11</v>
      </c>
      <c r="D2212" t="str">
        <f>IFERROR(__xludf.DUMMYFUNCTION("""COMPUTED_VALUE"""),"Diosa")</f>
        <v>Diosa</v>
      </c>
      <c r="E2212" t="str">
        <f>IFERROR(__xludf.DUMMYFUNCTION("""COMPUTED_VALUE"""),"Myke Towers")</f>
        <v>Myke Towers</v>
      </c>
      <c r="F2212" t="str">
        <f>IFERROR(__xludf.DUMMYFUNCTION("""COMPUTED_VALUE"""),"Easy Money Baby")</f>
        <v>Easy Money Baby</v>
      </c>
      <c r="G2212">
        <f>IFERROR(__xludf.DUMMYFUNCTION("""COMPUTED_VALUE"""),1.0)</f>
        <v>1</v>
      </c>
      <c r="H2212" s="5">
        <f>IFERROR(__xludf.DUMMYFUNCTION("""COMPUTED_VALUE"""),0.14861111111167702)</f>
        <v>0.1486111111</v>
      </c>
    </row>
    <row r="2213">
      <c r="A2213" t="str">
        <f>IFERROR(__xludf.DUMMYFUNCTION("""COMPUTED_VALUE"""),"Paraguay")</f>
        <v>Paraguay</v>
      </c>
      <c r="B2213" t="str">
        <f>IFERROR(__xludf.DUMMYFUNCTION("""COMPUTED_VALUE"""),"South America")</f>
        <v>South America</v>
      </c>
      <c r="C2213">
        <f>IFERROR(__xludf.DUMMYFUNCTION("""COMPUTED_VALUE"""),12.0)</f>
        <v>12</v>
      </c>
      <c r="D2213" t="str">
        <f>IFERROR(__xludf.DUMMYFUNCTION("""COMPUTED_VALUE"""),"Favorito")</f>
        <v>Favorito</v>
      </c>
      <c r="E2213" t="str">
        <f>IFERROR(__xludf.DUMMYFUNCTION("""COMPUTED_VALUE"""),"Camilo")</f>
        <v>Camilo</v>
      </c>
      <c r="F2213" t="str">
        <f>IFERROR(__xludf.DUMMYFUNCTION("""COMPUTED_VALUE"""),"Por Primera Vez")</f>
        <v>Por Primera Vez</v>
      </c>
      <c r="G2213">
        <f>IFERROR(__xludf.DUMMYFUNCTION("""COMPUTED_VALUE"""),0.0)</f>
        <v>0</v>
      </c>
      <c r="H2213" s="5">
        <f>IFERROR(__xludf.DUMMYFUNCTION("""COMPUTED_VALUE"""),0.14513888888905058)</f>
        <v>0.1451388889</v>
      </c>
    </row>
    <row r="2214">
      <c r="A2214" t="str">
        <f>IFERROR(__xludf.DUMMYFUNCTION("""COMPUTED_VALUE"""),"Paraguay")</f>
        <v>Paraguay</v>
      </c>
      <c r="B2214" t="str">
        <f>IFERROR(__xludf.DUMMYFUNCTION("""COMPUTED_VALUE"""),"South America")</f>
        <v>South America</v>
      </c>
      <c r="C2214">
        <f>IFERROR(__xludf.DUMMYFUNCTION("""COMPUTED_VALUE"""),13.0)</f>
        <v>13</v>
      </c>
      <c r="D2214" t="str">
        <f>IFERROR(__xludf.DUMMYFUNCTION("""COMPUTED_VALUE"""),"Hola - Remix")</f>
        <v>Hola - Remix</v>
      </c>
      <c r="E2214" t="str">
        <f>IFERROR(__xludf.DUMMYFUNCTION("""COMPUTED_VALUE"""),"Dalex, Lenny Tavárez, Chencho Corleone, Juhn, Dímelo Flow")</f>
        <v>Dalex, Lenny Tavárez, Chencho Corleone, Juhn, Dímelo Flow</v>
      </c>
      <c r="F2214" t="str">
        <f>IFERROR(__xludf.DUMMYFUNCTION("""COMPUTED_VALUE"""),"Hola (Remix)")</f>
        <v>Hola (Remix)</v>
      </c>
      <c r="G2214">
        <f>IFERROR(__xludf.DUMMYFUNCTION("""COMPUTED_VALUE"""),0.0)</f>
        <v>0</v>
      </c>
      <c r="H2214" s="5">
        <f>IFERROR(__xludf.DUMMYFUNCTION("""COMPUTED_VALUE"""),0.17291666666642413)</f>
        <v>0.1729166667</v>
      </c>
    </row>
    <row r="2215">
      <c r="A2215" t="str">
        <f>IFERROR(__xludf.DUMMYFUNCTION("""COMPUTED_VALUE"""),"Paraguay")</f>
        <v>Paraguay</v>
      </c>
      <c r="B2215" t="str">
        <f>IFERROR(__xludf.DUMMYFUNCTION("""COMPUTED_VALUE"""),"South America")</f>
        <v>South America</v>
      </c>
      <c r="C2215">
        <f>IFERROR(__xludf.DUMMYFUNCTION("""COMPUTED_VALUE"""),14.0)</f>
        <v>14</v>
      </c>
      <c r="D2215" t="str">
        <f>IFERROR(__xludf.DUMMYFUNCTION("""COMPUTED_VALUE"""),"Relación")</f>
        <v>Relación</v>
      </c>
      <c r="E2215" t="str">
        <f>IFERROR(__xludf.DUMMYFUNCTION("""COMPUTED_VALUE"""),"Sech")</f>
        <v>Sech</v>
      </c>
      <c r="F2215" t="str">
        <f>IFERROR(__xludf.DUMMYFUNCTION("""COMPUTED_VALUE"""),"1 of 1")</f>
        <v>1 of 1</v>
      </c>
      <c r="G2215">
        <f>IFERROR(__xludf.DUMMYFUNCTION("""COMPUTED_VALUE"""),0.0)</f>
        <v>0</v>
      </c>
      <c r="H2215" s="5">
        <f>IFERROR(__xludf.DUMMYFUNCTION("""COMPUTED_VALUE"""),0.12777777777955635)</f>
        <v>0.1277777778</v>
      </c>
    </row>
    <row r="2216">
      <c r="A2216" t="str">
        <f>IFERROR(__xludf.DUMMYFUNCTION("""COMPUTED_VALUE"""),"Paraguay")</f>
        <v>Paraguay</v>
      </c>
      <c r="B2216" t="str">
        <f>IFERROR(__xludf.DUMMYFUNCTION("""COMPUTED_VALUE"""),"South America")</f>
        <v>South America</v>
      </c>
      <c r="C2216">
        <f>IFERROR(__xludf.DUMMYFUNCTION("""COMPUTED_VALUE"""),15.0)</f>
        <v>15</v>
      </c>
      <c r="D2216" t="str">
        <f>IFERROR(__xludf.DUMMYFUNCTION("""COMPUTED_VALUE"""),"La Difícil")</f>
        <v>La Difícil</v>
      </c>
      <c r="E2216" t="str">
        <f>IFERROR(__xludf.DUMMYFUNCTION("""COMPUTED_VALUE"""),"Bad Bunny")</f>
        <v>Bad Bunny</v>
      </c>
      <c r="F2216" t="str">
        <f>IFERROR(__xludf.DUMMYFUNCTION("""COMPUTED_VALUE"""),"YHLQMDLG")</f>
        <v>YHLQMDLG</v>
      </c>
      <c r="G2216">
        <f>IFERROR(__xludf.DUMMYFUNCTION("""COMPUTED_VALUE"""),1.0)</f>
        <v>1</v>
      </c>
      <c r="H2216" s="5">
        <f>IFERROR(__xludf.DUMMYFUNCTION("""COMPUTED_VALUE"""),0.11319444444598048)</f>
        <v>0.1131944444</v>
      </c>
    </row>
    <row r="2217">
      <c r="A2217" t="str">
        <f>IFERROR(__xludf.DUMMYFUNCTION("""COMPUTED_VALUE"""),"Paraguay")</f>
        <v>Paraguay</v>
      </c>
      <c r="B2217" t="str">
        <f>IFERROR(__xludf.DUMMYFUNCTION("""COMPUTED_VALUE"""),"South America")</f>
        <v>South America</v>
      </c>
      <c r="C2217">
        <f>IFERROR(__xludf.DUMMYFUNCTION("""COMPUTED_VALUE"""),16.0)</f>
        <v>16</v>
      </c>
      <c r="D2217" t="str">
        <f>IFERROR(__xludf.DUMMYFUNCTION("""COMPUTED_VALUE"""),"Sigues Con El")</f>
        <v>Sigues Con El</v>
      </c>
      <c r="E2217" t="str">
        <f>IFERROR(__xludf.DUMMYFUNCTION("""COMPUTED_VALUE"""),"Dímelo Flow, Arcangel, Sech")</f>
        <v>Dímelo Flow, Arcangel, Sech</v>
      </c>
      <c r="F2217" t="str">
        <f>IFERROR(__xludf.DUMMYFUNCTION("""COMPUTED_VALUE"""),"Sigues Con El")</f>
        <v>Sigues Con El</v>
      </c>
      <c r="G2217">
        <f>IFERROR(__xludf.DUMMYFUNCTION("""COMPUTED_VALUE"""),0.0)</f>
        <v>0</v>
      </c>
      <c r="H2217" s="5">
        <f>IFERROR(__xludf.DUMMYFUNCTION("""COMPUTED_VALUE"""),0.1569444444430701)</f>
        <v>0.1569444444</v>
      </c>
    </row>
    <row r="2218">
      <c r="A2218" t="str">
        <f>IFERROR(__xludf.DUMMYFUNCTION("""COMPUTED_VALUE"""),"Paraguay")</f>
        <v>Paraguay</v>
      </c>
      <c r="B2218" t="str">
        <f>IFERROR(__xludf.DUMMYFUNCTION("""COMPUTED_VALUE"""),"South America")</f>
        <v>South America</v>
      </c>
      <c r="C2218">
        <f>IFERROR(__xludf.DUMMYFUNCTION("""COMPUTED_VALUE"""),17.0)</f>
        <v>17</v>
      </c>
      <c r="D2218" t="str">
        <f>IFERROR(__xludf.DUMMYFUNCTION("""COMPUTED_VALUE"""),"Si Veo a Tu Mamá")</f>
        <v>Si Veo a Tu Mamá</v>
      </c>
      <c r="E2218" t="str">
        <f>IFERROR(__xludf.DUMMYFUNCTION("""COMPUTED_VALUE"""),"Bad Bunny")</f>
        <v>Bad Bunny</v>
      </c>
      <c r="F2218" t="str">
        <f>IFERROR(__xludf.DUMMYFUNCTION("""COMPUTED_VALUE"""),"YHLQMDLG")</f>
        <v>YHLQMDLG</v>
      </c>
      <c r="G2218">
        <f>IFERROR(__xludf.DUMMYFUNCTION("""COMPUTED_VALUE"""),0.0)</f>
        <v>0</v>
      </c>
      <c r="H2218" s="5">
        <f>IFERROR(__xludf.DUMMYFUNCTION("""COMPUTED_VALUE"""),0.11805555555474712)</f>
        <v>0.1180555556</v>
      </c>
    </row>
    <row r="2219">
      <c r="A2219" t="str">
        <f>IFERROR(__xludf.DUMMYFUNCTION("""COMPUTED_VALUE"""),"Paraguay")</f>
        <v>Paraguay</v>
      </c>
      <c r="B2219" t="str">
        <f>IFERROR(__xludf.DUMMYFUNCTION("""COMPUTED_VALUE"""),"South America")</f>
        <v>South America</v>
      </c>
      <c r="C2219">
        <f>IFERROR(__xludf.DUMMYFUNCTION("""COMPUTED_VALUE"""),18.0)</f>
        <v>18</v>
      </c>
      <c r="D2219" t="str">
        <f>IFERROR(__xludf.DUMMYFUNCTION("""COMPUTED_VALUE"""),"Mejor")</f>
        <v>Mejor</v>
      </c>
      <c r="E2219" t="str">
        <f>IFERROR(__xludf.DUMMYFUNCTION("""COMPUTED_VALUE"""),"Dalex, Sech")</f>
        <v>Dalex, Sech</v>
      </c>
      <c r="F2219" t="str">
        <f>IFERROR(__xludf.DUMMYFUNCTION("""COMPUTED_VALUE"""),"Modo Avión")</f>
        <v>Modo Avión</v>
      </c>
      <c r="G2219">
        <f>IFERROR(__xludf.DUMMYFUNCTION("""COMPUTED_VALUE"""),1.0)</f>
        <v>1</v>
      </c>
      <c r="H2219" s="5">
        <f>IFERROR(__xludf.DUMMYFUNCTION("""COMPUTED_VALUE"""),0.13958333333357587)</f>
        <v>0.1395833333</v>
      </c>
    </row>
    <row r="2220">
      <c r="A2220" t="str">
        <f>IFERROR(__xludf.DUMMYFUNCTION("""COMPUTED_VALUE"""),"Paraguay")</f>
        <v>Paraguay</v>
      </c>
      <c r="B2220" t="str">
        <f>IFERROR(__xludf.DUMMYFUNCTION("""COMPUTED_VALUE"""),"South America")</f>
        <v>South America</v>
      </c>
      <c r="C2220">
        <f>IFERROR(__xludf.DUMMYFUNCTION("""COMPUTED_VALUE"""),19.0)</f>
        <v>19</v>
      </c>
      <c r="D2220" t="str">
        <f>IFERROR(__xludf.DUMMYFUNCTION("""COMPUTED_VALUE"""),"Bellaquita - Remix")</f>
        <v>Bellaquita - Remix</v>
      </c>
      <c r="E2220" t="str">
        <f>IFERROR(__xludf.DUMMYFUNCTION("""COMPUTED_VALUE"""),"Dalex, Lenny Tavárez, Anitta, Natti Natasha, Farruko, Justin Quiles")</f>
        <v>Dalex, Lenny Tavárez, Anitta, Natti Natasha, Farruko, Justin Quiles</v>
      </c>
      <c r="F2220" t="str">
        <f>IFERROR(__xludf.DUMMYFUNCTION("""COMPUTED_VALUE"""),"Modo Avión")</f>
        <v>Modo Avión</v>
      </c>
      <c r="G2220">
        <f>IFERROR(__xludf.DUMMYFUNCTION("""COMPUTED_VALUE"""),1.0)</f>
        <v>1</v>
      </c>
      <c r="H2220" s="5">
        <f>IFERROR(__xludf.DUMMYFUNCTION("""COMPUTED_VALUE"""),0.21111111111167702)</f>
        <v>0.2111111111</v>
      </c>
    </row>
    <row r="2221">
      <c r="A2221" t="str">
        <f>IFERROR(__xludf.DUMMYFUNCTION("""COMPUTED_VALUE"""),"Paraguay")</f>
        <v>Paraguay</v>
      </c>
      <c r="B2221" t="str">
        <f>IFERROR(__xludf.DUMMYFUNCTION("""COMPUTED_VALUE"""),"South America")</f>
        <v>South America</v>
      </c>
      <c r="C2221">
        <f>IFERROR(__xludf.DUMMYFUNCTION("""COMPUTED_VALUE"""),20.0)</f>
        <v>20</v>
      </c>
      <c r="D2221" t="str">
        <f>IFERROR(__xludf.DUMMYFUNCTION("""COMPUTED_VALUE"""),"Skechers")</f>
        <v>Skechers</v>
      </c>
      <c r="E2221" t="str">
        <f>IFERROR(__xludf.DUMMYFUNCTION("""COMPUTED_VALUE"""),"DripReport")</f>
        <v>DripReport</v>
      </c>
      <c r="F2221" t="str">
        <f>IFERROR(__xludf.DUMMYFUNCTION("""COMPUTED_VALUE"""),"Skechers")</f>
        <v>Skechers</v>
      </c>
      <c r="G2221">
        <f>IFERROR(__xludf.DUMMYFUNCTION("""COMPUTED_VALUE"""),1.0)</f>
        <v>1</v>
      </c>
      <c r="H2221" s="5">
        <f>IFERROR(__xludf.DUMMYFUNCTION("""COMPUTED_VALUE"""),0.07361111111094942)</f>
        <v>0.07361111111</v>
      </c>
    </row>
    <row r="2222">
      <c r="A2222" t="str">
        <f>IFERROR(__xludf.DUMMYFUNCTION("""COMPUTED_VALUE"""),"Paraguay")</f>
        <v>Paraguay</v>
      </c>
      <c r="B2222" t="str">
        <f>IFERROR(__xludf.DUMMYFUNCTION("""COMPUTED_VALUE"""),"South America")</f>
        <v>South America</v>
      </c>
      <c r="C2222">
        <f>IFERROR(__xludf.DUMMYFUNCTION("""COMPUTED_VALUE"""),21.0)</f>
        <v>21</v>
      </c>
      <c r="D2222" t="str">
        <f>IFERROR(__xludf.DUMMYFUNCTION("""COMPUTED_VALUE"""),"El Efecto - Remix")</f>
        <v>El Efecto - Remix</v>
      </c>
      <c r="E2222" t="str">
        <f>IFERROR(__xludf.DUMMYFUNCTION("""COMPUTED_VALUE"""),"Rauw Alejandro, Chencho Corleone, KEVVO, Bryant Myers, Lyanno, Dalex")</f>
        <v>Rauw Alejandro, Chencho Corleone, KEVVO, Bryant Myers, Lyanno, Dalex</v>
      </c>
      <c r="F2222" t="str">
        <f>IFERROR(__xludf.DUMMYFUNCTION("""COMPUTED_VALUE"""),"El Efecto (Remix)")</f>
        <v>El Efecto (Remix)</v>
      </c>
      <c r="G2222">
        <f>IFERROR(__xludf.DUMMYFUNCTION("""COMPUTED_VALUE"""),1.0)</f>
        <v>1</v>
      </c>
      <c r="H2222" s="5">
        <f>IFERROR(__xludf.DUMMYFUNCTION("""COMPUTED_VALUE"""),0.2006944444437977)</f>
        <v>0.2006944444</v>
      </c>
    </row>
    <row r="2223">
      <c r="A2223" t="str">
        <f>IFERROR(__xludf.DUMMYFUNCTION("""COMPUTED_VALUE"""),"Paraguay")</f>
        <v>Paraguay</v>
      </c>
      <c r="B2223" t="str">
        <f>IFERROR(__xludf.DUMMYFUNCTION("""COMPUTED_VALUE"""),"South America")</f>
        <v>South America</v>
      </c>
      <c r="C2223">
        <f>IFERROR(__xludf.DUMMYFUNCTION("""COMPUTED_VALUE"""),22.0)</f>
        <v>22</v>
      </c>
      <c r="D2223" t="str">
        <f>IFERROR(__xludf.DUMMYFUNCTION("""COMPUTED_VALUE"""),"Sigues Con El - Remix")</f>
        <v>Sigues Con El - Remix</v>
      </c>
      <c r="E2223" t="str">
        <f>IFERROR(__xludf.DUMMYFUNCTION("""COMPUTED_VALUE"""),"Arcangel, Sech, Romeo Santos")</f>
        <v>Arcangel, Sech, Romeo Santos</v>
      </c>
      <c r="F2223" t="str">
        <f>IFERROR(__xludf.DUMMYFUNCTION("""COMPUTED_VALUE"""),"Sigues Con El (Remix)")</f>
        <v>Sigues Con El (Remix)</v>
      </c>
      <c r="G2223">
        <f>IFERROR(__xludf.DUMMYFUNCTION("""COMPUTED_VALUE"""),0.0)</f>
        <v>0</v>
      </c>
      <c r="H2223" s="5">
        <f>IFERROR(__xludf.DUMMYFUNCTION("""COMPUTED_VALUE"""),0.1312499999985448)</f>
        <v>0.13125</v>
      </c>
    </row>
    <row r="2224">
      <c r="A2224" t="str">
        <f>IFERROR(__xludf.DUMMYFUNCTION("""COMPUTED_VALUE"""),"Paraguay")</f>
        <v>Paraguay</v>
      </c>
      <c r="B2224" t="str">
        <f>IFERROR(__xludf.DUMMYFUNCTION("""COMPUTED_VALUE"""),"South America")</f>
        <v>South America</v>
      </c>
      <c r="C2224">
        <f>IFERROR(__xludf.DUMMYFUNCTION("""COMPUTED_VALUE"""),23.0)</f>
        <v>23</v>
      </c>
      <c r="D2224" t="str">
        <f>IFERROR(__xludf.DUMMYFUNCTION("""COMPUTED_VALUE"""),"CÓMO SE SIENTE - Remix")</f>
        <v>CÓMO SE SIENTE - Remix</v>
      </c>
      <c r="E2224" t="str">
        <f>IFERROR(__xludf.DUMMYFUNCTION("""COMPUTED_VALUE"""),"Jhay Cortez, Bad Bunny")</f>
        <v>Jhay Cortez, Bad Bunny</v>
      </c>
      <c r="F2224" t="str">
        <f>IFERROR(__xludf.DUMMYFUNCTION("""COMPUTED_VALUE"""),"CÓMO SE SIENTE (Remix)")</f>
        <v>CÓMO SE SIENTE (Remix)</v>
      </c>
      <c r="G2224">
        <f>IFERROR(__xludf.DUMMYFUNCTION("""COMPUTED_VALUE"""),1.0)</f>
        <v>1</v>
      </c>
      <c r="H2224" s="5">
        <f>IFERROR(__xludf.DUMMYFUNCTION("""COMPUTED_VALUE"""),0.15763888888977817)</f>
        <v>0.1576388889</v>
      </c>
    </row>
    <row r="2225">
      <c r="A2225" t="str">
        <f>IFERROR(__xludf.DUMMYFUNCTION("""COMPUTED_VALUE"""),"Paraguay")</f>
        <v>Paraguay</v>
      </c>
      <c r="B2225" t="str">
        <f>IFERROR(__xludf.DUMMYFUNCTION("""COMPUTED_VALUE"""),"South America")</f>
        <v>South America</v>
      </c>
      <c r="C2225">
        <f>IFERROR(__xludf.DUMMYFUNCTION("""COMPUTED_VALUE"""),24.0)</f>
        <v>24</v>
      </c>
      <c r="D2225" t="str">
        <f>IFERROR(__xludf.DUMMYFUNCTION("""COMPUTED_VALUE"""),"Jangueo")</f>
        <v>Jangueo</v>
      </c>
      <c r="E2225" t="str">
        <f>IFERROR(__xludf.DUMMYFUNCTION("""COMPUTED_VALUE"""),"Alex Rose, Rafa Pabön")</f>
        <v>Alex Rose, Rafa Pabön</v>
      </c>
      <c r="F2225" t="str">
        <f>IFERROR(__xludf.DUMMYFUNCTION("""COMPUTED_VALUE"""),"LOST")</f>
        <v>LOST</v>
      </c>
      <c r="G2225">
        <f>IFERROR(__xludf.DUMMYFUNCTION("""COMPUTED_VALUE"""),0.0)</f>
        <v>0</v>
      </c>
      <c r="H2225" s="5">
        <f>IFERROR(__xludf.DUMMYFUNCTION("""COMPUTED_VALUE"""),0.17986111111167702)</f>
        <v>0.1798611111</v>
      </c>
    </row>
    <row r="2226">
      <c r="A2226" t="str">
        <f>IFERROR(__xludf.DUMMYFUNCTION("""COMPUTED_VALUE"""),"Paraguay")</f>
        <v>Paraguay</v>
      </c>
      <c r="B2226" t="str">
        <f>IFERROR(__xludf.DUMMYFUNCTION("""COMPUTED_VALUE"""),"South America")</f>
        <v>South America</v>
      </c>
      <c r="C2226">
        <f>IFERROR(__xludf.DUMMYFUNCTION("""COMPUTED_VALUE"""),25.0)</f>
        <v>25</v>
      </c>
      <c r="D2226" t="str">
        <f>IFERROR(__xludf.DUMMYFUNCTION("""COMPUTED_VALUE"""),"MÁS DE UNA CITA")</f>
        <v>MÁS DE UNA CITA</v>
      </c>
      <c r="E2226" t="str">
        <f>IFERROR(__xludf.DUMMYFUNCTION("""COMPUTED_VALUE"""),"Bad Bunny, Zion &amp; Lennox")</f>
        <v>Bad Bunny, Zion &amp; Lennox</v>
      </c>
      <c r="F2226" t="str">
        <f>IFERROR(__xludf.DUMMYFUNCTION("""COMPUTED_VALUE"""),"LAS QUE NO IBAN A SALIR")</f>
        <v>LAS QUE NO IBAN A SALIR</v>
      </c>
      <c r="G2226">
        <f>IFERROR(__xludf.DUMMYFUNCTION("""COMPUTED_VALUE"""),1.0)</f>
        <v>1</v>
      </c>
      <c r="H2226" s="5">
        <f>IFERROR(__xludf.DUMMYFUNCTION("""COMPUTED_VALUE"""),0.12708333333284827)</f>
        <v>0.1270833333</v>
      </c>
    </row>
    <row r="2227">
      <c r="A2227" t="str">
        <f>IFERROR(__xludf.DUMMYFUNCTION("""COMPUTED_VALUE"""),"Paraguay")</f>
        <v>Paraguay</v>
      </c>
      <c r="B2227" t="str">
        <f>IFERROR(__xludf.DUMMYFUNCTION("""COMPUTED_VALUE"""),"South America")</f>
        <v>South America</v>
      </c>
      <c r="C2227">
        <f>IFERROR(__xludf.DUMMYFUNCTION("""COMPUTED_VALUE"""),26.0)</f>
        <v>26</v>
      </c>
      <c r="D2227" t="str">
        <f>IFERROR(__xludf.DUMMYFUNCTION("""COMPUTED_VALUE"""),"Locura")</f>
        <v>Locura</v>
      </c>
      <c r="E2227" t="str">
        <f>IFERROR(__xludf.DUMMYFUNCTION("""COMPUTED_VALUE"""),"Cali Y El Dandee, Sebastian Yatra")</f>
        <v>Cali Y El Dandee, Sebastian Yatra</v>
      </c>
      <c r="F2227" t="str">
        <f>IFERROR(__xludf.DUMMYFUNCTION("""COMPUTED_VALUE"""),"Colegio")</f>
        <v>Colegio</v>
      </c>
      <c r="G2227">
        <f>IFERROR(__xludf.DUMMYFUNCTION("""COMPUTED_VALUE"""),0.0)</f>
        <v>0</v>
      </c>
      <c r="H2227" s="5">
        <f>IFERROR(__xludf.DUMMYFUNCTION("""COMPUTED_VALUE"""),0.14513888888905058)</f>
        <v>0.1451388889</v>
      </c>
    </row>
    <row r="2228">
      <c r="A2228" t="str">
        <f>IFERROR(__xludf.DUMMYFUNCTION("""COMPUTED_VALUE"""),"Paraguay")</f>
        <v>Paraguay</v>
      </c>
      <c r="B2228" t="str">
        <f>IFERROR(__xludf.DUMMYFUNCTION("""COMPUTED_VALUE"""),"South America")</f>
        <v>South America</v>
      </c>
      <c r="C2228">
        <f>IFERROR(__xludf.DUMMYFUNCTION("""COMPUTED_VALUE"""),27.0)</f>
        <v>27</v>
      </c>
      <c r="D2228" t="str">
        <f>IFERROR(__xludf.DUMMYFUNCTION("""COMPUTED_VALUE"""),"Fantasias")</f>
        <v>Fantasias</v>
      </c>
      <c r="E2228" t="str">
        <f>IFERROR(__xludf.DUMMYFUNCTION("""COMPUTED_VALUE"""),"Rauw Alejandro, Farruko")</f>
        <v>Rauw Alejandro, Farruko</v>
      </c>
      <c r="F2228" t="str">
        <f>IFERROR(__xludf.DUMMYFUNCTION("""COMPUTED_VALUE"""),"Fantasias")</f>
        <v>Fantasias</v>
      </c>
      <c r="G2228">
        <f>IFERROR(__xludf.DUMMYFUNCTION("""COMPUTED_VALUE"""),0.0)</f>
        <v>0</v>
      </c>
      <c r="H2228" s="5">
        <f>IFERROR(__xludf.DUMMYFUNCTION("""COMPUTED_VALUE"""),0.1381944444437977)</f>
        <v>0.1381944444</v>
      </c>
    </row>
    <row r="2229">
      <c r="A2229" t="str">
        <f>IFERROR(__xludf.DUMMYFUNCTION("""COMPUTED_VALUE"""),"Paraguay")</f>
        <v>Paraguay</v>
      </c>
      <c r="B2229" t="str">
        <f>IFERROR(__xludf.DUMMYFUNCTION("""COMPUTED_VALUE"""),"South America")</f>
        <v>South America</v>
      </c>
      <c r="C2229">
        <f>IFERROR(__xludf.DUMMYFUNCTION("""COMPUTED_VALUE"""),28.0)</f>
        <v>28</v>
      </c>
      <c r="D2229" t="str">
        <f>IFERROR(__xludf.DUMMYFUNCTION("""COMPUTED_VALUE"""),"Follow")</f>
        <v>Follow</v>
      </c>
      <c r="E2229" t="str">
        <f>IFERROR(__xludf.DUMMYFUNCTION("""COMPUTED_VALUE"""),"KAROL G, Anuel AA")</f>
        <v>KAROL G, Anuel AA</v>
      </c>
      <c r="F2229" t="str">
        <f>IFERROR(__xludf.DUMMYFUNCTION("""COMPUTED_VALUE"""),"Follow")</f>
        <v>Follow</v>
      </c>
      <c r="G2229">
        <f>IFERROR(__xludf.DUMMYFUNCTION("""COMPUTED_VALUE"""),0.0)</f>
        <v>0</v>
      </c>
      <c r="H2229" s="5">
        <f>IFERROR(__xludf.DUMMYFUNCTION("""COMPUTED_VALUE"""),0.14097222222335404)</f>
        <v>0.1409722222</v>
      </c>
    </row>
    <row r="2230">
      <c r="A2230" t="str">
        <f>IFERROR(__xludf.DUMMYFUNCTION("""COMPUTED_VALUE"""),"Paraguay")</f>
        <v>Paraguay</v>
      </c>
      <c r="B2230" t="str">
        <f>IFERROR(__xludf.DUMMYFUNCTION("""COMPUTED_VALUE"""),"South America")</f>
        <v>South America</v>
      </c>
      <c r="C2230">
        <f>IFERROR(__xludf.DUMMYFUNCTION("""COMPUTED_VALUE"""),29.0)</f>
        <v>29</v>
      </c>
      <c r="D2230" t="str">
        <f>IFERROR(__xludf.DUMMYFUNCTION("""COMPUTED_VALUE"""),"Tusa")</f>
        <v>Tusa</v>
      </c>
      <c r="E2230" t="str">
        <f>IFERROR(__xludf.DUMMYFUNCTION("""COMPUTED_VALUE"""),"KAROL G, Nicki Minaj")</f>
        <v>KAROL G, Nicki Minaj</v>
      </c>
      <c r="F2230" t="str">
        <f>IFERROR(__xludf.DUMMYFUNCTION("""COMPUTED_VALUE"""),"Tusa")</f>
        <v>Tusa</v>
      </c>
      <c r="G2230">
        <f>IFERROR(__xludf.DUMMYFUNCTION("""COMPUTED_VALUE"""),0.0)</f>
        <v>0</v>
      </c>
      <c r="H2230" s="5">
        <f>IFERROR(__xludf.DUMMYFUNCTION("""COMPUTED_VALUE"""),0.13888888889050577)</f>
        <v>0.1388888889</v>
      </c>
    </row>
    <row r="2231">
      <c r="A2231" t="str">
        <f>IFERROR(__xludf.DUMMYFUNCTION("""COMPUTED_VALUE"""),"Paraguay")</f>
        <v>Paraguay</v>
      </c>
      <c r="B2231" t="str">
        <f>IFERROR(__xludf.DUMMYFUNCTION("""COMPUTED_VALUE"""),"South America")</f>
        <v>South America</v>
      </c>
      <c r="C2231">
        <f>IFERROR(__xludf.DUMMYFUNCTION("""COMPUTED_VALUE"""),30.0)</f>
        <v>30</v>
      </c>
      <c r="D2231" t="str">
        <f>IFERROR(__xludf.DUMMYFUNCTION("""COMPUTED_VALUE"""),"Quiéreme Mientras Se Pueda")</f>
        <v>Quiéreme Mientras Se Pueda</v>
      </c>
      <c r="E2231" t="str">
        <f>IFERROR(__xludf.DUMMYFUNCTION("""COMPUTED_VALUE"""),"Manuel Turizo")</f>
        <v>Manuel Turizo</v>
      </c>
      <c r="F2231" t="str">
        <f>IFERROR(__xludf.DUMMYFUNCTION("""COMPUTED_VALUE"""),"Quiéreme Mientras Se Pueda")</f>
        <v>Quiéreme Mientras Se Pueda</v>
      </c>
      <c r="G2231">
        <f>IFERROR(__xludf.DUMMYFUNCTION("""COMPUTED_VALUE"""),0.0)</f>
        <v>0</v>
      </c>
      <c r="H2231" s="5">
        <f>IFERROR(__xludf.DUMMYFUNCTION("""COMPUTED_VALUE"""),0.13263888888832298)</f>
        <v>0.1326388889</v>
      </c>
    </row>
    <row r="2232">
      <c r="A2232" t="str">
        <f>IFERROR(__xludf.DUMMYFUNCTION("""COMPUTED_VALUE"""),"Paraguay")</f>
        <v>Paraguay</v>
      </c>
      <c r="B2232" t="str">
        <f>IFERROR(__xludf.DUMMYFUNCTION("""COMPUTED_VALUE"""),"South America")</f>
        <v>South America</v>
      </c>
      <c r="C2232">
        <f>IFERROR(__xludf.DUMMYFUNCTION("""COMPUTED_VALUE"""),31.0)</f>
        <v>31</v>
      </c>
      <c r="D2232" t="str">
        <f>IFERROR(__xludf.DUMMYFUNCTION("""COMPUTED_VALUE"""),"Vete")</f>
        <v>Vete</v>
      </c>
      <c r="E2232" t="str">
        <f>IFERROR(__xludf.DUMMYFUNCTION("""COMPUTED_VALUE"""),"Bad Bunny")</f>
        <v>Bad Bunny</v>
      </c>
      <c r="F2232" t="str">
        <f>IFERROR(__xludf.DUMMYFUNCTION("""COMPUTED_VALUE"""),"YHLQMDLG")</f>
        <v>YHLQMDLG</v>
      </c>
      <c r="G2232">
        <f>IFERROR(__xludf.DUMMYFUNCTION("""COMPUTED_VALUE"""),1.0)</f>
        <v>1</v>
      </c>
      <c r="H2232" s="5">
        <f>IFERROR(__xludf.DUMMYFUNCTION("""COMPUTED_VALUE"""),0.13333333333503106)</f>
        <v>0.1333333333</v>
      </c>
    </row>
    <row r="2233">
      <c r="A2233" t="str">
        <f>IFERROR(__xludf.DUMMYFUNCTION("""COMPUTED_VALUE"""),"Paraguay")</f>
        <v>Paraguay</v>
      </c>
      <c r="B2233" t="str">
        <f>IFERROR(__xludf.DUMMYFUNCTION("""COMPUTED_VALUE"""),"South America")</f>
        <v>South America</v>
      </c>
      <c r="C2233">
        <f>IFERROR(__xludf.DUMMYFUNCTION("""COMPUTED_VALUE"""),32.0)</f>
        <v>32</v>
      </c>
      <c r="D2233" t="str">
        <f>IFERROR(__xludf.DUMMYFUNCTION("""COMPUTED_VALUE"""),"Blinding Lights")</f>
        <v>Blinding Lights</v>
      </c>
      <c r="E2233" t="str">
        <f>IFERROR(__xludf.DUMMYFUNCTION("""COMPUTED_VALUE"""),"The Weeknd")</f>
        <v>The Weeknd</v>
      </c>
      <c r="F2233" t="str">
        <f>IFERROR(__xludf.DUMMYFUNCTION("""COMPUTED_VALUE"""),"After Hours")</f>
        <v>After Hours</v>
      </c>
      <c r="G2233">
        <f>IFERROR(__xludf.DUMMYFUNCTION("""COMPUTED_VALUE"""),0.0)</f>
        <v>0</v>
      </c>
      <c r="H2233" s="5">
        <f>IFERROR(__xludf.DUMMYFUNCTION("""COMPUTED_VALUE"""),0.13888888889050577)</f>
        <v>0.1388888889</v>
      </c>
    </row>
    <row r="2234">
      <c r="A2234" t="str">
        <f>IFERROR(__xludf.DUMMYFUNCTION("""COMPUTED_VALUE"""),"Paraguay")</f>
        <v>Paraguay</v>
      </c>
      <c r="B2234" t="str">
        <f>IFERROR(__xludf.DUMMYFUNCTION("""COMPUTED_VALUE"""),"South America")</f>
        <v>South America</v>
      </c>
      <c r="C2234">
        <f>IFERROR(__xludf.DUMMYFUNCTION("""COMPUTED_VALUE"""),33.0)</f>
        <v>33</v>
      </c>
      <c r="D2234" t="str">
        <f>IFERROR(__xludf.DUMMYFUNCTION("""COMPUTED_VALUE"""),"death bed (coffee for your head) (feat. beabadoobee)")</f>
        <v>death bed (coffee for your head) (feat. beabadoobee)</v>
      </c>
      <c r="E2234" t="str">
        <f>IFERROR(__xludf.DUMMYFUNCTION("""COMPUTED_VALUE"""),"Powfu, beabadoobee")</f>
        <v>Powfu, beabadoobee</v>
      </c>
      <c r="F2234" t="str">
        <f>IFERROR(__xludf.DUMMYFUNCTION("""COMPUTED_VALUE"""),"death bed (coffee for your head) (feat. beabadoobee)")</f>
        <v>death bed (coffee for your head) (feat. beabadoobee)</v>
      </c>
      <c r="G2234">
        <f>IFERROR(__xludf.DUMMYFUNCTION("""COMPUTED_VALUE"""),0.0)</f>
        <v>0</v>
      </c>
      <c r="H2234" s="5">
        <f>IFERROR(__xludf.DUMMYFUNCTION("""COMPUTED_VALUE"""),0.12013888888759539)</f>
        <v>0.1201388889</v>
      </c>
    </row>
    <row r="2235">
      <c r="A2235" t="str">
        <f>IFERROR(__xludf.DUMMYFUNCTION("""COMPUTED_VALUE"""),"Paraguay")</f>
        <v>Paraguay</v>
      </c>
      <c r="B2235" t="str">
        <f>IFERROR(__xludf.DUMMYFUNCTION("""COMPUTED_VALUE"""),"South America")</f>
        <v>South America</v>
      </c>
      <c r="C2235">
        <f>IFERROR(__xludf.DUMMYFUNCTION("""COMPUTED_VALUE"""),34.0)</f>
        <v>34</v>
      </c>
      <c r="D2235" t="str">
        <f>IFERROR(__xludf.DUMMYFUNCTION("""COMPUTED_VALUE"""),"Amarillo")</f>
        <v>Amarillo</v>
      </c>
      <c r="E2235" t="str">
        <f>IFERROR(__xludf.DUMMYFUNCTION("""COMPUTED_VALUE"""),"J Balvin")</f>
        <v>J Balvin</v>
      </c>
      <c r="F2235" t="str">
        <f>IFERROR(__xludf.DUMMYFUNCTION("""COMPUTED_VALUE"""),"Colores")</f>
        <v>Colores</v>
      </c>
      <c r="G2235">
        <f>IFERROR(__xludf.DUMMYFUNCTION("""COMPUTED_VALUE"""),0.0)</f>
        <v>0</v>
      </c>
      <c r="H2235" s="5">
        <f>IFERROR(__xludf.DUMMYFUNCTION("""COMPUTED_VALUE"""),0.10902777777664596)</f>
        <v>0.1090277778</v>
      </c>
    </row>
    <row r="2236">
      <c r="A2236" t="str">
        <f>IFERROR(__xludf.DUMMYFUNCTION("""COMPUTED_VALUE"""),"Paraguay")</f>
        <v>Paraguay</v>
      </c>
      <c r="B2236" t="str">
        <f>IFERROR(__xludf.DUMMYFUNCTION("""COMPUTED_VALUE"""),"South America")</f>
        <v>South America</v>
      </c>
      <c r="C2236">
        <f>IFERROR(__xludf.DUMMYFUNCTION("""COMPUTED_VALUE"""),35.0)</f>
        <v>35</v>
      </c>
      <c r="D2236" t="str">
        <f>IFERROR(__xludf.DUMMYFUNCTION("""COMPUTED_VALUE"""),"Loco - Remix")</f>
        <v>Loco - Remix</v>
      </c>
      <c r="E2236" t="str">
        <f>IFERROR(__xludf.DUMMYFUNCTION("""COMPUTED_VALUE"""),"Farruko, Beéle, Natti Natasha, Manuel Turizo")</f>
        <v>Farruko, Beéle, Natti Natasha, Manuel Turizo</v>
      </c>
      <c r="F2236" t="str">
        <f>IFERROR(__xludf.DUMMYFUNCTION("""COMPUTED_VALUE"""),"Loco (Remix)")</f>
        <v>Loco (Remix)</v>
      </c>
      <c r="G2236">
        <f>IFERROR(__xludf.DUMMYFUNCTION("""COMPUTED_VALUE"""),0.0)</f>
        <v>0</v>
      </c>
      <c r="H2236" s="5">
        <f>IFERROR(__xludf.DUMMYFUNCTION("""COMPUTED_VALUE"""),0.17222222222335404)</f>
        <v>0.1722222222</v>
      </c>
    </row>
    <row r="2237">
      <c r="A2237" t="str">
        <f>IFERROR(__xludf.DUMMYFUNCTION("""COMPUTED_VALUE"""),"Paraguay")</f>
        <v>Paraguay</v>
      </c>
      <c r="B2237" t="str">
        <f>IFERROR(__xludf.DUMMYFUNCTION("""COMPUTED_VALUE"""),"South America")</f>
        <v>South America</v>
      </c>
      <c r="C2237">
        <f>IFERROR(__xludf.DUMMYFUNCTION("""COMPUTED_VALUE"""),36.0)</f>
        <v>36</v>
      </c>
      <c r="D2237" t="str">
        <f>IFERROR(__xludf.DUMMYFUNCTION("""COMPUTED_VALUE"""),"Keii")</f>
        <v>Keii</v>
      </c>
      <c r="E2237" t="str">
        <f>IFERROR(__xludf.DUMMYFUNCTION("""COMPUTED_VALUE"""),"Anuel AA")</f>
        <v>Anuel AA</v>
      </c>
      <c r="F2237" t="str">
        <f>IFERROR(__xludf.DUMMYFUNCTION("""COMPUTED_VALUE"""),"Keii")</f>
        <v>Keii</v>
      </c>
      <c r="G2237">
        <f>IFERROR(__xludf.DUMMYFUNCTION("""COMPUTED_VALUE"""),0.0)</f>
        <v>0</v>
      </c>
      <c r="H2237" s="5">
        <f>IFERROR(__xludf.DUMMYFUNCTION("""COMPUTED_VALUE"""),0.14583333333212067)</f>
        <v>0.1458333333</v>
      </c>
    </row>
    <row r="2238">
      <c r="A2238" t="str">
        <f>IFERROR(__xludf.DUMMYFUNCTION("""COMPUTED_VALUE"""),"Paraguay")</f>
        <v>Paraguay</v>
      </c>
      <c r="B2238" t="str">
        <f>IFERROR(__xludf.DUMMYFUNCTION("""COMPUTED_VALUE"""),"South America")</f>
        <v>South America</v>
      </c>
      <c r="C2238">
        <f>IFERROR(__xludf.DUMMYFUNCTION("""COMPUTED_VALUE"""),37.0)</f>
        <v>37</v>
      </c>
      <c r="D2238" t="str">
        <f>IFERROR(__xludf.DUMMYFUNCTION("""COMPUTED_VALUE"""),"Girl")</f>
        <v>Girl</v>
      </c>
      <c r="E2238" t="str">
        <f>IFERROR(__xludf.DUMMYFUNCTION("""COMPUTED_VALUE"""),"Myke Towers")</f>
        <v>Myke Towers</v>
      </c>
      <c r="F2238" t="str">
        <f>IFERROR(__xludf.DUMMYFUNCTION("""COMPUTED_VALUE"""),"Easy Money Baby")</f>
        <v>Easy Money Baby</v>
      </c>
      <c r="G2238">
        <f>IFERROR(__xludf.DUMMYFUNCTION("""COMPUTED_VALUE"""),1.0)</f>
        <v>1</v>
      </c>
      <c r="H2238" s="5">
        <f>IFERROR(__xludf.DUMMYFUNCTION("""COMPUTED_VALUE"""),0.12916666666569654)</f>
        <v>0.1291666667</v>
      </c>
    </row>
    <row r="2239">
      <c r="A2239" t="str">
        <f>IFERROR(__xludf.DUMMYFUNCTION("""COMPUTED_VALUE"""),"Paraguay")</f>
        <v>Paraguay</v>
      </c>
      <c r="B2239" t="str">
        <f>IFERROR(__xludf.DUMMYFUNCTION("""COMPUTED_VALUE"""),"South America")</f>
        <v>South America</v>
      </c>
      <c r="C2239">
        <f>IFERROR(__xludf.DUMMYFUNCTION("""COMPUTED_VALUE"""),38.0)</f>
        <v>38</v>
      </c>
      <c r="D2239" t="str">
        <f>IFERROR(__xludf.DUMMYFUNCTION("""COMPUTED_VALUE"""),"Morado")</f>
        <v>Morado</v>
      </c>
      <c r="E2239" t="str">
        <f>IFERROR(__xludf.DUMMYFUNCTION("""COMPUTED_VALUE"""),"J Balvin")</f>
        <v>J Balvin</v>
      </c>
      <c r="F2239" t="str">
        <f>IFERROR(__xludf.DUMMYFUNCTION("""COMPUTED_VALUE"""),"Colores")</f>
        <v>Colores</v>
      </c>
      <c r="G2239">
        <f>IFERROR(__xludf.DUMMYFUNCTION("""COMPUTED_VALUE"""),0.0)</f>
        <v>0</v>
      </c>
      <c r="H2239" s="5">
        <f>IFERROR(__xludf.DUMMYFUNCTION("""COMPUTED_VALUE"""),0.13888888889050577)</f>
        <v>0.1388888889</v>
      </c>
    </row>
    <row r="2240">
      <c r="A2240" t="str">
        <f>IFERROR(__xludf.DUMMYFUNCTION("""COMPUTED_VALUE"""),"Paraguay")</f>
        <v>Paraguay</v>
      </c>
      <c r="B2240" t="str">
        <f>IFERROR(__xludf.DUMMYFUNCTION("""COMPUTED_VALUE"""),"South America")</f>
        <v>South America</v>
      </c>
      <c r="C2240">
        <f>IFERROR(__xludf.DUMMYFUNCTION("""COMPUTED_VALUE"""),39.0)</f>
        <v>39</v>
      </c>
      <c r="D2240" t="str">
        <f>IFERROR(__xludf.DUMMYFUNCTION("""COMPUTED_VALUE"""),"La Santa")</f>
        <v>La Santa</v>
      </c>
      <c r="E2240" t="str">
        <f>IFERROR(__xludf.DUMMYFUNCTION("""COMPUTED_VALUE"""),"Bad Bunny, Daddy Yankee")</f>
        <v>Bad Bunny, Daddy Yankee</v>
      </c>
      <c r="F2240" t="str">
        <f>IFERROR(__xludf.DUMMYFUNCTION("""COMPUTED_VALUE"""),"YHLQMDLG")</f>
        <v>YHLQMDLG</v>
      </c>
      <c r="G2240">
        <f>IFERROR(__xludf.DUMMYFUNCTION("""COMPUTED_VALUE"""),1.0)</f>
        <v>1</v>
      </c>
      <c r="H2240" s="5">
        <f>IFERROR(__xludf.DUMMYFUNCTION("""COMPUTED_VALUE"""),0.1430555555562023)</f>
        <v>0.1430555556</v>
      </c>
    </row>
    <row r="2241">
      <c r="A2241" t="str">
        <f>IFERROR(__xludf.DUMMYFUNCTION("""COMPUTED_VALUE"""),"Paraguay")</f>
        <v>Paraguay</v>
      </c>
      <c r="B2241" t="str">
        <f>IFERROR(__xludf.DUMMYFUNCTION("""COMPUTED_VALUE"""),"South America")</f>
        <v>South America</v>
      </c>
      <c r="C2241">
        <f>IFERROR(__xludf.DUMMYFUNCTION("""COMPUTED_VALUE"""),40.0)</f>
        <v>40</v>
      </c>
      <c r="D2241" t="str">
        <f>IFERROR(__xludf.DUMMYFUNCTION("""COMPUTED_VALUE"""),"Bajo La Mesa")</f>
        <v>Bajo La Mesa</v>
      </c>
      <c r="E2241" t="str">
        <f>IFERROR(__xludf.DUMMYFUNCTION("""COMPUTED_VALUE"""),"Morat, Sebastian Yatra")</f>
        <v>Morat, Sebastian Yatra</v>
      </c>
      <c r="F2241" t="str">
        <f>IFERROR(__xludf.DUMMYFUNCTION("""COMPUTED_VALUE"""),"Bajo La Mesa")</f>
        <v>Bajo La Mesa</v>
      </c>
      <c r="G2241">
        <f>IFERROR(__xludf.DUMMYFUNCTION("""COMPUTED_VALUE"""),0.0)</f>
        <v>0</v>
      </c>
      <c r="H2241" s="5">
        <f>IFERROR(__xludf.DUMMYFUNCTION("""COMPUTED_VALUE"""),0.10902777777664596)</f>
        <v>0.1090277778</v>
      </c>
    </row>
    <row r="2242">
      <c r="A2242" t="str">
        <f>IFERROR(__xludf.DUMMYFUNCTION("""COMPUTED_VALUE"""),"Paraguay")</f>
        <v>Paraguay</v>
      </c>
      <c r="B2242" t="str">
        <f>IFERROR(__xludf.DUMMYFUNCTION("""COMPUTED_VALUE"""),"South America")</f>
        <v>South America</v>
      </c>
      <c r="C2242">
        <f>IFERROR(__xludf.DUMMYFUNCTION("""COMPUTED_VALUE"""),41.0)</f>
        <v>41</v>
      </c>
      <c r="D2242" t="str">
        <f>IFERROR(__xludf.DUMMYFUNCTION("""COMPUTED_VALUE"""),"Quizas")</f>
        <v>Quizas</v>
      </c>
      <c r="E2242" t="str">
        <f>IFERROR(__xludf.DUMMYFUNCTION("""COMPUTED_VALUE"""),"Rich Music LTD, Sech, Dalex, Justin Quiles, Lenny Tavárez, Feid, Wisin, Zion")</f>
        <v>Rich Music LTD, Sech, Dalex, Justin Quiles, Lenny Tavárez, Feid, Wisin, Zion</v>
      </c>
      <c r="F2242" t="str">
        <f>IFERROR(__xludf.DUMMYFUNCTION("""COMPUTED_VALUE"""),"The Academy")</f>
        <v>The Academy</v>
      </c>
      <c r="G2242">
        <f>IFERROR(__xludf.DUMMYFUNCTION("""COMPUTED_VALUE"""),1.0)</f>
        <v>1</v>
      </c>
      <c r="H2242" s="5">
        <f>IFERROR(__xludf.DUMMYFUNCTION("""COMPUTED_VALUE"""),0.1500000000014552)</f>
        <v>0.15</v>
      </c>
    </row>
    <row r="2243">
      <c r="A2243" t="str">
        <f>IFERROR(__xludf.DUMMYFUNCTION("""COMPUTED_VALUE"""),"Paraguay")</f>
        <v>Paraguay</v>
      </c>
      <c r="B2243" t="str">
        <f>IFERROR(__xludf.DUMMYFUNCTION("""COMPUTED_VALUE"""),"South America")</f>
        <v>South America</v>
      </c>
      <c r="C2243">
        <f>IFERROR(__xludf.DUMMYFUNCTION("""COMPUTED_VALUE"""),42.0)</f>
        <v>42</v>
      </c>
      <c r="D2243" t="str">
        <f>IFERROR(__xludf.DUMMYFUNCTION("""COMPUTED_VALUE"""),"Adicto (with Anuel AA &amp; Ozuna)")</f>
        <v>Adicto (with Anuel AA &amp; Ozuna)</v>
      </c>
      <c r="E2243" t="str">
        <f>IFERROR(__xludf.DUMMYFUNCTION("""COMPUTED_VALUE"""),"Tainy, Anuel AA, Ozuna")</f>
        <v>Tainy, Anuel AA, Ozuna</v>
      </c>
      <c r="F2243" t="str">
        <f>IFERROR(__xludf.DUMMYFUNCTION("""COMPUTED_VALUE"""),"Adicto (with Anuel AA &amp; Ozuna)")</f>
        <v>Adicto (with Anuel AA &amp; Ozuna)</v>
      </c>
      <c r="G2243">
        <f>IFERROR(__xludf.DUMMYFUNCTION("""COMPUTED_VALUE"""),0.0)</f>
        <v>0</v>
      </c>
      <c r="H2243" s="5">
        <f>IFERROR(__xludf.DUMMYFUNCTION("""COMPUTED_VALUE"""),0.1875)</f>
        <v>0.1875</v>
      </c>
    </row>
    <row r="2244">
      <c r="A2244" t="str">
        <f>IFERROR(__xludf.DUMMYFUNCTION("""COMPUTED_VALUE"""),"Paraguay")</f>
        <v>Paraguay</v>
      </c>
      <c r="B2244" t="str">
        <f>IFERROR(__xludf.DUMMYFUNCTION("""COMPUTED_VALUE"""),"South America")</f>
        <v>South America</v>
      </c>
      <c r="C2244">
        <f>IFERROR(__xludf.DUMMYFUNCTION("""COMPUTED_VALUE"""),43.0)</f>
        <v>43</v>
      </c>
      <c r="D2244" t="str">
        <f>IFERROR(__xludf.DUMMYFUNCTION("""COMPUTED_VALUE"""),"Mi Error - Remix")</f>
        <v>Mi Error - Remix</v>
      </c>
      <c r="E2244" t="str">
        <f>IFERROR(__xludf.DUMMYFUNCTION("""COMPUTED_VALUE"""),"Eladio Carrion, Zion &amp; Lennox, Wisin &amp; Yandel, Lunay")</f>
        <v>Eladio Carrion, Zion &amp; Lennox, Wisin &amp; Yandel, Lunay</v>
      </c>
      <c r="F2244" t="str">
        <f>IFERROR(__xludf.DUMMYFUNCTION("""COMPUTED_VALUE"""),"Sauce Boyz")</f>
        <v>Sauce Boyz</v>
      </c>
      <c r="G2244">
        <f>IFERROR(__xludf.DUMMYFUNCTION("""COMPUTED_VALUE"""),1.0)</f>
        <v>1</v>
      </c>
      <c r="H2244" s="5">
        <f>IFERROR(__xludf.DUMMYFUNCTION("""COMPUTED_VALUE"""),0.21875)</f>
        <v>0.21875</v>
      </c>
    </row>
    <row r="2245">
      <c r="A2245" t="str">
        <f>IFERROR(__xludf.DUMMYFUNCTION("""COMPUTED_VALUE"""),"Paraguay")</f>
        <v>Paraguay</v>
      </c>
      <c r="B2245" t="str">
        <f>IFERROR(__xludf.DUMMYFUNCTION("""COMPUTED_VALUE"""),"South America")</f>
        <v>South America</v>
      </c>
      <c r="C2245">
        <f>IFERROR(__xludf.DUMMYFUNCTION("""COMPUTED_VALUE"""),44.0)</f>
        <v>44</v>
      </c>
      <c r="D2245" t="str">
        <f>IFERROR(__xludf.DUMMYFUNCTION("""COMPUTED_VALUE"""),"BAD CON NICKY")</f>
        <v>BAD CON NICKY</v>
      </c>
      <c r="E2245" t="str">
        <f>IFERROR(__xludf.DUMMYFUNCTION("""COMPUTED_VALUE"""),"Bad Bunny, Nicky Jam")</f>
        <v>Bad Bunny, Nicky Jam</v>
      </c>
      <c r="F2245" t="str">
        <f>IFERROR(__xludf.DUMMYFUNCTION("""COMPUTED_VALUE"""),"LAS QUE NO IBAN A SALIR")</f>
        <v>LAS QUE NO IBAN A SALIR</v>
      </c>
      <c r="G2245">
        <f>IFERROR(__xludf.DUMMYFUNCTION("""COMPUTED_VALUE"""),1.0)</f>
        <v>1</v>
      </c>
      <c r="H2245" s="5">
        <f>IFERROR(__xludf.DUMMYFUNCTION("""COMPUTED_VALUE"""),0.14027777777664596)</f>
        <v>0.1402777778</v>
      </c>
    </row>
    <row r="2246">
      <c r="A2246" t="str">
        <f>IFERROR(__xludf.DUMMYFUNCTION("""COMPUTED_VALUE"""),"Paraguay")</f>
        <v>Paraguay</v>
      </c>
      <c r="B2246" t="str">
        <f>IFERROR(__xludf.DUMMYFUNCTION("""COMPUTED_VALUE"""),"South America")</f>
        <v>South America</v>
      </c>
      <c r="C2246">
        <f>IFERROR(__xludf.DUMMYFUNCTION("""COMPUTED_VALUE"""),45.0)</f>
        <v>45</v>
      </c>
      <c r="D2246" t="str">
        <f>IFERROR(__xludf.DUMMYFUNCTION("""COMPUTED_VALUE"""),"Rain On Me (with Ariana Grande)")</f>
        <v>Rain On Me (with Ariana Grande)</v>
      </c>
      <c r="E2246" t="str">
        <f>IFERROR(__xludf.DUMMYFUNCTION("""COMPUTED_VALUE"""),"Lady Gaga, Ariana Grande")</f>
        <v>Lady Gaga, Ariana Grande</v>
      </c>
      <c r="F2246" t="str">
        <f>IFERROR(__xludf.DUMMYFUNCTION("""COMPUTED_VALUE"""),"Rain On Me (with Ariana Grande)")</f>
        <v>Rain On Me (with Ariana Grande)</v>
      </c>
      <c r="G2246">
        <f>IFERROR(__xludf.DUMMYFUNCTION("""COMPUTED_VALUE"""),0.0)</f>
        <v>0</v>
      </c>
      <c r="H2246" s="5">
        <f>IFERROR(__xludf.DUMMYFUNCTION("""COMPUTED_VALUE"""),0.12638888888977817)</f>
        <v>0.1263888889</v>
      </c>
    </row>
    <row r="2247">
      <c r="A2247" t="str">
        <f>IFERROR(__xludf.DUMMYFUNCTION("""COMPUTED_VALUE"""),"Paraguay")</f>
        <v>Paraguay</v>
      </c>
      <c r="B2247" t="str">
        <f>IFERROR(__xludf.DUMMYFUNCTION("""COMPUTED_VALUE"""),"South America")</f>
        <v>South America</v>
      </c>
      <c r="C2247">
        <f>IFERROR(__xludf.DUMMYFUNCTION("""COMPUTED_VALUE"""),46.0)</f>
        <v>46</v>
      </c>
      <c r="D2247" t="str">
        <f>IFERROR(__xludf.DUMMYFUNCTION("""COMPUTED_VALUE"""),"LA CANCIÓN")</f>
        <v>LA CANCIÓN</v>
      </c>
      <c r="E2247" t="str">
        <f>IFERROR(__xludf.DUMMYFUNCTION("""COMPUTED_VALUE"""),"J Balvin, Bad Bunny")</f>
        <v>J Balvin, Bad Bunny</v>
      </c>
      <c r="F2247" t="str">
        <f>IFERROR(__xludf.DUMMYFUNCTION("""COMPUTED_VALUE"""),"OASIS")</f>
        <v>OASIS</v>
      </c>
      <c r="G2247">
        <f>IFERROR(__xludf.DUMMYFUNCTION("""COMPUTED_VALUE"""),0.0)</f>
        <v>0</v>
      </c>
      <c r="H2247" s="5">
        <f>IFERROR(__xludf.DUMMYFUNCTION("""COMPUTED_VALUE"""),0.16805555555401952)</f>
        <v>0.1680555556</v>
      </c>
    </row>
    <row r="2248">
      <c r="A2248" t="str">
        <f>IFERROR(__xludf.DUMMYFUNCTION("""COMPUTED_VALUE"""),"Paraguay")</f>
        <v>Paraguay</v>
      </c>
      <c r="B2248" t="str">
        <f>IFERROR(__xludf.DUMMYFUNCTION("""COMPUTED_VALUE"""),"South America")</f>
        <v>South America</v>
      </c>
      <c r="C2248">
        <f>IFERROR(__xludf.DUMMYFUNCTION("""COMPUTED_VALUE"""),47.0)</f>
        <v>47</v>
      </c>
      <c r="D2248" t="str">
        <f>IFERROR(__xludf.DUMMYFUNCTION("""COMPUTED_VALUE"""),"Por Primera Vez")</f>
        <v>Por Primera Vez</v>
      </c>
      <c r="E2248" t="str">
        <f>IFERROR(__xludf.DUMMYFUNCTION("""COMPUTED_VALUE"""),"Camilo, Evaluna Montaner")</f>
        <v>Camilo, Evaluna Montaner</v>
      </c>
      <c r="F2248" t="str">
        <f>IFERROR(__xludf.DUMMYFUNCTION("""COMPUTED_VALUE"""),"Por Primera Vez")</f>
        <v>Por Primera Vez</v>
      </c>
      <c r="G2248">
        <f>IFERROR(__xludf.DUMMYFUNCTION("""COMPUTED_VALUE"""),0.0)</f>
        <v>0</v>
      </c>
      <c r="H2248" s="5">
        <f>IFERROR(__xludf.DUMMYFUNCTION("""COMPUTED_VALUE"""),0.12638888888977817)</f>
        <v>0.1263888889</v>
      </c>
    </row>
    <row r="2249">
      <c r="A2249" t="str">
        <f>IFERROR(__xludf.DUMMYFUNCTION("""COMPUTED_VALUE"""),"Paraguay")</f>
        <v>Paraguay</v>
      </c>
      <c r="B2249" t="str">
        <f>IFERROR(__xludf.DUMMYFUNCTION("""COMPUTED_VALUE"""),"South America")</f>
        <v>South America</v>
      </c>
      <c r="C2249">
        <f>IFERROR(__xludf.DUMMYFUNCTION("""COMPUTED_VALUE"""),48.0)</f>
        <v>48</v>
      </c>
      <c r="D2249" t="str">
        <f>IFERROR(__xludf.DUMMYFUNCTION("""COMPUTED_VALUE"""),"PA' ROMPERLA")</f>
        <v>PA' ROMPERLA</v>
      </c>
      <c r="E2249" t="str">
        <f>IFERROR(__xludf.DUMMYFUNCTION("""COMPUTED_VALUE"""),"Bad Bunny, Don Omar")</f>
        <v>Bad Bunny, Don Omar</v>
      </c>
      <c r="F2249" t="str">
        <f>IFERROR(__xludf.DUMMYFUNCTION("""COMPUTED_VALUE"""),"LAS QUE NO IBAN A SALIR")</f>
        <v>LAS QUE NO IBAN A SALIR</v>
      </c>
      <c r="G2249">
        <f>IFERROR(__xludf.DUMMYFUNCTION("""COMPUTED_VALUE"""),1.0)</f>
        <v>1</v>
      </c>
      <c r="H2249" s="5">
        <f>IFERROR(__xludf.DUMMYFUNCTION("""COMPUTED_VALUE"""),0.13472222222117125)</f>
        <v>0.1347222222</v>
      </c>
    </row>
    <row r="2250">
      <c r="A2250" t="str">
        <f>IFERROR(__xludf.DUMMYFUNCTION("""COMPUTED_VALUE"""),"Paraguay")</f>
        <v>Paraguay</v>
      </c>
      <c r="B2250" t="str">
        <f>IFERROR(__xludf.DUMMYFUNCTION("""COMPUTED_VALUE"""),"South America")</f>
        <v>South America</v>
      </c>
      <c r="C2250">
        <f>IFERROR(__xludf.DUMMYFUNCTION("""COMPUTED_VALUE"""),49.0)</f>
        <v>49</v>
      </c>
      <c r="D2250" t="str">
        <f>IFERROR(__xludf.DUMMYFUNCTION("""COMPUTED_VALUE"""),"La Cama - Remix")</f>
        <v>La Cama - Remix</v>
      </c>
      <c r="E2250" t="str">
        <f>IFERROR(__xludf.DUMMYFUNCTION("""COMPUTED_VALUE"""),"Lunay, Myke Towers, Ozuna, Chencho Corleone, Rauw Alejandro")</f>
        <v>Lunay, Myke Towers, Ozuna, Chencho Corleone, Rauw Alejandro</v>
      </c>
      <c r="F2250" t="str">
        <f>IFERROR(__xludf.DUMMYFUNCTION("""COMPUTED_VALUE"""),"La Cama (Remix)")</f>
        <v>La Cama (Remix)</v>
      </c>
      <c r="G2250">
        <f>IFERROR(__xludf.DUMMYFUNCTION("""COMPUTED_VALUE"""),0.0)</f>
        <v>0</v>
      </c>
      <c r="H2250" s="5">
        <f>IFERROR(__xludf.DUMMYFUNCTION("""COMPUTED_VALUE"""),0.22916666666787933)</f>
        <v>0.2291666667</v>
      </c>
    </row>
    <row r="2251">
      <c r="A2251" t="str">
        <f>IFERROR(__xludf.DUMMYFUNCTION("""COMPUTED_VALUE"""),"Paraguay")</f>
        <v>Paraguay</v>
      </c>
      <c r="B2251" t="str">
        <f>IFERROR(__xludf.DUMMYFUNCTION("""COMPUTED_VALUE"""),"South America")</f>
        <v>South America</v>
      </c>
      <c r="C2251">
        <f>IFERROR(__xludf.DUMMYFUNCTION("""COMPUTED_VALUE"""),50.0)</f>
        <v>50</v>
      </c>
      <c r="D2251" t="str">
        <f>IFERROR(__xludf.DUMMYFUNCTION("""COMPUTED_VALUE"""),"Pa' Olvidarme De Ella")</f>
        <v>Pa' Olvidarme De Ella</v>
      </c>
      <c r="E2251" t="str">
        <f>IFERROR(__xludf.DUMMYFUNCTION("""COMPUTED_VALUE"""),"Piso 21, Christian Nodal")</f>
        <v>Piso 21, Christian Nodal</v>
      </c>
      <c r="F2251" t="str">
        <f>IFERROR(__xludf.DUMMYFUNCTION("""COMPUTED_VALUE"""),"Pa' Olvidarme De Ella")</f>
        <v>Pa' Olvidarme De Ella</v>
      </c>
      <c r="G2251">
        <f>IFERROR(__xludf.DUMMYFUNCTION("""COMPUTED_VALUE"""),1.0)</f>
        <v>1</v>
      </c>
      <c r="H2251" s="5">
        <f>IFERROR(__xludf.DUMMYFUNCTION("""COMPUTED_VALUE"""),0.15763888888977817)</f>
        <v>0.1576388889</v>
      </c>
    </row>
    <row r="2252">
      <c r="A2252" t="str">
        <f>IFERROR(__xludf.DUMMYFUNCTION("""COMPUTED_VALUE"""),"Peru")</f>
        <v>Peru</v>
      </c>
      <c r="B2252" t="str">
        <f>IFERROR(__xludf.DUMMYFUNCTION("""COMPUTED_VALUE"""),"South America")</f>
        <v>South America</v>
      </c>
      <c r="C2252">
        <f>IFERROR(__xludf.DUMMYFUNCTION("""COMPUTED_VALUE"""),1.0)</f>
        <v>1</v>
      </c>
      <c r="D2252" t="str">
        <f>IFERROR(__xludf.DUMMYFUNCTION("""COMPUTED_VALUE"""),"Favorito")</f>
        <v>Favorito</v>
      </c>
      <c r="E2252" t="str">
        <f>IFERROR(__xludf.DUMMYFUNCTION("""COMPUTED_VALUE"""),"Camilo")</f>
        <v>Camilo</v>
      </c>
      <c r="F2252" t="str">
        <f>IFERROR(__xludf.DUMMYFUNCTION("""COMPUTED_VALUE"""),"Por Primera Vez")</f>
        <v>Por Primera Vez</v>
      </c>
      <c r="G2252">
        <f>IFERROR(__xludf.DUMMYFUNCTION("""COMPUTED_VALUE"""),0.0)</f>
        <v>0</v>
      </c>
      <c r="H2252" s="5">
        <f>IFERROR(__xludf.DUMMYFUNCTION("""COMPUTED_VALUE"""),0.14513888888905058)</f>
        <v>0.1451388889</v>
      </c>
    </row>
    <row r="2253">
      <c r="A2253" t="str">
        <f>IFERROR(__xludf.DUMMYFUNCTION("""COMPUTED_VALUE"""),"Peru")</f>
        <v>Peru</v>
      </c>
      <c r="B2253" t="str">
        <f>IFERROR(__xludf.DUMMYFUNCTION("""COMPUTED_VALUE"""),"South America")</f>
        <v>South America</v>
      </c>
      <c r="C2253">
        <f>IFERROR(__xludf.DUMMYFUNCTION("""COMPUTED_VALUE"""),2.0)</f>
        <v>2</v>
      </c>
      <c r="D2253" t="str">
        <f>IFERROR(__xludf.DUMMYFUNCTION("""COMPUTED_VALUE"""),"Safaera")</f>
        <v>Safaera</v>
      </c>
      <c r="E2253" t="str">
        <f>IFERROR(__xludf.DUMMYFUNCTION("""COMPUTED_VALUE"""),"Bad Bunny, Jowell &amp; Randy, Nengo Flow")</f>
        <v>Bad Bunny, Jowell &amp; Randy, Nengo Flow</v>
      </c>
      <c r="F2253" t="str">
        <f>IFERROR(__xludf.DUMMYFUNCTION("""COMPUTED_VALUE"""),"YHLQMDLG")</f>
        <v>YHLQMDLG</v>
      </c>
      <c r="G2253">
        <f>IFERROR(__xludf.DUMMYFUNCTION("""COMPUTED_VALUE"""),1.0)</f>
        <v>1</v>
      </c>
      <c r="H2253" s="5">
        <f>IFERROR(__xludf.DUMMYFUNCTION("""COMPUTED_VALUE"""),0.20486111110949423)</f>
        <v>0.2048611111</v>
      </c>
    </row>
    <row r="2254">
      <c r="A2254" t="str">
        <f>IFERROR(__xludf.DUMMYFUNCTION("""COMPUTED_VALUE"""),"Peru")</f>
        <v>Peru</v>
      </c>
      <c r="B2254" t="str">
        <f>IFERROR(__xludf.DUMMYFUNCTION("""COMPUTED_VALUE"""),"South America")</f>
        <v>South America</v>
      </c>
      <c r="C2254">
        <f>IFERROR(__xludf.DUMMYFUNCTION("""COMPUTED_VALUE"""),3.0)</f>
        <v>3</v>
      </c>
      <c r="D2254" t="str">
        <f>IFERROR(__xludf.DUMMYFUNCTION("""COMPUTED_VALUE"""),"Yo Perreo Sola")</f>
        <v>Yo Perreo Sola</v>
      </c>
      <c r="E2254" t="str">
        <f>IFERROR(__xludf.DUMMYFUNCTION("""COMPUTED_VALUE"""),"Bad Bunny")</f>
        <v>Bad Bunny</v>
      </c>
      <c r="F2254" t="str">
        <f>IFERROR(__xludf.DUMMYFUNCTION("""COMPUTED_VALUE"""),"YHLQMDLG")</f>
        <v>YHLQMDLG</v>
      </c>
      <c r="G2254">
        <f>IFERROR(__xludf.DUMMYFUNCTION("""COMPUTED_VALUE"""),0.0)</f>
        <v>0</v>
      </c>
      <c r="H2254" s="5">
        <f>IFERROR(__xludf.DUMMYFUNCTION("""COMPUTED_VALUE"""),0.11944444444452529)</f>
        <v>0.1194444444</v>
      </c>
    </row>
    <row r="2255">
      <c r="A2255" t="str">
        <f>IFERROR(__xludf.DUMMYFUNCTION("""COMPUTED_VALUE"""),"Peru")</f>
        <v>Peru</v>
      </c>
      <c r="B2255" t="str">
        <f>IFERROR(__xludf.DUMMYFUNCTION("""COMPUTED_VALUE"""),"South America")</f>
        <v>South America</v>
      </c>
      <c r="C2255">
        <f>IFERROR(__xludf.DUMMYFUNCTION("""COMPUTED_VALUE"""),4.0)</f>
        <v>4</v>
      </c>
      <c r="D2255" t="str">
        <f>IFERROR(__xludf.DUMMYFUNCTION("""COMPUTED_VALUE"""),"Elegí (feat. Dímelo Flow)")</f>
        <v>Elegí (feat. Dímelo Flow)</v>
      </c>
      <c r="E2255" t="str">
        <f>IFERROR(__xludf.DUMMYFUNCTION("""COMPUTED_VALUE"""),"Rauw Alejandro, Dalex, Lenny Tavárez, Dímelo Flow")</f>
        <v>Rauw Alejandro, Dalex, Lenny Tavárez, Dímelo Flow</v>
      </c>
      <c r="F2255" t="str">
        <f>IFERROR(__xludf.DUMMYFUNCTION("""COMPUTED_VALUE"""),"Elegí (feat. Dímelo Flow)")</f>
        <v>Elegí (feat. Dímelo Flow)</v>
      </c>
      <c r="G2255">
        <f>IFERROR(__xludf.DUMMYFUNCTION("""COMPUTED_VALUE"""),0.0)</f>
        <v>0</v>
      </c>
      <c r="H2255" s="5">
        <f>IFERROR(__xludf.DUMMYFUNCTION("""COMPUTED_VALUE"""),0.13680555555401952)</f>
        <v>0.1368055556</v>
      </c>
    </row>
    <row r="2256">
      <c r="A2256" t="str">
        <f>IFERROR(__xludf.DUMMYFUNCTION("""COMPUTED_VALUE"""),"Peru")</f>
        <v>Peru</v>
      </c>
      <c r="B2256" t="str">
        <f>IFERROR(__xludf.DUMMYFUNCTION("""COMPUTED_VALUE"""),"South America")</f>
        <v>South America</v>
      </c>
      <c r="C2256">
        <f>IFERROR(__xludf.DUMMYFUNCTION("""COMPUTED_VALUE"""),5.0)</f>
        <v>5</v>
      </c>
      <c r="D2256" t="str">
        <f>IFERROR(__xludf.DUMMYFUNCTION("""COMPUTED_VALUE"""),"Tattoo")</f>
        <v>Tattoo</v>
      </c>
      <c r="E2256" t="str">
        <f>IFERROR(__xludf.DUMMYFUNCTION("""COMPUTED_VALUE"""),"Rauw Alejandro")</f>
        <v>Rauw Alejandro</v>
      </c>
      <c r="F2256" t="str">
        <f>IFERROR(__xludf.DUMMYFUNCTION("""COMPUTED_VALUE"""),"Tattoo")</f>
        <v>Tattoo</v>
      </c>
      <c r="G2256">
        <f>IFERROR(__xludf.DUMMYFUNCTION("""COMPUTED_VALUE"""),0.0)</f>
        <v>0</v>
      </c>
      <c r="H2256" s="5">
        <f>IFERROR(__xludf.DUMMYFUNCTION("""COMPUTED_VALUE"""),0.14027777777664596)</f>
        <v>0.1402777778</v>
      </c>
    </row>
    <row r="2257">
      <c r="A2257" t="str">
        <f>IFERROR(__xludf.DUMMYFUNCTION("""COMPUTED_VALUE"""),"Peru")</f>
        <v>Peru</v>
      </c>
      <c r="B2257" t="str">
        <f>IFERROR(__xludf.DUMMYFUNCTION("""COMPUTED_VALUE"""),"South America")</f>
        <v>South America</v>
      </c>
      <c r="C2257">
        <f>IFERROR(__xludf.DUMMYFUNCTION("""COMPUTED_VALUE"""),6.0)</f>
        <v>6</v>
      </c>
      <c r="D2257" t="str">
        <f>IFERROR(__xludf.DUMMYFUNCTION("""COMPUTED_VALUE"""),"Por Primera Vez")</f>
        <v>Por Primera Vez</v>
      </c>
      <c r="E2257" t="str">
        <f>IFERROR(__xludf.DUMMYFUNCTION("""COMPUTED_VALUE"""),"Camilo, Evaluna Montaner")</f>
        <v>Camilo, Evaluna Montaner</v>
      </c>
      <c r="F2257" t="str">
        <f>IFERROR(__xludf.DUMMYFUNCTION("""COMPUTED_VALUE"""),"Por Primera Vez")</f>
        <v>Por Primera Vez</v>
      </c>
      <c r="G2257">
        <f>IFERROR(__xludf.DUMMYFUNCTION("""COMPUTED_VALUE"""),0.0)</f>
        <v>0</v>
      </c>
      <c r="H2257" s="5">
        <f>IFERROR(__xludf.DUMMYFUNCTION("""COMPUTED_VALUE"""),0.12638888888977817)</f>
        <v>0.1263888889</v>
      </c>
    </row>
    <row r="2258">
      <c r="A2258" t="str">
        <f>IFERROR(__xludf.DUMMYFUNCTION("""COMPUTED_VALUE"""),"Peru")</f>
        <v>Peru</v>
      </c>
      <c r="B2258" t="str">
        <f>IFERROR(__xludf.DUMMYFUNCTION("""COMPUTED_VALUE"""),"South America")</f>
        <v>South America</v>
      </c>
      <c r="C2258">
        <f>IFERROR(__xludf.DUMMYFUNCTION("""COMPUTED_VALUE"""),7.0)</f>
        <v>7</v>
      </c>
      <c r="D2258" t="str">
        <f>IFERROR(__xludf.DUMMYFUNCTION("""COMPUTED_VALUE"""),"Blinding Lights")</f>
        <v>Blinding Lights</v>
      </c>
      <c r="E2258" t="str">
        <f>IFERROR(__xludf.DUMMYFUNCTION("""COMPUTED_VALUE"""),"The Weeknd")</f>
        <v>The Weeknd</v>
      </c>
      <c r="F2258" t="str">
        <f>IFERROR(__xludf.DUMMYFUNCTION("""COMPUTED_VALUE"""),"After Hours")</f>
        <v>After Hours</v>
      </c>
      <c r="G2258">
        <f>IFERROR(__xludf.DUMMYFUNCTION("""COMPUTED_VALUE"""),0.0)</f>
        <v>0</v>
      </c>
      <c r="H2258" s="5">
        <f>IFERROR(__xludf.DUMMYFUNCTION("""COMPUTED_VALUE"""),0.13888888889050577)</f>
        <v>0.1388888889</v>
      </c>
    </row>
    <row r="2259">
      <c r="A2259" t="str">
        <f>IFERROR(__xludf.DUMMYFUNCTION("""COMPUTED_VALUE"""),"Peru")</f>
        <v>Peru</v>
      </c>
      <c r="B2259" t="str">
        <f>IFERROR(__xludf.DUMMYFUNCTION("""COMPUTED_VALUE"""),"South America")</f>
        <v>South America</v>
      </c>
      <c r="C2259">
        <f>IFERROR(__xludf.DUMMYFUNCTION("""COMPUTED_VALUE"""),8.0)</f>
        <v>8</v>
      </c>
      <c r="D2259" t="str">
        <f>IFERROR(__xludf.DUMMYFUNCTION("""COMPUTED_VALUE"""),"Hola - Remix")</f>
        <v>Hola - Remix</v>
      </c>
      <c r="E2259" t="str">
        <f>IFERROR(__xludf.DUMMYFUNCTION("""COMPUTED_VALUE"""),"Dalex, Lenny Tavárez, Chencho Corleone, Juhn, Dímelo Flow")</f>
        <v>Dalex, Lenny Tavárez, Chencho Corleone, Juhn, Dímelo Flow</v>
      </c>
      <c r="F2259" t="str">
        <f>IFERROR(__xludf.DUMMYFUNCTION("""COMPUTED_VALUE"""),"Hola (Remix)")</f>
        <v>Hola (Remix)</v>
      </c>
      <c r="G2259">
        <f>IFERROR(__xludf.DUMMYFUNCTION("""COMPUTED_VALUE"""),0.0)</f>
        <v>0</v>
      </c>
      <c r="H2259" s="5">
        <f>IFERROR(__xludf.DUMMYFUNCTION("""COMPUTED_VALUE"""),0.17291666666642413)</f>
        <v>0.1729166667</v>
      </c>
    </row>
    <row r="2260">
      <c r="A2260" t="str">
        <f>IFERROR(__xludf.DUMMYFUNCTION("""COMPUTED_VALUE"""),"Peru")</f>
        <v>Peru</v>
      </c>
      <c r="B2260" t="str">
        <f>IFERROR(__xludf.DUMMYFUNCTION("""COMPUTED_VALUE"""),"South America")</f>
        <v>South America</v>
      </c>
      <c r="C2260">
        <f>IFERROR(__xludf.DUMMYFUNCTION("""COMPUTED_VALUE"""),9.0)</f>
        <v>9</v>
      </c>
      <c r="D2260" t="str">
        <f>IFERROR(__xludf.DUMMYFUNCTION("""COMPUTED_VALUE"""),"PORFA")</f>
        <v>PORFA</v>
      </c>
      <c r="E2260" t="str">
        <f>IFERROR(__xludf.DUMMYFUNCTION("""COMPUTED_VALUE"""),"Feid, Justin Quiles")</f>
        <v>Feid, Justin Quiles</v>
      </c>
      <c r="F2260" t="str">
        <f>IFERROR(__xludf.DUMMYFUNCTION("""COMPUTED_VALUE"""),"FERXXO (VOL 1: M.O.R)")</f>
        <v>FERXXO (VOL 1: M.O.R)</v>
      </c>
      <c r="G2260">
        <f>IFERROR(__xludf.DUMMYFUNCTION("""COMPUTED_VALUE"""),0.0)</f>
        <v>0</v>
      </c>
      <c r="H2260" s="5">
        <f>IFERROR(__xludf.DUMMYFUNCTION("""COMPUTED_VALUE"""),0.16111111111240461)</f>
        <v>0.1611111111</v>
      </c>
    </row>
    <row r="2261">
      <c r="A2261" t="str">
        <f>IFERROR(__xludf.DUMMYFUNCTION("""COMPUTED_VALUE"""),"Peru")</f>
        <v>Peru</v>
      </c>
      <c r="B2261" t="str">
        <f>IFERROR(__xludf.DUMMYFUNCTION("""COMPUTED_VALUE"""),"South America")</f>
        <v>South America</v>
      </c>
      <c r="C2261">
        <f>IFERROR(__xludf.DUMMYFUNCTION("""COMPUTED_VALUE"""),10.0)</f>
        <v>10</v>
      </c>
      <c r="D2261" t="str">
        <f>IFERROR(__xludf.DUMMYFUNCTION("""COMPUTED_VALUE"""),"Diosa")</f>
        <v>Diosa</v>
      </c>
      <c r="E2261" t="str">
        <f>IFERROR(__xludf.DUMMYFUNCTION("""COMPUTED_VALUE"""),"Myke Towers")</f>
        <v>Myke Towers</v>
      </c>
      <c r="F2261" t="str">
        <f>IFERROR(__xludf.DUMMYFUNCTION("""COMPUTED_VALUE"""),"Easy Money Baby")</f>
        <v>Easy Money Baby</v>
      </c>
      <c r="G2261">
        <f>IFERROR(__xludf.DUMMYFUNCTION("""COMPUTED_VALUE"""),1.0)</f>
        <v>1</v>
      </c>
      <c r="H2261" s="5">
        <f>IFERROR(__xludf.DUMMYFUNCTION("""COMPUTED_VALUE"""),0.14861111111167702)</f>
        <v>0.1486111111</v>
      </c>
    </row>
    <row r="2262">
      <c r="A2262" t="str">
        <f>IFERROR(__xludf.DUMMYFUNCTION("""COMPUTED_VALUE"""),"Peru")</f>
        <v>Peru</v>
      </c>
      <c r="B2262" t="str">
        <f>IFERROR(__xludf.DUMMYFUNCTION("""COMPUTED_VALUE"""),"South America")</f>
        <v>South America</v>
      </c>
      <c r="C2262">
        <f>IFERROR(__xludf.DUMMYFUNCTION("""COMPUTED_VALUE"""),11.0)</f>
        <v>11</v>
      </c>
      <c r="D2262" t="str">
        <f>IFERROR(__xludf.DUMMYFUNCTION("""COMPUTED_VALUE"""),"El Efecto - Remix")</f>
        <v>El Efecto - Remix</v>
      </c>
      <c r="E2262" t="str">
        <f>IFERROR(__xludf.DUMMYFUNCTION("""COMPUTED_VALUE"""),"Rauw Alejandro, Chencho Corleone, KEVVO, Bryant Myers, Lyanno, Dalex")</f>
        <v>Rauw Alejandro, Chencho Corleone, KEVVO, Bryant Myers, Lyanno, Dalex</v>
      </c>
      <c r="F2262" t="str">
        <f>IFERROR(__xludf.DUMMYFUNCTION("""COMPUTED_VALUE"""),"El Efecto (Remix)")</f>
        <v>El Efecto (Remix)</v>
      </c>
      <c r="G2262">
        <f>IFERROR(__xludf.DUMMYFUNCTION("""COMPUTED_VALUE"""),1.0)</f>
        <v>1</v>
      </c>
      <c r="H2262" s="5">
        <f>IFERROR(__xludf.DUMMYFUNCTION("""COMPUTED_VALUE"""),0.2006944444437977)</f>
        <v>0.2006944444</v>
      </c>
    </row>
    <row r="2263">
      <c r="A2263" t="str">
        <f>IFERROR(__xludf.DUMMYFUNCTION("""COMPUTED_VALUE"""),"Peru")</f>
        <v>Peru</v>
      </c>
      <c r="B2263" t="str">
        <f>IFERROR(__xludf.DUMMYFUNCTION("""COMPUTED_VALUE"""),"South America")</f>
        <v>South America</v>
      </c>
      <c r="C2263">
        <f>IFERROR(__xludf.DUMMYFUNCTION("""COMPUTED_VALUE"""),12.0)</f>
        <v>12</v>
      </c>
      <c r="D2263" t="str">
        <f>IFERROR(__xludf.DUMMYFUNCTION("""COMPUTED_VALUE"""),"Rojo")</f>
        <v>Rojo</v>
      </c>
      <c r="E2263" t="str">
        <f>IFERROR(__xludf.DUMMYFUNCTION("""COMPUTED_VALUE"""),"J Balvin")</f>
        <v>J Balvin</v>
      </c>
      <c r="F2263" t="str">
        <f>IFERROR(__xludf.DUMMYFUNCTION("""COMPUTED_VALUE"""),"Colores")</f>
        <v>Colores</v>
      </c>
      <c r="G2263">
        <f>IFERROR(__xludf.DUMMYFUNCTION("""COMPUTED_VALUE"""),0.0)</f>
        <v>0</v>
      </c>
      <c r="H2263" s="5">
        <f>IFERROR(__xludf.DUMMYFUNCTION("""COMPUTED_VALUE"""),0.10416666666787933)</f>
        <v>0.1041666667</v>
      </c>
    </row>
    <row r="2264">
      <c r="A2264" t="str">
        <f>IFERROR(__xludf.DUMMYFUNCTION("""COMPUTED_VALUE"""),"Peru")</f>
        <v>Peru</v>
      </c>
      <c r="B2264" t="str">
        <f>IFERROR(__xludf.DUMMYFUNCTION("""COMPUTED_VALUE"""),"South America")</f>
        <v>South America</v>
      </c>
      <c r="C2264">
        <f>IFERROR(__xludf.DUMMYFUNCTION("""COMPUTED_VALUE"""),13.0)</f>
        <v>13</v>
      </c>
      <c r="D2264" t="str">
        <f>IFERROR(__xludf.DUMMYFUNCTION("""COMPUTED_VALUE"""),"Relación")</f>
        <v>Relación</v>
      </c>
      <c r="E2264" t="str">
        <f>IFERROR(__xludf.DUMMYFUNCTION("""COMPUTED_VALUE"""),"Sech")</f>
        <v>Sech</v>
      </c>
      <c r="F2264" t="str">
        <f>IFERROR(__xludf.DUMMYFUNCTION("""COMPUTED_VALUE"""),"1 of 1")</f>
        <v>1 of 1</v>
      </c>
      <c r="G2264">
        <f>IFERROR(__xludf.DUMMYFUNCTION("""COMPUTED_VALUE"""),0.0)</f>
        <v>0</v>
      </c>
      <c r="H2264" s="5">
        <f>IFERROR(__xludf.DUMMYFUNCTION("""COMPUTED_VALUE"""),0.12777777777955635)</f>
        <v>0.1277777778</v>
      </c>
    </row>
    <row r="2265">
      <c r="A2265" t="str">
        <f>IFERROR(__xludf.DUMMYFUNCTION("""COMPUTED_VALUE"""),"Peru")</f>
        <v>Peru</v>
      </c>
      <c r="B2265" t="str">
        <f>IFERROR(__xludf.DUMMYFUNCTION("""COMPUTED_VALUE"""),"South America")</f>
        <v>South America</v>
      </c>
      <c r="C2265">
        <f>IFERROR(__xludf.DUMMYFUNCTION("""COMPUTED_VALUE"""),14.0)</f>
        <v>14</v>
      </c>
      <c r="D2265" t="str">
        <f>IFERROR(__xludf.DUMMYFUNCTION("""COMPUTED_VALUE"""),"Locura")</f>
        <v>Locura</v>
      </c>
      <c r="E2265" t="str">
        <f>IFERROR(__xludf.DUMMYFUNCTION("""COMPUTED_VALUE"""),"Cali Y El Dandee, Sebastian Yatra")</f>
        <v>Cali Y El Dandee, Sebastian Yatra</v>
      </c>
      <c r="F2265" t="str">
        <f>IFERROR(__xludf.DUMMYFUNCTION("""COMPUTED_VALUE"""),"Colegio")</f>
        <v>Colegio</v>
      </c>
      <c r="G2265">
        <f>IFERROR(__xludf.DUMMYFUNCTION("""COMPUTED_VALUE"""),0.0)</f>
        <v>0</v>
      </c>
      <c r="H2265" s="5">
        <f>IFERROR(__xludf.DUMMYFUNCTION("""COMPUTED_VALUE"""),0.14513888888905058)</f>
        <v>0.1451388889</v>
      </c>
    </row>
    <row r="2266">
      <c r="A2266" t="str">
        <f>IFERROR(__xludf.DUMMYFUNCTION("""COMPUTED_VALUE"""),"Peru")</f>
        <v>Peru</v>
      </c>
      <c r="B2266" t="str">
        <f>IFERROR(__xludf.DUMMYFUNCTION("""COMPUTED_VALUE"""),"South America")</f>
        <v>South America</v>
      </c>
      <c r="C2266">
        <f>IFERROR(__xludf.DUMMYFUNCTION("""COMPUTED_VALUE"""),15.0)</f>
        <v>15</v>
      </c>
      <c r="D2266" t="str">
        <f>IFERROR(__xludf.DUMMYFUNCTION("""COMPUTED_VALUE"""),"Djadja")</f>
        <v>Djadja</v>
      </c>
      <c r="E2266" t="str">
        <f>IFERROR(__xludf.DUMMYFUNCTION("""COMPUTED_VALUE"""),"Aya Nakamura")</f>
        <v>Aya Nakamura</v>
      </c>
      <c r="F2266" t="str">
        <f>IFERROR(__xludf.DUMMYFUNCTION("""COMPUTED_VALUE"""),"NAKAMURA")</f>
        <v>NAKAMURA</v>
      </c>
      <c r="G2266">
        <f>IFERROR(__xludf.DUMMYFUNCTION("""COMPUTED_VALUE"""),0.0)</f>
        <v>0</v>
      </c>
      <c r="H2266" s="5">
        <f>IFERROR(__xludf.DUMMYFUNCTION("""COMPUTED_VALUE"""),0.11875000000145519)</f>
        <v>0.11875</v>
      </c>
    </row>
    <row r="2267">
      <c r="A2267" t="str">
        <f>IFERROR(__xludf.DUMMYFUNCTION("""COMPUTED_VALUE"""),"Peru")</f>
        <v>Peru</v>
      </c>
      <c r="B2267" t="str">
        <f>IFERROR(__xludf.DUMMYFUNCTION("""COMPUTED_VALUE"""),"South America")</f>
        <v>South America</v>
      </c>
      <c r="C2267">
        <f>IFERROR(__xludf.DUMMYFUNCTION("""COMPUTED_VALUE"""),16.0)</f>
        <v>16</v>
      </c>
      <c r="D2267" t="str">
        <f>IFERROR(__xludf.DUMMYFUNCTION("""COMPUTED_VALUE"""),"Tusa")</f>
        <v>Tusa</v>
      </c>
      <c r="E2267" t="str">
        <f>IFERROR(__xludf.DUMMYFUNCTION("""COMPUTED_VALUE"""),"KAROL G, Nicki Minaj")</f>
        <v>KAROL G, Nicki Minaj</v>
      </c>
      <c r="F2267" t="str">
        <f>IFERROR(__xludf.DUMMYFUNCTION("""COMPUTED_VALUE"""),"Tusa")</f>
        <v>Tusa</v>
      </c>
      <c r="G2267">
        <f>IFERROR(__xludf.DUMMYFUNCTION("""COMPUTED_VALUE"""),0.0)</f>
        <v>0</v>
      </c>
      <c r="H2267" s="5">
        <f>IFERROR(__xludf.DUMMYFUNCTION("""COMPUTED_VALUE"""),0.13888888889050577)</f>
        <v>0.1388888889</v>
      </c>
    </row>
    <row r="2268">
      <c r="A2268" t="str">
        <f>IFERROR(__xludf.DUMMYFUNCTION("""COMPUTED_VALUE"""),"Peru")</f>
        <v>Peru</v>
      </c>
      <c r="B2268" t="str">
        <f>IFERROR(__xludf.DUMMYFUNCTION("""COMPUTED_VALUE"""),"South America")</f>
        <v>South America</v>
      </c>
      <c r="C2268">
        <f>IFERROR(__xludf.DUMMYFUNCTION("""COMPUTED_VALUE"""),17.0)</f>
        <v>17</v>
      </c>
      <c r="D2268" t="str">
        <f>IFERROR(__xludf.DUMMYFUNCTION("""COMPUTED_VALUE"""),"Sigues Con El - Remix")</f>
        <v>Sigues Con El - Remix</v>
      </c>
      <c r="E2268" t="str">
        <f>IFERROR(__xludf.DUMMYFUNCTION("""COMPUTED_VALUE"""),"Arcangel, Sech, Romeo Santos")</f>
        <v>Arcangel, Sech, Romeo Santos</v>
      </c>
      <c r="F2268" t="str">
        <f>IFERROR(__xludf.DUMMYFUNCTION("""COMPUTED_VALUE"""),"Sigues Con El (Remix)")</f>
        <v>Sigues Con El (Remix)</v>
      </c>
      <c r="G2268">
        <f>IFERROR(__xludf.DUMMYFUNCTION("""COMPUTED_VALUE"""),0.0)</f>
        <v>0</v>
      </c>
      <c r="H2268" s="5">
        <f>IFERROR(__xludf.DUMMYFUNCTION("""COMPUTED_VALUE"""),0.1312499999985448)</f>
        <v>0.13125</v>
      </c>
    </row>
    <row r="2269">
      <c r="A2269" t="str">
        <f>IFERROR(__xludf.DUMMYFUNCTION("""COMPUTED_VALUE"""),"Peru")</f>
        <v>Peru</v>
      </c>
      <c r="B2269" t="str">
        <f>IFERROR(__xludf.DUMMYFUNCTION("""COMPUTED_VALUE"""),"South America")</f>
        <v>South America</v>
      </c>
      <c r="C2269">
        <f>IFERROR(__xludf.DUMMYFUNCTION("""COMPUTED_VALUE"""),18.0)</f>
        <v>18</v>
      </c>
      <c r="D2269" t="str">
        <f>IFERROR(__xludf.DUMMYFUNCTION("""COMPUTED_VALUE"""),"Don't Start Now")</f>
        <v>Don't Start Now</v>
      </c>
      <c r="E2269" t="str">
        <f>IFERROR(__xludf.DUMMYFUNCTION("""COMPUTED_VALUE"""),"Dua Lipa")</f>
        <v>Dua Lipa</v>
      </c>
      <c r="F2269" t="str">
        <f>IFERROR(__xludf.DUMMYFUNCTION("""COMPUTED_VALUE"""),"Future Nostalgia")</f>
        <v>Future Nostalgia</v>
      </c>
      <c r="G2269">
        <f>IFERROR(__xludf.DUMMYFUNCTION("""COMPUTED_VALUE"""),0.0)</f>
        <v>0</v>
      </c>
      <c r="H2269" s="5">
        <f>IFERROR(__xludf.DUMMYFUNCTION("""COMPUTED_VALUE"""),0.12708333333284827)</f>
        <v>0.1270833333</v>
      </c>
    </row>
    <row r="2270">
      <c r="A2270" t="str">
        <f>IFERROR(__xludf.DUMMYFUNCTION("""COMPUTED_VALUE"""),"Peru")</f>
        <v>Peru</v>
      </c>
      <c r="B2270" t="str">
        <f>IFERROR(__xludf.DUMMYFUNCTION("""COMPUTED_VALUE"""),"South America")</f>
        <v>South America</v>
      </c>
      <c r="C2270">
        <f>IFERROR(__xludf.DUMMYFUNCTION("""COMPUTED_VALUE"""),19.0)</f>
        <v>19</v>
      </c>
      <c r="D2270" t="str">
        <f>IFERROR(__xludf.DUMMYFUNCTION("""COMPUTED_VALUE"""),"Bajo La Mesa")</f>
        <v>Bajo La Mesa</v>
      </c>
      <c r="E2270" t="str">
        <f>IFERROR(__xludf.DUMMYFUNCTION("""COMPUTED_VALUE"""),"Morat, Sebastian Yatra")</f>
        <v>Morat, Sebastian Yatra</v>
      </c>
      <c r="F2270" t="str">
        <f>IFERROR(__xludf.DUMMYFUNCTION("""COMPUTED_VALUE"""),"Bajo La Mesa")</f>
        <v>Bajo La Mesa</v>
      </c>
      <c r="G2270">
        <f>IFERROR(__xludf.DUMMYFUNCTION("""COMPUTED_VALUE"""),0.0)</f>
        <v>0</v>
      </c>
      <c r="H2270" s="5">
        <f>IFERROR(__xludf.DUMMYFUNCTION("""COMPUTED_VALUE"""),0.10902777777664596)</f>
        <v>0.1090277778</v>
      </c>
    </row>
    <row r="2271">
      <c r="A2271" t="str">
        <f>IFERROR(__xludf.DUMMYFUNCTION("""COMPUTED_VALUE"""),"Peru")</f>
        <v>Peru</v>
      </c>
      <c r="B2271" t="str">
        <f>IFERROR(__xludf.DUMMYFUNCTION("""COMPUTED_VALUE"""),"South America")</f>
        <v>South America</v>
      </c>
      <c r="C2271">
        <f>IFERROR(__xludf.DUMMYFUNCTION("""COMPUTED_VALUE"""),20.0)</f>
        <v>20</v>
      </c>
      <c r="D2271" t="str">
        <f>IFERROR(__xludf.DUMMYFUNCTION("""COMPUTED_VALUE"""),"Morado")</f>
        <v>Morado</v>
      </c>
      <c r="E2271" t="str">
        <f>IFERROR(__xludf.DUMMYFUNCTION("""COMPUTED_VALUE"""),"J Balvin")</f>
        <v>J Balvin</v>
      </c>
      <c r="F2271" t="str">
        <f>IFERROR(__xludf.DUMMYFUNCTION("""COMPUTED_VALUE"""),"Colores")</f>
        <v>Colores</v>
      </c>
      <c r="G2271">
        <f>IFERROR(__xludf.DUMMYFUNCTION("""COMPUTED_VALUE"""),0.0)</f>
        <v>0</v>
      </c>
      <c r="H2271" s="5">
        <f>IFERROR(__xludf.DUMMYFUNCTION("""COMPUTED_VALUE"""),0.13888888889050577)</f>
        <v>0.1388888889</v>
      </c>
    </row>
    <row r="2272">
      <c r="A2272" t="str">
        <f>IFERROR(__xludf.DUMMYFUNCTION("""COMPUTED_VALUE"""),"Peru")</f>
        <v>Peru</v>
      </c>
      <c r="B2272" t="str">
        <f>IFERROR(__xludf.DUMMYFUNCTION("""COMPUTED_VALUE"""),"South America")</f>
        <v>South America</v>
      </c>
      <c r="C2272">
        <f>IFERROR(__xludf.DUMMYFUNCTION("""COMPUTED_VALUE"""),21.0)</f>
        <v>21</v>
      </c>
      <c r="D2272" t="str">
        <f>IFERROR(__xludf.DUMMYFUNCTION("""COMPUTED_VALUE"""),"death bed (coffee for your head) (feat. beabadoobee)")</f>
        <v>death bed (coffee for your head) (feat. beabadoobee)</v>
      </c>
      <c r="E2272" t="str">
        <f>IFERROR(__xludf.DUMMYFUNCTION("""COMPUTED_VALUE"""),"Powfu, beabadoobee")</f>
        <v>Powfu, beabadoobee</v>
      </c>
      <c r="F2272" t="str">
        <f>IFERROR(__xludf.DUMMYFUNCTION("""COMPUTED_VALUE"""),"death bed (coffee for your head) (feat. beabadoobee)")</f>
        <v>death bed (coffee for your head) (feat. beabadoobee)</v>
      </c>
      <c r="G2272">
        <f>IFERROR(__xludf.DUMMYFUNCTION("""COMPUTED_VALUE"""),0.0)</f>
        <v>0</v>
      </c>
      <c r="H2272" s="5">
        <f>IFERROR(__xludf.DUMMYFUNCTION("""COMPUTED_VALUE"""),0.12013888888759539)</f>
        <v>0.1201388889</v>
      </c>
    </row>
    <row r="2273">
      <c r="A2273" t="str">
        <f>IFERROR(__xludf.DUMMYFUNCTION("""COMPUTED_VALUE"""),"Peru")</f>
        <v>Peru</v>
      </c>
      <c r="B2273" t="str">
        <f>IFERROR(__xludf.DUMMYFUNCTION("""COMPUTED_VALUE"""),"South America")</f>
        <v>South America</v>
      </c>
      <c r="C2273">
        <f>IFERROR(__xludf.DUMMYFUNCTION("""COMPUTED_VALUE"""),22.0)</f>
        <v>22</v>
      </c>
      <c r="D2273" t="str">
        <f>IFERROR(__xludf.DUMMYFUNCTION("""COMPUTED_VALUE"""),"Sigues Con El")</f>
        <v>Sigues Con El</v>
      </c>
      <c r="E2273" t="str">
        <f>IFERROR(__xludf.DUMMYFUNCTION("""COMPUTED_VALUE"""),"Dímelo Flow, Arcangel, Sech")</f>
        <v>Dímelo Flow, Arcangel, Sech</v>
      </c>
      <c r="F2273" t="str">
        <f>IFERROR(__xludf.DUMMYFUNCTION("""COMPUTED_VALUE"""),"Sigues Con El")</f>
        <v>Sigues Con El</v>
      </c>
      <c r="G2273">
        <f>IFERROR(__xludf.DUMMYFUNCTION("""COMPUTED_VALUE"""),0.0)</f>
        <v>0</v>
      </c>
      <c r="H2273" s="5">
        <f>IFERROR(__xludf.DUMMYFUNCTION("""COMPUTED_VALUE"""),0.1569444444430701)</f>
        <v>0.1569444444</v>
      </c>
    </row>
    <row r="2274">
      <c r="A2274" t="str">
        <f>IFERROR(__xludf.DUMMYFUNCTION("""COMPUTED_VALUE"""),"Peru")</f>
        <v>Peru</v>
      </c>
      <c r="B2274" t="str">
        <f>IFERROR(__xludf.DUMMYFUNCTION("""COMPUTED_VALUE"""),"South America")</f>
        <v>South America</v>
      </c>
      <c r="C2274">
        <f>IFERROR(__xludf.DUMMYFUNCTION("""COMPUTED_VALUE"""),23.0)</f>
        <v>23</v>
      </c>
      <c r="D2274" t="str">
        <f>IFERROR(__xludf.DUMMYFUNCTION("""COMPUTED_VALUE"""),"Si Veo a Tu Mamá")</f>
        <v>Si Veo a Tu Mamá</v>
      </c>
      <c r="E2274" t="str">
        <f>IFERROR(__xludf.DUMMYFUNCTION("""COMPUTED_VALUE"""),"Bad Bunny")</f>
        <v>Bad Bunny</v>
      </c>
      <c r="F2274" t="str">
        <f>IFERROR(__xludf.DUMMYFUNCTION("""COMPUTED_VALUE"""),"YHLQMDLG")</f>
        <v>YHLQMDLG</v>
      </c>
      <c r="G2274">
        <f>IFERROR(__xludf.DUMMYFUNCTION("""COMPUTED_VALUE"""),0.0)</f>
        <v>0</v>
      </c>
      <c r="H2274" s="5">
        <f>IFERROR(__xludf.DUMMYFUNCTION("""COMPUTED_VALUE"""),0.11805555555474712)</f>
        <v>0.1180555556</v>
      </c>
    </row>
    <row r="2275">
      <c r="A2275" t="str">
        <f>IFERROR(__xludf.DUMMYFUNCTION("""COMPUTED_VALUE"""),"Peru")</f>
        <v>Peru</v>
      </c>
      <c r="B2275" t="str">
        <f>IFERROR(__xludf.DUMMYFUNCTION("""COMPUTED_VALUE"""),"South America")</f>
        <v>South America</v>
      </c>
      <c r="C2275">
        <f>IFERROR(__xludf.DUMMYFUNCTION("""COMPUTED_VALUE"""),24.0)</f>
        <v>24</v>
      </c>
      <c r="D2275" t="str">
        <f>IFERROR(__xludf.DUMMYFUNCTION("""COMPUTED_VALUE"""),"Fantasias")</f>
        <v>Fantasias</v>
      </c>
      <c r="E2275" t="str">
        <f>IFERROR(__xludf.DUMMYFUNCTION("""COMPUTED_VALUE"""),"Rauw Alejandro, Farruko")</f>
        <v>Rauw Alejandro, Farruko</v>
      </c>
      <c r="F2275" t="str">
        <f>IFERROR(__xludf.DUMMYFUNCTION("""COMPUTED_VALUE"""),"Fantasias")</f>
        <v>Fantasias</v>
      </c>
      <c r="G2275">
        <f>IFERROR(__xludf.DUMMYFUNCTION("""COMPUTED_VALUE"""),0.0)</f>
        <v>0</v>
      </c>
      <c r="H2275" s="5">
        <f>IFERROR(__xludf.DUMMYFUNCTION("""COMPUTED_VALUE"""),0.1381944444437977)</f>
        <v>0.1381944444</v>
      </c>
    </row>
    <row r="2276">
      <c r="A2276" t="str">
        <f>IFERROR(__xludf.DUMMYFUNCTION("""COMPUTED_VALUE"""),"Peru")</f>
        <v>Peru</v>
      </c>
      <c r="B2276" t="str">
        <f>IFERROR(__xludf.DUMMYFUNCTION("""COMPUTED_VALUE"""),"South America")</f>
        <v>South America</v>
      </c>
      <c r="C2276">
        <f>IFERROR(__xludf.DUMMYFUNCTION("""COMPUTED_VALUE"""),25.0)</f>
        <v>25</v>
      </c>
      <c r="D2276" t="str">
        <f>IFERROR(__xludf.DUMMYFUNCTION("""COMPUTED_VALUE"""),"Jangueo")</f>
        <v>Jangueo</v>
      </c>
      <c r="E2276" t="str">
        <f>IFERROR(__xludf.DUMMYFUNCTION("""COMPUTED_VALUE"""),"Alex Rose, Rafa Pabön")</f>
        <v>Alex Rose, Rafa Pabön</v>
      </c>
      <c r="F2276" t="str">
        <f>IFERROR(__xludf.DUMMYFUNCTION("""COMPUTED_VALUE"""),"LOST")</f>
        <v>LOST</v>
      </c>
      <c r="G2276">
        <f>IFERROR(__xludf.DUMMYFUNCTION("""COMPUTED_VALUE"""),0.0)</f>
        <v>0</v>
      </c>
      <c r="H2276" s="5">
        <f>IFERROR(__xludf.DUMMYFUNCTION("""COMPUTED_VALUE"""),0.17986111111167702)</f>
        <v>0.1798611111</v>
      </c>
    </row>
    <row r="2277">
      <c r="A2277" t="str">
        <f>IFERROR(__xludf.DUMMYFUNCTION("""COMPUTED_VALUE"""),"Peru")</f>
        <v>Peru</v>
      </c>
      <c r="B2277" t="str">
        <f>IFERROR(__xludf.DUMMYFUNCTION("""COMPUTED_VALUE"""),"South America")</f>
        <v>South America</v>
      </c>
      <c r="C2277">
        <f>IFERROR(__xludf.DUMMYFUNCTION("""COMPUTED_VALUE"""),26.0)</f>
        <v>26</v>
      </c>
      <c r="D2277" t="str">
        <f>IFERROR(__xludf.DUMMYFUNCTION("""COMPUTED_VALUE"""),"Bellaquita - Remix")</f>
        <v>Bellaquita - Remix</v>
      </c>
      <c r="E2277" t="str">
        <f>IFERROR(__xludf.DUMMYFUNCTION("""COMPUTED_VALUE"""),"Dalex, Lenny Tavárez, Anitta, Natti Natasha, Farruko, Justin Quiles")</f>
        <v>Dalex, Lenny Tavárez, Anitta, Natti Natasha, Farruko, Justin Quiles</v>
      </c>
      <c r="F2277" t="str">
        <f>IFERROR(__xludf.DUMMYFUNCTION("""COMPUTED_VALUE"""),"Modo Avión")</f>
        <v>Modo Avión</v>
      </c>
      <c r="G2277">
        <f>IFERROR(__xludf.DUMMYFUNCTION("""COMPUTED_VALUE"""),1.0)</f>
        <v>1</v>
      </c>
      <c r="H2277" s="5">
        <f>IFERROR(__xludf.DUMMYFUNCTION("""COMPUTED_VALUE"""),0.21111111111167702)</f>
        <v>0.2111111111</v>
      </c>
    </row>
    <row r="2278">
      <c r="A2278" t="str">
        <f>IFERROR(__xludf.DUMMYFUNCTION("""COMPUTED_VALUE"""),"Peru")</f>
        <v>Peru</v>
      </c>
      <c r="B2278" t="str">
        <f>IFERROR(__xludf.DUMMYFUNCTION("""COMPUTED_VALUE"""),"South America")</f>
        <v>South America</v>
      </c>
      <c r="C2278">
        <f>IFERROR(__xludf.DUMMYFUNCTION("""COMPUTED_VALUE"""),27.0)</f>
        <v>27</v>
      </c>
      <c r="D2278" t="str">
        <f>IFERROR(__xludf.DUMMYFUNCTION("""COMPUTED_VALUE"""),"Dance Monkey")</f>
        <v>Dance Monkey</v>
      </c>
      <c r="E2278" t="str">
        <f>IFERROR(__xludf.DUMMYFUNCTION("""COMPUTED_VALUE"""),"Tones And I")</f>
        <v>Tones And I</v>
      </c>
      <c r="F2278" t="str">
        <f>IFERROR(__xludf.DUMMYFUNCTION("""COMPUTED_VALUE"""),"Dance Monkey (Stripped Back) / Dance Monkey")</f>
        <v>Dance Monkey (Stripped Back) / Dance Monkey</v>
      </c>
      <c r="G2278">
        <f>IFERROR(__xludf.DUMMYFUNCTION("""COMPUTED_VALUE"""),0.0)</f>
        <v>0</v>
      </c>
      <c r="H2278" s="5">
        <f>IFERROR(__xludf.DUMMYFUNCTION("""COMPUTED_VALUE"""),0.14513888888905058)</f>
        <v>0.1451388889</v>
      </c>
    </row>
    <row r="2279">
      <c r="A2279" t="str">
        <f>IFERROR(__xludf.DUMMYFUNCTION("""COMPUTED_VALUE"""),"Peru")</f>
        <v>Peru</v>
      </c>
      <c r="B2279" t="str">
        <f>IFERROR(__xludf.DUMMYFUNCTION("""COMPUTED_VALUE"""),"South America")</f>
        <v>South America</v>
      </c>
      <c r="C2279">
        <f>IFERROR(__xludf.DUMMYFUNCTION("""COMPUTED_VALUE"""),28.0)</f>
        <v>28</v>
      </c>
      <c r="D2279" t="str">
        <f>IFERROR(__xludf.DUMMYFUNCTION("""COMPUTED_VALUE"""),"Ignorantes")</f>
        <v>Ignorantes</v>
      </c>
      <c r="E2279" t="str">
        <f>IFERROR(__xludf.DUMMYFUNCTION("""COMPUTED_VALUE"""),"Bad Bunny, Sech")</f>
        <v>Bad Bunny, Sech</v>
      </c>
      <c r="F2279" t="str">
        <f>IFERROR(__xludf.DUMMYFUNCTION("""COMPUTED_VALUE"""),"YHLQMDLG")</f>
        <v>YHLQMDLG</v>
      </c>
      <c r="G2279">
        <f>IFERROR(__xludf.DUMMYFUNCTION("""COMPUTED_VALUE"""),1.0)</f>
        <v>1</v>
      </c>
      <c r="H2279" s="5">
        <f>IFERROR(__xludf.DUMMYFUNCTION("""COMPUTED_VALUE"""),0.14583333333212067)</f>
        <v>0.1458333333</v>
      </c>
    </row>
    <row r="2280">
      <c r="A2280" t="str">
        <f>IFERROR(__xludf.DUMMYFUNCTION("""COMPUTED_VALUE"""),"Peru")</f>
        <v>Peru</v>
      </c>
      <c r="B2280" t="str">
        <f>IFERROR(__xludf.DUMMYFUNCTION("""COMPUTED_VALUE"""),"South America")</f>
        <v>South America</v>
      </c>
      <c r="C2280">
        <f>IFERROR(__xludf.DUMMYFUNCTION("""COMPUTED_VALUE"""),29.0)</f>
        <v>29</v>
      </c>
      <c r="D2280" t="str">
        <f>IFERROR(__xludf.DUMMYFUNCTION("""COMPUTED_VALUE"""),"La Difícil")</f>
        <v>La Difícil</v>
      </c>
      <c r="E2280" t="str">
        <f>IFERROR(__xludf.DUMMYFUNCTION("""COMPUTED_VALUE"""),"Bad Bunny")</f>
        <v>Bad Bunny</v>
      </c>
      <c r="F2280" t="str">
        <f>IFERROR(__xludf.DUMMYFUNCTION("""COMPUTED_VALUE"""),"YHLQMDLG")</f>
        <v>YHLQMDLG</v>
      </c>
      <c r="G2280">
        <f>IFERROR(__xludf.DUMMYFUNCTION("""COMPUTED_VALUE"""),1.0)</f>
        <v>1</v>
      </c>
      <c r="H2280" s="5">
        <f>IFERROR(__xludf.DUMMYFUNCTION("""COMPUTED_VALUE"""),0.11319444444598048)</f>
        <v>0.1131944444</v>
      </c>
    </row>
    <row r="2281">
      <c r="A2281" t="str">
        <f>IFERROR(__xludf.DUMMYFUNCTION("""COMPUTED_VALUE"""),"Peru")</f>
        <v>Peru</v>
      </c>
      <c r="B2281" t="str">
        <f>IFERROR(__xludf.DUMMYFUNCTION("""COMPUTED_VALUE"""),"South America")</f>
        <v>South America</v>
      </c>
      <c r="C2281">
        <f>IFERROR(__xludf.DUMMYFUNCTION("""COMPUTED_VALUE"""),30.0)</f>
        <v>30</v>
      </c>
      <c r="D2281" t="str">
        <f>IFERROR(__xludf.DUMMYFUNCTION("""COMPUTED_VALUE"""),"Amarillo")</f>
        <v>Amarillo</v>
      </c>
      <c r="E2281" t="str">
        <f>IFERROR(__xludf.DUMMYFUNCTION("""COMPUTED_VALUE"""),"J Balvin")</f>
        <v>J Balvin</v>
      </c>
      <c r="F2281" t="str">
        <f>IFERROR(__xludf.DUMMYFUNCTION("""COMPUTED_VALUE"""),"Colores")</f>
        <v>Colores</v>
      </c>
      <c r="G2281">
        <f>IFERROR(__xludf.DUMMYFUNCTION("""COMPUTED_VALUE"""),0.0)</f>
        <v>0</v>
      </c>
      <c r="H2281" s="5">
        <f>IFERROR(__xludf.DUMMYFUNCTION("""COMPUTED_VALUE"""),0.10902777777664596)</f>
        <v>0.1090277778</v>
      </c>
    </row>
    <row r="2282">
      <c r="A2282" t="str">
        <f>IFERROR(__xludf.DUMMYFUNCTION("""COMPUTED_VALUE"""),"Peru")</f>
        <v>Peru</v>
      </c>
      <c r="B2282" t="str">
        <f>IFERROR(__xludf.DUMMYFUNCTION("""COMPUTED_VALUE"""),"South America")</f>
        <v>South America</v>
      </c>
      <c r="C2282">
        <f>IFERROR(__xludf.DUMMYFUNCTION("""COMPUTED_VALUE"""),31.0)</f>
        <v>31</v>
      </c>
      <c r="D2282" t="str">
        <f>IFERROR(__xludf.DUMMYFUNCTION("""COMPUTED_VALUE"""),"BYE ME FUI")</f>
        <v>BYE ME FUI</v>
      </c>
      <c r="E2282" t="str">
        <f>IFERROR(__xludf.DUMMYFUNCTION("""COMPUTED_VALUE"""),"Bad Bunny")</f>
        <v>Bad Bunny</v>
      </c>
      <c r="F2282" t="str">
        <f>IFERROR(__xludf.DUMMYFUNCTION("""COMPUTED_VALUE"""),"LAS QUE NO IBAN A SALIR")</f>
        <v>LAS QUE NO IBAN A SALIR</v>
      </c>
      <c r="G2282">
        <f>IFERROR(__xludf.DUMMYFUNCTION("""COMPUTED_VALUE"""),1.0)</f>
        <v>1</v>
      </c>
      <c r="H2282" s="5">
        <f>IFERROR(__xludf.DUMMYFUNCTION("""COMPUTED_VALUE"""),0.12361111111022183)</f>
        <v>0.1236111111</v>
      </c>
    </row>
    <row r="2283">
      <c r="A2283" t="str">
        <f>IFERROR(__xludf.DUMMYFUNCTION("""COMPUTED_VALUE"""),"Peru")</f>
        <v>Peru</v>
      </c>
      <c r="B2283" t="str">
        <f>IFERROR(__xludf.DUMMYFUNCTION("""COMPUTED_VALUE"""),"South America")</f>
        <v>South America</v>
      </c>
      <c r="C2283">
        <f>IFERROR(__xludf.DUMMYFUNCTION("""COMPUTED_VALUE"""),32.0)</f>
        <v>32</v>
      </c>
      <c r="D2283" t="str">
        <f>IFERROR(__xludf.DUMMYFUNCTION("""COMPUTED_VALUE"""),"Si Me Dices Que Sí")</f>
        <v>Si Me Dices Que Sí</v>
      </c>
      <c r="E2283" t="str">
        <f>IFERROR(__xludf.DUMMYFUNCTION("""COMPUTED_VALUE"""),"Reik, Farruko, Camilo")</f>
        <v>Reik, Farruko, Camilo</v>
      </c>
      <c r="F2283" t="str">
        <f>IFERROR(__xludf.DUMMYFUNCTION("""COMPUTED_VALUE"""),"Si Me Dices Que Sí")</f>
        <v>Si Me Dices Que Sí</v>
      </c>
      <c r="G2283">
        <f>IFERROR(__xludf.DUMMYFUNCTION("""COMPUTED_VALUE"""),0.0)</f>
        <v>0</v>
      </c>
      <c r="H2283" s="5">
        <f>IFERROR(__xludf.DUMMYFUNCTION("""COMPUTED_VALUE"""),0.14652777777882875)</f>
        <v>0.1465277778</v>
      </c>
    </row>
    <row r="2284">
      <c r="A2284" t="str">
        <f>IFERROR(__xludf.DUMMYFUNCTION("""COMPUTED_VALUE"""),"Peru")</f>
        <v>Peru</v>
      </c>
      <c r="B2284" t="str">
        <f>IFERROR(__xludf.DUMMYFUNCTION("""COMPUTED_VALUE"""),"South America")</f>
        <v>South America</v>
      </c>
      <c r="C2284">
        <f>IFERROR(__xludf.DUMMYFUNCTION("""COMPUTED_VALUE"""),33.0)</f>
        <v>33</v>
      </c>
      <c r="D2284" t="str">
        <f>IFERROR(__xludf.DUMMYFUNCTION("""COMPUTED_VALUE"""),"El Efecto")</f>
        <v>El Efecto</v>
      </c>
      <c r="E2284" t="str">
        <f>IFERROR(__xludf.DUMMYFUNCTION("""COMPUTED_VALUE"""),"Rauw Alejandro, Chencho Corleone")</f>
        <v>Rauw Alejandro, Chencho Corleone</v>
      </c>
      <c r="F2284" t="str">
        <f>IFERROR(__xludf.DUMMYFUNCTION("""COMPUTED_VALUE"""),"El Efecto")</f>
        <v>El Efecto</v>
      </c>
      <c r="G2284">
        <f>IFERROR(__xludf.DUMMYFUNCTION("""COMPUTED_VALUE"""),0.0)</f>
        <v>0</v>
      </c>
      <c r="H2284" s="5">
        <f>IFERROR(__xludf.DUMMYFUNCTION("""COMPUTED_VALUE"""),0.1506944444445253)</f>
        <v>0.1506944444</v>
      </c>
    </row>
    <row r="2285">
      <c r="A2285" t="str">
        <f>IFERROR(__xludf.DUMMYFUNCTION("""COMPUTED_VALUE"""),"Peru")</f>
        <v>Peru</v>
      </c>
      <c r="B2285" t="str">
        <f>IFERROR(__xludf.DUMMYFUNCTION("""COMPUTED_VALUE"""),"South America")</f>
        <v>South America</v>
      </c>
      <c r="C2285">
        <f>IFERROR(__xludf.DUMMYFUNCTION("""COMPUTED_VALUE"""),34.0)</f>
        <v>34</v>
      </c>
      <c r="D2285" t="str">
        <f>IFERROR(__xludf.DUMMYFUNCTION("""COMPUTED_VALUE"""),"Los Besos")</f>
        <v>Los Besos</v>
      </c>
      <c r="E2285" t="str">
        <f>IFERROR(__xludf.DUMMYFUNCTION("""COMPUTED_VALUE"""),"Greeicy")</f>
        <v>Greeicy</v>
      </c>
      <c r="F2285" t="str">
        <f>IFERROR(__xludf.DUMMYFUNCTION("""COMPUTED_VALUE"""),"Los Besos")</f>
        <v>Los Besos</v>
      </c>
      <c r="G2285">
        <f>IFERROR(__xludf.DUMMYFUNCTION("""COMPUTED_VALUE"""),0.0)</f>
        <v>0</v>
      </c>
      <c r="H2285" s="5">
        <f>IFERROR(__xludf.DUMMYFUNCTION("""COMPUTED_VALUE"""),0.14027777777664596)</f>
        <v>0.1402777778</v>
      </c>
    </row>
    <row r="2286">
      <c r="A2286" t="str">
        <f>IFERROR(__xludf.DUMMYFUNCTION("""COMPUTED_VALUE"""),"Peru")</f>
        <v>Peru</v>
      </c>
      <c r="B2286" t="str">
        <f>IFERROR(__xludf.DUMMYFUNCTION("""COMPUTED_VALUE"""),"South America")</f>
        <v>South America</v>
      </c>
      <c r="C2286">
        <f>IFERROR(__xludf.DUMMYFUNCTION("""COMPUTED_VALUE"""),35.0)</f>
        <v>35</v>
      </c>
      <c r="D2286" t="str">
        <f>IFERROR(__xludf.DUMMYFUNCTION("""COMPUTED_VALUE"""),"Loco - Remix")</f>
        <v>Loco - Remix</v>
      </c>
      <c r="E2286" t="str">
        <f>IFERROR(__xludf.DUMMYFUNCTION("""COMPUTED_VALUE"""),"Farruko, Beéle, Natti Natasha, Manuel Turizo")</f>
        <v>Farruko, Beéle, Natti Natasha, Manuel Turizo</v>
      </c>
      <c r="F2286" t="str">
        <f>IFERROR(__xludf.DUMMYFUNCTION("""COMPUTED_VALUE"""),"Loco (Remix)")</f>
        <v>Loco (Remix)</v>
      </c>
      <c r="G2286">
        <f>IFERROR(__xludf.DUMMYFUNCTION("""COMPUTED_VALUE"""),0.0)</f>
        <v>0</v>
      </c>
      <c r="H2286" s="5">
        <f>IFERROR(__xludf.DUMMYFUNCTION("""COMPUTED_VALUE"""),0.17222222222335404)</f>
        <v>0.1722222222</v>
      </c>
    </row>
    <row r="2287">
      <c r="A2287" t="str">
        <f>IFERROR(__xludf.DUMMYFUNCTION("""COMPUTED_VALUE"""),"Peru")</f>
        <v>Peru</v>
      </c>
      <c r="B2287" t="str">
        <f>IFERROR(__xludf.DUMMYFUNCTION("""COMPUTED_VALUE"""),"South America")</f>
        <v>South America</v>
      </c>
      <c r="C2287">
        <f>IFERROR(__xludf.DUMMYFUNCTION("""COMPUTED_VALUE"""),36.0)</f>
        <v>36</v>
      </c>
      <c r="D2287" t="str">
        <f>IFERROR(__xludf.DUMMYFUNCTION("""COMPUTED_VALUE"""),"Tutu")</f>
        <v>Tutu</v>
      </c>
      <c r="E2287" t="str">
        <f>IFERROR(__xludf.DUMMYFUNCTION("""COMPUTED_VALUE"""),"Camilo, Pedro Capó")</f>
        <v>Camilo, Pedro Capó</v>
      </c>
      <c r="F2287" t="str">
        <f>IFERROR(__xludf.DUMMYFUNCTION("""COMPUTED_VALUE"""),"Por Primera Vez")</f>
        <v>Por Primera Vez</v>
      </c>
      <c r="G2287">
        <f>IFERROR(__xludf.DUMMYFUNCTION("""COMPUTED_VALUE"""),0.0)</f>
        <v>0</v>
      </c>
      <c r="H2287" s="5">
        <f>IFERROR(__xludf.DUMMYFUNCTION("""COMPUTED_VALUE"""),0.1243055555569299)</f>
        <v>0.1243055556</v>
      </c>
    </row>
    <row r="2288">
      <c r="A2288" t="str">
        <f>IFERROR(__xludf.DUMMYFUNCTION("""COMPUTED_VALUE"""),"Peru")</f>
        <v>Peru</v>
      </c>
      <c r="B2288" t="str">
        <f>IFERROR(__xludf.DUMMYFUNCTION("""COMPUTED_VALUE"""),"South America")</f>
        <v>South America</v>
      </c>
      <c r="C2288">
        <f>IFERROR(__xludf.DUMMYFUNCTION("""COMPUTED_VALUE"""),37.0)</f>
        <v>37</v>
      </c>
      <c r="D2288" t="str">
        <f>IFERROR(__xludf.DUMMYFUNCTION("""COMPUTED_VALUE"""),"Detente")</f>
        <v>Detente</v>
      </c>
      <c r="E2288" t="str">
        <f>IFERROR(__xludf.DUMMYFUNCTION("""COMPUTED_VALUE"""),"Mike Bahía, Danny Ocean")</f>
        <v>Mike Bahía, Danny Ocean</v>
      </c>
      <c r="F2288" t="str">
        <f>IFERROR(__xludf.DUMMYFUNCTION("""COMPUTED_VALUE"""),"Navegando")</f>
        <v>Navegando</v>
      </c>
      <c r="G2288">
        <f>IFERROR(__xludf.DUMMYFUNCTION("""COMPUTED_VALUE"""),0.0)</f>
        <v>0</v>
      </c>
      <c r="H2288" s="5">
        <f>IFERROR(__xludf.DUMMYFUNCTION("""COMPUTED_VALUE"""),0.1256944444430701)</f>
        <v>0.1256944444</v>
      </c>
    </row>
    <row r="2289">
      <c r="A2289" t="str">
        <f>IFERROR(__xludf.DUMMYFUNCTION("""COMPUTED_VALUE"""),"Peru")</f>
        <v>Peru</v>
      </c>
      <c r="B2289" t="str">
        <f>IFERROR(__xludf.DUMMYFUNCTION("""COMPUTED_VALUE"""),"South America")</f>
        <v>South America</v>
      </c>
      <c r="C2289">
        <f>IFERROR(__xludf.DUMMYFUNCTION("""COMPUTED_VALUE"""),38.0)</f>
        <v>38</v>
      </c>
      <c r="D2289" t="str">
        <f>IFERROR(__xludf.DUMMYFUNCTION("""COMPUTED_VALUE"""),"La Difícil")</f>
        <v>La Difícil</v>
      </c>
      <c r="E2289" t="str">
        <f>IFERROR(__xludf.DUMMYFUNCTION("""COMPUTED_VALUE"""),"Camilo")</f>
        <v>Camilo</v>
      </c>
      <c r="F2289" t="str">
        <f>IFERROR(__xludf.DUMMYFUNCTION("""COMPUTED_VALUE"""),"Por Primera Vez")</f>
        <v>Por Primera Vez</v>
      </c>
      <c r="G2289">
        <f>IFERROR(__xludf.DUMMYFUNCTION("""COMPUTED_VALUE"""),0.0)</f>
        <v>0</v>
      </c>
      <c r="H2289" s="5">
        <f>IFERROR(__xludf.DUMMYFUNCTION("""COMPUTED_VALUE"""),0.10972222222335404)</f>
        <v>0.1097222222</v>
      </c>
    </row>
    <row r="2290">
      <c r="A2290" t="str">
        <f>IFERROR(__xludf.DUMMYFUNCTION("""COMPUTED_VALUE"""),"Peru")</f>
        <v>Peru</v>
      </c>
      <c r="B2290" t="str">
        <f>IFERROR(__xludf.DUMMYFUNCTION("""COMPUTED_VALUE"""),"South America")</f>
        <v>South America</v>
      </c>
      <c r="C2290">
        <f>IFERROR(__xludf.DUMMYFUNCTION("""COMPUTED_VALUE"""),39.0)</f>
        <v>39</v>
      </c>
      <c r="D2290" t="str">
        <f>IFERROR(__xludf.DUMMYFUNCTION("""COMPUTED_VALUE"""),"Fantasias - Remix")</f>
        <v>Fantasias - Remix</v>
      </c>
      <c r="E2290" t="str">
        <f>IFERROR(__xludf.DUMMYFUNCTION("""COMPUTED_VALUE"""),"Rauw Alejandro, Anuel AA, Natti Natasha, Farruko, Lunay")</f>
        <v>Rauw Alejandro, Anuel AA, Natti Natasha, Farruko, Lunay</v>
      </c>
      <c r="F2290" t="str">
        <f>IFERROR(__xludf.DUMMYFUNCTION("""COMPUTED_VALUE"""),"Fantasias (Remix) [feat. Farruko &amp; Lunay]")</f>
        <v>Fantasias (Remix) [feat. Farruko &amp; Lunay]</v>
      </c>
      <c r="G2290">
        <f>IFERROR(__xludf.DUMMYFUNCTION("""COMPUTED_VALUE"""),0.0)</f>
        <v>0</v>
      </c>
      <c r="H2290" s="5">
        <f>IFERROR(__xludf.DUMMYFUNCTION("""COMPUTED_VALUE"""),0.18541666666715173)</f>
        <v>0.1854166667</v>
      </c>
    </row>
    <row r="2291">
      <c r="A2291" t="str">
        <f>IFERROR(__xludf.DUMMYFUNCTION("""COMPUTED_VALUE"""),"Peru")</f>
        <v>Peru</v>
      </c>
      <c r="B2291" t="str">
        <f>IFERROR(__xludf.DUMMYFUNCTION("""COMPUTED_VALUE"""),"South America")</f>
        <v>South America</v>
      </c>
      <c r="C2291">
        <f>IFERROR(__xludf.DUMMYFUNCTION("""COMPUTED_VALUE"""),40.0)</f>
        <v>40</v>
      </c>
      <c r="D2291" t="str">
        <f>IFERROR(__xludf.DUMMYFUNCTION("""COMPUTED_VALUE"""),"Rain On Me (with Ariana Grande)")</f>
        <v>Rain On Me (with Ariana Grande)</v>
      </c>
      <c r="E2291" t="str">
        <f>IFERROR(__xludf.DUMMYFUNCTION("""COMPUTED_VALUE"""),"Lady Gaga, Ariana Grande")</f>
        <v>Lady Gaga, Ariana Grande</v>
      </c>
      <c r="F2291" t="str">
        <f>IFERROR(__xludf.DUMMYFUNCTION("""COMPUTED_VALUE"""),"Rain On Me (with Ariana Grande)")</f>
        <v>Rain On Me (with Ariana Grande)</v>
      </c>
      <c r="G2291">
        <f>IFERROR(__xludf.DUMMYFUNCTION("""COMPUTED_VALUE"""),0.0)</f>
        <v>0</v>
      </c>
      <c r="H2291" s="5">
        <f>IFERROR(__xludf.DUMMYFUNCTION("""COMPUTED_VALUE"""),0.12638888888977817)</f>
        <v>0.1263888889</v>
      </c>
    </row>
    <row r="2292">
      <c r="A2292" t="str">
        <f>IFERROR(__xludf.DUMMYFUNCTION("""COMPUTED_VALUE"""),"Peru")</f>
        <v>Peru</v>
      </c>
      <c r="B2292" t="str">
        <f>IFERROR(__xludf.DUMMYFUNCTION("""COMPUTED_VALUE"""),"South America")</f>
        <v>South America</v>
      </c>
      <c r="C2292">
        <f>IFERROR(__xludf.DUMMYFUNCTION("""COMPUTED_VALUE"""),41.0)</f>
        <v>41</v>
      </c>
      <c r="D2292" t="str">
        <f>IFERROR(__xludf.DUMMYFUNCTION("""COMPUTED_VALUE"""),"BAD CON NICKY")</f>
        <v>BAD CON NICKY</v>
      </c>
      <c r="E2292" t="str">
        <f>IFERROR(__xludf.DUMMYFUNCTION("""COMPUTED_VALUE"""),"Bad Bunny, Nicky Jam")</f>
        <v>Bad Bunny, Nicky Jam</v>
      </c>
      <c r="F2292" t="str">
        <f>IFERROR(__xludf.DUMMYFUNCTION("""COMPUTED_VALUE"""),"LAS QUE NO IBAN A SALIR")</f>
        <v>LAS QUE NO IBAN A SALIR</v>
      </c>
      <c r="G2292">
        <f>IFERROR(__xludf.DUMMYFUNCTION("""COMPUTED_VALUE"""),1.0)</f>
        <v>1</v>
      </c>
      <c r="H2292" s="5">
        <f>IFERROR(__xludf.DUMMYFUNCTION("""COMPUTED_VALUE"""),0.14027777777664596)</f>
        <v>0.1402777778</v>
      </c>
    </row>
    <row r="2293">
      <c r="A2293" t="str">
        <f>IFERROR(__xludf.DUMMYFUNCTION("""COMPUTED_VALUE"""),"Peru")</f>
        <v>Peru</v>
      </c>
      <c r="B2293" t="str">
        <f>IFERROR(__xludf.DUMMYFUNCTION("""COMPUTED_VALUE"""),"South America")</f>
        <v>South America</v>
      </c>
      <c r="C2293">
        <f>IFERROR(__xludf.DUMMYFUNCTION("""COMPUTED_VALUE"""),42.0)</f>
        <v>42</v>
      </c>
      <c r="D2293" t="str">
        <f>IFERROR(__xludf.DUMMYFUNCTION("""COMPUTED_VALUE"""),"China")</f>
        <v>China</v>
      </c>
      <c r="E2293" t="str">
        <f>IFERROR(__xludf.DUMMYFUNCTION("""COMPUTED_VALUE"""),"Anuel AA, Daddy Yankee, KAROL G, J Balvin, Ozuna")</f>
        <v>Anuel AA, Daddy Yankee, KAROL G, J Balvin, Ozuna</v>
      </c>
      <c r="F2293" t="str">
        <f>IFERROR(__xludf.DUMMYFUNCTION("""COMPUTED_VALUE"""),"China")</f>
        <v>China</v>
      </c>
      <c r="G2293">
        <f>IFERROR(__xludf.DUMMYFUNCTION("""COMPUTED_VALUE"""),0.0)</f>
        <v>0</v>
      </c>
      <c r="H2293" s="5">
        <f>IFERROR(__xludf.DUMMYFUNCTION("""COMPUTED_VALUE"""),0.20902777777882875)</f>
        <v>0.2090277778</v>
      </c>
    </row>
    <row r="2294">
      <c r="A2294" t="str">
        <f>IFERROR(__xludf.DUMMYFUNCTION("""COMPUTED_VALUE"""),"Peru")</f>
        <v>Peru</v>
      </c>
      <c r="B2294" t="str">
        <f>IFERROR(__xludf.DUMMYFUNCTION("""COMPUTED_VALUE"""),"South America")</f>
        <v>South America</v>
      </c>
      <c r="C2294">
        <f>IFERROR(__xludf.DUMMYFUNCTION("""COMPUTED_VALUE"""),43.0)</f>
        <v>43</v>
      </c>
      <c r="D2294" t="str">
        <f>IFERROR(__xludf.DUMMYFUNCTION("""COMPUTED_VALUE"""),"DJ No Pare (feat. Zion, Dalex, Lenny Tavárez) - Remix")</f>
        <v>DJ No Pare (feat. Zion, Dalex, Lenny Tavárez) - Remix</v>
      </c>
      <c r="E2294" t="str">
        <f>IFERROR(__xludf.DUMMYFUNCTION("""COMPUTED_VALUE"""),"Justin Quiles, Natti Natasha, Farruko, Dalex, Lenny Tavárez, Zion")</f>
        <v>Justin Quiles, Natti Natasha, Farruko, Dalex, Lenny Tavárez, Zion</v>
      </c>
      <c r="F2294" t="str">
        <f>IFERROR(__xludf.DUMMYFUNCTION("""COMPUTED_VALUE"""),"DJ No Pare (feat. Zion, Dalex, Lenny Tavárez) [Remix]")</f>
        <v>DJ No Pare (feat. Zion, Dalex, Lenny Tavárez) [Remix]</v>
      </c>
      <c r="G2294">
        <f>IFERROR(__xludf.DUMMYFUNCTION("""COMPUTED_VALUE"""),0.0)</f>
        <v>0</v>
      </c>
      <c r="H2294" s="5">
        <f>IFERROR(__xludf.DUMMYFUNCTION("""COMPUTED_VALUE"""),0.17916666666496894)</f>
        <v>0.1791666667</v>
      </c>
    </row>
    <row r="2295">
      <c r="A2295" t="str">
        <f>IFERROR(__xludf.DUMMYFUNCTION("""COMPUTED_VALUE"""),"Peru")</f>
        <v>Peru</v>
      </c>
      <c r="B2295" t="str">
        <f>IFERROR(__xludf.DUMMYFUNCTION("""COMPUTED_VALUE"""),"South America")</f>
        <v>South America</v>
      </c>
      <c r="C2295">
        <f>IFERROR(__xludf.DUMMYFUNCTION("""COMPUTED_VALUE"""),44.0)</f>
        <v>44</v>
      </c>
      <c r="D2295" t="str">
        <f>IFERROR(__xludf.DUMMYFUNCTION("""COMPUTED_VALUE"""),"Dream Girl - Remix")</f>
        <v>Dream Girl - Remix</v>
      </c>
      <c r="E2295" t="str">
        <f>IFERROR(__xludf.DUMMYFUNCTION("""COMPUTED_VALUE"""),"Ir Sais, Rauw Alejandro")</f>
        <v>Ir Sais, Rauw Alejandro</v>
      </c>
      <c r="F2295" t="str">
        <f>IFERROR(__xludf.DUMMYFUNCTION("""COMPUTED_VALUE"""),"Dream Girl (Remix)")</f>
        <v>Dream Girl (Remix)</v>
      </c>
      <c r="G2295">
        <f>IFERROR(__xludf.DUMMYFUNCTION("""COMPUTED_VALUE"""),1.0)</f>
        <v>1</v>
      </c>
      <c r="H2295" s="5">
        <f>IFERROR(__xludf.DUMMYFUNCTION("""COMPUTED_VALUE"""),0.13333333333503106)</f>
        <v>0.1333333333</v>
      </c>
    </row>
    <row r="2296">
      <c r="A2296" t="str">
        <f>IFERROR(__xludf.DUMMYFUNCTION("""COMPUTED_VALUE"""),"Peru")</f>
        <v>Peru</v>
      </c>
      <c r="B2296" t="str">
        <f>IFERROR(__xludf.DUMMYFUNCTION("""COMPUTED_VALUE"""),"South America")</f>
        <v>South America</v>
      </c>
      <c r="C2296">
        <f>IFERROR(__xludf.DUMMYFUNCTION("""COMPUTED_VALUE"""),45.0)</f>
        <v>45</v>
      </c>
      <c r="D2296" t="str">
        <f>IFERROR(__xludf.DUMMYFUNCTION("""COMPUTED_VALUE"""),"Desconocidos")</f>
        <v>Desconocidos</v>
      </c>
      <c r="E2296" t="str">
        <f>IFERROR(__xludf.DUMMYFUNCTION("""COMPUTED_VALUE"""),"Mau y Ricky, Manuel Turizo, Camilo")</f>
        <v>Mau y Ricky, Manuel Turizo, Camilo</v>
      </c>
      <c r="F2296" t="str">
        <f>IFERROR(__xludf.DUMMYFUNCTION("""COMPUTED_VALUE"""),"Para Aventuras y Curiosidades")</f>
        <v>Para Aventuras y Curiosidades</v>
      </c>
      <c r="G2296">
        <f>IFERROR(__xludf.DUMMYFUNCTION("""COMPUTED_VALUE"""),1.0)</f>
        <v>1</v>
      </c>
      <c r="H2296" s="5">
        <f>IFERROR(__xludf.DUMMYFUNCTION("""COMPUTED_VALUE"""),0.14166666666642413)</f>
        <v>0.1416666667</v>
      </c>
    </row>
    <row r="2297">
      <c r="A2297" t="str">
        <f>IFERROR(__xludf.DUMMYFUNCTION("""COMPUTED_VALUE"""),"Peru")</f>
        <v>Peru</v>
      </c>
      <c r="B2297" t="str">
        <f>IFERROR(__xludf.DUMMYFUNCTION("""COMPUTED_VALUE"""),"South America")</f>
        <v>South America</v>
      </c>
      <c r="C2297">
        <f>IFERROR(__xludf.DUMMYFUNCTION("""COMPUTED_VALUE"""),46.0)</f>
        <v>46</v>
      </c>
      <c r="D2297" t="str">
        <f>IFERROR(__xludf.DUMMYFUNCTION("""COMPUTED_VALUE"""),"Girl")</f>
        <v>Girl</v>
      </c>
      <c r="E2297" t="str">
        <f>IFERROR(__xludf.DUMMYFUNCTION("""COMPUTED_VALUE"""),"Myke Towers")</f>
        <v>Myke Towers</v>
      </c>
      <c r="F2297" t="str">
        <f>IFERROR(__xludf.DUMMYFUNCTION("""COMPUTED_VALUE"""),"Easy Money Baby")</f>
        <v>Easy Money Baby</v>
      </c>
      <c r="G2297">
        <f>IFERROR(__xludf.DUMMYFUNCTION("""COMPUTED_VALUE"""),1.0)</f>
        <v>1</v>
      </c>
      <c r="H2297" s="5">
        <f>IFERROR(__xludf.DUMMYFUNCTION("""COMPUTED_VALUE"""),0.12916666666569654)</f>
        <v>0.1291666667</v>
      </c>
    </row>
    <row r="2298">
      <c r="A2298" t="str">
        <f>IFERROR(__xludf.DUMMYFUNCTION("""COMPUTED_VALUE"""),"Peru")</f>
        <v>Peru</v>
      </c>
      <c r="B2298" t="str">
        <f>IFERROR(__xludf.DUMMYFUNCTION("""COMPUTED_VALUE"""),"South America")</f>
        <v>South America</v>
      </c>
      <c r="C2298">
        <f>IFERROR(__xludf.DUMMYFUNCTION("""COMPUTED_VALUE"""),47.0)</f>
        <v>47</v>
      </c>
      <c r="D2298" t="str">
        <f>IFERROR(__xludf.DUMMYFUNCTION("""COMPUTED_VALUE"""),"Roses - Imanbek Remix")</f>
        <v>Roses - Imanbek Remix</v>
      </c>
      <c r="E2298" t="str">
        <f>IFERROR(__xludf.DUMMYFUNCTION("""COMPUTED_VALUE"""),"SAINt JHN, Imanbek")</f>
        <v>SAINt JHN, Imanbek</v>
      </c>
      <c r="F2298" t="str">
        <f>IFERROR(__xludf.DUMMYFUNCTION("""COMPUTED_VALUE"""),"Roses (Imanbek Remix)")</f>
        <v>Roses (Imanbek Remix)</v>
      </c>
      <c r="G2298">
        <f>IFERROR(__xludf.DUMMYFUNCTION("""COMPUTED_VALUE"""),1.0)</f>
        <v>1</v>
      </c>
      <c r="H2298" s="5">
        <f>IFERROR(__xludf.DUMMYFUNCTION("""COMPUTED_VALUE"""),0.12222222222044365)</f>
        <v>0.1222222222</v>
      </c>
    </row>
    <row r="2299">
      <c r="A2299" t="str">
        <f>IFERROR(__xludf.DUMMYFUNCTION("""COMPUTED_VALUE"""),"Peru")</f>
        <v>Peru</v>
      </c>
      <c r="B2299" t="str">
        <f>IFERROR(__xludf.DUMMYFUNCTION("""COMPUTED_VALUE"""),"South America")</f>
        <v>South America</v>
      </c>
      <c r="C2299">
        <f>IFERROR(__xludf.DUMMYFUNCTION("""COMPUTED_VALUE"""),48.0)</f>
        <v>48</v>
      </c>
      <c r="D2299" t="str">
        <f>IFERROR(__xludf.DUMMYFUNCTION("""COMPUTED_VALUE"""),"Te Vi")</f>
        <v>Te Vi</v>
      </c>
      <c r="E2299" t="str">
        <f>IFERROR(__xludf.DUMMYFUNCTION("""COMPUTED_VALUE"""),"Piso 21, Micro TDH")</f>
        <v>Piso 21, Micro TDH</v>
      </c>
      <c r="F2299" t="str">
        <f>IFERROR(__xludf.DUMMYFUNCTION("""COMPUTED_VALUE"""),"Te Vi")</f>
        <v>Te Vi</v>
      </c>
      <c r="G2299">
        <f>IFERROR(__xludf.DUMMYFUNCTION("""COMPUTED_VALUE"""),0.0)</f>
        <v>0</v>
      </c>
      <c r="H2299" s="5">
        <f>IFERROR(__xludf.DUMMYFUNCTION("""COMPUTED_VALUE"""),0.16041666666569654)</f>
        <v>0.1604166667</v>
      </c>
    </row>
    <row r="2300">
      <c r="A2300" t="str">
        <f>IFERROR(__xludf.DUMMYFUNCTION("""COMPUTED_VALUE"""),"Peru")</f>
        <v>Peru</v>
      </c>
      <c r="B2300" t="str">
        <f>IFERROR(__xludf.DUMMYFUNCTION("""COMPUTED_VALUE"""),"South America")</f>
        <v>South America</v>
      </c>
      <c r="C2300">
        <f>IFERROR(__xludf.DUMMYFUNCTION("""COMPUTED_VALUE"""),49.0)</f>
        <v>49</v>
      </c>
      <c r="D2300" t="str">
        <f>IFERROR(__xludf.DUMMYFUNCTION("""COMPUTED_VALUE"""),"Quiéreme Mientras Se Pueda")</f>
        <v>Quiéreme Mientras Se Pueda</v>
      </c>
      <c r="E2300" t="str">
        <f>IFERROR(__xludf.DUMMYFUNCTION("""COMPUTED_VALUE"""),"Manuel Turizo")</f>
        <v>Manuel Turizo</v>
      </c>
      <c r="F2300" t="str">
        <f>IFERROR(__xludf.DUMMYFUNCTION("""COMPUTED_VALUE"""),"Quiéreme Mientras Se Pueda")</f>
        <v>Quiéreme Mientras Se Pueda</v>
      </c>
      <c r="G2300">
        <f>IFERROR(__xludf.DUMMYFUNCTION("""COMPUTED_VALUE"""),0.0)</f>
        <v>0</v>
      </c>
      <c r="H2300" s="5">
        <f>IFERROR(__xludf.DUMMYFUNCTION("""COMPUTED_VALUE"""),0.13263888888832298)</f>
        <v>0.1326388889</v>
      </c>
    </row>
    <row r="2301">
      <c r="A2301" t="str">
        <f>IFERROR(__xludf.DUMMYFUNCTION("""COMPUTED_VALUE"""),"Peru")</f>
        <v>Peru</v>
      </c>
      <c r="B2301" t="str">
        <f>IFERROR(__xludf.DUMMYFUNCTION("""COMPUTED_VALUE"""),"South America")</f>
        <v>South America</v>
      </c>
      <c r="C2301">
        <f>IFERROR(__xludf.DUMMYFUNCTION("""COMPUTED_VALUE"""),50.0)</f>
        <v>50</v>
      </c>
      <c r="D2301" t="str">
        <f>IFERROR(__xludf.DUMMYFUNCTION("""COMPUTED_VALUE"""),"No Me Conoce - Remix")</f>
        <v>No Me Conoce - Remix</v>
      </c>
      <c r="E2301" t="str">
        <f>IFERROR(__xludf.DUMMYFUNCTION("""COMPUTED_VALUE"""),"Jhay Cortez, J Balvin, Bad Bunny")</f>
        <v>Jhay Cortez, J Balvin, Bad Bunny</v>
      </c>
      <c r="F2301" t="str">
        <f>IFERROR(__xludf.DUMMYFUNCTION("""COMPUTED_VALUE"""),"Famouz")</f>
        <v>Famouz</v>
      </c>
      <c r="G2301">
        <f>IFERROR(__xludf.DUMMYFUNCTION("""COMPUTED_VALUE"""),0.0)</f>
        <v>0</v>
      </c>
      <c r="H2301" s="5">
        <f>IFERROR(__xludf.DUMMYFUNCTION("""COMPUTED_VALUE"""),0.21458333333430346)</f>
        <v>0.2145833333</v>
      </c>
    </row>
    <row r="2302">
      <c r="A2302" t="str">
        <f>IFERROR(__xludf.DUMMYFUNCTION("""COMPUTED_VALUE"""),"Philippines")</f>
        <v>Philippines</v>
      </c>
      <c r="B2302" t="str">
        <f>IFERROR(__xludf.DUMMYFUNCTION("""COMPUTED_VALUE"""),"Asia")</f>
        <v>Asia</v>
      </c>
      <c r="C2302">
        <f>IFERROR(__xludf.DUMMYFUNCTION("""COMPUTED_VALUE"""),1.0)</f>
        <v>1</v>
      </c>
      <c r="D2302" t="str">
        <f>IFERROR(__xludf.DUMMYFUNCTION("""COMPUTED_VALUE"""),"Rain On Me (with Ariana Grande)")</f>
        <v>Rain On Me (with Ariana Grande)</v>
      </c>
      <c r="E2302" t="str">
        <f>IFERROR(__xludf.DUMMYFUNCTION("""COMPUTED_VALUE"""),"Lady Gaga, Ariana Grande")</f>
        <v>Lady Gaga, Ariana Grande</v>
      </c>
      <c r="F2302" t="str">
        <f>IFERROR(__xludf.DUMMYFUNCTION("""COMPUTED_VALUE"""),"Rain On Me (with Ariana Grande)")</f>
        <v>Rain On Me (with Ariana Grande)</v>
      </c>
      <c r="G2302">
        <f>IFERROR(__xludf.DUMMYFUNCTION("""COMPUTED_VALUE"""),0.0)</f>
        <v>0</v>
      </c>
      <c r="H2302" s="5">
        <f>IFERROR(__xludf.DUMMYFUNCTION("""COMPUTED_VALUE"""),0.12638888888977817)</f>
        <v>0.1263888889</v>
      </c>
    </row>
    <row r="2303">
      <c r="A2303" t="str">
        <f>IFERROR(__xludf.DUMMYFUNCTION("""COMPUTED_VALUE"""),"Philippines")</f>
        <v>Philippines</v>
      </c>
      <c r="B2303" t="str">
        <f>IFERROR(__xludf.DUMMYFUNCTION("""COMPUTED_VALUE"""),"Asia")</f>
        <v>Asia</v>
      </c>
      <c r="C2303">
        <f>IFERROR(__xludf.DUMMYFUNCTION("""COMPUTED_VALUE"""),2.0)</f>
        <v>2</v>
      </c>
      <c r="D2303" t="str">
        <f>IFERROR(__xludf.DUMMYFUNCTION("""COMPUTED_VALUE"""),"Teka Lang")</f>
        <v>Teka Lang</v>
      </c>
      <c r="E2303" t="str">
        <f>IFERROR(__xludf.DUMMYFUNCTION("""COMPUTED_VALUE"""),"Emman")</f>
        <v>Emman</v>
      </c>
      <c r="F2303" t="str">
        <f>IFERROR(__xludf.DUMMYFUNCTION("""COMPUTED_VALUE"""),"Teka Lang")</f>
        <v>Teka Lang</v>
      </c>
      <c r="G2303">
        <f>IFERROR(__xludf.DUMMYFUNCTION("""COMPUTED_VALUE"""),0.0)</f>
        <v>0</v>
      </c>
      <c r="H2303" s="5">
        <f>IFERROR(__xludf.DUMMYFUNCTION("""COMPUTED_VALUE"""),0.13611111111094942)</f>
        <v>0.1361111111</v>
      </c>
    </row>
    <row r="2304">
      <c r="A2304" t="str">
        <f>IFERROR(__xludf.DUMMYFUNCTION("""COMPUTED_VALUE"""),"Philippines")</f>
        <v>Philippines</v>
      </c>
      <c r="B2304" t="str">
        <f>IFERROR(__xludf.DUMMYFUNCTION("""COMPUTED_VALUE"""),"Asia")</f>
        <v>Asia</v>
      </c>
      <c r="C2304">
        <f>IFERROR(__xludf.DUMMYFUNCTION("""COMPUTED_VALUE"""),3.0)</f>
        <v>3</v>
      </c>
      <c r="D2304" t="str">
        <f>IFERROR(__xludf.DUMMYFUNCTION("""COMPUTED_VALUE"""),"Stuck with U (with Justin Bieber)")</f>
        <v>Stuck with U (with Justin Bieber)</v>
      </c>
      <c r="E2304" t="str">
        <f>IFERROR(__xludf.DUMMYFUNCTION("""COMPUTED_VALUE"""),"Ariana Grande, Justin Bieber")</f>
        <v>Ariana Grande, Justin Bieber</v>
      </c>
      <c r="F2304" t="str">
        <f>IFERROR(__xludf.DUMMYFUNCTION("""COMPUTED_VALUE"""),"Stuck with U")</f>
        <v>Stuck with U</v>
      </c>
      <c r="G2304">
        <f>IFERROR(__xludf.DUMMYFUNCTION("""COMPUTED_VALUE"""),0.0)</f>
        <v>0</v>
      </c>
      <c r="H2304" s="5">
        <f>IFERROR(__xludf.DUMMYFUNCTION("""COMPUTED_VALUE"""),0.15833333333284827)</f>
        <v>0.1583333333</v>
      </c>
    </row>
    <row r="2305">
      <c r="A2305" t="str">
        <f>IFERROR(__xludf.DUMMYFUNCTION("""COMPUTED_VALUE"""),"Philippines")</f>
        <v>Philippines</v>
      </c>
      <c r="B2305" t="str">
        <f>IFERROR(__xludf.DUMMYFUNCTION("""COMPUTED_VALUE"""),"Asia")</f>
        <v>Asia</v>
      </c>
      <c r="C2305">
        <f>IFERROR(__xludf.DUMMYFUNCTION("""COMPUTED_VALUE"""),4.0)</f>
        <v>4</v>
      </c>
      <c r="D2305" t="str">
        <f>IFERROR(__xludf.DUMMYFUNCTION("""COMPUTED_VALUE"""),"Intentions (feat. Quavo)")</f>
        <v>Intentions (feat. Quavo)</v>
      </c>
      <c r="E2305" t="str">
        <f>IFERROR(__xludf.DUMMYFUNCTION("""COMPUTED_VALUE"""),"Justin Bieber, Quavo")</f>
        <v>Justin Bieber, Quavo</v>
      </c>
      <c r="F2305" t="str">
        <f>IFERROR(__xludf.DUMMYFUNCTION("""COMPUTED_VALUE"""),"Changes")</f>
        <v>Changes</v>
      </c>
      <c r="G2305">
        <f>IFERROR(__xludf.DUMMYFUNCTION("""COMPUTED_VALUE"""),0.0)</f>
        <v>0</v>
      </c>
      <c r="H2305" s="5">
        <f>IFERROR(__xludf.DUMMYFUNCTION("""COMPUTED_VALUE"""),0.14722222222189885)</f>
        <v>0.1472222222</v>
      </c>
    </row>
    <row r="2306">
      <c r="A2306" t="str">
        <f>IFERROR(__xludf.DUMMYFUNCTION("""COMPUTED_VALUE"""),"Philippines")</f>
        <v>Philippines</v>
      </c>
      <c r="B2306" t="str">
        <f>IFERROR(__xludf.DUMMYFUNCTION("""COMPUTED_VALUE"""),"Asia")</f>
        <v>Asia</v>
      </c>
      <c r="C2306">
        <f>IFERROR(__xludf.DUMMYFUNCTION("""COMPUTED_VALUE"""),5.0)</f>
        <v>5</v>
      </c>
      <c r="D2306" t="str">
        <f>IFERROR(__xludf.DUMMYFUNCTION("""COMPUTED_VALUE"""),"Don't Start Now")</f>
        <v>Don't Start Now</v>
      </c>
      <c r="E2306" t="str">
        <f>IFERROR(__xludf.DUMMYFUNCTION("""COMPUTED_VALUE"""),"Dua Lipa")</f>
        <v>Dua Lipa</v>
      </c>
      <c r="F2306" t="str">
        <f>IFERROR(__xludf.DUMMYFUNCTION("""COMPUTED_VALUE"""),"Future Nostalgia")</f>
        <v>Future Nostalgia</v>
      </c>
      <c r="G2306">
        <f>IFERROR(__xludf.DUMMYFUNCTION("""COMPUTED_VALUE"""),0.0)</f>
        <v>0</v>
      </c>
      <c r="H2306" s="5">
        <f>IFERROR(__xludf.DUMMYFUNCTION("""COMPUTED_VALUE"""),0.12708333333284827)</f>
        <v>0.1270833333</v>
      </c>
    </row>
    <row r="2307">
      <c r="A2307" t="str">
        <f>IFERROR(__xludf.DUMMYFUNCTION("""COMPUTED_VALUE"""),"Philippines")</f>
        <v>Philippines</v>
      </c>
      <c r="B2307" t="str">
        <f>IFERROR(__xludf.DUMMYFUNCTION("""COMPUTED_VALUE"""),"Asia")</f>
        <v>Asia</v>
      </c>
      <c r="C2307">
        <f>IFERROR(__xludf.DUMMYFUNCTION("""COMPUTED_VALUE"""),6.0)</f>
        <v>6</v>
      </c>
      <c r="D2307" t="str">
        <f>IFERROR(__xludf.DUMMYFUNCTION("""COMPUTED_VALUE"""),"Sunday Best")</f>
        <v>Sunday Best</v>
      </c>
      <c r="E2307" t="str">
        <f>IFERROR(__xludf.DUMMYFUNCTION("""COMPUTED_VALUE"""),"Surfaces")</f>
        <v>Surfaces</v>
      </c>
      <c r="F2307" t="str">
        <f>IFERROR(__xludf.DUMMYFUNCTION("""COMPUTED_VALUE"""),"Where the Light Is")</f>
        <v>Where the Light Is</v>
      </c>
      <c r="G2307">
        <f>IFERROR(__xludf.DUMMYFUNCTION("""COMPUTED_VALUE"""),0.0)</f>
        <v>0</v>
      </c>
      <c r="H2307" s="5">
        <f>IFERROR(__xludf.DUMMYFUNCTION("""COMPUTED_VALUE"""),0.10972222222335404)</f>
        <v>0.1097222222</v>
      </c>
    </row>
    <row r="2308">
      <c r="A2308" t="str">
        <f>IFERROR(__xludf.DUMMYFUNCTION("""COMPUTED_VALUE"""),"Philippines")</f>
        <v>Philippines</v>
      </c>
      <c r="B2308" t="str">
        <f>IFERROR(__xludf.DUMMYFUNCTION("""COMPUTED_VALUE"""),"Asia")</f>
        <v>Asia</v>
      </c>
      <c r="C2308">
        <f>IFERROR(__xludf.DUMMYFUNCTION("""COMPUTED_VALUE"""),7.0)</f>
        <v>7</v>
      </c>
      <c r="D2308" t="str">
        <f>IFERROR(__xludf.DUMMYFUNCTION("""COMPUTED_VALUE"""),"death bed (coffee for your head) (feat. beabadoobee)")</f>
        <v>death bed (coffee for your head) (feat. beabadoobee)</v>
      </c>
      <c r="E2308" t="str">
        <f>IFERROR(__xludf.DUMMYFUNCTION("""COMPUTED_VALUE"""),"Powfu, beabadoobee")</f>
        <v>Powfu, beabadoobee</v>
      </c>
      <c r="F2308" t="str">
        <f>IFERROR(__xludf.DUMMYFUNCTION("""COMPUTED_VALUE"""),"death bed (coffee for your head) (feat. beabadoobee)")</f>
        <v>death bed (coffee for your head) (feat. beabadoobee)</v>
      </c>
      <c r="G2308">
        <f>IFERROR(__xludf.DUMMYFUNCTION("""COMPUTED_VALUE"""),0.0)</f>
        <v>0</v>
      </c>
      <c r="H2308" s="5">
        <f>IFERROR(__xludf.DUMMYFUNCTION("""COMPUTED_VALUE"""),0.12013888888759539)</f>
        <v>0.1201388889</v>
      </c>
    </row>
    <row r="2309">
      <c r="A2309" t="str">
        <f>IFERROR(__xludf.DUMMYFUNCTION("""COMPUTED_VALUE"""),"Philippines")</f>
        <v>Philippines</v>
      </c>
      <c r="B2309" t="str">
        <f>IFERROR(__xludf.DUMMYFUNCTION("""COMPUTED_VALUE"""),"Asia")</f>
        <v>Asia</v>
      </c>
      <c r="C2309">
        <f>IFERROR(__xludf.DUMMYFUNCTION("""COMPUTED_VALUE"""),8.0)</f>
        <v>8</v>
      </c>
      <c r="D2309" t="str">
        <f>IFERROR(__xludf.DUMMYFUNCTION("""COMPUTED_VALUE"""),"Supalonely")</f>
        <v>Supalonely</v>
      </c>
      <c r="E2309" t="str">
        <f>IFERROR(__xludf.DUMMYFUNCTION("""COMPUTED_VALUE"""),"BENEE, Gus Dapperton")</f>
        <v>BENEE, Gus Dapperton</v>
      </c>
      <c r="F2309" t="str">
        <f>IFERROR(__xludf.DUMMYFUNCTION("""COMPUTED_VALUE"""),"STELLA &amp; STEVE")</f>
        <v>STELLA &amp; STEVE</v>
      </c>
      <c r="G2309">
        <f>IFERROR(__xludf.DUMMYFUNCTION("""COMPUTED_VALUE"""),1.0)</f>
        <v>1</v>
      </c>
      <c r="H2309" s="5">
        <f>IFERROR(__xludf.DUMMYFUNCTION("""COMPUTED_VALUE"""),0.15486111111022183)</f>
        <v>0.1548611111</v>
      </c>
    </row>
    <row r="2310">
      <c r="A2310" t="str">
        <f>IFERROR(__xludf.DUMMYFUNCTION("""COMPUTED_VALUE"""),"Philippines")</f>
        <v>Philippines</v>
      </c>
      <c r="B2310" t="str">
        <f>IFERROR(__xludf.DUMMYFUNCTION("""COMPUTED_VALUE"""),"Asia")</f>
        <v>Asia</v>
      </c>
      <c r="C2310">
        <f>IFERROR(__xludf.DUMMYFUNCTION("""COMPUTED_VALUE"""),9.0)</f>
        <v>9</v>
      </c>
      <c r="D2310" t="str">
        <f>IFERROR(__xludf.DUMMYFUNCTION("""COMPUTED_VALUE"""),"Imahe")</f>
        <v>Imahe</v>
      </c>
      <c r="E2310" t="str">
        <f>IFERROR(__xludf.DUMMYFUNCTION("""COMPUTED_VALUE"""),"Magnus Haven")</f>
        <v>Magnus Haven</v>
      </c>
      <c r="F2310" t="str">
        <f>IFERROR(__xludf.DUMMYFUNCTION("""COMPUTED_VALUE"""),"Imahe")</f>
        <v>Imahe</v>
      </c>
      <c r="G2310">
        <f>IFERROR(__xludf.DUMMYFUNCTION("""COMPUTED_VALUE"""),0.0)</f>
        <v>0</v>
      </c>
      <c r="H2310" s="5">
        <f>IFERROR(__xludf.DUMMYFUNCTION("""COMPUTED_VALUE"""),0.22291666666569654)</f>
        <v>0.2229166667</v>
      </c>
    </row>
    <row r="2311">
      <c r="A2311" t="str">
        <f>IFERROR(__xludf.DUMMYFUNCTION("""COMPUTED_VALUE"""),"Philippines")</f>
        <v>Philippines</v>
      </c>
      <c r="B2311" t="str">
        <f>IFERROR(__xludf.DUMMYFUNCTION("""COMPUTED_VALUE"""),"Asia")</f>
        <v>Asia</v>
      </c>
      <c r="C2311">
        <f>IFERROR(__xludf.DUMMYFUNCTION("""COMPUTED_VALUE"""),10.0)</f>
        <v>10</v>
      </c>
      <c r="D2311" t="str">
        <f>IFERROR(__xludf.DUMMYFUNCTION("""COMPUTED_VALUE"""),"Beautiful Scars")</f>
        <v>Beautiful Scars</v>
      </c>
      <c r="E2311" t="str">
        <f>IFERROR(__xludf.DUMMYFUNCTION("""COMPUTED_VALUE"""),"Maximillian")</f>
        <v>Maximillian</v>
      </c>
      <c r="F2311" t="str">
        <f>IFERROR(__xludf.DUMMYFUNCTION("""COMPUTED_VALUE"""),"Beautiful Scars")</f>
        <v>Beautiful Scars</v>
      </c>
      <c r="G2311">
        <f>IFERROR(__xludf.DUMMYFUNCTION("""COMPUTED_VALUE"""),0.0)</f>
        <v>0</v>
      </c>
      <c r="H2311" s="5">
        <f>IFERROR(__xludf.DUMMYFUNCTION("""COMPUTED_VALUE"""),0.13472222222117125)</f>
        <v>0.1347222222</v>
      </c>
    </row>
    <row r="2312">
      <c r="A2312" t="str">
        <f>IFERROR(__xludf.DUMMYFUNCTION("""COMPUTED_VALUE"""),"Philippines")</f>
        <v>Philippines</v>
      </c>
      <c r="B2312" t="str">
        <f>IFERROR(__xludf.DUMMYFUNCTION("""COMPUTED_VALUE"""),"Asia")</f>
        <v>Asia</v>
      </c>
      <c r="C2312">
        <f>IFERROR(__xludf.DUMMYFUNCTION("""COMPUTED_VALUE"""),11.0)</f>
        <v>11</v>
      </c>
      <c r="D2312" t="str">
        <f>IFERROR(__xludf.DUMMYFUNCTION("""COMPUTED_VALUE"""),"Someone You Loved")</f>
        <v>Someone You Loved</v>
      </c>
      <c r="E2312" t="str">
        <f>IFERROR(__xludf.DUMMYFUNCTION("""COMPUTED_VALUE"""),"Lewis Capaldi")</f>
        <v>Lewis Capaldi</v>
      </c>
      <c r="F2312" t="str">
        <f>IFERROR(__xludf.DUMMYFUNCTION("""COMPUTED_VALUE"""),"Divinely Uninspired To A Hellish Extent")</f>
        <v>Divinely Uninspired To A Hellish Extent</v>
      </c>
      <c r="G2312">
        <f>IFERROR(__xludf.DUMMYFUNCTION("""COMPUTED_VALUE"""),0.0)</f>
        <v>0</v>
      </c>
      <c r="H2312" s="5">
        <f>IFERROR(__xludf.DUMMYFUNCTION("""COMPUTED_VALUE"""),0.12638888888977817)</f>
        <v>0.1263888889</v>
      </c>
    </row>
    <row r="2313">
      <c r="A2313" t="str">
        <f>IFERROR(__xludf.DUMMYFUNCTION("""COMPUTED_VALUE"""),"Philippines")</f>
        <v>Philippines</v>
      </c>
      <c r="B2313" t="str">
        <f>IFERROR(__xludf.DUMMYFUNCTION("""COMPUTED_VALUE"""),"Asia")</f>
        <v>Asia</v>
      </c>
      <c r="C2313">
        <f>IFERROR(__xludf.DUMMYFUNCTION("""COMPUTED_VALUE"""),12.0)</f>
        <v>12</v>
      </c>
      <c r="D2313" t="str">
        <f>IFERROR(__xludf.DUMMYFUNCTION("""COMPUTED_VALUE"""),"Malayo Ka Man")</f>
        <v>Malayo Ka Man</v>
      </c>
      <c r="E2313" t="str">
        <f>IFERROR(__xludf.DUMMYFUNCTION("""COMPUTED_VALUE"""),"Jr Crown, Kath, Cyclone, Young Weezy")</f>
        <v>Jr Crown, Kath, Cyclone, Young Weezy</v>
      </c>
      <c r="F2313" t="str">
        <f>IFERROR(__xludf.DUMMYFUNCTION("""COMPUTED_VALUE"""),"Malayo Ka Man")</f>
        <v>Malayo Ka Man</v>
      </c>
      <c r="G2313">
        <f>IFERROR(__xludf.DUMMYFUNCTION("""COMPUTED_VALUE"""),0.0)</f>
        <v>0</v>
      </c>
      <c r="H2313" s="5">
        <f>IFERROR(__xludf.DUMMYFUNCTION("""COMPUTED_VALUE"""),0.17638888888905058)</f>
        <v>0.1763888889</v>
      </c>
    </row>
    <row r="2314">
      <c r="A2314" t="str">
        <f>IFERROR(__xludf.DUMMYFUNCTION("""COMPUTED_VALUE"""),"Philippines")</f>
        <v>Philippines</v>
      </c>
      <c r="B2314" t="str">
        <f>IFERROR(__xludf.DUMMYFUNCTION("""COMPUTED_VALUE"""),"Asia")</f>
        <v>Asia</v>
      </c>
      <c r="C2314">
        <f>IFERROR(__xludf.DUMMYFUNCTION("""COMPUTED_VALUE"""),13.0)</f>
        <v>13</v>
      </c>
      <c r="D2314" t="str">
        <f>IFERROR(__xludf.DUMMYFUNCTION("""COMPUTED_VALUE"""),"Toosie Slide")</f>
        <v>Toosie Slide</v>
      </c>
      <c r="E2314" t="str">
        <f>IFERROR(__xludf.DUMMYFUNCTION("""COMPUTED_VALUE"""),"Drake")</f>
        <v>Drake</v>
      </c>
      <c r="F2314" t="str">
        <f>IFERROR(__xludf.DUMMYFUNCTION("""COMPUTED_VALUE"""),"Dark Lane Demo Tapes")</f>
        <v>Dark Lane Demo Tapes</v>
      </c>
      <c r="G2314">
        <f>IFERROR(__xludf.DUMMYFUNCTION("""COMPUTED_VALUE"""),1.0)</f>
        <v>1</v>
      </c>
      <c r="H2314" s="5">
        <f>IFERROR(__xludf.DUMMYFUNCTION("""COMPUTED_VALUE"""),0.17152777777664596)</f>
        <v>0.1715277778</v>
      </c>
    </row>
    <row r="2315">
      <c r="A2315" t="str">
        <f>IFERROR(__xludf.DUMMYFUNCTION("""COMPUTED_VALUE"""),"Philippines")</f>
        <v>Philippines</v>
      </c>
      <c r="B2315" t="str">
        <f>IFERROR(__xludf.DUMMYFUNCTION("""COMPUTED_VALUE"""),"Asia")</f>
        <v>Asia</v>
      </c>
      <c r="C2315">
        <f>IFERROR(__xludf.DUMMYFUNCTION("""COMPUTED_VALUE"""),14.0)</f>
        <v>14</v>
      </c>
      <c r="D2315" t="str">
        <f>IFERROR(__xludf.DUMMYFUNCTION("""COMPUTED_VALUE"""),"Like That (feat. Gucci Mane)")</f>
        <v>Like That (feat. Gucci Mane)</v>
      </c>
      <c r="E2315" t="str">
        <f>IFERROR(__xludf.DUMMYFUNCTION("""COMPUTED_VALUE"""),"Doja Cat, Gucci Mane")</f>
        <v>Doja Cat, Gucci Mane</v>
      </c>
      <c r="F2315" t="str">
        <f>IFERROR(__xludf.DUMMYFUNCTION("""COMPUTED_VALUE"""),"Hot Pink")</f>
        <v>Hot Pink</v>
      </c>
      <c r="G2315">
        <f>IFERROR(__xludf.DUMMYFUNCTION("""COMPUTED_VALUE"""),1.0)</f>
        <v>1</v>
      </c>
      <c r="H2315" s="5">
        <f>IFERROR(__xludf.DUMMYFUNCTION("""COMPUTED_VALUE"""),0.11319444444598048)</f>
        <v>0.1131944444</v>
      </c>
    </row>
    <row r="2316">
      <c r="A2316" t="str">
        <f>IFERROR(__xludf.DUMMYFUNCTION("""COMPUTED_VALUE"""),"Philippines")</f>
        <v>Philippines</v>
      </c>
      <c r="B2316" t="str">
        <f>IFERROR(__xludf.DUMMYFUNCTION("""COMPUTED_VALUE"""),"Asia")</f>
        <v>Asia</v>
      </c>
      <c r="C2316">
        <f>IFERROR(__xludf.DUMMYFUNCTION("""COMPUTED_VALUE"""),15.0)</f>
        <v>15</v>
      </c>
      <c r="D2316" t="str">
        <f>IFERROR(__xludf.DUMMYFUNCTION("""COMPUTED_VALUE"""),"Say So (feat. Nicki Minaj)")</f>
        <v>Say So (feat. Nicki Minaj)</v>
      </c>
      <c r="E2316" t="str">
        <f>IFERROR(__xludf.DUMMYFUNCTION("""COMPUTED_VALUE"""),"Doja Cat, Nicki Minaj")</f>
        <v>Doja Cat, Nicki Minaj</v>
      </c>
      <c r="F2316" t="str">
        <f>IFERROR(__xludf.DUMMYFUNCTION("""COMPUTED_VALUE"""),"Say So (feat. Nicki Minaj)")</f>
        <v>Say So (feat. Nicki Minaj)</v>
      </c>
      <c r="G2316">
        <f>IFERROR(__xludf.DUMMYFUNCTION("""COMPUTED_VALUE"""),1.0)</f>
        <v>1</v>
      </c>
      <c r="H2316" s="5">
        <f>IFERROR(__xludf.DUMMYFUNCTION("""COMPUTED_VALUE"""),0.1430555555562023)</f>
        <v>0.1430555556</v>
      </c>
    </row>
    <row r="2317">
      <c r="A2317" t="str">
        <f>IFERROR(__xludf.DUMMYFUNCTION("""COMPUTED_VALUE"""),"Philippines")</f>
        <v>Philippines</v>
      </c>
      <c r="B2317" t="str">
        <f>IFERROR(__xludf.DUMMYFUNCTION("""COMPUTED_VALUE"""),"Asia")</f>
        <v>Asia</v>
      </c>
      <c r="C2317">
        <f>IFERROR(__xludf.DUMMYFUNCTION("""COMPUTED_VALUE"""),16.0)</f>
        <v>16</v>
      </c>
      <c r="D2317" t="str">
        <f>IFERROR(__xludf.DUMMYFUNCTION("""COMPUTED_VALUE"""),"Make It With You")</f>
        <v>Make It With You</v>
      </c>
      <c r="E2317" t="str">
        <f>IFERROR(__xludf.DUMMYFUNCTION("""COMPUTED_VALUE"""),"Ben&amp;Ben")</f>
        <v>Ben&amp;Ben</v>
      </c>
      <c r="F2317" t="str">
        <f>IFERROR(__xludf.DUMMYFUNCTION("""COMPUTED_VALUE"""),"Make It With You")</f>
        <v>Make It With You</v>
      </c>
      <c r="G2317">
        <f>IFERROR(__xludf.DUMMYFUNCTION("""COMPUTED_VALUE"""),0.0)</f>
        <v>0</v>
      </c>
      <c r="H2317" s="5">
        <f>IFERROR(__xludf.DUMMYFUNCTION("""COMPUTED_VALUE"""),0.14513888888905058)</f>
        <v>0.1451388889</v>
      </c>
    </row>
    <row r="2318">
      <c r="A2318" t="str">
        <f>IFERROR(__xludf.DUMMYFUNCTION("""COMPUTED_VALUE"""),"Philippines")</f>
        <v>Philippines</v>
      </c>
      <c r="B2318" t="str">
        <f>IFERROR(__xludf.DUMMYFUNCTION("""COMPUTED_VALUE"""),"Asia")</f>
        <v>Asia</v>
      </c>
      <c r="C2318">
        <f>IFERROR(__xludf.DUMMYFUNCTION("""COMPUTED_VALUE"""),17.0)</f>
        <v>17</v>
      </c>
      <c r="D2318" t="str">
        <f>IFERROR(__xludf.DUMMYFUNCTION("""COMPUTED_VALUE"""),"Break My Heart")</f>
        <v>Break My Heart</v>
      </c>
      <c r="E2318" t="str">
        <f>IFERROR(__xludf.DUMMYFUNCTION("""COMPUTED_VALUE"""),"Dua Lipa")</f>
        <v>Dua Lipa</v>
      </c>
      <c r="F2318" t="str">
        <f>IFERROR(__xludf.DUMMYFUNCTION("""COMPUTED_VALUE"""),"Future Nostalgia")</f>
        <v>Future Nostalgia</v>
      </c>
      <c r="G2318">
        <f>IFERROR(__xludf.DUMMYFUNCTION("""COMPUTED_VALUE"""),0.0)</f>
        <v>0</v>
      </c>
      <c r="H2318" s="5">
        <f>IFERROR(__xludf.DUMMYFUNCTION("""COMPUTED_VALUE"""),0.15347222222044365)</f>
        <v>0.1534722222</v>
      </c>
    </row>
    <row r="2319">
      <c r="A2319" t="str">
        <f>IFERROR(__xludf.DUMMYFUNCTION("""COMPUTED_VALUE"""),"Philippines")</f>
        <v>Philippines</v>
      </c>
      <c r="B2319" t="str">
        <f>IFERROR(__xludf.DUMMYFUNCTION("""COMPUTED_VALUE"""),"Asia")</f>
        <v>Asia</v>
      </c>
      <c r="C2319">
        <f>IFERROR(__xludf.DUMMYFUNCTION("""COMPUTED_VALUE"""),18.0)</f>
        <v>18</v>
      </c>
      <c r="D2319" t="str">
        <f>IFERROR(__xludf.DUMMYFUNCTION("""COMPUTED_VALUE"""),"10,000 Hours (with Justin Bieber)")</f>
        <v>10,000 Hours (with Justin Bieber)</v>
      </c>
      <c r="E2319" t="str">
        <f>IFERROR(__xludf.DUMMYFUNCTION("""COMPUTED_VALUE"""),"Dan + Shay, Justin Bieber")</f>
        <v>Dan + Shay, Justin Bieber</v>
      </c>
      <c r="F2319" t="str">
        <f>IFERROR(__xludf.DUMMYFUNCTION("""COMPUTED_VALUE"""),"10,000 Hours (with Justin Bieber)")</f>
        <v>10,000 Hours (with Justin Bieber)</v>
      </c>
      <c r="G2319">
        <f>IFERROR(__xludf.DUMMYFUNCTION("""COMPUTED_VALUE"""),0.0)</f>
        <v>0</v>
      </c>
      <c r="H2319" s="5">
        <f>IFERROR(__xludf.DUMMYFUNCTION("""COMPUTED_VALUE"""),0.11597222222189885)</f>
        <v>0.1159722222</v>
      </c>
    </row>
    <row r="2320">
      <c r="A2320" t="str">
        <f>IFERROR(__xludf.DUMMYFUNCTION("""COMPUTED_VALUE"""),"Philippines")</f>
        <v>Philippines</v>
      </c>
      <c r="B2320" t="str">
        <f>IFERROR(__xludf.DUMMYFUNCTION("""COMPUTED_VALUE"""),"Asia")</f>
        <v>Asia</v>
      </c>
      <c r="C2320">
        <f>IFERROR(__xludf.DUMMYFUNCTION("""COMPUTED_VALUE"""),19.0)</f>
        <v>19</v>
      </c>
      <c r="D2320" t="str">
        <f>IFERROR(__xludf.DUMMYFUNCTION("""COMPUTED_VALUE"""),"eight(Prod.&amp;Feat. SUGA of BTS)")</f>
        <v>eight(Prod.&amp;Feat. SUGA of BTS)</v>
      </c>
      <c r="E2320" t="str">
        <f>IFERROR(__xludf.DUMMYFUNCTION("""COMPUTED_VALUE"""),"IU, SUGA")</f>
        <v>IU, SUGA</v>
      </c>
      <c r="F2320" t="str">
        <f>IFERROR(__xludf.DUMMYFUNCTION("""COMPUTED_VALUE"""),"eight")</f>
        <v>eight</v>
      </c>
      <c r="G2320">
        <f>IFERROR(__xludf.DUMMYFUNCTION("""COMPUTED_VALUE"""),0.0)</f>
        <v>0</v>
      </c>
      <c r="H2320" s="5">
        <f>IFERROR(__xludf.DUMMYFUNCTION("""COMPUTED_VALUE"""),0.11597222222189885)</f>
        <v>0.1159722222</v>
      </c>
    </row>
    <row r="2321">
      <c r="A2321" t="str">
        <f>IFERROR(__xludf.DUMMYFUNCTION("""COMPUTED_VALUE"""),"Philippines")</f>
        <v>Philippines</v>
      </c>
      <c r="B2321" t="str">
        <f>IFERROR(__xludf.DUMMYFUNCTION("""COMPUTED_VALUE"""),"Asia")</f>
        <v>Asia</v>
      </c>
      <c r="C2321">
        <f>IFERROR(__xludf.DUMMYFUNCTION("""COMPUTED_VALUE"""),20.0)</f>
        <v>20</v>
      </c>
      <c r="D2321" t="str">
        <f>IFERROR(__xludf.DUMMYFUNCTION("""COMPUTED_VALUE"""),"Savage Remix (feat. Beyoncé)")</f>
        <v>Savage Remix (feat. Beyoncé)</v>
      </c>
      <c r="E2321" t="str">
        <f>IFERROR(__xludf.DUMMYFUNCTION("""COMPUTED_VALUE"""),"Megan Thee Stallion, Beyoncé")</f>
        <v>Megan Thee Stallion, Beyoncé</v>
      </c>
      <c r="F2321" t="str">
        <f>IFERROR(__xludf.DUMMYFUNCTION("""COMPUTED_VALUE"""),"Savage Remix (feat. Beyoncé)")</f>
        <v>Savage Remix (feat. Beyoncé)</v>
      </c>
      <c r="G2321">
        <f>IFERROR(__xludf.DUMMYFUNCTION("""COMPUTED_VALUE"""),1.0)</f>
        <v>1</v>
      </c>
      <c r="H2321" s="5">
        <f>IFERROR(__xludf.DUMMYFUNCTION("""COMPUTED_VALUE"""),0.16805555555401952)</f>
        <v>0.1680555556</v>
      </c>
    </row>
    <row r="2322">
      <c r="A2322" t="str">
        <f>IFERROR(__xludf.DUMMYFUNCTION("""COMPUTED_VALUE"""),"Philippines")</f>
        <v>Philippines</v>
      </c>
      <c r="B2322" t="str">
        <f>IFERROR(__xludf.DUMMYFUNCTION("""COMPUTED_VALUE"""),"Asia")</f>
        <v>Asia</v>
      </c>
      <c r="C2322">
        <f>IFERROR(__xludf.DUMMYFUNCTION("""COMPUTED_VALUE"""),21.0)</f>
        <v>21</v>
      </c>
      <c r="D2322" t="str">
        <f>IFERROR(__xludf.DUMMYFUNCTION("""COMPUTED_VALUE"""),"Dance Monkey")</f>
        <v>Dance Monkey</v>
      </c>
      <c r="E2322" t="str">
        <f>IFERROR(__xludf.DUMMYFUNCTION("""COMPUTED_VALUE"""),"Tones And I")</f>
        <v>Tones And I</v>
      </c>
      <c r="F2322" t="str">
        <f>IFERROR(__xludf.DUMMYFUNCTION("""COMPUTED_VALUE"""),"Dance Monkey (Stripped Back) / Dance Monkey")</f>
        <v>Dance Monkey (Stripped Back) / Dance Monkey</v>
      </c>
      <c r="G2322">
        <f>IFERROR(__xludf.DUMMYFUNCTION("""COMPUTED_VALUE"""),0.0)</f>
        <v>0</v>
      </c>
      <c r="H2322" s="5">
        <f>IFERROR(__xludf.DUMMYFUNCTION("""COMPUTED_VALUE"""),0.14513888888905058)</f>
        <v>0.1451388889</v>
      </c>
    </row>
    <row r="2323">
      <c r="A2323" t="str">
        <f>IFERROR(__xludf.DUMMYFUNCTION("""COMPUTED_VALUE"""),"Philippines")</f>
        <v>Philippines</v>
      </c>
      <c r="B2323" t="str">
        <f>IFERROR(__xludf.DUMMYFUNCTION("""COMPUTED_VALUE"""),"Asia")</f>
        <v>Asia</v>
      </c>
      <c r="C2323">
        <f>IFERROR(__xludf.DUMMYFUNCTION("""COMPUTED_VALUE"""),22.0)</f>
        <v>22</v>
      </c>
      <c r="D2323" t="str">
        <f>IFERROR(__xludf.DUMMYFUNCTION("""COMPUTED_VALUE"""),"Sa Susunod na Habang Buhay")</f>
        <v>Sa Susunod na Habang Buhay</v>
      </c>
      <c r="E2323" t="str">
        <f>IFERROR(__xludf.DUMMYFUNCTION("""COMPUTED_VALUE"""),"Ben&amp;Ben")</f>
        <v>Ben&amp;Ben</v>
      </c>
      <c r="F2323" t="str">
        <f>IFERROR(__xludf.DUMMYFUNCTION("""COMPUTED_VALUE"""),"Sa Susunod na Habang Buhay")</f>
        <v>Sa Susunod na Habang Buhay</v>
      </c>
      <c r="G2323">
        <f>IFERROR(__xludf.DUMMYFUNCTION("""COMPUTED_VALUE"""),0.0)</f>
        <v>0</v>
      </c>
      <c r="H2323" s="5">
        <f>IFERROR(__xludf.DUMMYFUNCTION("""COMPUTED_VALUE"""),0.2000000000007276)</f>
        <v>0.2</v>
      </c>
    </row>
    <row r="2324">
      <c r="A2324" t="str">
        <f>IFERROR(__xludf.DUMMYFUNCTION("""COMPUTED_VALUE"""),"Philippines")</f>
        <v>Philippines</v>
      </c>
      <c r="B2324" t="str">
        <f>IFERROR(__xludf.DUMMYFUNCTION("""COMPUTED_VALUE"""),"Asia")</f>
        <v>Asia</v>
      </c>
      <c r="C2324">
        <f>IFERROR(__xludf.DUMMYFUNCTION("""COMPUTED_VALUE"""),23.0)</f>
        <v>23</v>
      </c>
      <c r="D2324" t="str">
        <f>IFERROR(__xludf.DUMMYFUNCTION("""COMPUTED_VALUE"""),"Circles")</f>
        <v>Circles</v>
      </c>
      <c r="E2324" t="str">
        <f>IFERROR(__xludf.DUMMYFUNCTION("""COMPUTED_VALUE"""),"Post Malone")</f>
        <v>Post Malone</v>
      </c>
      <c r="F2324" t="str">
        <f>IFERROR(__xludf.DUMMYFUNCTION("""COMPUTED_VALUE"""),"Hollywood's Bleeding")</f>
        <v>Hollywood's Bleeding</v>
      </c>
      <c r="G2324">
        <f>IFERROR(__xludf.DUMMYFUNCTION("""COMPUTED_VALUE"""),0.0)</f>
        <v>0</v>
      </c>
      <c r="H2324" s="5">
        <f>IFERROR(__xludf.DUMMYFUNCTION("""COMPUTED_VALUE"""),0.14930555555474712)</f>
        <v>0.1493055556</v>
      </c>
    </row>
    <row r="2325">
      <c r="A2325" t="str">
        <f>IFERROR(__xludf.DUMMYFUNCTION("""COMPUTED_VALUE"""),"Philippines")</f>
        <v>Philippines</v>
      </c>
      <c r="B2325" t="str">
        <f>IFERROR(__xludf.DUMMYFUNCTION("""COMPUTED_VALUE"""),"Asia")</f>
        <v>Asia</v>
      </c>
      <c r="C2325">
        <f>IFERROR(__xludf.DUMMYFUNCTION("""COMPUTED_VALUE"""),24.0)</f>
        <v>24</v>
      </c>
      <c r="D2325" t="str">
        <f>IFERROR(__xludf.DUMMYFUNCTION("""COMPUTED_VALUE"""),"Make You Mine")</f>
        <v>Make You Mine</v>
      </c>
      <c r="E2325" t="str">
        <f>IFERROR(__xludf.DUMMYFUNCTION("""COMPUTED_VALUE"""),"PUBLIC")</f>
        <v>PUBLIC</v>
      </c>
      <c r="F2325" t="str">
        <f>IFERROR(__xludf.DUMMYFUNCTION("""COMPUTED_VALUE"""),"Make You Mine")</f>
        <v>Make You Mine</v>
      </c>
      <c r="G2325">
        <f>IFERROR(__xludf.DUMMYFUNCTION("""COMPUTED_VALUE"""),0.0)</f>
        <v>0</v>
      </c>
      <c r="H2325" s="5">
        <f>IFERROR(__xludf.DUMMYFUNCTION("""COMPUTED_VALUE"""),0.16111111111240461)</f>
        <v>0.1611111111</v>
      </c>
    </row>
    <row r="2326">
      <c r="A2326" t="str">
        <f>IFERROR(__xludf.DUMMYFUNCTION("""COMPUTED_VALUE"""),"Philippines")</f>
        <v>Philippines</v>
      </c>
      <c r="B2326" t="str">
        <f>IFERROR(__xludf.DUMMYFUNCTION("""COMPUTED_VALUE"""),"Asia")</f>
        <v>Asia</v>
      </c>
      <c r="C2326">
        <f>IFERROR(__xludf.DUMMYFUNCTION("""COMPUTED_VALUE"""),25.0)</f>
        <v>25</v>
      </c>
      <c r="D2326" t="str">
        <f>IFERROR(__xludf.DUMMYFUNCTION("""COMPUTED_VALUE"""),"Blinding Lights")</f>
        <v>Blinding Lights</v>
      </c>
      <c r="E2326" t="str">
        <f>IFERROR(__xludf.DUMMYFUNCTION("""COMPUTED_VALUE"""),"The Weeknd")</f>
        <v>The Weeknd</v>
      </c>
      <c r="F2326" t="str">
        <f>IFERROR(__xludf.DUMMYFUNCTION("""COMPUTED_VALUE"""),"After Hours")</f>
        <v>After Hours</v>
      </c>
      <c r="G2326">
        <f>IFERROR(__xludf.DUMMYFUNCTION("""COMPUTED_VALUE"""),0.0)</f>
        <v>0</v>
      </c>
      <c r="H2326" s="5">
        <f>IFERROR(__xludf.DUMMYFUNCTION("""COMPUTED_VALUE"""),0.13888888889050577)</f>
        <v>0.1388888889</v>
      </c>
    </row>
    <row r="2327">
      <c r="A2327" t="str">
        <f>IFERROR(__xludf.DUMMYFUNCTION("""COMPUTED_VALUE"""),"Philippines")</f>
        <v>Philippines</v>
      </c>
      <c r="B2327" t="str">
        <f>IFERROR(__xludf.DUMMYFUNCTION("""COMPUTED_VALUE"""),"Asia")</f>
        <v>Asia</v>
      </c>
      <c r="C2327">
        <f>IFERROR(__xludf.DUMMYFUNCTION("""COMPUTED_VALUE"""),26.0)</f>
        <v>26</v>
      </c>
      <c r="D2327" t="str">
        <f>IFERROR(__xludf.DUMMYFUNCTION("""COMPUTED_VALUE"""),"Hindi Tayo Pwede")</f>
        <v>Hindi Tayo Pwede</v>
      </c>
      <c r="E2327" t="str">
        <f>IFERROR(__xludf.DUMMYFUNCTION("""COMPUTED_VALUE"""),"The Juans")</f>
        <v>The Juans</v>
      </c>
      <c r="F2327" t="str">
        <f>IFERROR(__xludf.DUMMYFUNCTION("""COMPUTED_VALUE"""),"Umaga")</f>
        <v>Umaga</v>
      </c>
      <c r="G2327">
        <f>IFERROR(__xludf.DUMMYFUNCTION("""COMPUTED_VALUE"""),0.0)</f>
        <v>0</v>
      </c>
      <c r="H2327" s="5">
        <f>IFERROR(__xludf.DUMMYFUNCTION("""COMPUTED_VALUE"""),0.21041666666496894)</f>
        <v>0.2104166667</v>
      </c>
    </row>
    <row r="2328">
      <c r="A2328" t="str">
        <f>IFERROR(__xludf.DUMMYFUNCTION("""COMPUTED_VALUE"""),"Philippines")</f>
        <v>Philippines</v>
      </c>
      <c r="B2328" t="str">
        <f>IFERROR(__xludf.DUMMYFUNCTION("""COMPUTED_VALUE"""),"Asia")</f>
        <v>Asia</v>
      </c>
      <c r="C2328">
        <f>IFERROR(__xludf.DUMMYFUNCTION("""COMPUTED_VALUE"""),27.0)</f>
        <v>27</v>
      </c>
      <c r="D2328" t="str">
        <f>IFERROR(__xludf.DUMMYFUNCTION("""COMPUTED_VALUE"""),"ily (i love you baby) (feat. Emilee)")</f>
        <v>ily (i love you baby) (feat. Emilee)</v>
      </c>
      <c r="E2328" t="str">
        <f>IFERROR(__xludf.DUMMYFUNCTION("""COMPUTED_VALUE"""),"Surf Mesa, Emilee")</f>
        <v>Surf Mesa, Emilee</v>
      </c>
      <c r="F2328" t="str">
        <f>IFERROR(__xludf.DUMMYFUNCTION("""COMPUTED_VALUE"""),"ily (i love you baby) (feat. Emilee)")</f>
        <v>ily (i love you baby) (feat. Emilee)</v>
      </c>
      <c r="G2328">
        <f>IFERROR(__xludf.DUMMYFUNCTION("""COMPUTED_VALUE"""),0.0)</f>
        <v>0</v>
      </c>
      <c r="H2328" s="5">
        <f>IFERROR(__xludf.DUMMYFUNCTION("""COMPUTED_VALUE"""),0.12222222222044365)</f>
        <v>0.1222222222</v>
      </c>
    </row>
    <row r="2329">
      <c r="A2329" t="str">
        <f>IFERROR(__xludf.DUMMYFUNCTION("""COMPUTED_VALUE"""),"Philippines")</f>
        <v>Philippines</v>
      </c>
      <c r="B2329" t="str">
        <f>IFERROR(__xludf.DUMMYFUNCTION("""COMPUTED_VALUE"""),"Asia")</f>
        <v>Asia</v>
      </c>
      <c r="C2329">
        <f>IFERROR(__xludf.DUMMYFUNCTION("""COMPUTED_VALUE"""),28.0)</f>
        <v>28</v>
      </c>
      <c r="D2329" t="str">
        <f>IFERROR(__xludf.DUMMYFUNCTION("""COMPUTED_VALUE"""),"Kathang Isip")</f>
        <v>Kathang Isip</v>
      </c>
      <c r="E2329" t="str">
        <f>IFERROR(__xludf.DUMMYFUNCTION("""COMPUTED_VALUE"""),"Ben&amp;Ben")</f>
        <v>Ben&amp;Ben</v>
      </c>
      <c r="F2329" t="str">
        <f>IFERROR(__xludf.DUMMYFUNCTION("""COMPUTED_VALUE"""),"Kathang Isip")</f>
        <v>Kathang Isip</v>
      </c>
      <c r="G2329">
        <f>IFERROR(__xludf.DUMMYFUNCTION("""COMPUTED_VALUE"""),0.0)</f>
        <v>0</v>
      </c>
      <c r="H2329" s="5">
        <f>IFERROR(__xludf.DUMMYFUNCTION("""COMPUTED_VALUE"""),0.22083333333284827)</f>
        <v>0.2208333333</v>
      </c>
    </row>
    <row r="2330">
      <c r="A2330" t="str">
        <f>IFERROR(__xludf.DUMMYFUNCTION("""COMPUTED_VALUE"""),"Philippines")</f>
        <v>Philippines</v>
      </c>
      <c r="B2330" t="str">
        <f>IFERROR(__xludf.DUMMYFUNCTION("""COMPUTED_VALUE"""),"Asia")</f>
        <v>Asia</v>
      </c>
      <c r="C2330">
        <f>IFERROR(__xludf.DUMMYFUNCTION("""COMPUTED_VALUE"""),29.0)</f>
        <v>29</v>
      </c>
      <c r="D2330" t="str">
        <f>IFERROR(__xludf.DUMMYFUNCTION("""COMPUTED_VALUE"""),"Vibe With Me")</f>
        <v>Vibe With Me</v>
      </c>
      <c r="E2330" t="str">
        <f>IFERROR(__xludf.DUMMYFUNCTION("""COMPUTED_VALUE"""),"Matthaios, Lonezo")</f>
        <v>Matthaios, Lonezo</v>
      </c>
      <c r="F2330" t="str">
        <f>IFERROR(__xludf.DUMMYFUNCTION("""COMPUTED_VALUE"""),"Vibe With Me")</f>
        <v>Vibe With Me</v>
      </c>
      <c r="G2330">
        <f>IFERROR(__xludf.DUMMYFUNCTION("""COMPUTED_VALUE"""),1.0)</f>
        <v>1</v>
      </c>
      <c r="H2330" s="5">
        <f>IFERROR(__xludf.DUMMYFUNCTION("""COMPUTED_VALUE"""),0.09652777777955635)</f>
        <v>0.09652777778</v>
      </c>
    </row>
    <row r="2331">
      <c r="A2331" t="str">
        <f>IFERROR(__xludf.DUMMYFUNCTION("""COMPUTED_VALUE"""),"Philippines")</f>
        <v>Philippines</v>
      </c>
      <c r="B2331" t="str">
        <f>IFERROR(__xludf.DUMMYFUNCTION("""COMPUTED_VALUE"""),"Asia")</f>
        <v>Asia</v>
      </c>
      <c r="C2331">
        <f>IFERROR(__xludf.DUMMYFUNCTION("""COMPUTED_VALUE"""),30.0)</f>
        <v>30</v>
      </c>
      <c r="D2331" t="str">
        <f>IFERROR(__xludf.DUMMYFUNCTION("""COMPUTED_VALUE"""),"Araw-Araw Love")</f>
        <v>Araw-Araw Love</v>
      </c>
      <c r="E2331" t="str">
        <f>IFERROR(__xludf.DUMMYFUNCTION("""COMPUTED_VALUE"""),"Flow G")</f>
        <v>Flow G</v>
      </c>
      <c r="F2331" t="str">
        <f>IFERROR(__xludf.DUMMYFUNCTION("""COMPUTED_VALUE"""),"Araw-Araw Love")</f>
        <v>Araw-Araw Love</v>
      </c>
      <c r="G2331">
        <f>IFERROR(__xludf.DUMMYFUNCTION("""COMPUTED_VALUE"""),0.0)</f>
        <v>0</v>
      </c>
      <c r="H2331" s="5">
        <f>IFERROR(__xludf.DUMMYFUNCTION("""COMPUTED_VALUE"""),0.14652777777882875)</f>
        <v>0.1465277778</v>
      </c>
    </row>
    <row r="2332">
      <c r="A2332" t="str">
        <f>IFERROR(__xludf.DUMMYFUNCTION("""COMPUTED_VALUE"""),"Philippines")</f>
        <v>Philippines</v>
      </c>
      <c r="B2332" t="str">
        <f>IFERROR(__xludf.DUMMYFUNCTION("""COMPUTED_VALUE"""),"Asia")</f>
        <v>Asia</v>
      </c>
      <c r="C2332">
        <f>IFERROR(__xludf.DUMMYFUNCTION("""COMPUTED_VALUE"""),31.0)</f>
        <v>31</v>
      </c>
      <c r="D2332" t="str">
        <f>IFERROR(__xludf.DUMMYFUNCTION("""COMPUTED_VALUE"""),"Binibini")</f>
        <v>Binibini</v>
      </c>
      <c r="E2332" t="str">
        <f>IFERROR(__xludf.DUMMYFUNCTION("""COMPUTED_VALUE"""),"Matthaios, Calvin De Leon")</f>
        <v>Matthaios, Calvin De Leon</v>
      </c>
      <c r="F2332" t="str">
        <f>IFERROR(__xludf.DUMMYFUNCTION("""COMPUTED_VALUE"""),"Binibini")</f>
        <v>Binibini</v>
      </c>
      <c r="G2332">
        <f>IFERROR(__xludf.DUMMYFUNCTION("""COMPUTED_VALUE"""),0.0)</f>
        <v>0</v>
      </c>
      <c r="H2332" s="5">
        <f>IFERROR(__xludf.DUMMYFUNCTION("""COMPUTED_VALUE"""),0.09513888888977817)</f>
        <v>0.09513888889</v>
      </c>
    </row>
    <row r="2333">
      <c r="A2333" t="str">
        <f>IFERROR(__xludf.DUMMYFUNCTION("""COMPUTED_VALUE"""),"Philippines")</f>
        <v>Philippines</v>
      </c>
      <c r="B2333" t="str">
        <f>IFERROR(__xludf.DUMMYFUNCTION("""COMPUTED_VALUE"""),"Asia")</f>
        <v>Asia</v>
      </c>
      <c r="C2333">
        <f>IFERROR(__xludf.DUMMYFUNCTION("""COMPUTED_VALUE"""),32.0)</f>
        <v>32</v>
      </c>
      <c r="D2333" t="str">
        <f>IFERROR(__xludf.DUMMYFUNCTION("""COMPUTED_VALUE"""),"If the World Was Ending - feat. Julia Michaels")</f>
        <v>If the World Was Ending - feat. Julia Michaels</v>
      </c>
      <c r="E2333" t="str">
        <f>IFERROR(__xludf.DUMMYFUNCTION("""COMPUTED_VALUE"""),"JP Saxe, Julia Michaels")</f>
        <v>JP Saxe, Julia Michaels</v>
      </c>
      <c r="F2333" t="str">
        <f>IFERROR(__xludf.DUMMYFUNCTION("""COMPUTED_VALUE"""),"If the World Was Ending (feat. Julia Michaels)")</f>
        <v>If the World Was Ending (feat. Julia Michaels)</v>
      </c>
      <c r="G2333">
        <f>IFERROR(__xludf.DUMMYFUNCTION("""COMPUTED_VALUE"""),0.0)</f>
        <v>0</v>
      </c>
      <c r="H2333" s="5">
        <f>IFERROR(__xludf.DUMMYFUNCTION("""COMPUTED_VALUE"""),0.14444444444598048)</f>
        <v>0.1444444444</v>
      </c>
    </row>
    <row r="2334">
      <c r="A2334" t="str">
        <f>IFERROR(__xludf.DUMMYFUNCTION("""COMPUTED_VALUE"""),"Philippines")</f>
        <v>Philippines</v>
      </c>
      <c r="B2334" t="str">
        <f>IFERROR(__xludf.DUMMYFUNCTION("""COMPUTED_VALUE"""),"Asia")</f>
        <v>Asia</v>
      </c>
      <c r="C2334">
        <f>IFERROR(__xludf.DUMMYFUNCTION("""COMPUTED_VALUE"""),33.0)</f>
        <v>33</v>
      </c>
      <c r="D2334" t="str">
        <f>IFERROR(__xludf.DUMMYFUNCTION("""COMPUTED_VALUE"""),"Maybe The Night")</f>
        <v>Maybe The Night</v>
      </c>
      <c r="E2334" t="str">
        <f>IFERROR(__xludf.DUMMYFUNCTION("""COMPUTED_VALUE"""),"Ben&amp;Ben")</f>
        <v>Ben&amp;Ben</v>
      </c>
      <c r="F2334" t="str">
        <f>IFERROR(__xludf.DUMMYFUNCTION("""COMPUTED_VALUE"""),"Maybe The Night")</f>
        <v>Maybe The Night</v>
      </c>
      <c r="G2334">
        <f>IFERROR(__xludf.DUMMYFUNCTION("""COMPUTED_VALUE"""),0.0)</f>
        <v>0</v>
      </c>
      <c r="H2334" s="5">
        <f>IFERROR(__xludf.DUMMYFUNCTION("""COMPUTED_VALUE"""),0.1506944444445253)</f>
        <v>0.1506944444</v>
      </c>
    </row>
    <row r="2335">
      <c r="A2335" t="str">
        <f>IFERROR(__xludf.DUMMYFUNCTION("""COMPUTED_VALUE"""),"Philippines")</f>
        <v>Philippines</v>
      </c>
      <c r="B2335" t="str">
        <f>IFERROR(__xludf.DUMMYFUNCTION("""COMPUTED_VALUE"""),"Asia")</f>
        <v>Asia</v>
      </c>
      <c r="C2335">
        <f>IFERROR(__xludf.DUMMYFUNCTION("""COMPUTED_VALUE"""),34.0)</f>
        <v>34</v>
      </c>
      <c r="D2335" t="str">
        <f>IFERROR(__xludf.DUMMYFUNCTION("""COMPUTED_VALUE"""),"Be Kind (with Halsey)")</f>
        <v>Be Kind (with Halsey)</v>
      </c>
      <c r="E2335" t="str">
        <f>IFERROR(__xludf.DUMMYFUNCTION("""COMPUTED_VALUE"""),"Marshmello, Halsey")</f>
        <v>Marshmello, Halsey</v>
      </c>
      <c r="F2335" t="str">
        <f>IFERROR(__xludf.DUMMYFUNCTION("""COMPUTED_VALUE"""),"Be Kind (with Halsey)")</f>
        <v>Be Kind (with Halsey)</v>
      </c>
      <c r="G2335">
        <f>IFERROR(__xludf.DUMMYFUNCTION("""COMPUTED_VALUE"""),0.0)</f>
        <v>0</v>
      </c>
      <c r="H2335" s="5">
        <f>IFERROR(__xludf.DUMMYFUNCTION("""COMPUTED_VALUE"""),0.11944444444452529)</f>
        <v>0.1194444444</v>
      </c>
    </row>
    <row r="2336">
      <c r="A2336" t="str">
        <f>IFERROR(__xludf.DUMMYFUNCTION("""COMPUTED_VALUE"""),"Philippines")</f>
        <v>Philippines</v>
      </c>
      <c r="B2336" t="str">
        <f>IFERROR(__xludf.DUMMYFUNCTION("""COMPUTED_VALUE"""),"Asia")</f>
        <v>Asia</v>
      </c>
      <c r="C2336">
        <f>IFERROR(__xludf.DUMMYFUNCTION("""COMPUTED_VALUE"""),35.0)</f>
        <v>35</v>
      </c>
      <c r="D2336" t="str">
        <f>IFERROR(__xludf.DUMMYFUNCTION("""COMPUTED_VALUE"""),"Falling")</f>
        <v>Falling</v>
      </c>
      <c r="E2336" t="str">
        <f>IFERROR(__xludf.DUMMYFUNCTION("""COMPUTED_VALUE"""),"Trevor Daniel")</f>
        <v>Trevor Daniel</v>
      </c>
      <c r="F2336" t="str">
        <f>IFERROR(__xludf.DUMMYFUNCTION("""COMPUTED_VALUE"""),"Nicotine")</f>
        <v>Nicotine</v>
      </c>
      <c r="G2336">
        <f>IFERROR(__xludf.DUMMYFUNCTION("""COMPUTED_VALUE"""),0.0)</f>
        <v>0</v>
      </c>
      <c r="H2336" s="5">
        <f>IFERROR(__xludf.DUMMYFUNCTION("""COMPUTED_VALUE"""),0.11041666666642413)</f>
        <v>0.1104166667</v>
      </c>
    </row>
    <row r="2337">
      <c r="A2337" t="str">
        <f>IFERROR(__xludf.DUMMYFUNCTION("""COMPUTED_VALUE"""),"Philippines")</f>
        <v>Philippines</v>
      </c>
      <c r="B2337" t="str">
        <f>IFERROR(__xludf.DUMMYFUNCTION("""COMPUTED_VALUE"""),"Asia")</f>
        <v>Asia</v>
      </c>
      <c r="C2337">
        <f>IFERROR(__xludf.DUMMYFUNCTION("""COMPUTED_VALUE"""),36.0)</f>
        <v>36</v>
      </c>
      <c r="D2337" t="str">
        <f>IFERROR(__xludf.DUMMYFUNCTION("""COMPUTED_VALUE"""),"good guys")</f>
        <v>good guys</v>
      </c>
      <c r="E2337" t="str">
        <f>IFERROR(__xludf.DUMMYFUNCTION("""COMPUTED_VALUE"""),"LANY")</f>
        <v>LANY</v>
      </c>
      <c r="F2337" t="str">
        <f>IFERROR(__xludf.DUMMYFUNCTION("""COMPUTED_VALUE"""),"good guys")</f>
        <v>good guys</v>
      </c>
      <c r="G2337">
        <f>IFERROR(__xludf.DUMMYFUNCTION("""COMPUTED_VALUE"""),0.0)</f>
        <v>0</v>
      </c>
      <c r="H2337" s="5">
        <f>IFERROR(__xludf.DUMMYFUNCTION("""COMPUTED_VALUE"""),0.1555555555569299)</f>
        <v>0.1555555556</v>
      </c>
    </row>
    <row r="2338">
      <c r="A2338" t="str">
        <f>IFERROR(__xludf.DUMMYFUNCTION("""COMPUTED_VALUE"""),"Philippines")</f>
        <v>Philippines</v>
      </c>
      <c r="B2338" t="str">
        <f>IFERROR(__xludf.DUMMYFUNCTION("""COMPUTED_VALUE"""),"Asia")</f>
        <v>Asia</v>
      </c>
      <c r="C2338">
        <f>IFERROR(__xludf.DUMMYFUNCTION("""COMPUTED_VALUE"""),37.0)</f>
        <v>37</v>
      </c>
      <c r="D2338" t="str">
        <f>IFERROR(__xludf.DUMMYFUNCTION("""COMPUTED_VALUE"""),"Memories")</f>
        <v>Memories</v>
      </c>
      <c r="E2338" t="str">
        <f>IFERROR(__xludf.DUMMYFUNCTION("""COMPUTED_VALUE"""),"Maroon 5")</f>
        <v>Maroon 5</v>
      </c>
      <c r="F2338" t="str">
        <f>IFERROR(__xludf.DUMMYFUNCTION("""COMPUTED_VALUE"""),"Memories")</f>
        <v>Memories</v>
      </c>
      <c r="G2338">
        <f>IFERROR(__xludf.DUMMYFUNCTION("""COMPUTED_VALUE"""),0.0)</f>
        <v>0</v>
      </c>
      <c r="H2338" s="5">
        <f>IFERROR(__xludf.DUMMYFUNCTION("""COMPUTED_VALUE"""),0.1312499999985448)</f>
        <v>0.13125</v>
      </c>
    </row>
    <row r="2339">
      <c r="A2339" t="str">
        <f>IFERROR(__xludf.DUMMYFUNCTION("""COMPUTED_VALUE"""),"Philippines")</f>
        <v>Philippines</v>
      </c>
      <c r="B2339" t="str">
        <f>IFERROR(__xludf.DUMMYFUNCTION("""COMPUTED_VALUE"""),"Asia")</f>
        <v>Asia</v>
      </c>
      <c r="C2339">
        <f>IFERROR(__xludf.DUMMYFUNCTION("""COMPUTED_VALUE"""),38.0)</f>
        <v>38</v>
      </c>
      <c r="D2339" t="str">
        <f>IFERROR(__xludf.DUMMYFUNCTION("""COMPUTED_VALUE"""),"Pagtingin")</f>
        <v>Pagtingin</v>
      </c>
      <c r="E2339" t="str">
        <f>IFERROR(__xludf.DUMMYFUNCTION("""COMPUTED_VALUE"""),"Ben&amp;Ben")</f>
        <v>Ben&amp;Ben</v>
      </c>
      <c r="F2339" t="str">
        <f>IFERROR(__xludf.DUMMYFUNCTION("""COMPUTED_VALUE"""),"LIMASAWA STREET")</f>
        <v>LIMASAWA STREET</v>
      </c>
      <c r="G2339">
        <f>IFERROR(__xludf.DUMMYFUNCTION("""COMPUTED_VALUE"""),0.0)</f>
        <v>0</v>
      </c>
      <c r="H2339" s="5">
        <f>IFERROR(__xludf.DUMMYFUNCTION("""COMPUTED_VALUE"""),0.15763888888977817)</f>
        <v>0.1576388889</v>
      </c>
    </row>
    <row r="2340">
      <c r="A2340" t="str">
        <f>IFERROR(__xludf.DUMMYFUNCTION("""COMPUTED_VALUE"""),"Philippines")</f>
        <v>Philippines</v>
      </c>
      <c r="B2340" t="str">
        <f>IFERROR(__xludf.DUMMYFUNCTION("""COMPUTED_VALUE"""),"Asia")</f>
        <v>Asia</v>
      </c>
      <c r="C2340">
        <f>IFERROR(__xludf.DUMMYFUNCTION("""COMPUTED_VALUE"""),39.0)</f>
        <v>39</v>
      </c>
      <c r="D2340" t="str">
        <f>IFERROR(__xludf.DUMMYFUNCTION("""COMPUTED_VALUE"""),"ROXANNE")</f>
        <v>ROXANNE</v>
      </c>
      <c r="E2340" t="str">
        <f>IFERROR(__xludf.DUMMYFUNCTION("""COMPUTED_VALUE"""),"Arizona Zervas")</f>
        <v>Arizona Zervas</v>
      </c>
      <c r="F2340" t="str">
        <f>IFERROR(__xludf.DUMMYFUNCTION("""COMPUTED_VALUE"""),"ROXANNE")</f>
        <v>ROXANNE</v>
      </c>
      <c r="G2340">
        <f>IFERROR(__xludf.DUMMYFUNCTION("""COMPUTED_VALUE"""),1.0)</f>
        <v>1</v>
      </c>
      <c r="H2340" s="5">
        <f>IFERROR(__xludf.DUMMYFUNCTION("""COMPUTED_VALUE"""),0.11319444444598048)</f>
        <v>0.1131944444</v>
      </c>
    </row>
    <row r="2341">
      <c r="A2341" t="str">
        <f>IFERROR(__xludf.DUMMYFUNCTION("""COMPUTED_VALUE"""),"Philippines")</f>
        <v>Philippines</v>
      </c>
      <c r="B2341" t="str">
        <f>IFERROR(__xludf.DUMMYFUNCTION("""COMPUTED_VALUE"""),"Asia")</f>
        <v>Asia</v>
      </c>
      <c r="C2341">
        <f>IFERROR(__xludf.DUMMYFUNCTION("""COMPUTED_VALUE"""),40.0)</f>
        <v>40</v>
      </c>
      <c r="D2341" t="str">
        <f>IFERROR(__xludf.DUMMYFUNCTION("""COMPUTED_VALUE"""),"Daechwita")</f>
        <v>Daechwita</v>
      </c>
      <c r="E2341" t="str">
        <f>IFERROR(__xludf.DUMMYFUNCTION("""COMPUTED_VALUE"""),"Agust D")</f>
        <v>Agust D</v>
      </c>
      <c r="F2341" t="str">
        <f>IFERROR(__xludf.DUMMYFUNCTION("""COMPUTED_VALUE"""),"D-2")</f>
        <v>D-2</v>
      </c>
      <c r="G2341">
        <f>IFERROR(__xludf.DUMMYFUNCTION("""COMPUTED_VALUE"""),1.0)</f>
        <v>1</v>
      </c>
      <c r="H2341" s="5">
        <f>IFERROR(__xludf.DUMMYFUNCTION("""COMPUTED_VALUE"""),0.15625)</f>
        <v>0.15625</v>
      </c>
    </row>
    <row r="2342">
      <c r="A2342" t="str">
        <f>IFERROR(__xludf.DUMMYFUNCTION("""COMPUTED_VALUE"""),"Philippines")</f>
        <v>Philippines</v>
      </c>
      <c r="B2342" t="str">
        <f>IFERROR(__xludf.DUMMYFUNCTION("""COMPUTED_VALUE"""),"Asia")</f>
        <v>Asia</v>
      </c>
      <c r="C2342">
        <f>IFERROR(__xludf.DUMMYFUNCTION("""COMPUTED_VALUE"""),41.0)</f>
        <v>41</v>
      </c>
      <c r="D2342" t="str">
        <f>IFERROR(__xludf.DUMMYFUNCTION("""COMPUTED_VALUE"""),"Ivana")</f>
        <v>Ivana</v>
      </c>
      <c r="E2342" t="str">
        <f>IFERROR(__xludf.DUMMYFUNCTION("""COMPUTED_VALUE"""),"Soulstice")</f>
        <v>Soulstice</v>
      </c>
      <c r="F2342" t="str">
        <f>IFERROR(__xludf.DUMMYFUNCTION("""COMPUTED_VALUE"""),"Ivana")</f>
        <v>Ivana</v>
      </c>
      <c r="G2342">
        <f>IFERROR(__xludf.DUMMYFUNCTION("""COMPUTED_VALUE"""),1.0)</f>
        <v>1</v>
      </c>
      <c r="H2342" s="5">
        <f>IFERROR(__xludf.DUMMYFUNCTION("""COMPUTED_VALUE"""),0.17083333333357587)</f>
        <v>0.1708333333</v>
      </c>
    </row>
    <row r="2343">
      <c r="A2343" t="str">
        <f>IFERROR(__xludf.DUMMYFUNCTION("""COMPUTED_VALUE"""),"Philippines")</f>
        <v>Philippines</v>
      </c>
      <c r="B2343" t="str">
        <f>IFERROR(__xludf.DUMMYFUNCTION("""COMPUTED_VALUE"""),"Asia")</f>
        <v>Asia</v>
      </c>
      <c r="C2343">
        <f>IFERROR(__xludf.DUMMYFUNCTION("""COMPUTED_VALUE"""),42.0)</f>
        <v>42</v>
      </c>
      <c r="D2343" t="str">
        <f>IFERROR(__xludf.DUMMYFUNCTION("""COMPUTED_VALUE"""),"Mean It")</f>
        <v>Mean It</v>
      </c>
      <c r="E2343" t="str">
        <f>IFERROR(__xludf.DUMMYFUNCTION("""COMPUTED_VALUE"""),"Lauv, LANY")</f>
        <v>Lauv, LANY</v>
      </c>
      <c r="F2343" t="str">
        <f>IFERROR(__xludf.DUMMYFUNCTION("""COMPUTED_VALUE"""),"~how i'm feeling~")</f>
        <v>~how i'm feeling~</v>
      </c>
      <c r="G2343">
        <f>IFERROR(__xludf.DUMMYFUNCTION("""COMPUTED_VALUE"""),0.0)</f>
        <v>0</v>
      </c>
      <c r="H2343" s="5">
        <f>IFERROR(__xludf.DUMMYFUNCTION("""COMPUTED_VALUE"""),0.16111111111240461)</f>
        <v>0.1611111111</v>
      </c>
    </row>
    <row r="2344">
      <c r="A2344" t="str">
        <f>IFERROR(__xludf.DUMMYFUNCTION("""COMPUTED_VALUE"""),"Philippines")</f>
        <v>Philippines</v>
      </c>
      <c r="B2344" t="str">
        <f>IFERROR(__xludf.DUMMYFUNCTION("""COMPUTED_VALUE"""),"Asia")</f>
        <v>Asia</v>
      </c>
      <c r="C2344">
        <f>IFERROR(__xludf.DUMMYFUNCTION("""COMPUTED_VALUE"""),43.0)</f>
        <v>43</v>
      </c>
      <c r="D2344" t="str">
        <f>IFERROR(__xludf.DUMMYFUNCTION("""COMPUTED_VALUE"""),"Titig")</f>
        <v>Titig</v>
      </c>
      <c r="E2344" t="str">
        <f>IFERROR(__xludf.DUMMYFUNCTION("""COMPUTED_VALUE"""),"MC Einstein, Flow G, Jekkpot, Yuridope")</f>
        <v>MC Einstein, Flow G, Jekkpot, Yuridope</v>
      </c>
      <c r="F2344" t="str">
        <f>IFERROR(__xludf.DUMMYFUNCTION("""COMPUTED_VALUE"""),"Titig")</f>
        <v>Titig</v>
      </c>
      <c r="G2344">
        <f>IFERROR(__xludf.DUMMYFUNCTION("""COMPUTED_VALUE"""),0.0)</f>
        <v>0</v>
      </c>
      <c r="H2344" s="5">
        <f>IFERROR(__xludf.DUMMYFUNCTION("""COMPUTED_VALUE"""),0.17986111111167702)</f>
        <v>0.1798611111</v>
      </c>
    </row>
    <row r="2345">
      <c r="A2345" t="str">
        <f>IFERROR(__xludf.DUMMYFUNCTION("""COMPUTED_VALUE"""),"Philippines")</f>
        <v>Philippines</v>
      </c>
      <c r="B2345" t="str">
        <f>IFERROR(__xludf.DUMMYFUNCTION("""COMPUTED_VALUE"""),"Asia")</f>
        <v>Asia</v>
      </c>
      <c r="C2345">
        <f>IFERROR(__xludf.DUMMYFUNCTION("""COMPUTED_VALUE"""),44.0)</f>
        <v>44</v>
      </c>
      <c r="D2345" t="str">
        <f>IFERROR(__xludf.DUMMYFUNCTION("""COMPUTED_VALUE"""),"Daisies")</f>
        <v>Daisies</v>
      </c>
      <c r="E2345" t="str">
        <f>IFERROR(__xludf.DUMMYFUNCTION("""COMPUTED_VALUE"""),"Katy Perry")</f>
        <v>Katy Perry</v>
      </c>
      <c r="F2345" t="str">
        <f>IFERROR(__xludf.DUMMYFUNCTION("""COMPUTED_VALUE"""),"Daisies")</f>
        <v>Daisies</v>
      </c>
      <c r="G2345">
        <f>IFERROR(__xludf.DUMMYFUNCTION("""COMPUTED_VALUE"""),0.0)</f>
        <v>0</v>
      </c>
      <c r="H2345" s="5">
        <f>IFERROR(__xludf.DUMMYFUNCTION("""COMPUTED_VALUE"""),0.12013888888759539)</f>
        <v>0.1201388889</v>
      </c>
    </row>
    <row r="2346">
      <c r="A2346" t="str">
        <f>IFERROR(__xludf.DUMMYFUNCTION("""COMPUTED_VALUE"""),"Philippines")</f>
        <v>Philippines</v>
      </c>
      <c r="B2346" t="str">
        <f>IFERROR(__xludf.DUMMYFUNCTION("""COMPUTED_VALUE"""),"Asia")</f>
        <v>Asia</v>
      </c>
      <c r="C2346">
        <f>IFERROR(__xludf.DUMMYFUNCTION("""COMPUTED_VALUE"""),45.0)</f>
        <v>45</v>
      </c>
      <c r="D2346" t="str">
        <f>IFERROR(__xludf.DUMMYFUNCTION("""COMPUTED_VALUE"""),"Lose Somebody")</f>
        <v>Lose Somebody</v>
      </c>
      <c r="E2346" t="str">
        <f>IFERROR(__xludf.DUMMYFUNCTION("""COMPUTED_VALUE"""),"Kygo, OneRepublic")</f>
        <v>Kygo, OneRepublic</v>
      </c>
      <c r="F2346" t="str">
        <f>IFERROR(__xludf.DUMMYFUNCTION("""COMPUTED_VALUE"""),"Lose Somebody")</f>
        <v>Lose Somebody</v>
      </c>
      <c r="G2346">
        <f>IFERROR(__xludf.DUMMYFUNCTION("""COMPUTED_VALUE"""),0.0)</f>
        <v>0</v>
      </c>
      <c r="H2346" s="5">
        <f>IFERROR(__xludf.DUMMYFUNCTION("""COMPUTED_VALUE"""),0.1381944444437977)</f>
        <v>0.1381944444</v>
      </c>
    </row>
    <row r="2347">
      <c r="A2347" t="str">
        <f>IFERROR(__xludf.DUMMYFUNCTION("""COMPUTED_VALUE"""),"Philippines")</f>
        <v>Philippines</v>
      </c>
      <c r="B2347" t="str">
        <f>IFERROR(__xludf.DUMMYFUNCTION("""COMPUTED_VALUE"""),"Asia")</f>
        <v>Asia</v>
      </c>
      <c r="C2347">
        <f>IFERROR(__xludf.DUMMYFUNCTION("""COMPUTED_VALUE"""),46.0)</f>
        <v>46</v>
      </c>
      <c r="D2347" t="str">
        <f>IFERROR(__xludf.DUMMYFUNCTION("""COMPUTED_VALUE"""),"Yellow Hearts")</f>
        <v>Yellow Hearts</v>
      </c>
      <c r="E2347" t="str">
        <f>IFERROR(__xludf.DUMMYFUNCTION("""COMPUTED_VALUE"""),"Ant Saunders")</f>
        <v>Ant Saunders</v>
      </c>
      <c r="F2347" t="str">
        <f>IFERROR(__xludf.DUMMYFUNCTION("""COMPUTED_VALUE"""),"Yellow Hearts")</f>
        <v>Yellow Hearts</v>
      </c>
      <c r="G2347">
        <f>IFERROR(__xludf.DUMMYFUNCTION("""COMPUTED_VALUE"""),0.0)</f>
        <v>0</v>
      </c>
      <c r="H2347" s="5">
        <f>IFERROR(__xludf.DUMMYFUNCTION("""COMPUTED_VALUE"""),0.15486111111022183)</f>
        <v>0.1548611111</v>
      </c>
    </row>
    <row r="2348">
      <c r="A2348" t="str">
        <f>IFERROR(__xludf.DUMMYFUNCTION("""COMPUTED_VALUE"""),"Philippines")</f>
        <v>Philippines</v>
      </c>
      <c r="B2348" t="str">
        <f>IFERROR(__xludf.DUMMYFUNCTION("""COMPUTED_VALUE"""),"Asia")</f>
        <v>Asia</v>
      </c>
      <c r="C2348">
        <f>IFERROR(__xludf.DUMMYFUNCTION("""COMPUTED_VALUE"""),47.0)</f>
        <v>47</v>
      </c>
      <c r="D2348" t="str">
        <f>IFERROR(__xludf.DUMMYFUNCTION("""COMPUTED_VALUE"""),"Sana")</f>
        <v>Sana</v>
      </c>
      <c r="E2348" t="str">
        <f>IFERROR(__xludf.DUMMYFUNCTION("""COMPUTED_VALUE"""),"I Belong to the Zoo")</f>
        <v>I Belong to the Zoo</v>
      </c>
      <c r="F2348" t="str">
        <f>IFERROR(__xludf.DUMMYFUNCTION("""COMPUTED_VALUE"""),"Sana")</f>
        <v>Sana</v>
      </c>
      <c r="G2348">
        <f>IFERROR(__xludf.DUMMYFUNCTION("""COMPUTED_VALUE"""),0.0)</f>
        <v>0</v>
      </c>
      <c r="H2348" s="5">
        <f>IFERROR(__xludf.DUMMYFUNCTION("""COMPUTED_VALUE"""),0.19236111111240461)</f>
        <v>0.1923611111</v>
      </c>
    </row>
    <row r="2349">
      <c r="A2349" t="str">
        <f>IFERROR(__xludf.DUMMYFUNCTION("""COMPUTED_VALUE"""),"Philippines")</f>
        <v>Philippines</v>
      </c>
      <c r="B2349" t="str">
        <f>IFERROR(__xludf.DUMMYFUNCTION("""COMPUTED_VALUE"""),"Asia")</f>
        <v>Asia</v>
      </c>
      <c r="C2349">
        <f>IFERROR(__xludf.DUMMYFUNCTION("""COMPUTED_VALUE"""),48.0)</f>
        <v>48</v>
      </c>
      <c r="D2349" t="str">
        <f>IFERROR(__xludf.DUMMYFUNCTION("""COMPUTED_VALUE"""),"Bounty")</f>
        <v>Bounty</v>
      </c>
      <c r="E2349" t="str">
        <f>IFERROR(__xludf.DUMMYFUNCTION("""COMPUTED_VALUE"""),"Ex Battalion")</f>
        <v>Ex Battalion</v>
      </c>
      <c r="F2349" t="str">
        <f>IFERROR(__xludf.DUMMYFUNCTION("""COMPUTED_VALUE"""),"Bounty")</f>
        <v>Bounty</v>
      </c>
      <c r="G2349">
        <f>IFERROR(__xludf.DUMMYFUNCTION("""COMPUTED_VALUE"""),0.0)</f>
        <v>0</v>
      </c>
      <c r="H2349" s="5">
        <f>IFERROR(__xludf.DUMMYFUNCTION("""COMPUTED_VALUE"""),0.24583333333430346)</f>
        <v>0.2458333333</v>
      </c>
    </row>
    <row r="2350">
      <c r="A2350" t="str">
        <f>IFERROR(__xludf.DUMMYFUNCTION("""COMPUTED_VALUE"""),"Philippines")</f>
        <v>Philippines</v>
      </c>
      <c r="B2350" t="str">
        <f>IFERROR(__xludf.DUMMYFUNCTION("""COMPUTED_VALUE"""),"Asia")</f>
        <v>Asia</v>
      </c>
      <c r="C2350">
        <f>IFERROR(__xludf.DUMMYFUNCTION("""COMPUTED_VALUE"""),49.0)</f>
        <v>49</v>
      </c>
      <c r="D2350" t="str">
        <f>IFERROR(__xludf.DUMMYFUNCTION("""COMPUTED_VALUE"""),"Leaves")</f>
        <v>Leaves</v>
      </c>
      <c r="E2350" t="str">
        <f>IFERROR(__xludf.DUMMYFUNCTION("""COMPUTED_VALUE"""),"Ben&amp;Ben")</f>
        <v>Ben&amp;Ben</v>
      </c>
      <c r="F2350" t="str">
        <f>IFERROR(__xludf.DUMMYFUNCTION("""COMPUTED_VALUE"""),"Leaves")</f>
        <v>Leaves</v>
      </c>
      <c r="G2350">
        <f>IFERROR(__xludf.DUMMYFUNCTION("""COMPUTED_VALUE"""),0.0)</f>
        <v>0</v>
      </c>
      <c r="H2350" s="5">
        <f>IFERROR(__xludf.DUMMYFUNCTION("""COMPUTED_VALUE"""),0.21527777777737356)</f>
        <v>0.2152777778</v>
      </c>
    </row>
    <row r="2351">
      <c r="A2351" t="str">
        <f>IFERROR(__xludf.DUMMYFUNCTION("""COMPUTED_VALUE"""),"Philippines")</f>
        <v>Philippines</v>
      </c>
      <c r="B2351" t="str">
        <f>IFERROR(__xludf.DUMMYFUNCTION("""COMPUTED_VALUE"""),"Asia")</f>
        <v>Asia</v>
      </c>
      <c r="C2351">
        <f>IFERROR(__xludf.DUMMYFUNCTION("""COMPUTED_VALUE"""),50.0)</f>
        <v>50</v>
      </c>
      <c r="D2351" t="str">
        <f>IFERROR(__xludf.DUMMYFUNCTION("""COMPUTED_VALUE"""),"Kung Pwede Lang")</f>
        <v>Kung Pwede Lang</v>
      </c>
      <c r="E2351" t="str">
        <f>IFERROR(__xludf.DUMMYFUNCTION("""COMPUTED_VALUE"""),"Emman")</f>
        <v>Emman</v>
      </c>
      <c r="F2351" t="str">
        <f>IFERROR(__xludf.DUMMYFUNCTION("""COMPUTED_VALUE"""),"Kung Pwede Lang")</f>
        <v>Kung Pwede Lang</v>
      </c>
      <c r="G2351">
        <f>IFERROR(__xludf.DUMMYFUNCTION("""COMPUTED_VALUE"""),0.0)</f>
        <v>0</v>
      </c>
      <c r="H2351" s="5">
        <f>IFERROR(__xludf.DUMMYFUNCTION("""COMPUTED_VALUE"""),0.13472222222117125)</f>
        <v>0.1347222222</v>
      </c>
    </row>
    <row r="2352">
      <c r="A2352" t="str">
        <f>IFERROR(__xludf.DUMMYFUNCTION("""COMPUTED_VALUE"""),"Poland")</f>
        <v>Poland</v>
      </c>
      <c r="B2352" t="str">
        <f>IFERROR(__xludf.DUMMYFUNCTION("""COMPUTED_VALUE"""),"Europe")</f>
        <v>Europe</v>
      </c>
      <c r="C2352">
        <f>IFERROR(__xludf.DUMMYFUNCTION("""COMPUTED_VALUE"""),1.0)</f>
        <v>1</v>
      </c>
      <c r="D2352" t="str">
        <f>IFERROR(__xludf.DUMMYFUNCTION("""COMPUTED_VALUE"""),"BUBBLETEA")</f>
        <v>BUBBLETEA</v>
      </c>
      <c r="E2352" t="str">
        <f>IFERROR(__xludf.DUMMYFUNCTION("""COMPUTED_VALUE"""),"Quebonafide, Daria Zawiałow")</f>
        <v>Quebonafide, Daria Zawiałow</v>
      </c>
      <c r="F2352" t="str">
        <f>IFERROR(__xludf.DUMMYFUNCTION("""COMPUTED_VALUE"""),"ROMANTIC PSYCHO")</f>
        <v>ROMANTIC PSYCHO</v>
      </c>
      <c r="G2352">
        <f>IFERROR(__xludf.DUMMYFUNCTION("""COMPUTED_VALUE"""),0.0)</f>
        <v>0</v>
      </c>
      <c r="H2352" s="5">
        <f>IFERROR(__xludf.DUMMYFUNCTION("""COMPUTED_VALUE"""),0.19722222222117125)</f>
        <v>0.1972222222</v>
      </c>
    </row>
    <row r="2353">
      <c r="A2353" t="str">
        <f>IFERROR(__xludf.DUMMYFUNCTION("""COMPUTED_VALUE"""),"Poland")</f>
        <v>Poland</v>
      </c>
      <c r="B2353" t="str">
        <f>IFERROR(__xludf.DUMMYFUNCTION("""COMPUTED_VALUE"""),"Europe")</f>
        <v>Europe</v>
      </c>
      <c r="C2353">
        <f>IFERROR(__xludf.DUMMYFUNCTION("""COMPUTED_VALUE"""),2.0)</f>
        <v>2</v>
      </c>
      <c r="D2353" t="str">
        <f>IFERROR(__xludf.DUMMYFUNCTION("""COMPUTED_VALUE"""),"#Hot16Challenge2")</f>
        <v>#Hot16Challenge2</v>
      </c>
      <c r="E2353" t="str">
        <f>IFERROR(__xludf.DUMMYFUNCTION("""COMPUTED_VALUE"""),"Szpaku, Raff J.R.")</f>
        <v>Szpaku, Raff J.R.</v>
      </c>
      <c r="F2353" t="str">
        <f>IFERROR(__xludf.DUMMYFUNCTION("""COMPUTED_VALUE"""),"#Hot16Challenge2")</f>
        <v>#Hot16Challenge2</v>
      </c>
      <c r="G2353">
        <f>IFERROR(__xludf.DUMMYFUNCTION("""COMPUTED_VALUE"""),1.0)</f>
        <v>1</v>
      </c>
      <c r="H2353" s="5">
        <f>IFERROR(__xludf.DUMMYFUNCTION("""COMPUTED_VALUE"""),0.10694444444379769)</f>
        <v>0.1069444444</v>
      </c>
    </row>
    <row r="2354">
      <c r="A2354" t="str">
        <f>IFERROR(__xludf.DUMMYFUNCTION("""COMPUTED_VALUE"""),"Poland")</f>
        <v>Poland</v>
      </c>
      <c r="B2354" t="str">
        <f>IFERROR(__xludf.DUMMYFUNCTION("""COMPUTED_VALUE"""),"Europe")</f>
        <v>Europe</v>
      </c>
      <c r="C2354">
        <f>IFERROR(__xludf.DUMMYFUNCTION("""COMPUTED_VALUE"""),3.0)</f>
        <v>3</v>
      </c>
      <c r="D2354" t="str">
        <f>IFERROR(__xludf.DUMMYFUNCTION("""COMPUTED_VALUE"""),"Blinding Lights")</f>
        <v>Blinding Lights</v>
      </c>
      <c r="E2354" t="str">
        <f>IFERROR(__xludf.DUMMYFUNCTION("""COMPUTED_VALUE"""),"The Weeknd")</f>
        <v>The Weeknd</v>
      </c>
      <c r="F2354" t="str">
        <f>IFERROR(__xludf.DUMMYFUNCTION("""COMPUTED_VALUE"""),"After Hours")</f>
        <v>After Hours</v>
      </c>
      <c r="G2354">
        <f>IFERROR(__xludf.DUMMYFUNCTION("""COMPUTED_VALUE"""),0.0)</f>
        <v>0</v>
      </c>
      <c r="H2354" s="5">
        <f>IFERROR(__xludf.DUMMYFUNCTION("""COMPUTED_VALUE"""),0.13888888889050577)</f>
        <v>0.1388888889</v>
      </c>
    </row>
    <row r="2355">
      <c r="A2355" t="str">
        <f>IFERROR(__xludf.DUMMYFUNCTION("""COMPUTED_VALUE"""),"Poland")</f>
        <v>Poland</v>
      </c>
      <c r="B2355" t="str">
        <f>IFERROR(__xludf.DUMMYFUNCTION("""COMPUTED_VALUE"""),"Europe")</f>
        <v>Europe</v>
      </c>
      <c r="C2355">
        <f>IFERROR(__xludf.DUMMYFUNCTION("""COMPUTED_VALUE"""),4.0)</f>
        <v>4</v>
      </c>
      <c r="D2355" t="str">
        <f>IFERROR(__xludf.DUMMYFUNCTION("""COMPUTED_VALUE"""),"Rain On Me (with Ariana Grande)")</f>
        <v>Rain On Me (with Ariana Grande)</v>
      </c>
      <c r="E2355" t="str">
        <f>IFERROR(__xludf.DUMMYFUNCTION("""COMPUTED_VALUE"""),"Lady Gaga, Ariana Grande")</f>
        <v>Lady Gaga, Ariana Grande</v>
      </c>
      <c r="F2355" t="str">
        <f>IFERROR(__xludf.DUMMYFUNCTION("""COMPUTED_VALUE"""),"Rain On Me (with Ariana Grande)")</f>
        <v>Rain On Me (with Ariana Grande)</v>
      </c>
      <c r="G2355">
        <f>IFERROR(__xludf.DUMMYFUNCTION("""COMPUTED_VALUE"""),0.0)</f>
        <v>0</v>
      </c>
      <c r="H2355" s="5">
        <f>IFERROR(__xludf.DUMMYFUNCTION("""COMPUTED_VALUE"""),0.12638888888977817)</f>
        <v>0.1263888889</v>
      </c>
    </row>
    <row r="2356">
      <c r="A2356" t="str">
        <f>IFERROR(__xludf.DUMMYFUNCTION("""COMPUTED_VALUE"""),"Poland")</f>
        <v>Poland</v>
      </c>
      <c r="B2356" t="str">
        <f>IFERROR(__xludf.DUMMYFUNCTION("""COMPUTED_VALUE"""),"Europe")</f>
        <v>Europe</v>
      </c>
      <c r="C2356">
        <f>IFERROR(__xludf.DUMMYFUNCTION("""COMPUTED_VALUE"""),5.0)</f>
        <v>5</v>
      </c>
      <c r="D2356" t="str">
        <f>IFERROR(__xludf.DUMMYFUNCTION("""COMPUTED_VALUE"""),"Roses - Imanbek Remix")</f>
        <v>Roses - Imanbek Remix</v>
      </c>
      <c r="E2356" t="str">
        <f>IFERROR(__xludf.DUMMYFUNCTION("""COMPUTED_VALUE"""),"SAINt JHN, Imanbek")</f>
        <v>SAINt JHN, Imanbek</v>
      </c>
      <c r="F2356" t="str">
        <f>IFERROR(__xludf.DUMMYFUNCTION("""COMPUTED_VALUE"""),"Roses (Imanbek Remix)")</f>
        <v>Roses (Imanbek Remix)</v>
      </c>
      <c r="G2356">
        <f>IFERROR(__xludf.DUMMYFUNCTION("""COMPUTED_VALUE"""),1.0)</f>
        <v>1</v>
      </c>
      <c r="H2356" s="5">
        <f>IFERROR(__xludf.DUMMYFUNCTION("""COMPUTED_VALUE"""),0.12222222222044365)</f>
        <v>0.1222222222</v>
      </c>
    </row>
    <row r="2357">
      <c r="A2357" t="str">
        <f>IFERROR(__xludf.DUMMYFUNCTION("""COMPUTED_VALUE"""),"Poland")</f>
        <v>Poland</v>
      </c>
      <c r="B2357" t="str">
        <f>IFERROR(__xludf.DUMMYFUNCTION("""COMPUTED_VALUE"""),"Europe")</f>
        <v>Europe</v>
      </c>
      <c r="C2357">
        <f>IFERROR(__xludf.DUMMYFUNCTION("""COMPUTED_VALUE"""),6.0)</f>
        <v>6</v>
      </c>
      <c r="D2357" t="str">
        <f>IFERROR(__xludf.DUMMYFUNCTION("""COMPUTED_VALUE"""),"TOKYO2020")</f>
        <v>TOKYO2020</v>
      </c>
      <c r="E2357" t="str">
        <f>IFERROR(__xludf.DUMMYFUNCTION("""COMPUTED_VALUE"""),"Quebonafide, Taco Hemingway")</f>
        <v>Quebonafide, Taco Hemingway</v>
      </c>
      <c r="F2357" t="str">
        <f>IFERROR(__xludf.DUMMYFUNCTION("""COMPUTED_VALUE"""),"ROMANTIC PSYCHO")</f>
        <v>ROMANTIC PSYCHO</v>
      </c>
      <c r="G2357">
        <f>IFERROR(__xludf.DUMMYFUNCTION("""COMPUTED_VALUE"""),0.0)</f>
        <v>0</v>
      </c>
      <c r="H2357" s="5">
        <f>IFERROR(__xludf.DUMMYFUNCTION("""COMPUTED_VALUE"""),0.13402777777810115)</f>
        <v>0.1340277778</v>
      </c>
    </row>
    <row r="2358">
      <c r="A2358" t="str">
        <f>IFERROR(__xludf.DUMMYFUNCTION("""COMPUTED_VALUE"""),"Poland")</f>
        <v>Poland</v>
      </c>
      <c r="B2358" t="str">
        <f>IFERROR(__xludf.DUMMYFUNCTION("""COMPUTED_VALUE"""),"Europe")</f>
        <v>Europe</v>
      </c>
      <c r="C2358">
        <f>IFERROR(__xludf.DUMMYFUNCTION("""COMPUTED_VALUE"""),7.0)</f>
        <v>7</v>
      </c>
      <c r="D2358" t="str">
        <f>IFERROR(__xludf.DUMMYFUNCTION("""COMPUTED_VALUE"""),"Impreza")</f>
        <v>Impreza</v>
      </c>
      <c r="E2358" t="str">
        <f>IFERROR(__xludf.DUMMYFUNCTION("""COMPUTED_VALUE"""),"Sobel, Lezter")</f>
        <v>Sobel, Lezter</v>
      </c>
      <c r="F2358" t="str">
        <f>IFERROR(__xludf.DUMMYFUNCTION("""COMPUTED_VALUE"""),"Impreza")</f>
        <v>Impreza</v>
      </c>
      <c r="G2358">
        <f>IFERROR(__xludf.DUMMYFUNCTION("""COMPUTED_VALUE"""),1.0)</f>
        <v>1</v>
      </c>
      <c r="H2358" s="5">
        <f>IFERROR(__xludf.DUMMYFUNCTION("""COMPUTED_VALUE"""),0.11458333333212067)</f>
        <v>0.1145833333</v>
      </c>
    </row>
    <row r="2359">
      <c r="A2359" t="str">
        <f>IFERROR(__xludf.DUMMYFUNCTION("""COMPUTED_VALUE"""),"Poland")</f>
        <v>Poland</v>
      </c>
      <c r="B2359" t="str">
        <f>IFERROR(__xludf.DUMMYFUNCTION("""COMPUTED_VALUE"""),"Europe")</f>
        <v>Europe</v>
      </c>
      <c r="C2359">
        <f>IFERROR(__xludf.DUMMYFUNCTION("""COMPUTED_VALUE"""),8.0)</f>
        <v>8</v>
      </c>
      <c r="D2359" t="str">
        <f>IFERROR(__xludf.DUMMYFUNCTION("""COMPUTED_VALUE"""),"Szampan")</f>
        <v>Szampan</v>
      </c>
      <c r="E2359" t="str">
        <f>IFERROR(__xludf.DUMMYFUNCTION("""COMPUTED_VALUE"""),"sanah")</f>
        <v>sanah</v>
      </c>
      <c r="F2359" t="str">
        <f>IFERROR(__xludf.DUMMYFUNCTION("""COMPUTED_VALUE"""),"Królowa dram")</f>
        <v>Królowa dram</v>
      </c>
      <c r="G2359">
        <f>IFERROR(__xludf.DUMMYFUNCTION("""COMPUTED_VALUE"""),0.0)</f>
        <v>0</v>
      </c>
      <c r="H2359" s="5">
        <f>IFERROR(__xludf.DUMMYFUNCTION("""COMPUTED_VALUE"""),0.13888888889050577)</f>
        <v>0.1388888889</v>
      </c>
    </row>
    <row r="2360">
      <c r="A2360" t="str">
        <f>IFERROR(__xludf.DUMMYFUNCTION("""COMPUTED_VALUE"""),"Poland")</f>
        <v>Poland</v>
      </c>
      <c r="B2360" t="str">
        <f>IFERROR(__xludf.DUMMYFUNCTION("""COMPUTED_VALUE"""),"Europe")</f>
        <v>Europe</v>
      </c>
      <c r="C2360">
        <f>IFERROR(__xludf.DUMMYFUNCTION("""COMPUTED_VALUE"""),9.0)</f>
        <v>9</v>
      </c>
      <c r="D2360" t="str">
        <f>IFERROR(__xludf.DUMMYFUNCTION("""COMPUTED_VALUE"""),"SZUBIENICAPESTYCYDYBROŃ")</f>
        <v>SZUBIENICAPESTYCYDYBROŃ</v>
      </c>
      <c r="E2360" t="str">
        <f>IFERROR(__xludf.DUMMYFUNCTION("""COMPUTED_VALUE"""),"Quebonafide")</f>
        <v>Quebonafide</v>
      </c>
      <c r="F2360" t="str">
        <f>IFERROR(__xludf.DUMMYFUNCTION("""COMPUTED_VALUE"""),"ROMANTIC PSYCHO")</f>
        <v>ROMANTIC PSYCHO</v>
      </c>
      <c r="G2360">
        <f>IFERROR(__xludf.DUMMYFUNCTION("""COMPUTED_VALUE"""),0.0)</f>
        <v>0</v>
      </c>
      <c r="H2360" s="5">
        <f>IFERROR(__xludf.DUMMYFUNCTION("""COMPUTED_VALUE"""),0.16041666666569654)</f>
        <v>0.1604166667</v>
      </c>
    </row>
    <row r="2361">
      <c r="A2361" t="str">
        <f>IFERROR(__xludf.DUMMYFUNCTION("""COMPUTED_VALUE"""),"Poland")</f>
        <v>Poland</v>
      </c>
      <c r="B2361" t="str">
        <f>IFERROR(__xludf.DUMMYFUNCTION("""COMPUTED_VALUE"""),"Europe")</f>
        <v>Europe</v>
      </c>
      <c r="C2361">
        <f>IFERROR(__xludf.DUMMYFUNCTION("""COMPUTED_VALUE"""),10.0)</f>
        <v>10</v>
      </c>
      <c r="D2361" t="str">
        <f>IFERROR(__xludf.DUMMYFUNCTION("""COMPUTED_VALUE"""),"Niedostępny (prod. by Olek) (feat. DMN)")</f>
        <v>Niedostępny (prod. by Olek) (feat. DMN)</v>
      </c>
      <c r="E2361" t="str">
        <f>IFERROR(__xludf.DUMMYFUNCTION("""COMPUTED_VALUE"""),"Malik Montana, OLEK, DMN")</f>
        <v>Malik Montana, OLEK, DMN</v>
      </c>
      <c r="F2361" t="str">
        <f>IFERROR(__xludf.DUMMYFUNCTION("""COMPUTED_VALUE"""),"Niedostępny (prod. by Olek) (feat. DMN)")</f>
        <v>Niedostępny (prod. by Olek) (feat. DMN)</v>
      </c>
      <c r="G2361">
        <f>IFERROR(__xludf.DUMMYFUNCTION("""COMPUTED_VALUE"""),0.0)</f>
        <v>0</v>
      </c>
      <c r="H2361" s="5">
        <f>IFERROR(__xludf.DUMMYFUNCTION("""COMPUTED_VALUE"""),0.10555555555401952)</f>
        <v>0.1055555556</v>
      </c>
    </row>
    <row r="2362">
      <c r="A2362" t="str">
        <f>IFERROR(__xludf.DUMMYFUNCTION("""COMPUTED_VALUE"""),"Poland")</f>
        <v>Poland</v>
      </c>
      <c r="B2362" t="str">
        <f>IFERROR(__xludf.DUMMYFUNCTION("""COMPUTED_VALUE"""),"Europe")</f>
        <v>Europe</v>
      </c>
      <c r="C2362">
        <f>IFERROR(__xludf.DUMMYFUNCTION("""COMPUTED_VALUE"""),11.0)</f>
        <v>11</v>
      </c>
      <c r="D2362" t="str">
        <f>IFERROR(__xludf.DUMMYFUNCTION("""COMPUTED_VALUE"""),"In Your Eyes")</f>
        <v>In Your Eyes</v>
      </c>
      <c r="E2362" t="str">
        <f>IFERROR(__xludf.DUMMYFUNCTION("""COMPUTED_VALUE"""),"The Weeknd")</f>
        <v>The Weeknd</v>
      </c>
      <c r="F2362" t="str">
        <f>IFERROR(__xludf.DUMMYFUNCTION("""COMPUTED_VALUE"""),"After Hours")</f>
        <v>After Hours</v>
      </c>
      <c r="G2362">
        <f>IFERROR(__xludf.DUMMYFUNCTION("""COMPUTED_VALUE"""),1.0)</f>
        <v>1</v>
      </c>
      <c r="H2362" s="5">
        <f>IFERROR(__xludf.DUMMYFUNCTION("""COMPUTED_VALUE"""),0.16458333333503106)</f>
        <v>0.1645833333</v>
      </c>
    </row>
    <row r="2363">
      <c r="A2363" t="str">
        <f>IFERROR(__xludf.DUMMYFUNCTION("""COMPUTED_VALUE"""),"Poland")</f>
        <v>Poland</v>
      </c>
      <c r="B2363" t="str">
        <f>IFERROR(__xludf.DUMMYFUNCTION("""COMPUTED_VALUE"""),"Europe")</f>
        <v>Europe</v>
      </c>
      <c r="C2363">
        <f>IFERROR(__xludf.DUMMYFUNCTION("""COMPUTED_VALUE"""),12.0)</f>
        <v>12</v>
      </c>
      <c r="D2363" t="str">
        <f>IFERROR(__xludf.DUMMYFUNCTION("""COMPUTED_VALUE"""),"Młody Boss")</f>
        <v>Młody Boss</v>
      </c>
      <c r="E2363" t="str">
        <f>IFERROR(__xludf.DUMMYFUNCTION("""COMPUTED_VALUE"""),"Żabson")</f>
        <v>Żabson</v>
      </c>
      <c r="F2363" t="str">
        <f>IFERROR(__xludf.DUMMYFUNCTION("""COMPUTED_VALUE"""),"Młody Boss")</f>
        <v>Młody Boss</v>
      </c>
      <c r="G2363">
        <f>IFERROR(__xludf.DUMMYFUNCTION("""COMPUTED_VALUE"""),0.0)</f>
        <v>0</v>
      </c>
      <c r="H2363" s="5">
        <f>IFERROR(__xludf.DUMMYFUNCTION("""COMPUTED_VALUE"""),0.17222222222335404)</f>
        <v>0.1722222222</v>
      </c>
    </row>
    <row r="2364">
      <c r="A2364" t="str">
        <f>IFERROR(__xludf.DUMMYFUNCTION("""COMPUTED_VALUE"""),"Poland")</f>
        <v>Poland</v>
      </c>
      <c r="B2364" t="str">
        <f>IFERROR(__xludf.DUMMYFUNCTION("""COMPUTED_VALUE"""),"Europe")</f>
        <v>Europe</v>
      </c>
      <c r="C2364">
        <f>IFERROR(__xludf.DUMMYFUNCTION("""COMPUTED_VALUE"""),13.0)</f>
        <v>13</v>
      </c>
      <c r="D2364" t="str">
        <f>IFERROR(__xludf.DUMMYFUNCTION("""COMPUTED_VALUE"""),"death bed (coffee for your head) (feat. beabadoobee)")</f>
        <v>death bed (coffee for your head) (feat. beabadoobee)</v>
      </c>
      <c r="E2364" t="str">
        <f>IFERROR(__xludf.DUMMYFUNCTION("""COMPUTED_VALUE"""),"Powfu, beabadoobee")</f>
        <v>Powfu, beabadoobee</v>
      </c>
      <c r="F2364" t="str">
        <f>IFERROR(__xludf.DUMMYFUNCTION("""COMPUTED_VALUE"""),"death bed (coffee for your head) (feat. beabadoobee)")</f>
        <v>death bed (coffee for your head) (feat. beabadoobee)</v>
      </c>
      <c r="G2364">
        <f>IFERROR(__xludf.DUMMYFUNCTION("""COMPUTED_VALUE"""),0.0)</f>
        <v>0</v>
      </c>
      <c r="H2364" s="5">
        <f>IFERROR(__xludf.DUMMYFUNCTION("""COMPUTED_VALUE"""),0.12013888888759539)</f>
        <v>0.1201388889</v>
      </c>
    </row>
    <row r="2365">
      <c r="A2365" t="str">
        <f>IFERROR(__xludf.DUMMYFUNCTION("""COMPUTED_VALUE"""),"Poland")</f>
        <v>Poland</v>
      </c>
      <c r="B2365" t="str">
        <f>IFERROR(__xludf.DUMMYFUNCTION("""COMPUTED_VALUE"""),"Europe")</f>
        <v>Europe</v>
      </c>
      <c r="C2365">
        <f>IFERROR(__xludf.DUMMYFUNCTION("""COMPUTED_VALUE"""),14.0)</f>
        <v>14</v>
      </c>
      <c r="D2365" t="str">
        <f>IFERROR(__xludf.DUMMYFUNCTION("""COMPUTED_VALUE"""),"GOOBA")</f>
        <v>GOOBA</v>
      </c>
      <c r="E2365" t="str">
        <f>IFERROR(__xludf.DUMMYFUNCTION("""COMPUTED_VALUE"""),"6ix9ine")</f>
        <v>6ix9ine</v>
      </c>
      <c r="F2365" t="str">
        <f>IFERROR(__xludf.DUMMYFUNCTION("""COMPUTED_VALUE"""),"GOOBA")</f>
        <v>GOOBA</v>
      </c>
      <c r="G2365">
        <f>IFERROR(__xludf.DUMMYFUNCTION("""COMPUTED_VALUE"""),1.0)</f>
        <v>1</v>
      </c>
      <c r="H2365" s="5">
        <f>IFERROR(__xludf.DUMMYFUNCTION("""COMPUTED_VALUE"""),0.09166666666715173)</f>
        <v>0.09166666667</v>
      </c>
    </row>
    <row r="2366">
      <c r="A2366" t="str">
        <f>IFERROR(__xludf.DUMMYFUNCTION("""COMPUTED_VALUE"""),"Poland")</f>
        <v>Poland</v>
      </c>
      <c r="B2366" t="str">
        <f>IFERROR(__xludf.DUMMYFUNCTION("""COMPUTED_VALUE"""),"Europe")</f>
        <v>Europe</v>
      </c>
      <c r="C2366">
        <f>IFERROR(__xludf.DUMMYFUNCTION("""COMPUTED_VALUE"""),15.0)</f>
        <v>15</v>
      </c>
      <c r="D2366" t="str">
        <f>IFERROR(__xludf.DUMMYFUNCTION("""COMPUTED_VALUE"""),"Break My Heart")</f>
        <v>Break My Heart</v>
      </c>
      <c r="E2366" t="str">
        <f>IFERROR(__xludf.DUMMYFUNCTION("""COMPUTED_VALUE"""),"Dua Lipa")</f>
        <v>Dua Lipa</v>
      </c>
      <c r="F2366" t="str">
        <f>IFERROR(__xludf.DUMMYFUNCTION("""COMPUTED_VALUE"""),"Future Nostalgia")</f>
        <v>Future Nostalgia</v>
      </c>
      <c r="G2366">
        <f>IFERROR(__xludf.DUMMYFUNCTION("""COMPUTED_VALUE"""),0.0)</f>
        <v>0</v>
      </c>
      <c r="H2366" s="5">
        <f>IFERROR(__xludf.DUMMYFUNCTION("""COMPUTED_VALUE"""),0.15347222222044365)</f>
        <v>0.1534722222</v>
      </c>
    </row>
    <row r="2367">
      <c r="A2367" t="str">
        <f>IFERROR(__xludf.DUMMYFUNCTION("""COMPUTED_VALUE"""),"Poland")</f>
        <v>Poland</v>
      </c>
      <c r="B2367" t="str">
        <f>IFERROR(__xludf.DUMMYFUNCTION("""COMPUTED_VALUE"""),"Europe")</f>
        <v>Europe</v>
      </c>
      <c r="C2367">
        <f>IFERROR(__xludf.DUMMYFUNCTION("""COMPUTED_VALUE"""),16.0)</f>
        <v>16</v>
      </c>
      <c r="D2367" t="str">
        <f>IFERROR(__xludf.DUMMYFUNCTION("""COMPUTED_VALUE"""),"Salt")</f>
        <v>Salt</v>
      </c>
      <c r="E2367" t="str">
        <f>IFERROR(__xludf.DUMMYFUNCTION("""COMPUTED_VALUE"""),"Ava Max")</f>
        <v>Ava Max</v>
      </c>
      <c r="F2367" t="str">
        <f>IFERROR(__xludf.DUMMYFUNCTION("""COMPUTED_VALUE"""),"Salt")</f>
        <v>Salt</v>
      </c>
      <c r="G2367">
        <f>IFERROR(__xludf.DUMMYFUNCTION("""COMPUTED_VALUE"""),0.0)</f>
        <v>0</v>
      </c>
      <c r="H2367" s="5">
        <f>IFERROR(__xludf.DUMMYFUNCTION("""COMPUTED_VALUE"""),0.125)</f>
        <v>0.125</v>
      </c>
    </row>
    <row r="2368">
      <c r="A2368" t="str">
        <f>IFERROR(__xludf.DUMMYFUNCTION("""COMPUTED_VALUE"""),"Poland")</f>
        <v>Poland</v>
      </c>
      <c r="B2368" t="str">
        <f>IFERROR(__xludf.DUMMYFUNCTION("""COMPUTED_VALUE"""),"Europe")</f>
        <v>Europe</v>
      </c>
      <c r="C2368">
        <f>IFERROR(__xludf.DUMMYFUNCTION("""COMPUTED_VALUE"""),17.0)</f>
        <v>17</v>
      </c>
      <c r="D2368" t="str">
        <f>IFERROR(__xludf.DUMMYFUNCTION("""COMPUTED_VALUE"""),"THE SCOTTS")</f>
        <v>THE SCOTTS</v>
      </c>
      <c r="E2368" t="str">
        <f>IFERROR(__xludf.DUMMYFUNCTION("""COMPUTED_VALUE"""),"THE SCOTTS, Travis Scott, Kid Cudi")</f>
        <v>THE SCOTTS, Travis Scott, Kid Cudi</v>
      </c>
      <c r="F2368" t="str">
        <f>IFERROR(__xludf.DUMMYFUNCTION("""COMPUTED_VALUE"""),"THE SCOTTS")</f>
        <v>THE SCOTTS</v>
      </c>
      <c r="G2368">
        <f>IFERROR(__xludf.DUMMYFUNCTION("""COMPUTED_VALUE"""),1.0)</f>
        <v>1</v>
      </c>
      <c r="H2368" s="5">
        <f>IFERROR(__xludf.DUMMYFUNCTION("""COMPUTED_VALUE"""),0.11458333333212067)</f>
        <v>0.1145833333</v>
      </c>
    </row>
    <row r="2369">
      <c r="A2369" t="str">
        <f>IFERROR(__xludf.DUMMYFUNCTION("""COMPUTED_VALUE"""),"Poland")</f>
        <v>Poland</v>
      </c>
      <c r="B2369" t="str">
        <f>IFERROR(__xludf.DUMMYFUNCTION("""COMPUTED_VALUE"""),"Europe")</f>
        <v>Europe</v>
      </c>
      <c r="C2369">
        <f>IFERROR(__xludf.DUMMYFUNCTION("""COMPUTED_VALUE"""),18.0)</f>
        <v>18</v>
      </c>
      <c r="D2369" t="str">
        <f>IFERROR(__xludf.DUMMYFUNCTION("""COMPUTED_VALUE"""),"Physical")</f>
        <v>Physical</v>
      </c>
      <c r="E2369" t="str">
        <f>IFERROR(__xludf.DUMMYFUNCTION("""COMPUTED_VALUE"""),"Dua Lipa")</f>
        <v>Dua Lipa</v>
      </c>
      <c r="F2369" t="str">
        <f>IFERROR(__xludf.DUMMYFUNCTION("""COMPUTED_VALUE"""),"Future Nostalgia")</f>
        <v>Future Nostalgia</v>
      </c>
      <c r="G2369">
        <f>IFERROR(__xludf.DUMMYFUNCTION("""COMPUTED_VALUE"""),0.0)</f>
        <v>0</v>
      </c>
      <c r="H2369" s="5">
        <f>IFERROR(__xludf.DUMMYFUNCTION("""COMPUTED_VALUE"""),0.13402777777810115)</f>
        <v>0.1340277778</v>
      </c>
    </row>
    <row r="2370">
      <c r="A2370" t="str">
        <f>IFERROR(__xludf.DUMMYFUNCTION("""COMPUTED_VALUE"""),"Poland")</f>
        <v>Poland</v>
      </c>
      <c r="B2370" t="str">
        <f>IFERROR(__xludf.DUMMYFUNCTION("""COMPUTED_VALUE"""),"Europe")</f>
        <v>Europe</v>
      </c>
      <c r="C2370">
        <f>IFERROR(__xludf.DUMMYFUNCTION("""COMPUTED_VALUE"""),19.0)</f>
        <v>19</v>
      </c>
      <c r="D2370" t="str">
        <f>IFERROR(__xludf.DUMMYFUNCTION("""COMPUTED_VALUE"""),"ily (i love you baby) (feat. Emilee)")</f>
        <v>ily (i love you baby) (feat. Emilee)</v>
      </c>
      <c r="E2370" t="str">
        <f>IFERROR(__xludf.DUMMYFUNCTION("""COMPUTED_VALUE"""),"Surf Mesa, Emilee")</f>
        <v>Surf Mesa, Emilee</v>
      </c>
      <c r="F2370" t="str">
        <f>IFERROR(__xludf.DUMMYFUNCTION("""COMPUTED_VALUE"""),"ily (i love you baby) (feat. Emilee)")</f>
        <v>ily (i love you baby) (feat. Emilee)</v>
      </c>
      <c r="G2370">
        <f>IFERROR(__xludf.DUMMYFUNCTION("""COMPUTED_VALUE"""),0.0)</f>
        <v>0</v>
      </c>
      <c r="H2370" s="5">
        <f>IFERROR(__xludf.DUMMYFUNCTION("""COMPUTED_VALUE"""),0.12222222222044365)</f>
        <v>0.1222222222</v>
      </c>
    </row>
    <row r="2371">
      <c r="A2371" t="str">
        <f>IFERROR(__xludf.DUMMYFUNCTION("""COMPUTED_VALUE"""),"Poland")</f>
        <v>Poland</v>
      </c>
      <c r="B2371" t="str">
        <f>IFERROR(__xludf.DUMMYFUNCTION("""COMPUTED_VALUE"""),"Europe")</f>
        <v>Europe</v>
      </c>
      <c r="C2371">
        <f>IFERROR(__xludf.DUMMYFUNCTION("""COMPUTED_VALUE"""),20.0)</f>
        <v>20</v>
      </c>
      <c r="D2371" t="str">
        <f>IFERROR(__xludf.DUMMYFUNCTION("""COMPUTED_VALUE"""),"Supalonely")</f>
        <v>Supalonely</v>
      </c>
      <c r="E2371" t="str">
        <f>IFERROR(__xludf.DUMMYFUNCTION("""COMPUTED_VALUE"""),"BENEE, Gus Dapperton")</f>
        <v>BENEE, Gus Dapperton</v>
      </c>
      <c r="F2371" t="str">
        <f>IFERROR(__xludf.DUMMYFUNCTION("""COMPUTED_VALUE"""),"STELLA &amp; STEVE")</f>
        <v>STELLA &amp; STEVE</v>
      </c>
      <c r="G2371">
        <f>IFERROR(__xludf.DUMMYFUNCTION("""COMPUTED_VALUE"""),1.0)</f>
        <v>1</v>
      </c>
      <c r="H2371" s="5">
        <f>IFERROR(__xludf.DUMMYFUNCTION("""COMPUTED_VALUE"""),0.15486111111022183)</f>
        <v>0.1548611111</v>
      </c>
    </row>
    <row r="2372">
      <c r="A2372" t="str">
        <f>IFERROR(__xludf.DUMMYFUNCTION("""COMPUTED_VALUE"""),"Poland")</f>
        <v>Poland</v>
      </c>
      <c r="B2372" t="str">
        <f>IFERROR(__xludf.DUMMYFUNCTION("""COMPUTED_VALUE"""),"Europe")</f>
        <v>Europe</v>
      </c>
      <c r="C2372">
        <f>IFERROR(__xludf.DUMMYFUNCTION("""COMPUTED_VALUE"""),21.0)</f>
        <v>21</v>
      </c>
      <c r="D2372" t="str">
        <f>IFERROR(__xludf.DUMMYFUNCTION("""COMPUTED_VALUE"""),"100 dni do matury")</f>
        <v>100 dni do matury</v>
      </c>
      <c r="E2372" t="str">
        <f>IFERROR(__xludf.DUMMYFUNCTION("""COMPUTED_VALUE"""),"Mata")</f>
        <v>Mata</v>
      </c>
      <c r="F2372" t="str">
        <f>IFERROR(__xludf.DUMMYFUNCTION("""COMPUTED_VALUE"""),"100 dni do matury")</f>
        <v>100 dni do matury</v>
      </c>
      <c r="G2372">
        <f>IFERROR(__xludf.DUMMYFUNCTION("""COMPUTED_VALUE"""),0.0)</f>
        <v>0</v>
      </c>
      <c r="H2372" s="5">
        <f>IFERROR(__xludf.DUMMYFUNCTION("""COMPUTED_VALUE"""),0.20902777777882875)</f>
        <v>0.2090277778</v>
      </c>
    </row>
    <row r="2373">
      <c r="A2373" t="str">
        <f>IFERROR(__xludf.DUMMYFUNCTION("""COMPUTED_VALUE"""),"Poland")</f>
        <v>Poland</v>
      </c>
      <c r="B2373" t="str">
        <f>IFERROR(__xludf.DUMMYFUNCTION("""COMPUTED_VALUE"""),"Europe")</f>
        <v>Europe</v>
      </c>
      <c r="C2373">
        <f>IFERROR(__xludf.DUMMYFUNCTION("""COMPUTED_VALUE"""),22.0)</f>
        <v>22</v>
      </c>
      <c r="D2373" t="str">
        <f>IFERROR(__xludf.DUMMYFUNCTION("""COMPUTED_VALUE"""),"Stuck with U (with Justin Bieber)")</f>
        <v>Stuck with U (with Justin Bieber)</v>
      </c>
      <c r="E2373" t="str">
        <f>IFERROR(__xludf.DUMMYFUNCTION("""COMPUTED_VALUE"""),"Ariana Grande, Justin Bieber")</f>
        <v>Ariana Grande, Justin Bieber</v>
      </c>
      <c r="F2373" t="str">
        <f>IFERROR(__xludf.DUMMYFUNCTION("""COMPUTED_VALUE"""),"Stuck with U")</f>
        <v>Stuck with U</v>
      </c>
      <c r="G2373">
        <f>IFERROR(__xludf.DUMMYFUNCTION("""COMPUTED_VALUE"""),0.0)</f>
        <v>0</v>
      </c>
      <c r="H2373" s="5">
        <f>IFERROR(__xludf.DUMMYFUNCTION("""COMPUTED_VALUE"""),0.15833333333284827)</f>
        <v>0.1583333333</v>
      </c>
    </row>
    <row r="2374">
      <c r="A2374" t="str">
        <f>IFERROR(__xludf.DUMMYFUNCTION("""COMPUTED_VALUE"""),"Poland")</f>
        <v>Poland</v>
      </c>
      <c r="B2374" t="str">
        <f>IFERROR(__xludf.DUMMYFUNCTION("""COMPUTED_VALUE"""),"Europe")</f>
        <v>Europe</v>
      </c>
      <c r="C2374">
        <f>IFERROR(__xludf.DUMMYFUNCTION("""COMPUTED_VALUE"""),23.0)</f>
        <v>23</v>
      </c>
      <c r="D2374" t="str">
        <f>IFERROR(__xludf.DUMMYFUNCTION("""COMPUTED_VALUE"""),"Dance Monkey")</f>
        <v>Dance Monkey</v>
      </c>
      <c r="E2374" t="str">
        <f>IFERROR(__xludf.DUMMYFUNCTION("""COMPUTED_VALUE"""),"Tones And I")</f>
        <v>Tones And I</v>
      </c>
      <c r="F2374" t="str">
        <f>IFERROR(__xludf.DUMMYFUNCTION("""COMPUTED_VALUE"""),"Dance Monkey (Stripped Back) / Dance Monkey")</f>
        <v>Dance Monkey (Stripped Back) / Dance Monkey</v>
      </c>
      <c r="G2374">
        <f>IFERROR(__xludf.DUMMYFUNCTION("""COMPUTED_VALUE"""),0.0)</f>
        <v>0</v>
      </c>
      <c r="H2374" s="5">
        <f>IFERROR(__xludf.DUMMYFUNCTION("""COMPUTED_VALUE"""),0.14513888888905058)</f>
        <v>0.1451388889</v>
      </c>
    </row>
    <row r="2375">
      <c r="A2375" t="str">
        <f>IFERROR(__xludf.DUMMYFUNCTION("""COMPUTED_VALUE"""),"Poland")</f>
        <v>Poland</v>
      </c>
      <c r="B2375" t="str">
        <f>IFERROR(__xludf.DUMMYFUNCTION("""COMPUTED_VALUE"""),"Europe")</f>
        <v>Europe</v>
      </c>
      <c r="C2375">
        <f>IFERROR(__xludf.DUMMYFUNCTION("""COMPUTED_VALUE"""),24.0)</f>
        <v>24</v>
      </c>
      <c r="D2375" t="str">
        <f>IFERROR(__xludf.DUMMYFUNCTION("""COMPUTED_VALUE"""),"Melodia")</f>
        <v>Melodia</v>
      </c>
      <c r="E2375" t="str">
        <f>IFERROR(__xludf.DUMMYFUNCTION("""COMPUTED_VALUE"""),"sanah")</f>
        <v>sanah</v>
      </c>
      <c r="F2375" t="str">
        <f>IFERROR(__xludf.DUMMYFUNCTION("""COMPUTED_VALUE"""),"Królowa dram")</f>
        <v>Królowa dram</v>
      </c>
      <c r="G2375">
        <f>IFERROR(__xludf.DUMMYFUNCTION("""COMPUTED_VALUE"""),0.0)</f>
        <v>0</v>
      </c>
      <c r="H2375" s="5">
        <f>IFERROR(__xludf.DUMMYFUNCTION("""COMPUTED_VALUE"""),0.12708333333284827)</f>
        <v>0.1270833333</v>
      </c>
    </row>
    <row r="2376">
      <c r="A2376" t="str">
        <f>IFERROR(__xludf.DUMMYFUNCTION("""COMPUTED_VALUE"""),"Poland")</f>
        <v>Poland</v>
      </c>
      <c r="B2376" t="str">
        <f>IFERROR(__xludf.DUMMYFUNCTION("""COMPUTED_VALUE"""),"Europe")</f>
        <v>Europe</v>
      </c>
      <c r="C2376">
        <f>IFERROR(__xludf.DUMMYFUNCTION("""COMPUTED_VALUE"""),25.0)</f>
        <v>25</v>
      </c>
      <c r="D2376" t="str">
        <f>IFERROR(__xludf.DUMMYFUNCTION("""COMPUTED_VALUE"""),"Don't Start Now")</f>
        <v>Don't Start Now</v>
      </c>
      <c r="E2376" t="str">
        <f>IFERROR(__xludf.DUMMYFUNCTION("""COMPUTED_VALUE"""),"Dua Lipa")</f>
        <v>Dua Lipa</v>
      </c>
      <c r="F2376" t="str">
        <f>IFERROR(__xludf.DUMMYFUNCTION("""COMPUTED_VALUE"""),"Future Nostalgia")</f>
        <v>Future Nostalgia</v>
      </c>
      <c r="G2376">
        <f>IFERROR(__xludf.DUMMYFUNCTION("""COMPUTED_VALUE"""),0.0)</f>
        <v>0</v>
      </c>
      <c r="H2376" s="5">
        <f>IFERROR(__xludf.DUMMYFUNCTION("""COMPUTED_VALUE"""),0.12708333333284827)</f>
        <v>0.1270833333</v>
      </c>
    </row>
    <row r="2377">
      <c r="A2377" t="str">
        <f>IFERROR(__xludf.DUMMYFUNCTION("""COMPUTED_VALUE"""),"Poland")</f>
        <v>Poland</v>
      </c>
      <c r="B2377" t="str">
        <f>IFERROR(__xludf.DUMMYFUNCTION("""COMPUTED_VALUE"""),"Europe")</f>
        <v>Europe</v>
      </c>
      <c r="C2377">
        <f>IFERROR(__xludf.DUMMYFUNCTION("""COMPUTED_VALUE"""),26.0)</f>
        <v>26</v>
      </c>
      <c r="D2377" t="str">
        <f>IFERROR(__xludf.DUMMYFUNCTION("""COMPUTED_VALUE"""),"Watermelon Sugar")</f>
        <v>Watermelon Sugar</v>
      </c>
      <c r="E2377" t="str">
        <f>IFERROR(__xludf.DUMMYFUNCTION("""COMPUTED_VALUE"""),"Harry Styles")</f>
        <v>Harry Styles</v>
      </c>
      <c r="F2377" t="str">
        <f>IFERROR(__xludf.DUMMYFUNCTION("""COMPUTED_VALUE"""),"Fine Line")</f>
        <v>Fine Line</v>
      </c>
      <c r="G2377">
        <f>IFERROR(__xludf.DUMMYFUNCTION("""COMPUTED_VALUE"""),0.0)</f>
        <v>0</v>
      </c>
      <c r="H2377" s="5">
        <f>IFERROR(__xludf.DUMMYFUNCTION("""COMPUTED_VALUE"""),0.12083333333430346)</f>
        <v>0.1208333333</v>
      </c>
    </row>
    <row r="2378">
      <c r="A2378" t="str">
        <f>IFERROR(__xludf.DUMMYFUNCTION("""COMPUTED_VALUE"""),"Poland")</f>
        <v>Poland</v>
      </c>
      <c r="B2378" t="str">
        <f>IFERROR(__xludf.DUMMYFUNCTION("""COMPUTED_VALUE"""),"Europe")</f>
        <v>Europe</v>
      </c>
      <c r="C2378">
        <f>IFERROR(__xludf.DUMMYFUNCTION("""COMPUTED_VALUE"""),27.0)</f>
        <v>27</v>
      </c>
      <c r="D2378" t="str">
        <f>IFERROR(__xludf.DUMMYFUNCTION("""COMPUTED_VALUE"""),"Breaking Me")</f>
        <v>Breaking Me</v>
      </c>
      <c r="E2378" t="str">
        <f>IFERROR(__xludf.DUMMYFUNCTION("""COMPUTED_VALUE"""),"Topic, A7S")</f>
        <v>Topic, A7S</v>
      </c>
      <c r="F2378" t="str">
        <f>IFERROR(__xludf.DUMMYFUNCTION("""COMPUTED_VALUE"""),"Breaking Me")</f>
        <v>Breaking Me</v>
      </c>
      <c r="G2378">
        <f>IFERROR(__xludf.DUMMYFUNCTION("""COMPUTED_VALUE"""),0.0)</f>
        <v>0</v>
      </c>
      <c r="H2378" s="5">
        <f>IFERROR(__xludf.DUMMYFUNCTION("""COMPUTED_VALUE"""),0.11527777777882875)</f>
        <v>0.1152777778</v>
      </c>
    </row>
    <row r="2379">
      <c r="A2379" t="str">
        <f>IFERROR(__xludf.DUMMYFUNCTION("""COMPUTED_VALUE"""),"Poland")</f>
        <v>Poland</v>
      </c>
      <c r="B2379" t="str">
        <f>IFERROR(__xludf.DUMMYFUNCTION("""COMPUTED_VALUE"""),"Europe")</f>
        <v>Europe</v>
      </c>
      <c r="C2379">
        <f>IFERROR(__xludf.DUMMYFUNCTION("""COMPUTED_VALUE"""),28.0)</f>
        <v>28</v>
      </c>
      <c r="D2379" t="str">
        <f>IFERROR(__xludf.DUMMYFUNCTION("""COMPUTED_VALUE"""),"Toosie Slide")</f>
        <v>Toosie Slide</v>
      </c>
      <c r="E2379" t="str">
        <f>IFERROR(__xludf.DUMMYFUNCTION("""COMPUTED_VALUE"""),"Drake")</f>
        <v>Drake</v>
      </c>
      <c r="F2379" t="str">
        <f>IFERROR(__xludf.DUMMYFUNCTION("""COMPUTED_VALUE"""),"Dark Lane Demo Tapes")</f>
        <v>Dark Lane Demo Tapes</v>
      </c>
      <c r="G2379">
        <f>IFERROR(__xludf.DUMMYFUNCTION("""COMPUTED_VALUE"""),1.0)</f>
        <v>1</v>
      </c>
      <c r="H2379" s="5">
        <f>IFERROR(__xludf.DUMMYFUNCTION("""COMPUTED_VALUE"""),0.17152777777664596)</f>
        <v>0.1715277778</v>
      </c>
    </row>
    <row r="2380">
      <c r="A2380" t="str">
        <f>IFERROR(__xludf.DUMMYFUNCTION("""COMPUTED_VALUE"""),"Poland")</f>
        <v>Poland</v>
      </c>
      <c r="B2380" t="str">
        <f>IFERROR(__xludf.DUMMYFUNCTION("""COMPUTED_VALUE"""),"Europe")</f>
        <v>Europe</v>
      </c>
      <c r="C2380">
        <f>IFERROR(__xludf.DUMMYFUNCTION("""COMPUTED_VALUE"""),29.0)</f>
        <v>29</v>
      </c>
      <c r="D2380" t="str">
        <f>IFERROR(__xludf.DUMMYFUNCTION("""COMPUTED_VALUE"""),"Rainman")</f>
        <v>Rainman</v>
      </c>
      <c r="E2380" t="str">
        <f>IFERROR(__xludf.DUMMYFUNCTION("""COMPUTED_VALUE"""),"Tymek, TEDE, Trill Pem, Michał Graczyk, 2K")</f>
        <v>Tymek, TEDE, Trill Pem, Michał Graczyk, 2K</v>
      </c>
      <c r="F2380" t="str">
        <f>IFERROR(__xludf.DUMMYFUNCTION("""COMPUTED_VALUE"""),"FIT")</f>
        <v>FIT</v>
      </c>
      <c r="G2380">
        <f>IFERROR(__xludf.DUMMYFUNCTION("""COMPUTED_VALUE"""),1.0)</f>
        <v>1</v>
      </c>
      <c r="H2380" s="5">
        <f>IFERROR(__xludf.DUMMYFUNCTION("""COMPUTED_VALUE"""),0.15625)</f>
        <v>0.15625</v>
      </c>
    </row>
    <row r="2381">
      <c r="A2381" t="str">
        <f>IFERROR(__xludf.DUMMYFUNCTION("""COMPUTED_VALUE"""),"Poland")</f>
        <v>Poland</v>
      </c>
      <c r="B2381" t="str">
        <f>IFERROR(__xludf.DUMMYFUNCTION("""COMPUTED_VALUE"""),"Europe")</f>
        <v>Europe</v>
      </c>
      <c r="C2381">
        <f>IFERROR(__xludf.DUMMYFUNCTION("""COMPUTED_VALUE"""),30.0)</f>
        <v>30</v>
      </c>
      <c r="D2381" t="str">
        <f>IFERROR(__xludf.DUMMYFUNCTION("""COMPUTED_VALUE"""),"BLUE")</f>
        <v>BLUE</v>
      </c>
      <c r="E2381" t="str">
        <f>IFERROR(__xludf.DUMMYFUNCTION("""COMPUTED_VALUE"""),"Tiësto, Stevie Appleton")</f>
        <v>Tiësto, Stevie Appleton</v>
      </c>
      <c r="F2381" t="str">
        <f>IFERROR(__xludf.DUMMYFUNCTION("""COMPUTED_VALUE"""),"The London Sessions")</f>
        <v>The London Sessions</v>
      </c>
      <c r="G2381">
        <f>IFERROR(__xludf.DUMMYFUNCTION("""COMPUTED_VALUE"""),0.0)</f>
        <v>0</v>
      </c>
      <c r="H2381" s="5">
        <f>IFERROR(__xludf.DUMMYFUNCTION("""COMPUTED_VALUE"""),0.11597222222189885)</f>
        <v>0.1159722222</v>
      </c>
    </row>
    <row r="2382">
      <c r="A2382" t="str">
        <f>IFERROR(__xludf.DUMMYFUNCTION("""COMPUTED_VALUE"""),"Poland")</f>
        <v>Poland</v>
      </c>
      <c r="B2382" t="str">
        <f>IFERROR(__xludf.DUMMYFUNCTION("""COMPUTED_VALUE"""),"Europe")</f>
        <v>Europe</v>
      </c>
      <c r="C2382">
        <f>IFERROR(__xludf.DUMMYFUNCTION("""COMPUTED_VALUE"""),31.0)</f>
        <v>31</v>
      </c>
      <c r="D2382" t="str">
        <f>IFERROR(__xludf.DUMMYFUNCTION("""COMPUTED_VALUE"""),"Patointeligencja")</f>
        <v>Patointeligencja</v>
      </c>
      <c r="E2382" t="str">
        <f>IFERROR(__xludf.DUMMYFUNCTION("""COMPUTED_VALUE"""),"Mata")</f>
        <v>Mata</v>
      </c>
      <c r="F2382" t="str">
        <f>IFERROR(__xludf.DUMMYFUNCTION("""COMPUTED_VALUE"""),"100 dni do matury")</f>
        <v>100 dni do matury</v>
      </c>
      <c r="G2382">
        <f>IFERROR(__xludf.DUMMYFUNCTION("""COMPUTED_VALUE"""),0.0)</f>
        <v>0</v>
      </c>
      <c r="H2382" s="5">
        <f>IFERROR(__xludf.DUMMYFUNCTION("""COMPUTED_VALUE"""),0.17847222222189885)</f>
        <v>0.1784722222</v>
      </c>
    </row>
    <row r="2383">
      <c r="A2383" t="str">
        <f>IFERROR(__xludf.DUMMYFUNCTION("""COMPUTED_VALUE"""),"Poland")</f>
        <v>Poland</v>
      </c>
      <c r="B2383" t="str">
        <f>IFERROR(__xludf.DUMMYFUNCTION("""COMPUTED_VALUE"""),"Europe")</f>
        <v>Europe</v>
      </c>
      <c r="C2383">
        <f>IFERROR(__xludf.DUMMYFUNCTION("""COMPUTED_VALUE"""),32.0)</f>
        <v>32</v>
      </c>
      <c r="D2383" t="str">
        <f>IFERROR(__xludf.DUMMYFUNCTION("""COMPUTED_VALUE"""),"Say So")</f>
        <v>Say So</v>
      </c>
      <c r="E2383" t="str">
        <f>IFERROR(__xludf.DUMMYFUNCTION("""COMPUTED_VALUE"""),"Doja Cat")</f>
        <v>Doja Cat</v>
      </c>
      <c r="F2383" t="str">
        <f>IFERROR(__xludf.DUMMYFUNCTION("""COMPUTED_VALUE"""),"Hot Pink")</f>
        <v>Hot Pink</v>
      </c>
      <c r="G2383">
        <f>IFERROR(__xludf.DUMMYFUNCTION("""COMPUTED_VALUE"""),1.0)</f>
        <v>1</v>
      </c>
      <c r="H2383" s="5">
        <f>IFERROR(__xludf.DUMMYFUNCTION("""COMPUTED_VALUE"""),0.16458333333503106)</f>
        <v>0.1645833333</v>
      </c>
    </row>
    <row r="2384">
      <c r="A2384" t="str">
        <f>IFERROR(__xludf.DUMMYFUNCTION("""COMPUTED_VALUE"""),"Poland")</f>
        <v>Poland</v>
      </c>
      <c r="B2384" t="str">
        <f>IFERROR(__xludf.DUMMYFUNCTION("""COMPUTED_VALUE"""),"Europe")</f>
        <v>Europe</v>
      </c>
      <c r="C2384">
        <f>IFERROR(__xludf.DUMMYFUNCTION("""COMPUTED_VALUE"""),33.0)</f>
        <v>33</v>
      </c>
      <c r="D2384" t="str">
        <f>IFERROR(__xludf.DUMMYFUNCTION("""COMPUTED_VALUE"""),"Boss Bitch")</f>
        <v>Boss Bitch</v>
      </c>
      <c r="E2384" t="str">
        <f>IFERROR(__xludf.DUMMYFUNCTION("""COMPUTED_VALUE"""),"Doja Cat")</f>
        <v>Doja Cat</v>
      </c>
      <c r="F2384" t="str">
        <f>IFERROR(__xludf.DUMMYFUNCTION("""COMPUTED_VALUE"""),"Boss Bitch")</f>
        <v>Boss Bitch</v>
      </c>
      <c r="G2384">
        <f>IFERROR(__xludf.DUMMYFUNCTION("""COMPUTED_VALUE"""),0.0)</f>
        <v>0</v>
      </c>
      <c r="H2384" s="5">
        <f>IFERROR(__xludf.DUMMYFUNCTION("""COMPUTED_VALUE"""),0.0930555555569299)</f>
        <v>0.09305555556</v>
      </c>
    </row>
    <row r="2385">
      <c r="A2385" t="str">
        <f>IFERROR(__xludf.DUMMYFUNCTION("""COMPUTED_VALUE"""),"Poland")</f>
        <v>Poland</v>
      </c>
      <c r="B2385" t="str">
        <f>IFERROR(__xludf.DUMMYFUNCTION("""COMPUTED_VALUE"""),"Europe")</f>
        <v>Europe</v>
      </c>
      <c r="C2385">
        <f>IFERROR(__xludf.DUMMYFUNCTION("""COMPUTED_VALUE"""),34.0)</f>
        <v>34</v>
      </c>
      <c r="D2385" t="str">
        <f>IFERROR(__xludf.DUMMYFUNCTION("""COMPUTED_VALUE"""),"NIEPŁACZĘPONOTREDAME")</f>
        <v>NIEPŁACZĘPONOTREDAME</v>
      </c>
      <c r="E2385" t="str">
        <f>IFERROR(__xludf.DUMMYFUNCTION("""COMPUTED_VALUE"""),"Quebonafide, Bedoes")</f>
        <v>Quebonafide, Bedoes</v>
      </c>
      <c r="F2385" t="str">
        <f>IFERROR(__xludf.DUMMYFUNCTION("""COMPUTED_VALUE"""),"ROMANTIC PSYCHO")</f>
        <v>ROMANTIC PSYCHO</v>
      </c>
      <c r="G2385">
        <f>IFERROR(__xludf.DUMMYFUNCTION("""COMPUTED_VALUE"""),0.0)</f>
        <v>0</v>
      </c>
      <c r="H2385" s="5">
        <f>IFERROR(__xludf.DUMMYFUNCTION("""COMPUTED_VALUE"""),0.14722222222189885)</f>
        <v>0.1472222222</v>
      </c>
    </row>
    <row r="2386">
      <c r="A2386" t="str">
        <f>IFERROR(__xludf.DUMMYFUNCTION("""COMPUTED_VALUE"""),"Poland")</f>
        <v>Poland</v>
      </c>
      <c r="B2386" t="str">
        <f>IFERROR(__xludf.DUMMYFUNCTION("""COMPUTED_VALUE"""),"Europe")</f>
        <v>Europe</v>
      </c>
      <c r="C2386">
        <f>IFERROR(__xludf.DUMMYFUNCTION("""COMPUTED_VALUE"""),35.0)</f>
        <v>35</v>
      </c>
      <c r="D2386" t="str">
        <f>IFERROR(__xludf.DUMMYFUNCTION("""COMPUTED_VALUE"""),"VOGUE")</f>
        <v>VOGUE</v>
      </c>
      <c r="E2386" t="str">
        <f>IFERROR(__xludf.DUMMYFUNCTION("""COMPUTED_VALUE"""),"Bedoes, Lanek")</f>
        <v>Bedoes, Lanek</v>
      </c>
      <c r="F2386" t="str">
        <f>IFERROR(__xludf.DUMMYFUNCTION("""COMPUTED_VALUE"""),"Opowieści z Doliny Smoków")</f>
        <v>Opowieści z Doliny Smoków</v>
      </c>
      <c r="G2386">
        <f>IFERROR(__xludf.DUMMYFUNCTION("""COMPUTED_VALUE"""),0.0)</f>
        <v>0</v>
      </c>
      <c r="H2386" s="5">
        <f>IFERROR(__xludf.DUMMYFUNCTION("""COMPUTED_VALUE"""),0.15138888888759539)</f>
        <v>0.1513888889</v>
      </c>
    </row>
    <row r="2387">
      <c r="A2387" t="str">
        <f>IFERROR(__xludf.DUMMYFUNCTION("""COMPUTED_VALUE"""),"Poland")</f>
        <v>Poland</v>
      </c>
      <c r="B2387" t="str">
        <f>IFERROR(__xludf.DUMMYFUNCTION("""COMPUTED_VALUE"""),"Europe")</f>
        <v>Europe</v>
      </c>
      <c r="C2387">
        <f>IFERROR(__xludf.DUMMYFUNCTION("""COMPUTED_VALUE"""),36.0)</f>
        <v>36</v>
      </c>
      <c r="D2387" t="str">
        <f>IFERROR(__xludf.DUMMYFUNCTION("""COMPUTED_VALUE"""),"Surfer")</f>
        <v>Surfer</v>
      </c>
      <c r="E2387" t="str">
        <f>IFERROR(__xludf.DUMMYFUNCTION("""COMPUTED_VALUE"""),"Be Vis")</f>
        <v>Be Vis</v>
      </c>
      <c r="F2387" t="str">
        <f>IFERROR(__xludf.DUMMYFUNCTION("""COMPUTED_VALUE"""),"duch czasu")</f>
        <v>duch czasu</v>
      </c>
      <c r="G2387">
        <f>IFERROR(__xludf.DUMMYFUNCTION("""COMPUTED_VALUE"""),1.0)</f>
        <v>1</v>
      </c>
      <c r="H2387" s="5">
        <f>IFERROR(__xludf.DUMMYFUNCTION("""COMPUTED_VALUE"""),0.10763888889050577)</f>
        <v>0.1076388889</v>
      </c>
    </row>
    <row r="2388">
      <c r="A2388" t="str">
        <f>IFERROR(__xludf.DUMMYFUNCTION("""COMPUTED_VALUE"""),"Poland")</f>
        <v>Poland</v>
      </c>
      <c r="B2388" t="str">
        <f>IFERROR(__xludf.DUMMYFUNCTION("""COMPUTED_VALUE"""),"Europe")</f>
        <v>Europe</v>
      </c>
      <c r="C2388">
        <f>IFERROR(__xludf.DUMMYFUNCTION("""COMPUTED_VALUE"""),37.0)</f>
        <v>37</v>
      </c>
      <c r="D2388" t="str">
        <f>IFERROR(__xludf.DUMMYFUNCTION("""COMPUTED_VALUE"""),"Drift")</f>
        <v>Drift</v>
      </c>
      <c r="E2388" t="str">
        <f>IFERROR(__xludf.DUMMYFUNCTION("""COMPUTED_VALUE"""),"Bialas, Mata, Lanek")</f>
        <v>Bialas, Mata, Lanek</v>
      </c>
      <c r="F2388" t="str">
        <f>IFERROR(__xludf.DUMMYFUNCTION("""COMPUTED_VALUE"""),"H8")</f>
        <v>H8</v>
      </c>
      <c r="G2388">
        <f>IFERROR(__xludf.DUMMYFUNCTION("""COMPUTED_VALUE"""),0.0)</f>
        <v>0</v>
      </c>
      <c r="H2388" s="5">
        <f>IFERROR(__xludf.DUMMYFUNCTION("""COMPUTED_VALUE"""),0.11527777777882875)</f>
        <v>0.1152777778</v>
      </c>
    </row>
    <row r="2389">
      <c r="A2389" t="str">
        <f>IFERROR(__xludf.DUMMYFUNCTION("""COMPUTED_VALUE"""),"Poland")</f>
        <v>Poland</v>
      </c>
      <c r="B2389" t="str">
        <f>IFERROR(__xludf.DUMMYFUNCTION("""COMPUTED_VALUE"""),"Europe")</f>
        <v>Europe</v>
      </c>
      <c r="C2389">
        <f>IFERROR(__xludf.DUMMYFUNCTION("""COMPUTED_VALUE"""),38.0)</f>
        <v>38</v>
      </c>
      <c r="D2389" t="str">
        <f>IFERROR(__xludf.DUMMYFUNCTION("""COMPUTED_VALUE"""),"W PIĄTKI LEŻĘ W WANNIE")</f>
        <v>W PIĄTKI LEŻĘ W WANNIE</v>
      </c>
      <c r="E2389" t="str">
        <f>IFERROR(__xludf.DUMMYFUNCTION("""COMPUTED_VALUE"""),"Taco Hemingway, Dawid Podsiadło")</f>
        <v>Taco Hemingway, Dawid Podsiadło</v>
      </c>
      <c r="F2389" t="str">
        <f>IFERROR(__xludf.DUMMYFUNCTION("""COMPUTED_VALUE"""),"POCZTÓWKA Z WWA, LATO '19")</f>
        <v>POCZTÓWKA Z WWA, LATO '19</v>
      </c>
      <c r="G2389">
        <f>IFERROR(__xludf.DUMMYFUNCTION("""COMPUTED_VALUE"""),0.0)</f>
        <v>0</v>
      </c>
      <c r="H2389" s="5">
        <f>IFERROR(__xludf.DUMMYFUNCTION("""COMPUTED_VALUE"""),0.15277777777737356)</f>
        <v>0.1527777778</v>
      </c>
    </row>
    <row r="2390">
      <c r="A2390" t="str">
        <f>IFERROR(__xludf.DUMMYFUNCTION("""COMPUTED_VALUE"""),"Poland")</f>
        <v>Poland</v>
      </c>
      <c r="B2390" t="str">
        <f>IFERROR(__xludf.DUMMYFUNCTION("""COMPUTED_VALUE"""),"Europe")</f>
        <v>Europe</v>
      </c>
      <c r="C2390">
        <f>IFERROR(__xludf.DUMMYFUNCTION("""COMPUTED_VALUE"""),39.0)</f>
        <v>39</v>
      </c>
      <c r="D2390" t="str">
        <f>IFERROR(__xludf.DUMMYFUNCTION("""COMPUTED_VALUE"""),"Królowa dram")</f>
        <v>Królowa dram</v>
      </c>
      <c r="E2390" t="str">
        <f>IFERROR(__xludf.DUMMYFUNCTION("""COMPUTED_VALUE"""),"sanah")</f>
        <v>sanah</v>
      </c>
      <c r="F2390" t="str">
        <f>IFERROR(__xludf.DUMMYFUNCTION("""COMPUTED_VALUE"""),"Królowa dram")</f>
        <v>Królowa dram</v>
      </c>
      <c r="G2390">
        <f>IFERROR(__xludf.DUMMYFUNCTION("""COMPUTED_VALUE"""),0.0)</f>
        <v>0</v>
      </c>
      <c r="H2390" s="5">
        <f>IFERROR(__xludf.DUMMYFUNCTION("""COMPUTED_VALUE"""),0.12847222222262644)</f>
        <v>0.1284722222</v>
      </c>
    </row>
    <row r="2391">
      <c r="A2391" t="str">
        <f>IFERROR(__xludf.DUMMYFUNCTION("""COMPUTED_VALUE"""),"Poland")</f>
        <v>Poland</v>
      </c>
      <c r="B2391" t="str">
        <f>IFERROR(__xludf.DUMMYFUNCTION("""COMPUTED_VALUE"""),"Europe")</f>
        <v>Europe</v>
      </c>
      <c r="C2391">
        <f>IFERROR(__xludf.DUMMYFUNCTION("""COMPUTED_VALUE"""),40.0)</f>
        <v>40</v>
      </c>
      <c r="D2391" t="str">
        <f>IFERROR(__xludf.DUMMYFUNCTION("""COMPUTED_VALUE"""),"Język ciała")</f>
        <v>Język ciała</v>
      </c>
      <c r="E2391" t="str">
        <f>IFERROR(__xludf.DUMMYFUNCTION("""COMPUTED_VALUE"""),"Tymek, Big Scythe")</f>
        <v>Tymek, Big Scythe</v>
      </c>
      <c r="F2391" t="str">
        <f>IFERROR(__xludf.DUMMYFUNCTION("""COMPUTED_VALUE"""),"Klubowe")</f>
        <v>Klubowe</v>
      </c>
      <c r="G2391">
        <f>IFERROR(__xludf.DUMMYFUNCTION("""COMPUTED_VALUE"""),1.0)</f>
        <v>1</v>
      </c>
      <c r="H2391" s="5">
        <f>IFERROR(__xludf.DUMMYFUNCTION("""COMPUTED_VALUE"""),0.13958333333357587)</f>
        <v>0.1395833333</v>
      </c>
    </row>
    <row r="2392">
      <c r="A2392" t="str">
        <f>IFERROR(__xludf.DUMMYFUNCTION("""COMPUTED_VALUE"""),"Poland")</f>
        <v>Poland</v>
      </c>
      <c r="B2392" t="str">
        <f>IFERROR(__xludf.DUMMYFUNCTION("""COMPUTED_VALUE"""),"Europe")</f>
        <v>Europe</v>
      </c>
      <c r="C2392">
        <f>IFERROR(__xludf.DUMMYFUNCTION("""COMPUTED_VALUE"""),41.0)</f>
        <v>41</v>
      </c>
      <c r="D2392" t="str">
        <f>IFERROR(__xludf.DUMMYFUNCTION("""COMPUTED_VALUE"""),"GOMBAO 33")</f>
        <v>GOMBAO 33</v>
      </c>
      <c r="E2392" t="str">
        <f>IFERROR(__xludf.DUMMYFUNCTION("""COMPUTED_VALUE"""),"Mata, Wyguś, Szczepan, Adam")</f>
        <v>Mata, Wyguś, Szczepan, Adam</v>
      </c>
      <c r="F2392" t="str">
        <f>IFERROR(__xludf.DUMMYFUNCTION("""COMPUTED_VALUE"""),"100 dni do matury")</f>
        <v>100 dni do matury</v>
      </c>
      <c r="G2392">
        <f>IFERROR(__xludf.DUMMYFUNCTION("""COMPUTED_VALUE"""),0.0)</f>
        <v>0</v>
      </c>
      <c r="H2392" s="5">
        <f>IFERROR(__xludf.DUMMYFUNCTION("""COMPUTED_VALUE"""),0.23611111110949423)</f>
        <v>0.2361111111</v>
      </c>
    </row>
    <row r="2393">
      <c r="A2393" t="str">
        <f>IFERROR(__xludf.DUMMYFUNCTION("""COMPUTED_VALUE"""),"Poland")</f>
        <v>Poland</v>
      </c>
      <c r="B2393" t="str">
        <f>IFERROR(__xludf.DUMMYFUNCTION("""COMPUTED_VALUE"""),"Europe")</f>
        <v>Europe</v>
      </c>
      <c r="C2393">
        <f>IFERROR(__xludf.DUMMYFUNCTION("""COMPUTED_VALUE"""),42.0)</f>
        <v>42</v>
      </c>
      <c r="D2393" t="str">
        <f>IFERROR(__xludf.DUMMYFUNCTION("""COMPUTED_VALUE"""),"ASPARTAM")</f>
        <v>ASPARTAM</v>
      </c>
      <c r="E2393" t="str">
        <f>IFERROR(__xludf.DUMMYFUNCTION("""COMPUTED_VALUE"""),"Quebonafide, Mata")</f>
        <v>Quebonafide, Mata</v>
      </c>
      <c r="F2393" t="str">
        <f>IFERROR(__xludf.DUMMYFUNCTION("""COMPUTED_VALUE"""),"ROMANTIC PSYCHO")</f>
        <v>ROMANTIC PSYCHO</v>
      </c>
      <c r="G2393">
        <f>IFERROR(__xludf.DUMMYFUNCTION("""COMPUTED_VALUE"""),0.0)</f>
        <v>0</v>
      </c>
      <c r="H2393" s="5">
        <f>IFERROR(__xludf.DUMMYFUNCTION("""COMPUTED_VALUE"""),0.14166666666642413)</f>
        <v>0.1416666667</v>
      </c>
    </row>
    <row r="2394">
      <c r="A2394" t="str">
        <f>IFERROR(__xludf.DUMMYFUNCTION("""COMPUTED_VALUE"""),"Poland")</f>
        <v>Poland</v>
      </c>
      <c r="B2394" t="str">
        <f>IFERROR(__xludf.DUMMYFUNCTION("""COMPUTED_VALUE"""),"Europe")</f>
        <v>Europe</v>
      </c>
      <c r="C2394">
        <f>IFERROR(__xludf.DUMMYFUNCTION("""COMPUTED_VALUE"""),43.0)</f>
        <v>43</v>
      </c>
      <c r="D2394" t="str">
        <f>IFERROR(__xludf.DUMMYFUNCTION("""COMPUTED_VALUE"""),"GAZPROM")</f>
        <v>GAZPROM</v>
      </c>
      <c r="E2394" t="str">
        <f>IFERROR(__xludf.DUMMYFUNCTION("""COMPUTED_VALUE"""),"Quebonafide, Sokół, Czarny HIFI")</f>
        <v>Quebonafide, Sokół, Czarny HIFI</v>
      </c>
      <c r="F2394" t="str">
        <f>IFERROR(__xludf.DUMMYFUNCTION("""COMPUTED_VALUE"""),"ROMANTIC PSYCHO")</f>
        <v>ROMANTIC PSYCHO</v>
      </c>
      <c r="G2394">
        <f>IFERROR(__xludf.DUMMYFUNCTION("""COMPUTED_VALUE"""),0.0)</f>
        <v>0</v>
      </c>
      <c r="H2394" s="5">
        <f>IFERROR(__xludf.DUMMYFUNCTION("""COMPUTED_VALUE"""),0.13472222222117125)</f>
        <v>0.1347222222</v>
      </c>
    </row>
    <row r="2395">
      <c r="A2395" t="str">
        <f>IFERROR(__xludf.DUMMYFUNCTION("""COMPUTED_VALUE"""),"Poland")</f>
        <v>Poland</v>
      </c>
      <c r="B2395" t="str">
        <f>IFERROR(__xludf.DUMMYFUNCTION("""COMPUTED_VALUE"""),"Europe")</f>
        <v>Europe</v>
      </c>
      <c r="C2395">
        <f>IFERROR(__xludf.DUMMYFUNCTION("""COMPUTED_VALUE"""),44.0)</f>
        <v>44</v>
      </c>
      <c r="D2395" t="str">
        <f>IFERROR(__xludf.DUMMYFUNCTION("""COMPUTED_VALUE"""),"Kings &amp; Queens")</f>
        <v>Kings &amp; Queens</v>
      </c>
      <c r="E2395" t="str">
        <f>IFERROR(__xludf.DUMMYFUNCTION("""COMPUTED_VALUE"""),"Ava Max")</f>
        <v>Ava Max</v>
      </c>
      <c r="F2395" t="str">
        <f>IFERROR(__xludf.DUMMYFUNCTION("""COMPUTED_VALUE"""),"Kings &amp; Queens")</f>
        <v>Kings &amp; Queens</v>
      </c>
      <c r="G2395">
        <f>IFERROR(__xludf.DUMMYFUNCTION("""COMPUTED_VALUE"""),0.0)</f>
        <v>0</v>
      </c>
      <c r="H2395" s="5">
        <f>IFERROR(__xludf.DUMMYFUNCTION("""COMPUTED_VALUE"""),0.1124999999992724)</f>
        <v>0.1125</v>
      </c>
    </row>
    <row r="2396">
      <c r="A2396" t="str">
        <f>IFERROR(__xludf.DUMMYFUNCTION("""COMPUTED_VALUE"""),"Poland")</f>
        <v>Poland</v>
      </c>
      <c r="B2396" t="str">
        <f>IFERROR(__xludf.DUMMYFUNCTION("""COMPUTED_VALUE"""),"Europe")</f>
        <v>Europe</v>
      </c>
      <c r="C2396">
        <f>IFERROR(__xludf.DUMMYFUNCTION("""COMPUTED_VALUE"""),45.0)</f>
        <v>45</v>
      </c>
      <c r="D2396" t="str">
        <f>IFERROR(__xludf.DUMMYFUNCTION("""COMPUTED_VALUE"""),"Play Date")</f>
        <v>Play Date</v>
      </c>
      <c r="E2396" t="str">
        <f>IFERROR(__xludf.DUMMYFUNCTION("""COMPUTED_VALUE"""),"Melanie Martinez")</f>
        <v>Melanie Martinez</v>
      </c>
      <c r="F2396" t="str">
        <f>IFERROR(__xludf.DUMMYFUNCTION("""COMPUTED_VALUE"""),"Cry Baby (Deluxe Edition)")</f>
        <v>Cry Baby (Deluxe Edition)</v>
      </c>
      <c r="G2396">
        <f>IFERROR(__xludf.DUMMYFUNCTION("""COMPUTED_VALUE"""),1.0)</f>
        <v>1</v>
      </c>
      <c r="H2396" s="5">
        <f>IFERROR(__xludf.DUMMYFUNCTION("""COMPUTED_VALUE"""),0.1243055555569299)</f>
        <v>0.1243055556</v>
      </c>
    </row>
    <row r="2397">
      <c r="A2397" t="str">
        <f>IFERROR(__xludf.DUMMYFUNCTION("""COMPUTED_VALUE"""),"Poland")</f>
        <v>Poland</v>
      </c>
      <c r="B2397" t="str">
        <f>IFERROR(__xludf.DUMMYFUNCTION("""COMPUTED_VALUE"""),"Europe")</f>
        <v>Europe</v>
      </c>
      <c r="C2397">
        <f>IFERROR(__xludf.DUMMYFUNCTION("""COMPUTED_VALUE"""),46.0)</f>
        <v>46</v>
      </c>
      <c r="D2397" t="str">
        <f>IFERROR(__xludf.DUMMYFUNCTION("""COMPUTED_VALUE"""),"Daechwita")</f>
        <v>Daechwita</v>
      </c>
      <c r="E2397" t="str">
        <f>IFERROR(__xludf.DUMMYFUNCTION("""COMPUTED_VALUE"""),"Agust D")</f>
        <v>Agust D</v>
      </c>
      <c r="F2397" t="str">
        <f>IFERROR(__xludf.DUMMYFUNCTION("""COMPUTED_VALUE"""),"D-2")</f>
        <v>D-2</v>
      </c>
      <c r="G2397">
        <f>IFERROR(__xludf.DUMMYFUNCTION("""COMPUTED_VALUE"""),1.0)</f>
        <v>1</v>
      </c>
      <c r="H2397" s="5">
        <f>IFERROR(__xludf.DUMMYFUNCTION("""COMPUTED_VALUE"""),0.15625)</f>
        <v>0.15625</v>
      </c>
    </row>
    <row r="2398">
      <c r="A2398" t="str">
        <f>IFERROR(__xludf.DUMMYFUNCTION("""COMPUTED_VALUE"""),"Poland")</f>
        <v>Poland</v>
      </c>
      <c r="B2398" t="str">
        <f>IFERROR(__xludf.DUMMYFUNCTION("""COMPUTED_VALUE"""),"Europe")</f>
        <v>Europe</v>
      </c>
      <c r="C2398">
        <f>IFERROR(__xludf.DUMMYFUNCTION("""COMPUTED_VALUE"""),47.0)</f>
        <v>47</v>
      </c>
      <c r="D2398" t="str">
        <f>IFERROR(__xludf.DUMMYFUNCTION("""COMPUTED_VALUE"""),"In Your Eyes (feat. Alida)")</f>
        <v>In Your Eyes (feat. Alida)</v>
      </c>
      <c r="E2398" t="str">
        <f>IFERROR(__xludf.DUMMYFUNCTION("""COMPUTED_VALUE"""),"Robin Schulz, Alida")</f>
        <v>Robin Schulz, Alida</v>
      </c>
      <c r="F2398" t="str">
        <f>IFERROR(__xludf.DUMMYFUNCTION("""COMPUTED_VALUE"""),"In Your Eyes (feat. Alida)")</f>
        <v>In Your Eyes (feat. Alida)</v>
      </c>
      <c r="G2398">
        <f>IFERROR(__xludf.DUMMYFUNCTION("""COMPUTED_VALUE"""),0.0)</f>
        <v>0</v>
      </c>
      <c r="H2398" s="5">
        <f>IFERROR(__xludf.DUMMYFUNCTION("""COMPUTED_VALUE"""),0.14444444444598048)</f>
        <v>0.1444444444</v>
      </c>
    </row>
    <row r="2399">
      <c r="A2399" t="str">
        <f>IFERROR(__xludf.DUMMYFUNCTION("""COMPUTED_VALUE"""),"Poland")</f>
        <v>Poland</v>
      </c>
      <c r="B2399" t="str">
        <f>IFERROR(__xludf.DUMMYFUNCTION("""COMPUTED_VALUE"""),"Europe")</f>
        <v>Europe</v>
      </c>
      <c r="C2399">
        <f>IFERROR(__xludf.DUMMYFUNCTION("""COMPUTED_VALUE"""),48.0)</f>
        <v>48</v>
      </c>
      <c r="D2399" t="str">
        <f>IFERROR(__xludf.DUMMYFUNCTION("""COMPUTED_VALUE"""),"ROCKSTAR (feat. Roddy Ricch)")</f>
        <v>ROCKSTAR (feat. Roddy Ricch)</v>
      </c>
      <c r="E2399" t="str">
        <f>IFERROR(__xludf.DUMMYFUNCTION("""COMPUTED_VALUE"""),"DaBaby, Roddy Ricch")</f>
        <v>DaBaby, Roddy Ricch</v>
      </c>
      <c r="F2399" t="str">
        <f>IFERROR(__xludf.DUMMYFUNCTION("""COMPUTED_VALUE"""),"BLAME IT ON BABY")</f>
        <v>BLAME IT ON BABY</v>
      </c>
      <c r="G2399">
        <f>IFERROR(__xludf.DUMMYFUNCTION("""COMPUTED_VALUE"""),1.0)</f>
        <v>1</v>
      </c>
      <c r="H2399" s="5">
        <f>IFERROR(__xludf.DUMMYFUNCTION("""COMPUTED_VALUE"""),0.1256944444430701)</f>
        <v>0.1256944444</v>
      </c>
    </row>
    <row r="2400">
      <c r="A2400" t="str">
        <f>IFERROR(__xludf.DUMMYFUNCTION("""COMPUTED_VALUE"""),"Poland")</f>
        <v>Poland</v>
      </c>
      <c r="B2400" t="str">
        <f>IFERROR(__xludf.DUMMYFUNCTION("""COMPUTED_VALUE"""),"Europe")</f>
        <v>Europe</v>
      </c>
      <c r="C2400">
        <f>IFERROR(__xludf.DUMMYFUNCTION("""COMPUTED_VALUE"""),49.0)</f>
        <v>49</v>
      </c>
      <c r="D2400" t="str">
        <f>IFERROR(__xludf.DUMMYFUNCTION("""COMPUTED_VALUE"""),"Będzie Lepiej")</f>
        <v>Będzie Lepiej</v>
      </c>
      <c r="E2400" t="str">
        <f>IFERROR(__xludf.DUMMYFUNCTION("""COMPUTED_VALUE"""),"Miyo, Tymek")</f>
        <v>Miyo, Tymek</v>
      </c>
      <c r="F2400" t="str">
        <f>IFERROR(__xludf.DUMMYFUNCTION("""COMPUTED_VALUE"""),"Będzie Lepiej")</f>
        <v>Będzie Lepiej</v>
      </c>
      <c r="G2400">
        <f>IFERROR(__xludf.DUMMYFUNCTION("""COMPUTED_VALUE"""),0.0)</f>
        <v>0</v>
      </c>
      <c r="H2400" s="5">
        <f>IFERROR(__xludf.DUMMYFUNCTION("""COMPUTED_VALUE"""),0.12847222222262644)</f>
        <v>0.1284722222</v>
      </c>
    </row>
    <row r="2401">
      <c r="A2401" t="str">
        <f>IFERROR(__xludf.DUMMYFUNCTION("""COMPUTED_VALUE"""),"Poland")</f>
        <v>Poland</v>
      </c>
      <c r="B2401" t="str">
        <f>IFERROR(__xludf.DUMMYFUNCTION("""COMPUTED_VALUE"""),"Europe")</f>
        <v>Europe</v>
      </c>
      <c r="C2401">
        <f>IFERROR(__xludf.DUMMYFUNCTION("""COMPUTED_VALUE"""),50.0)</f>
        <v>50</v>
      </c>
      <c r="D2401" t="str">
        <f>IFERROR(__xludf.DUMMYFUNCTION("""COMPUTED_VALUE"""),"Mogę Dziś Umierać")</f>
        <v>Mogę Dziś Umierać</v>
      </c>
      <c r="E2401" t="str">
        <f>IFERROR(__xludf.DUMMYFUNCTION("""COMPUTED_VALUE"""),"White 2115")</f>
        <v>White 2115</v>
      </c>
      <c r="F2401" t="str">
        <f>IFERROR(__xludf.DUMMYFUNCTION("""COMPUTED_VALUE"""),"Młody Książę")</f>
        <v>Młody Książę</v>
      </c>
      <c r="G2401">
        <f>IFERROR(__xludf.DUMMYFUNCTION("""COMPUTED_VALUE"""),0.0)</f>
        <v>0</v>
      </c>
      <c r="H2401" s="5">
        <f>IFERROR(__xludf.DUMMYFUNCTION("""COMPUTED_VALUE"""),0.11875000000145519)</f>
        <v>0.11875</v>
      </c>
    </row>
    <row r="2402">
      <c r="A2402" t="str">
        <f>IFERROR(__xludf.DUMMYFUNCTION("""COMPUTED_VALUE"""),"Portugal")</f>
        <v>Portugal</v>
      </c>
      <c r="B2402" t="str">
        <f>IFERROR(__xludf.DUMMYFUNCTION("""COMPUTED_VALUE"""),"Europe")</f>
        <v>Europe</v>
      </c>
      <c r="C2402">
        <f>IFERROR(__xludf.DUMMYFUNCTION("""COMPUTED_VALUE"""),1.0)</f>
        <v>1</v>
      </c>
      <c r="D2402" t="str">
        <f>IFERROR(__xludf.DUMMYFUNCTION("""COMPUTED_VALUE"""),"Toosie Slide")</f>
        <v>Toosie Slide</v>
      </c>
      <c r="E2402" t="str">
        <f>IFERROR(__xludf.DUMMYFUNCTION("""COMPUTED_VALUE"""),"Drake")</f>
        <v>Drake</v>
      </c>
      <c r="F2402" t="str">
        <f>IFERROR(__xludf.DUMMYFUNCTION("""COMPUTED_VALUE"""),"Dark Lane Demo Tapes")</f>
        <v>Dark Lane Demo Tapes</v>
      </c>
      <c r="G2402">
        <f>IFERROR(__xludf.DUMMYFUNCTION("""COMPUTED_VALUE"""),1.0)</f>
        <v>1</v>
      </c>
      <c r="H2402" s="5">
        <f>IFERROR(__xludf.DUMMYFUNCTION("""COMPUTED_VALUE"""),0.17152777777664596)</f>
        <v>0.1715277778</v>
      </c>
    </row>
    <row r="2403">
      <c r="A2403" t="str">
        <f>IFERROR(__xludf.DUMMYFUNCTION("""COMPUTED_VALUE"""),"Portugal")</f>
        <v>Portugal</v>
      </c>
      <c r="B2403" t="str">
        <f>IFERROR(__xludf.DUMMYFUNCTION("""COMPUTED_VALUE"""),"Europe")</f>
        <v>Europe</v>
      </c>
      <c r="C2403">
        <f>IFERROR(__xludf.DUMMYFUNCTION("""COMPUTED_VALUE"""),2.0)</f>
        <v>2</v>
      </c>
      <c r="D2403" t="str">
        <f>IFERROR(__xludf.DUMMYFUNCTION("""COMPUTED_VALUE"""),"Blinding Lights")</f>
        <v>Blinding Lights</v>
      </c>
      <c r="E2403" t="str">
        <f>IFERROR(__xludf.DUMMYFUNCTION("""COMPUTED_VALUE"""),"The Weeknd")</f>
        <v>The Weeknd</v>
      </c>
      <c r="F2403" t="str">
        <f>IFERROR(__xludf.DUMMYFUNCTION("""COMPUTED_VALUE"""),"After Hours")</f>
        <v>After Hours</v>
      </c>
      <c r="G2403">
        <f>IFERROR(__xludf.DUMMYFUNCTION("""COMPUTED_VALUE"""),0.0)</f>
        <v>0</v>
      </c>
      <c r="H2403" s="5">
        <f>IFERROR(__xludf.DUMMYFUNCTION("""COMPUTED_VALUE"""),0.13888888889050577)</f>
        <v>0.1388888889</v>
      </c>
    </row>
    <row r="2404">
      <c r="A2404" t="str">
        <f>IFERROR(__xludf.DUMMYFUNCTION("""COMPUTED_VALUE"""),"Portugal")</f>
        <v>Portugal</v>
      </c>
      <c r="B2404" t="str">
        <f>IFERROR(__xludf.DUMMYFUNCTION("""COMPUTED_VALUE"""),"Europe")</f>
        <v>Europe</v>
      </c>
      <c r="C2404">
        <f>IFERROR(__xludf.DUMMYFUNCTION("""COMPUTED_VALUE"""),3.0)</f>
        <v>3</v>
      </c>
      <c r="D2404" t="str">
        <f>IFERROR(__xludf.DUMMYFUNCTION("""COMPUTED_VALUE"""),"THE SCOTTS")</f>
        <v>THE SCOTTS</v>
      </c>
      <c r="E2404" t="str">
        <f>IFERROR(__xludf.DUMMYFUNCTION("""COMPUTED_VALUE"""),"THE SCOTTS, Travis Scott, Kid Cudi")</f>
        <v>THE SCOTTS, Travis Scott, Kid Cudi</v>
      </c>
      <c r="F2404" t="str">
        <f>IFERROR(__xludf.DUMMYFUNCTION("""COMPUTED_VALUE"""),"THE SCOTTS")</f>
        <v>THE SCOTTS</v>
      </c>
      <c r="G2404">
        <f>IFERROR(__xludf.DUMMYFUNCTION("""COMPUTED_VALUE"""),1.0)</f>
        <v>1</v>
      </c>
      <c r="H2404" s="5">
        <f>IFERROR(__xludf.DUMMYFUNCTION("""COMPUTED_VALUE"""),0.11458333333212067)</f>
        <v>0.1145833333</v>
      </c>
    </row>
    <row r="2405">
      <c r="A2405" t="str">
        <f>IFERROR(__xludf.DUMMYFUNCTION("""COMPUTED_VALUE"""),"Portugal")</f>
        <v>Portugal</v>
      </c>
      <c r="B2405" t="str">
        <f>IFERROR(__xludf.DUMMYFUNCTION("""COMPUTED_VALUE"""),"Europe")</f>
        <v>Europe</v>
      </c>
      <c r="C2405">
        <f>IFERROR(__xludf.DUMMYFUNCTION("""COMPUTED_VALUE"""),4.0)</f>
        <v>4</v>
      </c>
      <c r="D2405" t="str">
        <f>IFERROR(__xludf.DUMMYFUNCTION("""COMPUTED_VALUE"""),"ROCKSTAR (feat. Roddy Ricch)")</f>
        <v>ROCKSTAR (feat. Roddy Ricch)</v>
      </c>
      <c r="E2405" t="str">
        <f>IFERROR(__xludf.DUMMYFUNCTION("""COMPUTED_VALUE"""),"DaBaby, Roddy Ricch")</f>
        <v>DaBaby, Roddy Ricch</v>
      </c>
      <c r="F2405" t="str">
        <f>IFERROR(__xludf.DUMMYFUNCTION("""COMPUTED_VALUE"""),"BLAME IT ON BABY")</f>
        <v>BLAME IT ON BABY</v>
      </c>
      <c r="G2405">
        <f>IFERROR(__xludf.DUMMYFUNCTION("""COMPUTED_VALUE"""),1.0)</f>
        <v>1</v>
      </c>
      <c r="H2405" s="5">
        <f>IFERROR(__xludf.DUMMYFUNCTION("""COMPUTED_VALUE"""),0.1256944444430701)</f>
        <v>0.1256944444</v>
      </c>
    </row>
    <row r="2406">
      <c r="A2406" t="str">
        <f>IFERROR(__xludf.DUMMYFUNCTION("""COMPUTED_VALUE"""),"Portugal")</f>
        <v>Portugal</v>
      </c>
      <c r="B2406" t="str">
        <f>IFERROR(__xludf.DUMMYFUNCTION("""COMPUTED_VALUE"""),"Europe")</f>
        <v>Europe</v>
      </c>
      <c r="C2406">
        <f>IFERROR(__xludf.DUMMYFUNCTION("""COMPUTED_VALUE"""),5.0)</f>
        <v>5</v>
      </c>
      <c r="D2406" t="str">
        <f>IFERROR(__xludf.DUMMYFUNCTION("""COMPUTED_VALUE"""),"Roses - Imanbek Remix")</f>
        <v>Roses - Imanbek Remix</v>
      </c>
      <c r="E2406" t="str">
        <f>IFERROR(__xludf.DUMMYFUNCTION("""COMPUTED_VALUE"""),"SAINt JHN, Imanbek")</f>
        <v>SAINt JHN, Imanbek</v>
      </c>
      <c r="F2406" t="str">
        <f>IFERROR(__xludf.DUMMYFUNCTION("""COMPUTED_VALUE"""),"Roses (Imanbek Remix)")</f>
        <v>Roses (Imanbek Remix)</v>
      </c>
      <c r="G2406">
        <f>IFERROR(__xludf.DUMMYFUNCTION("""COMPUTED_VALUE"""),1.0)</f>
        <v>1</v>
      </c>
      <c r="H2406" s="5">
        <f>IFERROR(__xludf.DUMMYFUNCTION("""COMPUTED_VALUE"""),0.12222222222044365)</f>
        <v>0.1222222222</v>
      </c>
    </row>
    <row r="2407">
      <c r="A2407" t="str">
        <f>IFERROR(__xludf.DUMMYFUNCTION("""COMPUTED_VALUE"""),"Portugal")</f>
        <v>Portugal</v>
      </c>
      <c r="B2407" t="str">
        <f>IFERROR(__xludf.DUMMYFUNCTION("""COMPUTED_VALUE"""),"Europe")</f>
        <v>Europe</v>
      </c>
      <c r="C2407">
        <f>IFERROR(__xludf.DUMMYFUNCTION("""COMPUTED_VALUE"""),6.0)</f>
        <v>6</v>
      </c>
      <c r="D2407" t="str">
        <f>IFERROR(__xludf.DUMMYFUNCTION("""COMPUTED_VALUE"""),"Tempo (feat. Tóy Tóy T-Rex, LON3R JOHNY &amp; BISPO)")</f>
        <v>Tempo (feat. Tóy Tóy T-Rex, LON3R JOHNY &amp; BISPO)</v>
      </c>
      <c r="E2407" t="str">
        <f>IFERROR(__xludf.DUMMYFUNCTION("""COMPUTED_VALUE"""),"FRANKIEONTHEGUITAR, Tóy Tóy T-Rex, LON3R JOHNY, Bispo")</f>
        <v>FRANKIEONTHEGUITAR, Tóy Tóy T-Rex, LON3R JOHNY, Bispo</v>
      </c>
      <c r="F2407" t="str">
        <f>IFERROR(__xludf.DUMMYFUNCTION("""COMPUTED_VALUE"""),"Tempo (feat. Tóy Tóy T-Rex, LON3R JOHNY &amp; BISPO)")</f>
        <v>Tempo (feat. Tóy Tóy T-Rex, LON3R JOHNY &amp; BISPO)</v>
      </c>
      <c r="G2407">
        <f>IFERROR(__xludf.DUMMYFUNCTION("""COMPUTED_VALUE"""),0.0)</f>
        <v>0</v>
      </c>
      <c r="H2407" s="5">
        <f>IFERROR(__xludf.DUMMYFUNCTION("""COMPUTED_VALUE"""),0.17361111110949423)</f>
        <v>0.1736111111</v>
      </c>
    </row>
    <row r="2408">
      <c r="A2408" t="str">
        <f>IFERROR(__xludf.DUMMYFUNCTION("""COMPUTED_VALUE"""),"Portugal")</f>
        <v>Portugal</v>
      </c>
      <c r="B2408" t="str">
        <f>IFERROR(__xludf.DUMMYFUNCTION("""COMPUTED_VALUE"""),"Europe")</f>
        <v>Europe</v>
      </c>
      <c r="C2408">
        <f>IFERROR(__xludf.DUMMYFUNCTION("""COMPUTED_VALUE"""),7.0)</f>
        <v>7</v>
      </c>
      <c r="D2408" t="str">
        <f>IFERROR(__xludf.DUMMYFUNCTION("""COMPUTED_VALUE"""),"Tudo no Sigilo")</f>
        <v>Tudo no Sigilo</v>
      </c>
      <c r="E2408" t="str">
        <f>IFERROR(__xludf.DUMMYFUNCTION("""COMPUTED_VALUE"""),"Vytinho NG, MC Bianca")</f>
        <v>Vytinho NG, MC Bianca</v>
      </c>
      <c r="F2408" t="str">
        <f>IFERROR(__xludf.DUMMYFUNCTION("""COMPUTED_VALUE"""),"Tudo no Sigilo")</f>
        <v>Tudo no Sigilo</v>
      </c>
      <c r="G2408">
        <f>IFERROR(__xludf.DUMMYFUNCTION("""COMPUTED_VALUE"""),1.0)</f>
        <v>1</v>
      </c>
      <c r="H2408" s="5">
        <f>IFERROR(__xludf.DUMMYFUNCTION("""COMPUTED_VALUE"""),0.10833333333357587)</f>
        <v>0.1083333333</v>
      </c>
    </row>
    <row r="2409">
      <c r="A2409" t="str">
        <f>IFERROR(__xludf.DUMMYFUNCTION("""COMPUTED_VALUE"""),"Portugal")</f>
        <v>Portugal</v>
      </c>
      <c r="B2409" t="str">
        <f>IFERROR(__xludf.DUMMYFUNCTION("""COMPUTED_VALUE"""),"Europe")</f>
        <v>Europe</v>
      </c>
      <c r="C2409">
        <f>IFERROR(__xludf.DUMMYFUNCTION("""COMPUTED_VALUE"""),8.0)</f>
        <v>8</v>
      </c>
      <c r="D2409" t="str">
        <f>IFERROR(__xludf.DUMMYFUNCTION("""COMPUTED_VALUE"""),"death bed (coffee for your head) (feat. beabadoobee)")</f>
        <v>death bed (coffee for your head) (feat. beabadoobee)</v>
      </c>
      <c r="E2409" t="str">
        <f>IFERROR(__xludf.DUMMYFUNCTION("""COMPUTED_VALUE"""),"Powfu, beabadoobee")</f>
        <v>Powfu, beabadoobee</v>
      </c>
      <c r="F2409" t="str">
        <f>IFERROR(__xludf.DUMMYFUNCTION("""COMPUTED_VALUE"""),"death bed (coffee for your head) (feat. beabadoobee)")</f>
        <v>death bed (coffee for your head) (feat. beabadoobee)</v>
      </c>
      <c r="G2409">
        <f>IFERROR(__xludf.DUMMYFUNCTION("""COMPUTED_VALUE"""),0.0)</f>
        <v>0</v>
      </c>
      <c r="H2409" s="5">
        <f>IFERROR(__xludf.DUMMYFUNCTION("""COMPUTED_VALUE"""),0.12013888888759539)</f>
        <v>0.1201388889</v>
      </c>
    </row>
    <row r="2410">
      <c r="A2410" t="str">
        <f>IFERROR(__xludf.DUMMYFUNCTION("""COMPUTED_VALUE"""),"Portugal")</f>
        <v>Portugal</v>
      </c>
      <c r="B2410" t="str">
        <f>IFERROR(__xludf.DUMMYFUNCTION("""COMPUTED_VALUE"""),"Europe")</f>
        <v>Europe</v>
      </c>
      <c r="C2410">
        <f>IFERROR(__xludf.DUMMYFUNCTION("""COMPUTED_VALUE"""),9.0)</f>
        <v>9</v>
      </c>
      <c r="D2410" t="str">
        <f>IFERROR(__xludf.DUMMYFUNCTION("""COMPUTED_VALUE"""),"Don't Start Now")</f>
        <v>Don't Start Now</v>
      </c>
      <c r="E2410" t="str">
        <f>IFERROR(__xludf.DUMMYFUNCTION("""COMPUTED_VALUE"""),"Dua Lipa")</f>
        <v>Dua Lipa</v>
      </c>
      <c r="F2410" t="str">
        <f>IFERROR(__xludf.DUMMYFUNCTION("""COMPUTED_VALUE"""),"Future Nostalgia")</f>
        <v>Future Nostalgia</v>
      </c>
      <c r="G2410">
        <f>IFERROR(__xludf.DUMMYFUNCTION("""COMPUTED_VALUE"""),0.0)</f>
        <v>0</v>
      </c>
      <c r="H2410" s="5">
        <f>IFERROR(__xludf.DUMMYFUNCTION("""COMPUTED_VALUE"""),0.12708333333284827)</f>
        <v>0.1270833333</v>
      </c>
    </row>
    <row r="2411">
      <c r="A2411" t="str">
        <f>IFERROR(__xludf.DUMMYFUNCTION("""COMPUTED_VALUE"""),"Portugal")</f>
        <v>Portugal</v>
      </c>
      <c r="B2411" t="str">
        <f>IFERROR(__xludf.DUMMYFUNCTION("""COMPUTED_VALUE"""),"Europe")</f>
        <v>Europe</v>
      </c>
      <c r="C2411">
        <f>IFERROR(__xludf.DUMMYFUNCTION("""COMPUTED_VALUE"""),10.0)</f>
        <v>10</v>
      </c>
      <c r="D2411" t="str">
        <f>IFERROR(__xludf.DUMMYFUNCTION("""COMPUTED_VALUE"""),"La Bella Mafia")</f>
        <v>La Bella Mafia</v>
      </c>
      <c r="E2411" t="str">
        <f>IFERROR(__xludf.DUMMYFUNCTION("""COMPUTED_VALUE"""),"Wet Bed Gang")</f>
        <v>Wet Bed Gang</v>
      </c>
      <c r="F2411" t="str">
        <f>IFERROR(__xludf.DUMMYFUNCTION("""COMPUTED_VALUE"""),"La Bella Mafia")</f>
        <v>La Bella Mafia</v>
      </c>
      <c r="G2411">
        <f>IFERROR(__xludf.DUMMYFUNCTION("""COMPUTED_VALUE"""),1.0)</f>
        <v>1</v>
      </c>
      <c r="H2411" s="5">
        <f>IFERROR(__xludf.DUMMYFUNCTION("""COMPUTED_VALUE"""),0.16666666666787933)</f>
        <v>0.1666666667</v>
      </c>
    </row>
    <row r="2412">
      <c r="A2412" t="str">
        <f>IFERROR(__xludf.DUMMYFUNCTION("""COMPUTED_VALUE"""),"Portugal")</f>
        <v>Portugal</v>
      </c>
      <c r="B2412" t="str">
        <f>IFERROR(__xludf.DUMMYFUNCTION("""COMPUTED_VALUE"""),"Europe")</f>
        <v>Europe</v>
      </c>
      <c r="C2412">
        <f>IFERROR(__xludf.DUMMYFUNCTION("""COMPUTED_VALUE"""),11.0)</f>
        <v>11</v>
      </c>
      <c r="D2412" t="str">
        <f>IFERROR(__xludf.DUMMYFUNCTION("""COMPUTED_VALUE"""),"The Box")</f>
        <v>The Box</v>
      </c>
      <c r="E2412" t="str">
        <f>IFERROR(__xludf.DUMMYFUNCTION("""COMPUTED_VALUE"""),"Roddy Ricch")</f>
        <v>Roddy Ricch</v>
      </c>
      <c r="F2412" t="str">
        <f>IFERROR(__xludf.DUMMYFUNCTION("""COMPUTED_VALUE"""),"Please Excuse Me For Being Antisocial")</f>
        <v>Please Excuse Me For Being Antisocial</v>
      </c>
      <c r="G2412">
        <f>IFERROR(__xludf.DUMMYFUNCTION("""COMPUTED_VALUE"""),1.0)</f>
        <v>1</v>
      </c>
      <c r="H2412" s="5">
        <f>IFERROR(__xludf.DUMMYFUNCTION("""COMPUTED_VALUE"""),0.13611111111094942)</f>
        <v>0.1361111111</v>
      </c>
    </row>
    <row r="2413">
      <c r="A2413" t="str">
        <f>IFERROR(__xludf.DUMMYFUNCTION("""COMPUTED_VALUE"""),"Portugal")</f>
        <v>Portugal</v>
      </c>
      <c r="B2413" t="str">
        <f>IFERROR(__xludf.DUMMYFUNCTION("""COMPUTED_VALUE"""),"Europe")</f>
        <v>Europe</v>
      </c>
      <c r="C2413">
        <f>IFERROR(__xludf.DUMMYFUNCTION("""COMPUTED_VALUE"""),12.0)</f>
        <v>12</v>
      </c>
      <c r="D2413" t="str">
        <f>IFERROR(__xludf.DUMMYFUNCTION("""COMPUTED_VALUE"""),"Rain On Me (with Ariana Grande)")</f>
        <v>Rain On Me (with Ariana Grande)</v>
      </c>
      <c r="E2413" t="str">
        <f>IFERROR(__xludf.DUMMYFUNCTION("""COMPUTED_VALUE"""),"Lady Gaga, Ariana Grande")</f>
        <v>Lady Gaga, Ariana Grande</v>
      </c>
      <c r="F2413" t="str">
        <f>IFERROR(__xludf.DUMMYFUNCTION("""COMPUTED_VALUE"""),"Rain On Me (with Ariana Grande)")</f>
        <v>Rain On Me (with Ariana Grande)</v>
      </c>
      <c r="G2413">
        <f>IFERROR(__xludf.DUMMYFUNCTION("""COMPUTED_VALUE"""),0.0)</f>
        <v>0</v>
      </c>
      <c r="H2413" s="5">
        <f>IFERROR(__xludf.DUMMYFUNCTION("""COMPUTED_VALUE"""),0.12638888888977817)</f>
        <v>0.1263888889</v>
      </c>
    </row>
    <row r="2414">
      <c r="A2414" t="str">
        <f>IFERROR(__xludf.DUMMYFUNCTION("""COMPUTED_VALUE"""),"Portugal")</f>
        <v>Portugal</v>
      </c>
      <c r="B2414" t="str">
        <f>IFERROR(__xludf.DUMMYFUNCTION("""COMPUTED_VALUE"""),"Europe")</f>
        <v>Europe</v>
      </c>
      <c r="C2414">
        <f>IFERROR(__xludf.DUMMYFUNCTION("""COMPUTED_VALUE"""),13.0)</f>
        <v>13</v>
      </c>
      <c r="D2414" t="str">
        <f>IFERROR(__xludf.DUMMYFUNCTION("""COMPUTED_VALUE"""),"Blueberry Faygo")</f>
        <v>Blueberry Faygo</v>
      </c>
      <c r="E2414" t="str">
        <f>IFERROR(__xludf.DUMMYFUNCTION("""COMPUTED_VALUE"""),"Lil Mosey")</f>
        <v>Lil Mosey</v>
      </c>
      <c r="F2414" t="str">
        <f>IFERROR(__xludf.DUMMYFUNCTION("""COMPUTED_VALUE"""),"Certified Hitmaker")</f>
        <v>Certified Hitmaker</v>
      </c>
      <c r="G2414">
        <f>IFERROR(__xludf.DUMMYFUNCTION("""COMPUTED_VALUE"""),1.0)</f>
        <v>1</v>
      </c>
      <c r="H2414" s="5">
        <f>IFERROR(__xludf.DUMMYFUNCTION("""COMPUTED_VALUE"""),0.1124999999992724)</f>
        <v>0.1125</v>
      </c>
    </row>
    <row r="2415">
      <c r="A2415" t="str">
        <f>IFERROR(__xludf.DUMMYFUNCTION("""COMPUTED_VALUE"""),"Portugal")</f>
        <v>Portugal</v>
      </c>
      <c r="B2415" t="str">
        <f>IFERROR(__xludf.DUMMYFUNCTION("""COMPUTED_VALUE"""),"Europe")</f>
        <v>Europe</v>
      </c>
      <c r="C2415">
        <f>IFERROR(__xludf.DUMMYFUNCTION("""COMPUTED_VALUE"""),14.0)</f>
        <v>14</v>
      </c>
      <c r="D2415" t="str">
        <f>IFERROR(__xludf.DUMMYFUNCTION("""COMPUTED_VALUE"""),"Conclusão")</f>
        <v>Conclusão</v>
      </c>
      <c r="E2415" t="str">
        <f>IFERROR(__xludf.DUMMYFUNCTION("""COMPUTED_VALUE"""),"Julinho Ksd")</f>
        <v>Julinho Ksd</v>
      </c>
      <c r="F2415" t="str">
        <f>IFERROR(__xludf.DUMMYFUNCTION("""COMPUTED_VALUE"""),"Conclusão")</f>
        <v>Conclusão</v>
      </c>
      <c r="G2415">
        <f>IFERROR(__xludf.DUMMYFUNCTION("""COMPUTED_VALUE"""),0.0)</f>
        <v>0</v>
      </c>
      <c r="H2415" s="5">
        <f>IFERROR(__xludf.DUMMYFUNCTION("""COMPUTED_VALUE"""),0.10208333333503106)</f>
        <v>0.1020833333</v>
      </c>
    </row>
    <row r="2416">
      <c r="A2416" t="str">
        <f>IFERROR(__xludf.DUMMYFUNCTION("""COMPUTED_VALUE"""),"Portugal")</f>
        <v>Portugal</v>
      </c>
      <c r="B2416" t="str">
        <f>IFERROR(__xludf.DUMMYFUNCTION("""COMPUTED_VALUE"""),"Europe")</f>
        <v>Europe</v>
      </c>
      <c r="C2416">
        <f>IFERROR(__xludf.DUMMYFUNCTION("""COMPUTED_VALUE"""),15.0)</f>
        <v>15</v>
      </c>
      <c r="D2416" t="str">
        <f>IFERROR(__xludf.DUMMYFUNCTION("""COMPUTED_VALUE"""),"Life Is Good (feat. Drake)")</f>
        <v>Life Is Good (feat. Drake)</v>
      </c>
      <c r="E2416" t="str">
        <f>IFERROR(__xludf.DUMMYFUNCTION("""COMPUTED_VALUE"""),"Future, Drake")</f>
        <v>Future, Drake</v>
      </c>
      <c r="F2416" t="str">
        <f>IFERROR(__xludf.DUMMYFUNCTION("""COMPUTED_VALUE"""),"High Off Life")</f>
        <v>High Off Life</v>
      </c>
      <c r="G2416">
        <f>IFERROR(__xludf.DUMMYFUNCTION("""COMPUTED_VALUE"""),1.0)</f>
        <v>1</v>
      </c>
      <c r="H2416" s="5">
        <f>IFERROR(__xludf.DUMMYFUNCTION("""COMPUTED_VALUE"""),0.16458333333503106)</f>
        <v>0.1645833333</v>
      </c>
    </row>
    <row r="2417">
      <c r="A2417" t="str">
        <f>IFERROR(__xludf.DUMMYFUNCTION("""COMPUTED_VALUE"""),"Portugal")</f>
        <v>Portugal</v>
      </c>
      <c r="B2417" t="str">
        <f>IFERROR(__xludf.DUMMYFUNCTION("""COMPUTED_VALUE"""),"Europe")</f>
        <v>Europe</v>
      </c>
      <c r="C2417">
        <f>IFERROR(__xludf.DUMMYFUNCTION("""COMPUTED_VALUE"""),16.0)</f>
        <v>16</v>
      </c>
      <c r="D2417" t="str">
        <f>IFERROR(__xludf.DUMMYFUNCTION("""COMPUTED_VALUE"""),"Lembrei-me")</f>
        <v>Lembrei-me</v>
      </c>
      <c r="E2417" t="str">
        <f>IFERROR(__xludf.DUMMYFUNCTION("""COMPUTED_VALUE"""),"Bispo")</f>
        <v>Bispo</v>
      </c>
      <c r="F2417" t="str">
        <f>IFERROR(__xludf.DUMMYFUNCTION("""COMPUTED_VALUE"""),"Mais Antigo")</f>
        <v>Mais Antigo</v>
      </c>
      <c r="G2417">
        <f>IFERROR(__xludf.DUMMYFUNCTION("""COMPUTED_VALUE"""),0.0)</f>
        <v>0</v>
      </c>
      <c r="H2417" s="5">
        <f>IFERROR(__xludf.DUMMYFUNCTION("""COMPUTED_VALUE"""),0.1430555555562023)</f>
        <v>0.1430555556</v>
      </c>
    </row>
    <row r="2418">
      <c r="A2418" t="str">
        <f>IFERROR(__xludf.DUMMYFUNCTION("""COMPUTED_VALUE"""),"Portugal")</f>
        <v>Portugal</v>
      </c>
      <c r="B2418" t="str">
        <f>IFERROR(__xludf.DUMMYFUNCTION("""COMPUTED_VALUE"""),"Europe")</f>
        <v>Europe</v>
      </c>
      <c r="C2418">
        <f>IFERROR(__xludf.DUMMYFUNCTION("""COMPUTED_VALUE"""),17.0)</f>
        <v>17</v>
      </c>
      <c r="D2418" t="str">
        <f>IFERROR(__xludf.DUMMYFUNCTION("""COMPUTED_VALUE"""),"Mama Ta Xinti")</f>
        <v>Mama Ta Xinti</v>
      </c>
      <c r="E2418" t="str">
        <f>IFERROR(__xludf.DUMMYFUNCTION("""COMPUTED_VALUE"""),"Julinho Ksd")</f>
        <v>Julinho Ksd</v>
      </c>
      <c r="F2418" t="str">
        <f>IFERROR(__xludf.DUMMYFUNCTION("""COMPUTED_VALUE"""),"Mama Ta Xinti")</f>
        <v>Mama Ta Xinti</v>
      </c>
      <c r="G2418">
        <f>IFERROR(__xludf.DUMMYFUNCTION("""COMPUTED_VALUE"""),0.0)</f>
        <v>0</v>
      </c>
      <c r="H2418" s="5">
        <f>IFERROR(__xludf.DUMMYFUNCTION("""COMPUTED_VALUE"""),0.1256944444430701)</f>
        <v>0.1256944444</v>
      </c>
    </row>
    <row r="2419">
      <c r="A2419" t="str">
        <f>IFERROR(__xludf.DUMMYFUNCTION("""COMPUTED_VALUE"""),"Portugal")</f>
        <v>Portugal</v>
      </c>
      <c r="B2419" t="str">
        <f>IFERROR(__xludf.DUMMYFUNCTION("""COMPUTED_VALUE"""),"Europe")</f>
        <v>Europe</v>
      </c>
      <c r="C2419">
        <f>IFERROR(__xludf.DUMMYFUNCTION("""COMPUTED_VALUE"""),18.0)</f>
        <v>18</v>
      </c>
      <c r="D2419" t="str">
        <f>IFERROR(__xludf.DUMMYFUNCTION("""COMPUTED_VALUE"""),"menina solta")</f>
        <v>menina solta</v>
      </c>
      <c r="E2419" t="str">
        <f>IFERROR(__xludf.DUMMYFUNCTION("""COMPUTED_VALUE"""),"Giulia Be")</f>
        <v>Giulia Be</v>
      </c>
      <c r="F2419" t="str">
        <f>IFERROR(__xludf.DUMMYFUNCTION("""COMPUTED_VALUE"""),"menina solta")</f>
        <v>menina solta</v>
      </c>
      <c r="G2419">
        <f>IFERROR(__xludf.DUMMYFUNCTION("""COMPUTED_VALUE"""),0.0)</f>
        <v>0</v>
      </c>
      <c r="H2419" s="5">
        <f>IFERROR(__xludf.DUMMYFUNCTION("""COMPUTED_VALUE"""),0.10416666666787933)</f>
        <v>0.1041666667</v>
      </c>
    </row>
    <row r="2420">
      <c r="A2420" t="str">
        <f>IFERROR(__xludf.DUMMYFUNCTION("""COMPUTED_VALUE"""),"Portugal")</f>
        <v>Portugal</v>
      </c>
      <c r="B2420" t="str">
        <f>IFERROR(__xludf.DUMMYFUNCTION("""COMPUTED_VALUE"""),"Europe")</f>
        <v>Europe</v>
      </c>
      <c r="C2420">
        <f>IFERROR(__xludf.DUMMYFUNCTION("""COMPUTED_VALUE"""),19.0)</f>
        <v>19</v>
      </c>
      <c r="D2420" t="str">
        <f>IFERROR(__xludf.DUMMYFUNCTION("""COMPUTED_VALUE"""),"Somos Iguais")</f>
        <v>Somos Iguais</v>
      </c>
      <c r="E2420" t="str">
        <f>IFERROR(__xludf.DUMMYFUNCTION("""COMPUTED_VALUE"""),"Plutónio")</f>
        <v>Plutónio</v>
      </c>
      <c r="F2420" t="str">
        <f>IFERROR(__xludf.DUMMYFUNCTION("""COMPUTED_VALUE"""),"Sacrifício: Sangue, Lágrimas, Suor")</f>
        <v>Sacrifício: Sangue, Lágrimas, Suor</v>
      </c>
      <c r="G2420">
        <f>IFERROR(__xludf.DUMMYFUNCTION("""COMPUTED_VALUE"""),0.0)</f>
        <v>0</v>
      </c>
      <c r="H2420" s="5">
        <f>IFERROR(__xludf.DUMMYFUNCTION("""COMPUTED_VALUE"""),0.16458333333503106)</f>
        <v>0.1645833333</v>
      </c>
    </row>
    <row r="2421">
      <c r="A2421" t="str">
        <f>IFERROR(__xludf.DUMMYFUNCTION("""COMPUTED_VALUE"""),"Portugal")</f>
        <v>Portugal</v>
      </c>
      <c r="B2421" t="str">
        <f>IFERROR(__xludf.DUMMYFUNCTION("""COMPUTED_VALUE"""),"Europe")</f>
        <v>Europe</v>
      </c>
      <c r="C2421">
        <f>IFERROR(__xludf.DUMMYFUNCTION("""COMPUTED_VALUE"""),20.0)</f>
        <v>20</v>
      </c>
      <c r="D2421" t="str">
        <f>IFERROR(__xludf.DUMMYFUNCTION("""COMPUTED_VALUE"""),"HIGHEST IN THE ROOM")</f>
        <v>HIGHEST IN THE ROOM</v>
      </c>
      <c r="E2421" t="str">
        <f>IFERROR(__xludf.DUMMYFUNCTION("""COMPUTED_VALUE"""),"Travis Scott")</f>
        <v>Travis Scott</v>
      </c>
      <c r="F2421" t="str">
        <f>IFERROR(__xludf.DUMMYFUNCTION("""COMPUTED_VALUE"""),"HIGHEST IN THE ROOM")</f>
        <v>HIGHEST IN THE ROOM</v>
      </c>
      <c r="G2421">
        <f>IFERROR(__xludf.DUMMYFUNCTION("""COMPUTED_VALUE"""),1.0)</f>
        <v>1</v>
      </c>
      <c r="H2421" s="5">
        <f>IFERROR(__xludf.DUMMYFUNCTION("""COMPUTED_VALUE"""),0.12152777777737356)</f>
        <v>0.1215277778</v>
      </c>
    </row>
    <row r="2422">
      <c r="A2422" t="str">
        <f>IFERROR(__xludf.DUMMYFUNCTION("""COMPUTED_VALUE"""),"Portugal")</f>
        <v>Portugal</v>
      </c>
      <c r="B2422" t="str">
        <f>IFERROR(__xludf.DUMMYFUNCTION("""COMPUTED_VALUE"""),"Europe")</f>
        <v>Europe</v>
      </c>
      <c r="C2422">
        <f>IFERROR(__xludf.DUMMYFUNCTION("""COMPUTED_VALUE"""),21.0)</f>
        <v>21</v>
      </c>
      <c r="D2422" t="str">
        <f>IFERROR(__xludf.DUMMYFUNCTION("""COMPUTED_VALUE"""),"Breaking Me")</f>
        <v>Breaking Me</v>
      </c>
      <c r="E2422" t="str">
        <f>IFERROR(__xludf.DUMMYFUNCTION("""COMPUTED_VALUE"""),"Topic, A7S")</f>
        <v>Topic, A7S</v>
      </c>
      <c r="F2422" t="str">
        <f>IFERROR(__xludf.DUMMYFUNCTION("""COMPUTED_VALUE"""),"Breaking Me")</f>
        <v>Breaking Me</v>
      </c>
      <c r="G2422">
        <f>IFERROR(__xludf.DUMMYFUNCTION("""COMPUTED_VALUE"""),0.0)</f>
        <v>0</v>
      </c>
      <c r="H2422" s="5">
        <f>IFERROR(__xludf.DUMMYFUNCTION("""COMPUTED_VALUE"""),0.11527777777882875)</f>
        <v>0.1152777778</v>
      </c>
    </row>
    <row r="2423">
      <c r="A2423" t="str">
        <f>IFERROR(__xludf.DUMMYFUNCTION("""COMPUTED_VALUE"""),"Portugal")</f>
        <v>Portugal</v>
      </c>
      <c r="B2423" t="str">
        <f>IFERROR(__xludf.DUMMYFUNCTION("""COMPUTED_VALUE"""),"Europe")</f>
        <v>Europe</v>
      </c>
      <c r="C2423">
        <f>IFERROR(__xludf.DUMMYFUNCTION("""COMPUTED_VALUE"""),22.0)</f>
        <v>22</v>
      </c>
      <c r="D2423" t="str">
        <f>IFERROR(__xludf.DUMMYFUNCTION("""COMPUTED_VALUE"""),"Tusa")</f>
        <v>Tusa</v>
      </c>
      <c r="E2423" t="str">
        <f>IFERROR(__xludf.DUMMYFUNCTION("""COMPUTED_VALUE"""),"KAROL G, Nicki Minaj")</f>
        <v>KAROL G, Nicki Minaj</v>
      </c>
      <c r="F2423" t="str">
        <f>IFERROR(__xludf.DUMMYFUNCTION("""COMPUTED_VALUE"""),"Tusa")</f>
        <v>Tusa</v>
      </c>
      <c r="G2423">
        <f>IFERROR(__xludf.DUMMYFUNCTION("""COMPUTED_VALUE"""),0.0)</f>
        <v>0</v>
      </c>
      <c r="H2423" s="5">
        <f>IFERROR(__xludf.DUMMYFUNCTION("""COMPUTED_VALUE"""),0.13888888889050577)</f>
        <v>0.1388888889</v>
      </c>
    </row>
    <row r="2424">
      <c r="A2424" t="str">
        <f>IFERROR(__xludf.DUMMYFUNCTION("""COMPUTED_VALUE"""),"Portugal")</f>
        <v>Portugal</v>
      </c>
      <c r="B2424" t="str">
        <f>IFERROR(__xludf.DUMMYFUNCTION("""COMPUTED_VALUE"""),"Europe")</f>
        <v>Europe</v>
      </c>
      <c r="C2424">
        <f>IFERROR(__xludf.DUMMYFUNCTION("""COMPUTED_VALUE"""),23.0)</f>
        <v>23</v>
      </c>
      <c r="D2424" t="str">
        <f>IFERROR(__xludf.DUMMYFUNCTION("""COMPUTED_VALUE"""),"Louco")</f>
        <v>Louco</v>
      </c>
      <c r="E2424" t="str">
        <f>IFERROR(__xludf.DUMMYFUNCTION("""COMPUTED_VALUE"""),"Piruka, Bluay")</f>
        <v>Piruka, Bluay</v>
      </c>
      <c r="F2424" t="str">
        <f>IFERROR(__xludf.DUMMYFUNCTION("""COMPUTED_VALUE"""),"Louco")</f>
        <v>Louco</v>
      </c>
      <c r="G2424">
        <f>IFERROR(__xludf.DUMMYFUNCTION("""COMPUTED_VALUE"""),0.0)</f>
        <v>0</v>
      </c>
      <c r="H2424" s="5">
        <f>IFERROR(__xludf.DUMMYFUNCTION("""COMPUTED_VALUE"""),0.1694444444437977)</f>
        <v>0.1694444444</v>
      </c>
    </row>
    <row r="2425">
      <c r="A2425" t="str">
        <f>IFERROR(__xludf.DUMMYFUNCTION("""COMPUTED_VALUE"""),"Portugal")</f>
        <v>Portugal</v>
      </c>
      <c r="B2425" t="str">
        <f>IFERROR(__xludf.DUMMYFUNCTION("""COMPUTED_VALUE"""),"Europe")</f>
        <v>Europe</v>
      </c>
      <c r="C2425">
        <f>IFERROR(__xludf.DUMMYFUNCTION("""COMPUTED_VALUE"""),24.0)</f>
        <v>24</v>
      </c>
      <c r="D2425" t="str">
        <f>IFERROR(__xludf.DUMMYFUNCTION("""COMPUTED_VALUE"""),"Te Amo")</f>
        <v>Te Amo</v>
      </c>
      <c r="E2425" t="str">
        <f>IFERROR(__xludf.DUMMYFUNCTION("""COMPUTED_VALUE"""),"Calema")</f>
        <v>Calema</v>
      </c>
      <c r="F2425" t="str">
        <f>IFERROR(__xludf.DUMMYFUNCTION("""COMPUTED_VALUE"""),"Yellow")</f>
        <v>Yellow</v>
      </c>
      <c r="G2425">
        <f>IFERROR(__xludf.DUMMYFUNCTION("""COMPUTED_VALUE"""),0.0)</f>
        <v>0</v>
      </c>
      <c r="H2425" s="5">
        <f>IFERROR(__xludf.DUMMYFUNCTION("""COMPUTED_VALUE"""),0.17916666666496894)</f>
        <v>0.1791666667</v>
      </c>
    </row>
    <row r="2426">
      <c r="A2426" t="str">
        <f>IFERROR(__xludf.DUMMYFUNCTION("""COMPUTED_VALUE"""),"Portugal")</f>
        <v>Portugal</v>
      </c>
      <c r="B2426" t="str">
        <f>IFERROR(__xludf.DUMMYFUNCTION("""COMPUTED_VALUE"""),"Europe")</f>
        <v>Europe</v>
      </c>
      <c r="C2426">
        <f>IFERROR(__xludf.DUMMYFUNCTION("""COMPUTED_VALUE"""),25.0)</f>
        <v>25</v>
      </c>
      <c r="D2426" t="str">
        <f>IFERROR(__xludf.DUMMYFUNCTION("""COMPUTED_VALUE"""),"Falling")</f>
        <v>Falling</v>
      </c>
      <c r="E2426" t="str">
        <f>IFERROR(__xludf.DUMMYFUNCTION("""COMPUTED_VALUE"""),"Trevor Daniel")</f>
        <v>Trevor Daniel</v>
      </c>
      <c r="F2426" t="str">
        <f>IFERROR(__xludf.DUMMYFUNCTION("""COMPUTED_VALUE"""),"Nicotine")</f>
        <v>Nicotine</v>
      </c>
      <c r="G2426">
        <f>IFERROR(__xludf.DUMMYFUNCTION("""COMPUTED_VALUE"""),0.0)</f>
        <v>0</v>
      </c>
      <c r="H2426" s="5">
        <f>IFERROR(__xludf.DUMMYFUNCTION("""COMPUTED_VALUE"""),0.11041666666642413)</f>
        <v>0.1104166667</v>
      </c>
    </row>
    <row r="2427">
      <c r="A2427" t="str">
        <f>IFERROR(__xludf.DUMMYFUNCTION("""COMPUTED_VALUE"""),"Portugal")</f>
        <v>Portugal</v>
      </c>
      <c r="B2427" t="str">
        <f>IFERROR(__xludf.DUMMYFUNCTION("""COMPUTED_VALUE"""),"Europe")</f>
        <v>Europe</v>
      </c>
      <c r="C2427">
        <f>IFERROR(__xludf.DUMMYFUNCTION("""COMPUTED_VALUE"""),26.0)</f>
        <v>26</v>
      </c>
      <c r="D2427" t="str">
        <f>IFERROR(__xludf.DUMMYFUNCTION("""COMPUTED_VALUE"""),"goosebumps")</f>
        <v>goosebumps</v>
      </c>
      <c r="E2427" t="str">
        <f>IFERROR(__xludf.DUMMYFUNCTION("""COMPUTED_VALUE"""),"Travis Scott")</f>
        <v>Travis Scott</v>
      </c>
      <c r="F2427" t="str">
        <f>IFERROR(__xludf.DUMMYFUNCTION("""COMPUTED_VALUE"""),"Birds In The Trap Sing McKnight")</f>
        <v>Birds In The Trap Sing McKnight</v>
      </c>
      <c r="G2427">
        <f>IFERROR(__xludf.DUMMYFUNCTION("""COMPUTED_VALUE"""),1.0)</f>
        <v>1</v>
      </c>
      <c r="H2427" s="5">
        <f>IFERROR(__xludf.DUMMYFUNCTION("""COMPUTED_VALUE"""),0.1687500000007276)</f>
        <v>0.16875</v>
      </c>
    </row>
    <row r="2428">
      <c r="A2428" t="str">
        <f>IFERROR(__xludf.DUMMYFUNCTION("""COMPUTED_VALUE"""),"Portugal")</f>
        <v>Portugal</v>
      </c>
      <c r="B2428" t="str">
        <f>IFERROR(__xludf.DUMMYFUNCTION("""COMPUTED_VALUE"""),"Europe")</f>
        <v>Europe</v>
      </c>
      <c r="C2428">
        <f>IFERROR(__xludf.DUMMYFUNCTION("""COMPUTED_VALUE"""),27.0)</f>
        <v>27</v>
      </c>
      <c r="D2428" t="str">
        <f>IFERROR(__xludf.DUMMYFUNCTION("""COMPUTED_VALUE"""),"Hoji N'ka ta Rola")</f>
        <v>Hoji N'ka ta Rola</v>
      </c>
      <c r="E2428" t="str">
        <f>IFERROR(__xludf.DUMMYFUNCTION("""COMPUTED_VALUE"""),"Julinho Ksd")</f>
        <v>Julinho Ksd</v>
      </c>
      <c r="F2428" t="str">
        <f>IFERROR(__xludf.DUMMYFUNCTION("""COMPUTED_VALUE"""),"Hoji N'ka ta Rola")</f>
        <v>Hoji N'ka ta Rola</v>
      </c>
      <c r="G2428">
        <f>IFERROR(__xludf.DUMMYFUNCTION("""COMPUTED_VALUE"""),0.0)</f>
        <v>0</v>
      </c>
      <c r="H2428" s="5">
        <f>IFERROR(__xludf.DUMMYFUNCTION("""COMPUTED_VALUE"""),0.16388888888832298)</f>
        <v>0.1638888889</v>
      </c>
    </row>
    <row r="2429">
      <c r="A2429" t="str">
        <f>IFERROR(__xludf.DUMMYFUNCTION("""COMPUTED_VALUE"""),"Portugal")</f>
        <v>Portugal</v>
      </c>
      <c r="B2429" t="str">
        <f>IFERROR(__xludf.DUMMYFUNCTION("""COMPUTED_VALUE"""),"Europe")</f>
        <v>Europe</v>
      </c>
      <c r="C2429">
        <f>IFERROR(__xludf.DUMMYFUNCTION("""COMPUTED_VALUE"""),28.0)</f>
        <v>28</v>
      </c>
      <c r="D2429" t="str">
        <f>IFERROR(__xludf.DUMMYFUNCTION("""COMPUTED_VALUE"""),"Stuck with U (with Justin Bieber)")</f>
        <v>Stuck with U (with Justin Bieber)</v>
      </c>
      <c r="E2429" t="str">
        <f>IFERROR(__xludf.DUMMYFUNCTION("""COMPUTED_VALUE"""),"Ariana Grande, Justin Bieber")</f>
        <v>Ariana Grande, Justin Bieber</v>
      </c>
      <c r="F2429" t="str">
        <f>IFERROR(__xludf.DUMMYFUNCTION("""COMPUTED_VALUE"""),"Stuck with U")</f>
        <v>Stuck with U</v>
      </c>
      <c r="G2429">
        <f>IFERROR(__xludf.DUMMYFUNCTION("""COMPUTED_VALUE"""),0.0)</f>
        <v>0</v>
      </c>
      <c r="H2429" s="5">
        <f>IFERROR(__xludf.DUMMYFUNCTION("""COMPUTED_VALUE"""),0.15833333333284827)</f>
        <v>0.1583333333</v>
      </c>
    </row>
    <row r="2430">
      <c r="A2430" t="str">
        <f>IFERROR(__xludf.DUMMYFUNCTION("""COMPUTED_VALUE"""),"Portugal")</f>
        <v>Portugal</v>
      </c>
      <c r="B2430" t="str">
        <f>IFERROR(__xludf.DUMMYFUNCTION("""COMPUTED_VALUE"""),"Europe")</f>
        <v>Europe</v>
      </c>
      <c r="C2430">
        <f>IFERROR(__xludf.DUMMYFUNCTION("""COMPUTED_VALUE"""),29.0)</f>
        <v>29</v>
      </c>
      <c r="D2430" t="str">
        <f>IFERROR(__xludf.DUMMYFUNCTION("""COMPUTED_VALUE"""),"GOOBA")</f>
        <v>GOOBA</v>
      </c>
      <c r="E2430" t="str">
        <f>IFERROR(__xludf.DUMMYFUNCTION("""COMPUTED_VALUE"""),"6ix9ine")</f>
        <v>6ix9ine</v>
      </c>
      <c r="F2430" t="str">
        <f>IFERROR(__xludf.DUMMYFUNCTION("""COMPUTED_VALUE"""),"GOOBA")</f>
        <v>GOOBA</v>
      </c>
      <c r="G2430">
        <f>IFERROR(__xludf.DUMMYFUNCTION("""COMPUTED_VALUE"""),1.0)</f>
        <v>1</v>
      </c>
      <c r="H2430" s="5">
        <f>IFERROR(__xludf.DUMMYFUNCTION("""COMPUTED_VALUE"""),0.09166666666715173)</f>
        <v>0.09166666667</v>
      </c>
    </row>
    <row r="2431">
      <c r="A2431" t="str">
        <f>IFERROR(__xludf.DUMMYFUNCTION("""COMPUTED_VALUE"""),"Portugal")</f>
        <v>Portugal</v>
      </c>
      <c r="B2431" t="str">
        <f>IFERROR(__xludf.DUMMYFUNCTION("""COMPUTED_VALUE"""),"Europe")</f>
        <v>Europe</v>
      </c>
      <c r="C2431">
        <f>IFERROR(__xludf.DUMMYFUNCTION("""COMPUTED_VALUE"""),30.0)</f>
        <v>30</v>
      </c>
      <c r="D2431" t="str">
        <f>IFERROR(__xludf.DUMMYFUNCTION("""COMPUTED_VALUE"""),"ROXANNE")</f>
        <v>ROXANNE</v>
      </c>
      <c r="E2431" t="str">
        <f>IFERROR(__xludf.DUMMYFUNCTION("""COMPUTED_VALUE"""),"Arizona Zervas")</f>
        <v>Arizona Zervas</v>
      </c>
      <c r="F2431" t="str">
        <f>IFERROR(__xludf.DUMMYFUNCTION("""COMPUTED_VALUE"""),"ROXANNE")</f>
        <v>ROXANNE</v>
      </c>
      <c r="G2431">
        <f>IFERROR(__xludf.DUMMYFUNCTION("""COMPUTED_VALUE"""),1.0)</f>
        <v>1</v>
      </c>
      <c r="H2431" s="5">
        <f>IFERROR(__xludf.DUMMYFUNCTION("""COMPUTED_VALUE"""),0.11319444444598048)</f>
        <v>0.1131944444</v>
      </c>
    </row>
    <row r="2432">
      <c r="A2432" t="str">
        <f>IFERROR(__xludf.DUMMYFUNCTION("""COMPUTED_VALUE"""),"Portugal")</f>
        <v>Portugal</v>
      </c>
      <c r="B2432" t="str">
        <f>IFERROR(__xludf.DUMMYFUNCTION("""COMPUTED_VALUE"""),"Europe")</f>
        <v>Europe</v>
      </c>
      <c r="C2432">
        <f>IFERROR(__xludf.DUMMYFUNCTION("""COMPUTED_VALUE"""),31.0)</f>
        <v>31</v>
      </c>
      <c r="D2432" t="str">
        <f>IFERROR(__xludf.DUMMYFUNCTION("""COMPUTED_VALUE"""),"Eterna Sacanagem")</f>
        <v>Eterna Sacanagem</v>
      </c>
      <c r="E2432" t="str">
        <f>IFERROR(__xludf.DUMMYFUNCTION("""COMPUTED_VALUE"""),"MC JottaPê, MC Kekel, MC Kevinho")</f>
        <v>MC JottaPê, MC Kekel, MC Kevinho</v>
      </c>
      <c r="F2432" t="str">
        <f>IFERROR(__xludf.DUMMYFUNCTION("""COMPUTED_VALUE"""),"Eterna Sacanagem")</f>
        <v>Eterna Sacanagem</v>
      </c>
      <c r="G2432">
        <f>IFERROR(__xludf.DUMMYFUNCTION("""COMPUTED_VALUE"""),0.0)</f>
        <v>0</v>
      </c>
      <c r="H2432" s="5">
        <f>IFERROR(__xludf.DUMMYFUNCTION("""COMPUTED_VALUE"""),0.11666666666496894)</f>
        <v>0.1166666667</v>
      </c>
    </row>
    <row r="2433">
      <c r="A2433" t="str">
        <f>IFERROR(__xludf.DUMMYFUNCTION("""COMPUTED_VALUE"""),"Portugal")</f>
        <v>Portugal</v>
      </c>
      <c r="B2433" t="str">
        <f>IFERROR(__xludf.DUMMYFUNCTION("""COMPUTED_VALUE"""),"Europe")</f>
        <v>Europe</v>
      </c>
      <c r="C2433">
        <f>IFERROR(__xludf.DUMMYFUNCTION("""COMPUTED_VALUE"""),32.0)</f>
        <v>32</v>
      </c>
      <c r="D2433" t="str">
        <f>IFERROR(__xludf.DUMMYFUNCTION("""COMPUTED_VALUE"""),"SICKO MODE")</f>
        <v>SICKO MODE</v>
      </c>
      <c r="E2433" t="str">
        <f>IFERROR(__xludf.DUMMYFUNCTION("""COMPUTED_VALUE"""),"Travis Scott")</f>
        <v>Travis Scott</v>
      </c>
      <c r="F2433" t="str">
        <f>IFERROR(__xludf.DUMMYFUNCTION("""COMPUTED_VALUE"""),"ASTROWORLD")</f>
        <v>ASTROWORLD</v>
      </c>
      <c r="G2433">
        <f>IFERROR(__xludf.DUMMYFUNCTION("""COMPUTED_VALUE"""),1.0)</f>
        <v>1</v>
      </c>
      <c r="H2433" s="5">
        <f>IFERROR(__xludf.DUMMYFUNCTION("""COMPUTED_VALUE"""),0.21666666666715173)</f>
        <v>0.2166666667</v>
      </c>
    </row>
    <row r="2434">
      <c r="A2434" t="str">
        <f>IFERROR(__xludf.DUMMYFUNCTION("""COMPUTED_VALUE"""),"Portugal")</f>
        <v>Portugal</v>
      </c>
      <c r="B2434" t="str">
        <f>IFERROR(__xludf.DUMMYFUNCTION("""COMPUTED_VALUE"""),"Europe")</f>
        <v>Europe</v>
      </c>
      <c r="C2434">
        <f>IFERROR(__xludf.DUMMYFUNCTION("""COMPUTED_VALUE"""),33.0)</f>
        <v>33</v>
      </c>
      <c r="D2434" t="str">
        <f>IFERROR(__xludf.DUMMYFUNCTION("""COMPUTED_VALUE"""),"Tranquilo")</f>
        <v>Tranquilo</v>
      </c>
      <c r="E2434" t="str">
        <f>IFERROR(__xludf.DUMMYFUNCTION("""COMPUTED_VALUE"""),"Aragão")</f>
        <v>Aragão</v>
      </c>
      <c r="F2434" t="str">
        <f>IFERROR(__xludf.DUMMYFUNCTION("""COMPUTED_VALUE"""),"Tranquilo")</f>
        <v>Tranquilo</v>
      </c>
      <c r="G2434">
        <f>IFERROR(__xludf.DUMMYFUNCTION("""COMPUTED_VALUE"""),1.0)</f>
        <v>1</v>
      </c>
      <c r="H2434" s="5">
        <f>IFERROR(__xludf.DUMMYFUNCTION("""COMPUTED_VALUE"""),0.18263888888759539)</f>
        <v>0.1826388889</v>
      </c>
    </row>
    <row r="2435">
      <c r="A2435" t="str">
        <f>IFERROR(__xludf.DUMMYFUNCTION("""COMPUTED_VALUE"""),"Portugal")</f>
        <v>Portugal</v>
      </c>
      <c r="B2435" t="str">
        <f>IFERROR(__xludf.DUMMYFUNCTION("""COMPUTED_VALUE"""),"Europe")</f>
        <v>Europe</v>
      </c>
      <c r="C2435">
        <f>IFERROR(__xludf.DUMMYFUNCTION("""COMPUTED_VALUE"""),34.0)</f>
        <v>34</v>
      </c>
      <c r="D2435" t="str">
        <f>IFERROR(__xludf.DUMMYFUNCTION("""COMPUTED_VALUE"""),"ily (i love you baby) (feat. Emilee)")</f>
        <v>ily (i love you baby) (feat. Emilee)</v>
      </c>
      <c r="E2435" t="str">
        <f>IFERROR(__xludf.DUMMYFUNCTION("""COMPUTED_VALUE"""),"Surf Mesa, Emilee")</f>
        <v>Surf Mesa, Emilee</v>
      </c>
      <c r="F2435" t="str">
        <f>IFERROR(__xludf.DUMMYFUNCTION("""COMPUTED_VALUE"""),"ily (i love you baby) (feat. Emilee)")</f>
        <v>ily (i love you baby) (feat. Emilee)</v>
      </c>
      <c r="G2435">
        <f>IFERROR(__xludf.DUMMYFUNCTION("""COMPUTED_VALUE"""),0.0)</f>
        <v>0</v>
      </c>
      <c r="H2435" s="5">
        <f>IFERROR(__xludf.DUMMYFUNCTION("""COMPUTED_VALUE"""),0.12222222222044365)</f>
        <v>0.1222222222</v>
      </c>
    </row>
    <row r="2436">
      <c r="A2436" t="str">
        <f>IFERROR(__xludf.DUMMYFUNCTION("""COMPUTED_VALUE"""),"Portugal")</f>
        <v>Portugal</v>
      </c>
      <c r="B2436" t="str">
        <f>IFERROR(__xludf.DUMMYFUNCTION("""COMPUTED_VALUE"""),"Europe")</f>
        <v>Europe</v>
      </c>
      <c r="C2436">
        <f>IFERROR(__xludf.DUMMYFUNCTION("""COMPUTED_VALUE"""),35.0)</f>
        <v>35</v>
      </c>
      <c r="D2436" t="str">
        <f>IFERROR(__xludf.DUMMYFUNCTION("""COMPUTED_VALUE"""),"Dance Monkey")</f>
        <v>Dance Monkey</v>
      </c>
      <c r="E2436" t="str">
        <f>IFERROR(__xludf.DUMMYFUNCTION("""COMPUTED_VALUE"""),"Tones And I")</f>
        <v>Tones And I</v>
      </c>
      <c r="F2436" t="str">
        <f>IFERROR(__xludf.DUMMYFUNCTION("""COMPUTED_VALUE"""),"Dance Monkey (Stripped Back) / Dance Monkey")</f>
        <v>Dance Monkey (Stripped Back) / Dance Monkey</v>
      </c>
      <c r="G2436">
        <f>IFERROR(__xludf.DUMMYFUNCTION("""COMPUTED_VALUE"""),0.0)</f>
        <v>0</v>
      </c>
      <c r="H2436" s="5">
        <f>IFERROR(__xludf.DUMMYFUNCTION("""COMPUTED_VALUE"""),0.14513888888905058)</f>
        <v>0.1451388889</v>
      </c>
    </row>
    <row r="2437">
      <c r="A2437" t="str">
        <f>IFERROR(__xludf.DUMMYFUNCTION("""COMPUTED_VALUE"""),"Portugal")</f>
        <v>Portugal</v>
      </c>
      <c r="B2437" t="str">
        <f>IFERROR(__xludf.DUMMYFUNCTION("""COMPUTED_VALUE"""),"Europe")</f>
        <v>Europe</v>
      </c>
      <c r="C2437">
        <f>IFERROR(__xludf.DUMMYFUNCTION("""COMPUTED_VALUE"""),36.0)</f>
        <v>36</v>
      </c>
      <c r="D2437" t="str">
        <f>IFERROR(__xludf.DUMMYFUNCTION("""COMPUTED_VALUE"""),"Sunday Best")</f>
        <v>Sunday Best</v>
      </c>
      <c r="E2437" t="str">
        <f>IFERROR(__xludf.DUMMYFUNCTION("""COMPUTED_VALUE"""),"Surfaces")</f>
        <v>Surfaces</v>
      </c>
      <c r="F2437" t="str">
        <f>IFERROR(__xludf.DUMMYFUNCTION("""COMPUTED_VALUE"""),"Where the Light Is")</f>
        <v>Where the Light Is</v>
      </c>
      <c r="G2437">
        <f>IFERROR(__xludf.DUMMYFUNCTION("""COMPUTED_VALUE"""),0.0)</f>
        <v>0</v>
      </c>
      <c r="H2437" s="5">
        <f>IFERROR(__xludf.DUMMYFUNCTION("""COMPUTED_VALUE"""),0.10972222222335404)</f>
        <v>0.1097222222</v>
      </c>
    </row>
    <row r="2438">
      <c r="A2438" t="str">
        <f>IFERROR(__xludf.DUMMYFUNCTION("""COMPUTED_VALUE"""),"Portugal")</f>
        <v>Portugal</v>
      </c>
      <c r="B2438" t="str">
        <f>IFERROR(__xludf.DUMMYFUNCTION("""COMPUTED_VALUE"""),"Europe")</f>
        <v>Europe</v>
      </c>
      <c r="C2438">
        <f>IFERROR(__xludf.DUMMYFUNCTION("""COMPUTED_VALUE"""),37.0)</f>
        <v>37</v>
      </c>
      <c r="D2438" t="str">
        <f>IFERROR(__xludf.DUMMYFUNCTION("""COMPUTED_VALUE"""),"Don't Rush (feat. Headie One)")</f>
        <v>Don't Rush (feat. Headie One)</v>
      </c>
      <c r="E2438" t="str">
        <f>IFERROR(__xludf.DUMMYFUNCTION("""COMPUTED_VALUE"""),"Young T &amp; Bugsey, Headie One")</f>
        <v>Young T &amp; Bugsey, Headie One</v>
      </c>
      <c r="F2438" t="str">
        <f>IFERROR(__xludf.DUMMYFUNCTION("""COMPUTED_VALUE"""),"Plead The 5th")</f>
        <v>Plead The 5th</v>
      </c>
      <c r="G2438">
        <f>IFERROR(__xludf.DUMMYFUNCTION("""COMPUTED_VALUE"""),1.0)</f>
        <v>1</v>
      </c>
      <c r="H2438" s="5">
        <f>IFERROR(__xludf.DUMMYFUNCTION("""COMPUTED_VALUE"""),0.1437499999992724)</f>
        <v>0.14375</v>
      </c>
    </row>
    <row r="2439">
      <c r="A2439" t="str">
        <f>IFERROR(__xludf.DUMMYFUNCTION("""COMPUTED_VALUE"""),"Portugal")</f>
        <v>Portugal</v>
      </c>
      <c r="B2439" t="str">
        <f>IFERROR(__xludf.DUMMYFUNCTION("""COMPUTED_VALUE"""),"Europe")</f>
        <v>Europe</v>
      </c>
      <c r="C2439">
        <f>IFERROR(__xludf.DUMMYFUNCTION("""COMPUTED_VALUE"""),38.0)</f>
        <v>38</v>
      </c>
      <c r="D2439" t="str">
        <f>IFERROR(__xludf.DUMMYFUNCTION("""COMPUTED_VALUE"""),"Break My Heart")</f>
        <v>Break My Heart</v>
      </c>
      <c r="E2439" t="str">
        <f>IFERROR(__xludf.DUMMYFUNCTION("""COMPUTED_VALUE"""),"Dua Lipa")</f>
        <v>Dua Lipa</v>
      </c>
      <c r="F2439" t="str">
        <f>IFERROR(__xludf.DUMMYFUNCTION("""COMPUTED_VALUE"""),"Future Nostalgia")</f>
        <v>Future Nostalgia</v>
      </c>
      <c r="G2439">
        <f>IFERROR(__xludf.DUMMYFUNCTION("""COMPUTED_VALUE"""),0.0)</f>
        <v>0</v>
      </c>
      <c r="H2439" s="5">
        <f>IFERROR(__xludf.DUMMYFUNCTION("""COMPUTED_VALUE"""),0.15347222222044365)</f>
        <v>0.1534722222</v>
      </c>
    </row>
    <row r="2440">
      <c r="A2440" t="str">
        <f>IFERROR(__xludf.DUMMYFUNCTION("""COMPUTED_VALUE"""),"Portugal")</f>
        <v>Portugal</v>
      </c>
      <c r="B2440" t="str">
        <f>IFERROR(__xludf.DUMMYFUNCTION("""COMPUTED_VALUE"""),"Europe")</f>
        <v>Europe</v>
      </c>
      <c r="C2440">
        <f>IFERROR(__xludf.DUMMYFUNCTION("""COMPUTED_VALUE"""),39.0)</f>
        <v>39</v>
      </c>
      <c r="D2440" t="str">
        <f>IFERROR(__xludf.DUMMYFUNCTION("""COMPUTED_VALUE"""),"Conto")</f>
        <v>Conto</v>
      </c>
      <c r="E2440" t="str">
        <f>IFERROR(__xludf.DUMMYFUNCTION("""COMPUTED_VALUE"""),"Dillaz")</f>
        <v>Dillaz</v>
      </c>
      <c r="F2440" t="str">
        <f>IFERROR(__xludf.DUMMYFUNCTION("""COMPUTED_VALUE"""),"Conto")</f>
        <v>Conto</v>
      </c>
      <c r="G2440">
        <f>IFERROR(__xludf.DUMMYFUNCTION("""COMPUTED_VALUE"""),0.0)</f>
        <v>0</v>
      </c>
      <c r="H2440" s="5">
        <f>IFERROR(__xludf.DUMMYFUNCTION("""COMPUTED_VALUE"""),0.14027777777664596)</f>
        <v>0.1402777778</v>
      </c>
    </row>
    <row r="2441">
      <c r="A2441" t="str">
        <f>IFERROR(__xludf.DUMMYFUNCTION("""COMPUTED_VALUE"""),"Portugal")</f>
        <v>Portugal</v>
      </c>
      <c r="B2441" t="str">
        <f>IFERROR(__xludf.DUMMYFUNCTION("""COMPUTED_VALUE"""),"Europe")</f>
        <v>Europe</v>
      </c>
      <c r="C2441">
        <f>IFERROR(__xludf.DUMMYFUNCTION("""COMPUTED_VALUE"""),40.0)</f>
        <v>40</v>
      </c>
      <c r="D2441" t="str">
        <f>IFERROR(__xludf.DUMMYFUNCTION("""COMPUTED_VALUE"""),"Supalonely")</f>
        <v>Supalonely</v>
      </c>
      <c r="E2441" t="str">
        <f>IFERROR(__xludf.DUMMYFUNCTION("""COMPUTED_VALUE"""),"BENEE, Gus Dapperton")</f>
        <v>BENEE, Gus Dapperton</v>
      </c>
      <c r="F2441" t="str">
        <f>IFERROR(__xludf.DUMMYFUNCTION("""COMPUTED_VALUE"""),"STELLA &amp; STEVE")</f>
        <v>STELLA &amp; STEVE</v>
      </c>
      <c r="G2441">
        <f>IFERROR(__xludf.DUMMYFUNCTION("""COMPUTED_VALUE"""),1.0)</f>
        <v>1</v>
      </c>
      <c r="H2441" s="5">
        <f>IFERROR(__xludf.DUMMYFUNCTION("""COMPUTED_VALUE"""),0.15486111111022183)</f>
        <v>0.1548611111</v>
      </c>
    </row>
    <row r="2442">
      <c r="A2442" t="str">
        <f>IFERROR(__xludf.DUMMYFUNCTION("""COMPUTED_VALUE"""),"Portugal")</f>
        <v>Portugal</v>
      </c>
      <c r="B2442" t="str">
        <f>IFERROR(__xludf.DUMMYFUNCTION("""COMPUTED_VALUE"""),"Europe")</f>
        <v>Europe</v>
      </c>
      <c r="C2442">
        <f>IFERROR(__xludf.DUMMYFUNCTION("""COMPUTED_VALUE"""),41.0)</f>
        <v>41</v>
      </c>
      <c r="D2442" t="str">
        <f>IFERROR(__xludf.DUMMYFUNCTION("""COMPUTED_VALUE"""),"Say So")</f>
        <v>Say So</v>
      </c>
      <c r="E2442" t="str">
        <f>IFERROR(__xludf.DUMMYFUNCTION("""COMPUTED_VALUE"""),"Doja Cat")</f>
        <v>Doja Cat</v>
      </c>
      <c r="F2442" t="str">
        <f>IFERROR(__xludf.DUMMYFUNCTION("""COMPUTED_VALUE"""),"Hot Pink")</f>
        <v>Hot Pink</v>
      </c>
      <c r="G2442">
        <f>IFERROR(__xludf.DUMMYFUNCTION("""COMPUTED_VALUE"""),1.0)</f>
        <v>1</v>
      </c>
      <c r="H2442" s="5">
        <f>IFERROR(__xludf.DUMMYFUNCTION("""COMPUTED_VALUE"""),0.16458333333503106)</f>
        <v>0.1645833333</v>
      </c>
    </row>
    <row r="2443">
      <c r="A2443" t="str">
        <f>IFERROR(__xludf.DUMMYFUNCTION("""COMPUTED_VALUE"""),"Portugal")</f>
        <v>Portugal</v>
      </c>
      <c r="B2443" t="str">
        <f>IFERROR(__xludf.DUMMYFUNCTION("""COMPUTED_VALUE"""),"Europe")</f>
        <v>Europe</v>
      </c>
      <c r="C2443">
        <f>IFERROR(__xludf.DUMMYFUNCTION("""COMPUTED_VALUE"""),42.0)</f>
        <v>42</v>
      </c>
      <c r="D2443" t="str">
        <f>IFERROR(__xludf.DUMMYFUNCTION("""COMPUTED_VALUE"""),"HEI")</f>
        <v>HEI</v>
      </c>
      <c r="E2443" t="str">
        <f>IFERROR(__xludf.DUMMYFUNCTION("""COMPUTED_VALUE"""),"ProfJam")</f>
        <v>ProfJam</v>
      </c>
      <c r="F2443" t="str">
        <f>IFERROR(__xludf.DUMMYFUNCTION("""COMPUTED_VALUE"""),"HEI")</f>
        <v>HEI</v>
      </c>
      <c r="G2443">
        <f>IFERROR(__xludf.DUMMYFUNCTION("""COMPUTED_VALUE"""),0.0)</f>
        <v>0</v>
      </c>
      <c r="H2443" s="5">
        <f>IFERROR(__xludf.DUMMYFUNCTION("""COMPUTED_VALUE"""),0.14444444444598048)</f>
        <v>0.1444444444</v>
      </c>
    </row>
    <row r="2444">
      <c r="A2444" t="str">
        <f>IFERROR(__xludf.DUMMYFUNCTION("""COMPUTED_VALUE"""),"Portugal")</f>
        <v>Portugal</v>
      </c>
      <c r="B2444" t="str">
        <f>IFERROR(__xludf.DUMMYFUNCTION("""COMPUTED_VALUE"""),"Europe")</f>
        <v>Europe</v>
      </c>
      <c r="C2444">
        <f>IFERROR(__xludf.DUMMYFUNCTION("""COMPUTED_VALUE"""),43.0)</f>
        <v>43</v>
      </c>
      <c r="D2444" t="str">
        <f>IFERROR(__xludf.DUMMYFUNCTION("""COMPUTED_VALUE"""),"In Your Eyes")</f>
        <v>In Your Eyes</v>
      </c>
      <c r="E2444" t="str">
        <f>IFERROR(__xludf.DUMMYFUNCTION("""COMPUTED_VALUE"""),"The Weeknd")</f>
        <v>The Weeknd</v>
      </c>
      <c r="F2444" t="str">
        <f>IFERROR(__xludf.DUMMYFUNCTION("""COMPUTED_VALUE"""),"After Hours")</f>
        <v>After Hours</v>
      </c>
      <c r="G2444">
        <f>IFERROR(__xludf.DUMMYFUNCTION("""COMPUTED_VALUE"""),1.0)</f>
        <v>1</v>
      </c>
      <c r="H2444" s="5">
        <f>IFERROR(__xludf.DUMMYFUNCTION("""COMPUTED_VALUE"""),0.16458333333503106)</f>
        <v>0.1645833333</v>
      </c>
    </row>
    <row r="2445">
      <c r="A2445" t="str">
        <f>IFERROR(__xludf.DUMMYFUNCTION("""COMPUTED_VALUE"""),"Portugal")</f>
        <v>Portugal</v>
      </c>
      <c r="B2445" t="str">
        <f>IFERROR(__xludf.DUMMYFUNCTION("""COMPUTED_VALUE"""),"Europe")</f>
        <v>Europe</v>
      </c>
      <c r="C2445">
        <f>IFERROR(__xludf.DUMMYFUNCTION("""COMPUTED_VALUE"""),44.0)</f>
        <v>44</v>
      </c>
      <c r="D2445" t="str">
        <f>IFERROR(__xludf.DUMMYFUNCTION("""COMPUTED_VALUE"""),"everything i wanted")</f>
        <v>everything i wanted</v>
      </c>
      <c r="E2445" t="str">
        <f>IFERROR(__xludf.DUMMYFUNCTION("""COMPUTED_VALUE"""),"Billie Eilish")</f>
        <v>Billie Eilish</v>
      </c>
      <c r="F2445" t="str">
        <f>IFERROR(__xludf.DUMMYFUNCTION("""COMPUTED_VALUE"""),"everything i wanted")</f>
        <v>everything i wanted</v>
      </c>
      <c r="G2445">
        <f>IFERROR(__xludf.DUMMYFUNCTION("""COMPUTED_VALUE"""),0.0)</f>
        <v>0</v>
      </c>
      <c r="H2445" s="5">
        <f>IFERROR(__xludf.DUMMYFUNCTION("""COMPUTED_VALUE"""),0.17013888889050577)</f>
        <v>0.1701388889</v>
      </c>
    </row>
    <row r="2446">
      <c r="A2446" t="str">
        <f>IFERROR(__xludf.DUMMYFUNCTION("""COMPUTED_VALUE"""),"Portugal")</f>
        <v>Portugal</v>
      </c>
      <c r="B2446" t="str">
        <f>IFERROR(__xludf.DUMMYFUNCTION("""COMPUTED_VALUE"""),"Europe")</f>
        <v>Europe</v>
      </c>
      <c r="C2446">
        <f>IFERROR(__xludf.DUMMYFUNCTION("""COMPUTED_VALUE"""),45.0)</f>
        <v>45</v>
      </c>
      <c r="D2446" t="str">
        <f>IFERROR(__xludf.DUMMYFUNCTION("""COMPUTED_VALUE"""),"Circles")</f>
        <v>Circles</v>
      </c>
      <c r="E2446" t="str">
        <f>IFERROR(__xludf.DUMMYFUNCTION("""COMPUTED_VALUE"""),"Post Malone")</f>
        <v>Post Malone</v>
      </c>
      <c r="F2446" t="str">
        <f>IFERROR(__xludf.DUMMYFUNCTION("""COMPUTED_VALUE"""),"Hollywood's Bleeding")</f>
        <v>Hollywood's Bleeding</v>
      </c>
      <c r="G2446">
        <f>IFERROR(__xludf.DUMMYFUNCTION("""COMPUTED_VALUE"""),0.0)</f>
        <v>0</v>
      </c>
      <c r="H2446" s="5">
        <f>IFERROR(__xludf.DUMMYFUNCTION("""COMPUTED_VALUE"""),0.14930555555474712)</f>
        <v>0.1493055556</v>
      </c>
    </row>
    <row r="2447">
      <c r="A2447" t="str">
        <f>IFERROR(__xludf.DUMMYFUNCTION("""COMPUTED_VALUE"""),"Portugal")</f>
        <v>Portugal</v>
      </c>
      <c r="B2447" t="str">
        <f>IFERROR(__xludf.DUMMYFUNCTION("""COMPUTED_VALUE"""),"Europe")</f>
        <v>Europe</v>
      </c>
      <c r="C2447">
        <f>IFERROR(__xludf.DUMMYFUNCTION("""COMPUTED_VALUE"""),46.0)</f>
        <v>46</v>
      </c>
      <c r="D2447" t="str">
        <f>IFERROR(__xludf.DUMMYFUNCTION("""COMPUTED_VALUE"""),"Essa Saia (feat. Ivandro)")</f>
        <v>Essa Saia (feat. Ivandro)</v>
      </c>
      <c r="E2447" t="str">
        <f>IFERROR(__xludf.DUMMYFUNCTION("""COMPUTED_VALUE"""),"Bispo, Ivandro")</f>
        <v>Bispo, Ivandro</v>
      </c>
      <c r="F2447" t="str">
        <f>IFERROR(__xludf.DUMMYFUNCTION("""COMPUTED_VALUE"""),"Mais Antigo")</f>
        <v>Mais Antigo</v>
      </c>
      <c r="G2447">
        <f>IFERROR(__xludf.DUMMYFUNCTION("""COMPUTED_VALUE"""),0.0)</f>
        <v>0</v>
      </c>
      <c r="H2447" s="5">
        <f>IFERROR(__xludf.DUMMYFUNCTION("""COMPUTED_VALUE"""),0.14583333333212067)</f>
        <v>0.1458333333</v>
      </c>
    </row>
    <row r="2448">
      <c r="A2448" t="str">
        <f>IFERROR(__xludf.DUMMYFUNCTION("""COMPUTED_VALUE"""),"Portugal")</f>
        <v>Portugal</v>
      </c>
      <c r="B2448" t="str">
        <f>IFERROR(__xludf.DUMMYFUNCTION("""COMPUTED_VALUE"""),"Europe")</f>
        <v>Europe</v>
      </c>
      <c r="C2448">
        <f>IFERROR(__xludf.DUMMYFUNCTION("""COMPUTED_VALUE"""),47.0)</f>
        <v>47</v>
      </c>
      <c r="D2448" t="str">
        <f>IFERROR(__xludf.DUMMYFUNCTION("""COMPUTED_VALUE"""),"Watermelon Sugar")</f>
        <v>Watermelon Sugar</v>
      </c>
      <c r="E2448" t="str">
        <f>IFERROR(__xludf.DUMMYFUNCTION("""COMPUTED_VALUE"""),"Harry Styles")</f>
        <v>Harry Styles</v>
      </c>
      <c r="F2448" t="str">
        <f>IFERROR(__xludf.DUMMYFUNCTION("""COMPUTED_VALUE"""),"Fine Line")</f>
        <v>Fine Line</v>
      </c>
      <c r="G2448">
        <f>IFERROR(__xludf.DUMMYFUNCTION("""COMPUTED_VALUE"""),0.0)</f>
        <v>0</v>
      </c>
      <c r="H2448" s="5">
        <f>IFERROR(__xludf.DUMMYFUNCTION("""COMPUTED_VALUE"""),0.12083333333430346)</f>
        <v>0.1208333333</v>
      </c>
    </row>
    <row r="2449">
      <c r="A2449" t="str">
        <f>IFERROR(__xludf.DUMMYFUNCTION("""COMPUTED_VALUE"""),"Portugal")</f>
        <v>Portugal</v>
      </c>
      <c r="B2449" t="str">
        <f>IFERROR(__xludf.DUMMYFUNCTION("""COMPUTED_VALUE"""),"Europe")</f>
        <v>Europe</v>
      </c>
      <c r="C2449">
        <f>IFERROR(__xludf.DUMMYFUNCTION("""COMPUTED_VALUE"""),48.0)</f>
        <v>48</v>
      </c>
      <c r="D2449" t="str">
        <f>IFERROR(__xludf.DUMMYFUNCTION("""COMPUTED_VALUE"""),"Party Girl")</f>
        <v>Party Girl</v>
      </c>
      <c r="E2449" t="str">
        <f>IFERROR(__xludf.DUMMYFUNCTION("""COMPUTED_VALUE"""),"StaySolidRocky")</f>
        <v>StaySolidRocky</v>
      </c>
      <c r="F2449" t="str">
        <f>IFERROR(__xludf.DUMMYFUNCTION("""COMPUTED_VALUE"""),"Party Girl")</f>
        <v>Party Girl</v>
      </c>
      <c r="G2449">
        <f>IFERROR(__xludf.DUMMYFUNCTION("""COMPUTED_VALUE"""),0.0)</f>
        <v>0</v>
      </c>
      <c r="H2449" s="5">
        <f>IFERROR(__xludf.DUMMYFUNCTION("""COMPUTED_VALUE"""),0.10208333333503106)</f>
        <v>0.1020833333</v>
      </c>
    </row>
    <row r="2450">
      <c r="A2450" t="str">
        <f>IFERROR(__xludf.DUMMYFUNCTION("""COMPUTED_VALUE"""),"Portugal")</f>
        <v>Portugal</v>
      </c>
      <c r="B2450" t="str">
        <f>IFERROR(__xludf.DUMMYFUNCTION("""COMPUTED_VALUE"""),"Europe")</f>
        <v>Europe</v>
      </c>
      <c r="C2450">
        <f>IFERROR(__xludf.DUMMYFUNCTION("""COMPUTED_VALUE"""),49.0)</f>
        <v>49</v>
      </c>
      <c r="D2450" t="str">
        <f>IFERROR(__xludf.DUMMYFUNCTION("""COMPUTED_VALUE"""),"S2")</f>
        <v>S2</v>
      </c>
      <c r="E2450" t="str">
        <f>IFERROR(__xludf.DUMMYFUNCTION("""COMPUTED_VALUE"""),"Bispo")</f>
        <v>Bispo</v>
      </c>
      <c r="F2450" t="str">
        <f>IFERROR(__xludf.DUMMYFUNCTION("""COMPUTED_VALUE"""),"S2")</f>
        <v>S2</v>
      </c>
      <c r="G2450">
        <f>IFERROR(__xludf.DUMMYFUNCTION("""COMPUTED_VALUE"""),0.0)</f>
        <v>0</v>
      </c>
      <c r="H2450" s="5">
        <f>IFERROR(__xludf.DUMMYFUNCTION("""COMPUTED_VALUE"""),0.1062500000007276)</f>
        <v>0.10625</v>
      </c>
    </row>
    <row r="2451">
      <c r="A2451" t="str">
        <f>IFERROR(__xludf.DUMMYFUNCTION("""COMPUTED_VALUE"""),"Portugal")</f>
        <v>Portugal</v>
      </c>
      <c r="B2451" t="str">
        <f>IFERROR(__xludf.DUMMYFUNCTION("""COMPUTED_VALUE"""),"Europe")</f>
        <v>Europe</v>
      </c>
      <c r="C2451">
        <f>IFERROR(__xludf.DUMMYFUNCTION("""COMPUTED_VALUE"""),50.0)</f>
        <v>50</v>
      </c>
      <c r="D2451" t="str">
        <f>IFERROR(__xludf.DUMMYFUNCTION("""COMPUTED_VALUE"""),"Adore You")</f>
        <v>Adore You</v>
      </c>
      <c r="E2451" t="str">
        <f>IFERROR(__xludf.DUMMYFUNCTION("""COMPUTED_VALUE"""),"Harry Styles")</f>
        <v>Harry Styles</v>
      </c>
      <c r="F2451" t="str">
        <f>IFERROR(__xludf.DUMMYFUNCTION("""COMPUTED_VALUE"""),"Fine Line")</f>
        <v>Fine Line</v>
      </c>
      <c r="G2451">
        <f>IFERROR(__xludf.DUMMYFUNCTION("""COMPUTED_VALUE"""),0.0)</f>
        <v>0</v>
      </c>
      <c r="H2451" s="5">
        <f>IFERROR(__xludf.DUMMYFUNCTION("""COMPUTED_VALUE"""),0.1437499999992724)</f>
        <v>0.14375</v>
      </c>
    </row>
    <row r="2452">
      <c r="A2452" t="str">
        <f>IFERROR(__xludf.DUMMYFUNCTION("""COMPUTED_VALUE"""),"Romania")</f>
        <v>Romania</v>
      </c>
      <c r="B2452" t="str">
        <f>IFERROR(__xludf.DUMMYFUNCTION("""COMPUTED_VALUE"""),"Europe")</f>
        <v>Europe</v>
      </c>
      <c r="C2452">
        <f>IFERROR(__xludf.DUMMYFUNCTION("""COMPUTED_VALUE"""),1.0)</f>
        <v>1</v>
      </c>
      <c r="D2452" t="str">
        <f>IFERROR(__xludf.DUMMYFUNCTION("""COMPUTED_VALUE"""),"THE SCOTTS")</f>
        <v>THE SCOTTS</v>
      </c>
      <c r="E2452" t="str">
        <f>IFERROR(__xludf.DUMMYFUNCTION("""COMPUTED_VALUE"""),"THE SCOTTS, Travis Scott, Kid Cudi")</f>
        <v>THE SCOTTS, Travis Scott, Kid Cudi</v>
      </c>
      <c r="F2452" t="str">
        <f>IFERROR(__xludf.DUMMYFUNCTION("""COMPUTED_VALUE"""),"THE SCOTTS")</f>
        <v>THE SCOTTS</v>
      </c>
      <c r="G2452">
        <f>IFERROR(__xludf.DUMMYFUNCTION("""COMPUTED_VALUE"""),1.0)</f>
        <v>1</v>
      </c>
      <c r="H2452" s="5">
        <f>IFERROR(__xludf.DUMMYFUNCTION("""COMPUTED_VALUE"""),0.11458333333212067)</f>
        <v>0.1145833333</v>
      </c>
    </row>
    <row r="2453">
      <c r="A2453" t="str">
        <f>IFERROR(__xludf.DUMMYFUNCTION("""COMPUTED_VALUE"""),"Romania")</f>
        <v>Romania</v>
      </c>
      <c r="B2453" t="str">
        <f>IFERROR(__xludf.DUMMYFUNCTION("""COMPUTED_VALUE"""),"Europe")</f>
        <v>Europe</v>
      </c>
      <c r="C2453">
        <f>IFERROR(__xludf.DUMMYFUNCTION("""COMPUTED_VALUE"""),2.0)</f>
        <v>2</v>
      </c>
      <c r="D2453" t="str">
        <f>IFERROR(__xludf.DUMMYFUNCTION("""COMPUTED_VALUE"""),"Roses - Imanbek Remix")</f>
        <v>Roses - Imanbek Remix</v>
      </c>
      <c r="E2453" t="str">
        <f>IFERROR(__xludf.DUMMYFUNCTION("""COMPUTED_VALUE"""),"SAINt JHN, Imanbek")</f>
        <v>SAINt JHN, Imanbek</v>
      </c>
      <c r="F2453" t="str">
        <f>IFERROR(__xludf.DUMMYFUNCTION("""COMPUTED_VALUE"""),"Roses (Imanbek Remix)")</f>
        <v>Roses (Imanbek Remix)</v>
      </c>
      <c r="G2453">
        <f>IFERROR(__xludf.DUMMYFUNCTION("""COMPUTED_VALUE"""),1.0)</f>
        <v>1</v>
      </c>
      <c r="H2453" s="5">
        <f>IFERROR(__xludf.DUMMYFUNCTION("""COMPUTED_VALUE"""),0.12222222222044365)</f>
        <v>0.1222222222</v>
      </c>
    </row>
    <row r="2454">
      <c r="A2454" t="str">
        <f>IFERROR(__xludf.DUMMYFUNCTION("""COMPUTED_VALUE"""),"Romania")</f>
        <v>Romania</v>
      </c>
      <c r="B2454" t="str">
        <f>IFERROR(__xludf.DUMMYFUNCTION("""COMPUTED_VALUE"""),"Europe")</f>
        <v>Europe</v>
      </c>
      <c r="C2454">
        <f>IFERROR(__xludf.DUMMYFUNCTION("""COMPUTED_VALUE"""),3.0)</f>
        <v>3</v>
      </c>
      <c r="D2454" t="str">
        <f>IFERROR(__xludf.DUMMYFUNCTION("""COMPUTED_VALUE"""),"Go Gettas")</f>
        <v>Go Gettas</v>
      </c>
      <c r="E2454" t="str">
        <f>IFERROR(__xludf.DUMMYFUNCTION("""COMPUTED_VALUE"""),"andrei, Killa Fonic, Nane, bbno$, Azteca")</f>
        <v>andrei, Killa Fonic, Nane, bbno$, Azteca</v>
      </c>
      <c r="F2454" t="str">
        <f>IFERROR(__xludf.DUMMYFUNCTION("""COMPUTED_VALUE"""),"Go Gettas")</f>
        <v>Go Gettas</v>
      </c>
      <c r="G2454">
        <f>IFERROR(__xludf.DUMMYFUNCTION("""COMPUTED_VALUE"""),1.0)</f>
        <v>1</v>
      </c>
      <c r="H2454" s="5">
        <f>IFERROR(__xludf.DUMMYFUNCTION("""COMPUTED_VALUE"""),0.12361111111022183)</f>
        <v>0.1236111111</v>
      </c>
    </row>
    <row r="2455">
      <c r="A2455" t="str">
        <f>IFERROR(__xludf.DUMMYFUNCTION("""COMPUTED_VALUE"""),"Romania")</f>
        <v>Romania</v>
      </c>
      <c r="B2455" t="str">
        <f>IFERROR(__xludf.DUMMYFUNCTION("""COMPUTED_VALUE"""),"Europe")</f>
        <v>Europe</v>
      </c>
      <c r="C2455">
        <f>IFERROR(__xludf.DUMMYFUNCTION("""COMPUTED_VALUE"""),4.0)</f>
        <v>4</v>
      </c>
      <c r="D2455" t="str">
        <f>IFERROR(__xludf.DUMMYFUNCTION("""COMPUTED_VALUE"""),"Blinding Lights")</f>
        <v>Blinding Lights</v>
      </c>
      <c r="E2455" t="str">
        <f>IFERROR(__xludf.DUMMYFUNCTION("""COMPUTED_VALUE"""),"The Weeknd")</f>
        <v>The Weeknd</v>
      </c>
      <c r="F2455" t="str">
        <f>IFERROR(__xludf.DUMMYFUNCTION("""COMPUTED_VALUE"""),"After Hours")</f>
        <v>After Hours</v>
      </c>
      <c r="G2455">
        <f>IFERROR(__xludf.DUMMYFUNCTION("""COMPUTED_VALUE"""),0.0)</f>
        <v>0</v>
      </c>
      <c r="H2455" s="5">
        <f>IFERROR(__xludf.DUMMYFUNCTION("""COMPUTED_VALUE"""),0.13888888889050577)</f>
        <v>0.1388888889</v>
      </c>
    </row>
    <row r="2456">
      <c r="A2456" t="str">
        <f>IFERROR(__xludf.DUMMYFUNCTION("""COMPUTED_VALUE"""),"Romania")</f>
        <v>Romania</v>
      </c>
      <c r="B2456" t="str">
        <f>IFERROR(__xludf.DUMMYFUNCTION("""COMPUTED_VALUE"""),"Europe")</f>
        <v>Europe</v>
      </c>
      <c r="C2456">
        <f>IFERROR(__xludf.DUMMYFUNCTION("""COMPUTED_VALUE"""),5.0)</f>
        <v>5</v>
      </c>
      <c r="D2456" t="str">
        <f>IFERROR(__xludf.DUMMYFUNCTION("""COMPUTED_VALUE"""),"GOOBA")</f>
        <v>GOOBA</v>
      </c>
      <c r="E2456" t="str">
        <f>IFERROR(__xludf.DUMMYFUNCTION("""COMPUTED_VALUE"""),"6ix9ine")</f>
        <v>6ix9ine</v>
      </c>
      <c r="F2456" t="str">
        <f>IFERROR(__xludf.DUMMYFUNCTION("""COMPUTED_VALUE"""),"GOOBA")</f>
        <v>GOOBA</v>
      </c>
      <c r="G2456">
        <f>IFERROR(__xludf.DUMMYFUNCTION("""COMPUTED_VALUE"""),1.0)</f>
        <v>1</v>
      </c>
      <c r="H2456" s="5">
        <f>IFERROR(__xludf.DUMMYFUNCTION("""COMPUTED_VALUE"""),0.09166666666715173)</f>
        <v>0.09166666667</v>
      </c>
    </row>
    <row r="2457">
      <c r="A2457" t="str">
        <f>IFERROR(__xludf.DUMMYFUNCTION("""COMPUTED_VALUE"""),"Romania")</f>
        <v>Romania</v>
      </c>
      <c r="B2457" t="str">
        <f>IFERROR(__xludf.DUMMYFUNCTION("""COMPUTED_VALUE"""),"Europe")</f>
        <v>Europe</v>
      </c>
      <c r="C2457">
        <f>IFERROR(__xludf.DUMMYFUNCTION("""COMPUTED_VALUE"""),6.0)</f>
        <v>6</v>
      </c>
      <c r="D2457" t="str">
        <f>IFERROR(__xludf.DUMMYFUNCTION("""COMPUTED_VALUE"""),"HIGHEST IN THE ROOM")</f>
        <v>HIGHEST IN THE ROOM</v>
      </c>
      <c r="E2457" t="str">
        <f>IFERROR(__xludf.DUMMYFUNCTION("""COMPUTED_VALUE"""),"Travis Scott")</f>
        <v>Travis Scott</v>
      </c>
      <c r="F2457" t="str">
        <f>IFERROR(__xludf.DUMMYFUNCTION("""COMPUTED_VALUE"""),"HIGHEST IN THE ROOM")</f>
        <v>HIGHEST IN THE ROOM</v>
      </c>
      <c r="G2457">
        <f>IFERROR(__xludf.DUMMYFUNCTION("""COMPUTED_VALUE"""),1.0)</f>
        <v>1</v>
      </c>
      <c r="H2457" s="5">
        <f>IFERROR(__xludf.DUMMYFUNCTION("""COMPUTED_VALUE"""),0.12152777777737356)</f>
        <v>0.1215277778</v>
      </c>
    </row>
    <row r="2458">
      <c r="A2458" t="str">
        <f>IFERROR(__xludf.DUMMYFUNCTION("""COMPUTED_VALUE"""),"Romania")</f>
        <v>Romania</v>
      </c>
      <c r="B2458" t="str">
        <f>IFERROR(__xludf.DUMMYFUNCTION("""COMPUTED_VALUE"""),"Europe")</f>
        <v>Europe</v>
      </c>
      <c r="C2458">
        <f>IFERROR(__xludf.DUMMYFUNCTION("""COMPUTED_VALUE"""),7.0)</f>
        <v>7</v>
      </c>
      <c r="D2458" t="str">
        <f>IFERROR(__xludf.DUMMYFUNCTION("""COMPUTED_VALUE"""),"Toosie Slide")</f>
        <v>Toosie Slide</v>
      </c>
      <c r="E2458" t="str">
        <f>IFERROR(__xludf.DUMMYFUNCTION("""COMPUTED_VALUE"""),"Drake")</f>
        <v>Drake</v>
      </c>
      <c r="F2458" t="str">
        <f>IFERROR(__xludf.DUMMYFUNCTION("""COMPUTED_VALUE"""),"Dark Lane Demo Tapes")</f>
        <v>Dark Lane Demo Tapes</v>
      </c>
      <c r="G2458">
        <f>IFERROR(__xludf.DUMMYFUNCTION("""COMPUTED_VALUE"""),1.0)</f>
        <v>1</v>
      </c>
      <c r="H2458" s="5">
        <f>IFERROR(__xludf.DUMMYFUNCTION("""COMPUTED_VALUE"""),0.17152777777664596)</f>
        <v>0.1715277778</v>
      </c>
    </row>
    <row r="2459">
      <c r="A2459" t="str">
        <f>IFERROR(__xludf.DUMMYFUNCTION("""COMPUTED_VALUE"""),"Romania")</f>
        <v>Romania</v>
      </c>
      <c r="B2459" t="str">
        <f>IFERROR(__xludf.DUMMYFUNCTION("""COMPUTED_VALUE"""),"Europe")</f>
        <v>Europe</v>
      </c>
      <c r="C2459">
        <f>IFERROR(__xludf.DUMMYFUNCTION("""COMPUTED_VALUE"""),8.0)</f>
        <v>8</v>
      </c>
      <c r="D2459" t="str">
        <f>IFERROR(__xludf.DUMMYFUNCTION("""COMPUTED_VALUE"""),"Rain On Me (with Ariana Grande)")</f>
        <v>Rain On Me (with Ariana Grande)</v>
      </c>
      <c r="E2459" t="str">
        <f>IFERROR(__xludf.DUMMYFUNCTION("""COMPUTED_VALUE"""),"Lady Gaga, Ariana Grande")</f>
        <v>Lady Gaga, Ariana Grande</v>
      </c>
      <c r="F2459" t="str">
        <f>IFERROR(__xludf.DUMMYFUNCTION("""COMPUTED_VALUE"""),"Rain On Me (with Ariana Grande)")</f>
        <v>Rain On Me (with Ariana Grande)</v>
      </c>
      <c r="G2459">
        <f>IFERROR(__xludf.DUMMYFUNCTION("""COMPUTED_VALUE"""),0.0)</f>
        <v>0</v>
      </c>
      <c r="H2459" s="5">
        <f>IFERROR(__xludf.DUMMYFUNCTION("""COMPUTED_VALUE"""),0.12638888888977817)</f>
        <v>0.1263888889</v>
      </c>
    </row>
    <row r="2460">
      <c r="A2460" t="str">
        <f>IFERROR(__xludf.DUMMYFUNCTION("""COMPUTED_VALUE"""),"Romania")</f>
        <v>Romania</v>
      </c>
      <c r="B2460" t="str">
        <f>IFERROR(__xludf.DUMMYFUNCTION("""COMPUTED_VALUE"""),"Europe")</f>
        <v>Europe</v>
      </c>
      <c r="C2460">
        <f>IFERROR(__xludf.DUMMYFUNCTION("""COMPUTED_VALUE"""),9.0)</f>
        <v>9</v>
      </c>
      <c r="D2460" t="str">
        <f>IFERROR(__xludf.DUMMYFUNCTION("""COMPUTED_VALUE"""),"The Box")</f>
        <v>The Box</v>
      </c>
      <c r="E2460" t="str">
        <f>IFERROR(__xludf.DUMMYFUNCTION("""COMPUTED_VALUE"""),"Roddy Ricch")</f>
        <v>Roddy Ricch</v>
      </c>
      <c r="F2460" t="str">
        <f>IFERROR(__xludf.DUMMYFUNCTION("""COMPUTED_VALUE"""),"Please Excuse Me For Being Antisocial")</f>
        <v>Please Excuse Me For Being Antisocial</v>
      </c>
      <c r="G2460">
        <f>IFERROR(__xludf.DUMMYFUNCTION("""COMPUTED_VALUE"""),1.0)</f>
        <v>1</v>
      </c>
      <c r="H2460" s="5">
        <f>IFERROR(__xludf.DUMMYFUNCTION("""COMPUTED_VALUE"""),0.13611111111094942)</f>
        <v>0.1361111111</v>
      </c>
    </row>
    <row r="2461">
      <c r="A2461" t="str">
        <f>IFERROR(__xludf.DUMMYFUNCTION("""COMPUTED_VALUE"""),"Romania")</f>
        <v>Romania</v>
      </c>
      <c r="B2461" t="str">
        <f>IFERROR(__xludf.DUMMYFUNCTION("""COMPUTED_VALUE"""),"Europe")</f>
        <v>Europe</v>
      </c>
      <c r="C2461">
        <f>IFERROR(__xludf.DUMMYFUNCTION("""COMPUTED_VALUE"""),10.0)</f>
        <v>10</v>
      </c>
      <c r="D2461" t="str">
        <f>IFERROR(__xludf.DUMMYFUNCTION("""COMPUTED_VALUE"""),"ROCKSTAR (feat. Roddy Ricch)")</f>
        <v>ROCKSTAR (feat. Roddy Ricch)</v>
      </c>
      <c r="E2461" t="str">
        <f>IFERROR(__xludf.DUMMYFUNCTION("""COMPUTED_VALUE"""),"DaBaby, Roddy Ricch")</f>
        <v>DaBaby, Roddy Ricch</v>
      </c>
      <c r="F2461" t="str">
        <f>IFERROR(__xludf.DUMMYFUNCTION("""COMPUTED_VALUE"""),"BLAME IT ON BABY")</f>
        <v>BLAME IT ON BABY</v>
      </c>
      <c r="G2461">
        <f>IFERROR(__xludf.DUMMYFUNCTION("""COMPUTED_VALUE"""),1.0)</f>
        <v>1</v>
      </c>
      <c r="H2461" s="5">
        <f>IFERROR(__xludf.DUMMYFUNCTION("""COMPUTED_VALUE"""),0.1256944444430701)</f>
        <v>0.1256944444</v>
      </c>
    </row>
    <row r="2462">
      <c r="A2462" t="str">
        <f>IFERROR(__xludf.DUMMYFUNCTION("""COMPUTED_VALUE"""),"Romania")</f>
        <v>Romania</v>
      </c>
      <c r="B2462" t="str">
        <f>IFERROR(__xludf.DUMMYFUNCTION("""COMPUTED_VALUE"""),"Europe")</f>
        <v>Europe</v>
      </c>
      <c r="C2462">
        <f>IFERROR(__xludf.DUMMYFUNCTION("""COMPUTED_VALUE"""),11.0)</f>
        <v>11</v>
      </c>
      <c r="D2462" t="str">
        <f>IFERROR(__xludf.DUMMYFUNCTION("""COMPUTED_VALUE"""),"goosebumps")</f>
        <v>goosebumps</v>
      </c>
      <c r="E2462" t="str">
        <f>IFERROR(__xludf.DUMMYFUNCTION("""COMPUTED_VALUE"""),"Travis Scott")</f>
        <v>Travis Scott</v>
      </c>
      <c r="F2462" t="str">
        <f>IFERROR(__xludf.DUMMYFUNCTION("""COMPUTED_VALUE"""),"Birds In The Trap Sing McKnight")</f>
        <v>Birds In The Trap Sing McKnight</v>
      </c>
      <c r="G2462">
        <f>IFERROR(__xludf.DUMMYFUNCTION("""COMPUTED_VALUE"""),1.0)</f>
        <v>1</v>
      </c>
      <c r="H2462" s="5">
        <f>IFERROR(__xludf.DUMMYFUNCTION("""COMPUTED_VALUE"""),0.1687500000007276)</f>
        <v>0.16875</v>
      </c>
    </row>
    <row r="2463">
      <c r="A2463" t="str">
        <f>IFERROR(__xludf.DUMMYFUNCTION("""COMPUTED_VALUE"""),"Romania")</f>
        <v>Romania</v>
      </c>
      <c r="B2463" t="str">
        <f>IFERROR(__xludf.DUMMYFUNCTION("""COMPUTED_VALUE"""),"Europe")</f>
        <v>Europe</v>
      </c>
      <c r="C2463">
        <f>IFERROR(__xludf.DUMMYFUNCTION("""COMPUTED_VALUE"""),12.0)</f>
        <v>12</v>
      </c>
      <c r="D2463" t="str">
        <f>IFERROR(__xludf.DUMMYFUNCTION("""COMPUTED_VALUE"""),"SICKO MODE")</f>
        <v>SICKO MODE</v>
      </c>
      <c r="E2463" t="str">
        <f>IFERROR(__xludf.DUMMYFUNCTION("""COMPUTED_VALUE"""),"Travis Scott")</f>
        <v>Travis Scott</v>
      </c>
      <c r="F2463" t="str">
        <f>IFERROR(__xludf.DUMMYFUNCTION("""COMPUTED_VALUE"""),"ASTROWORLD")</f>
        <v>ASTROWORLD</v>
      </c>
      <c r="G2463">
        <f>IFERROR(__xludf.DUMMYFUNCTION("""COMPUTED_VALUE"""),1.0)</f>
        <v>1</v>
      </c>
      <c r="H2463" s="5">
        <f>IFERROR(__xludf.DUMMYFUNCTION("""COMPUTED_VALUE"""),0.21666666666715173)</f>
        <v>0.2166666667</v>
      </c>
    </row>
    <row r="2464">
      <c r="A2464" t="str">
        <f>IFERROR(__xludf.DUMMYFUNCTION("""COMPUTED_VALUE"""),"Romania")</f>
        <v>Romania</v>
      </c>
      <c r="B2464" t="str">
        <f>IFERROR(__xludf.DUMMYFUNCTION("""COMPUTED_VALUE"""),"Europe")</f>
        <v>Europe</v>
      </c>
      <c r="C2464">
        <f>IFERROR(__xludf.DUMMYFUNCTION("""COMPUTED_VALUE"""),13.0)</f>
        <v>13</v>
      </c>
      <c r="D2464" t="str">
        <f>IFERROR(__xludf.DUMMYFUNCTION("""COMPUTED_VALUE"""),"Blueberry Faygo")</f>
        <v>Blueberry Faygo</v>
      </c>
      <c r="E2464" t="str">
        <f>IFERROR(__xludf.DUMMYFUNCTION("""COMPUTED_VALUE"""),"Lil Mosey")</f>
        <v>Lil Mosey</v>
      </c>
      <c r="F2464" t="str">
        <f>IFERROR(__xludf.DUMMYFUNCTION("""COMPUTED_VALUE"""),"Certified Hitmaker")</f>
        <v>Certified Hitmaker</v>
      </c>
      <c r="G2464">
        <f>IFERROR(__xludf.DUMMYFUNCTION("""COMPUTED_VALUE"""),1.0)</f>
        <v>1</v>
      </c>
      <c r="H2464" s="5">
        <f>IFERROR(__xludf.DUMMYFUNCTION("""COMPUTED_VALUE"""),0.1124999999992724)</f>
        <v>0.1125</v>
      </c>
    </row>
    <row r="2465">
      <c r="A2465" t="str">
        <f>IFERROR(__xludf.DUMMYFUNCTION("""COMPUTED_VALUE"""),"Romania")</f>
        <v>Romania</v>
      </c>
      <c r="B2465" t="str">
        <f>IFERROR(__xludf.DUMMYFUNCTION("""COMPUTED_VALUE"""),"Europe")</f>
        <v>Europe</v>
      </c>
      <c r="C2465">
        <f>IFERROR(__xludf.DUMMYFUNCTION("""COMPUTED_VALUE"""),14.0)</f>
        <v>14</v>
      </c>
      <c r="D2465" t="str">
        <f>IFERROR(__xludf.DUMMYFUNCTION("""COMPUTED_VALUE"""),"Breaking Me")</f>
        <v>Breaking Me</v>
      </c>
      <c r="E2465" t="str">
        <f>IFERROR(__xludf.DUMMYFUNCTION("""COMPUTED_VALUE"""),"Topic, A7S")</f>
        <v>Topic, A7S</v>
      </c>
      <c r="F2465" t="str">
        <f>IFERROR(__xludf.DUMMYFUNCTION("""COMPUTED_VALUE"""),"Breaking Me")</f>
        <v>Breaking Me</v>
      </c>
      <c r="G2465">
        <f>IFERROR(__xludf.DUMMYFUNCTION("""COMPUTED_VALUE"""),0.0)</f>
        <v>0</v>
      </c>
      <c r="H2465" s="5">
        <f>IFERROR(__xludf.DUMMYFUNCTION("""COMPUTED_VALUE"""),0.11527777777882875)</f>
        <v>0.1152777778</v>
      </c>
    </row>
    <row r="2466">
      <c r="A2466" t="str">
        <f>IFERROR(__xludf.DUMMYFUNCTION("""COMPUTED_VALUE"""),"Romania")</f>
        <v>Romania</v>
      </c>
      <c r="B2466" t="str">
        <f>IFERROR(__xludf.DUMMYFUNCTION("""COMPUTED_VALUE"""),"Europe")</f>
        <v>Europe</v>
      </c>
      <c r="C2466">
        <f>IFERROR(__xludf.DUMMYFUNCTION("""COMPUTED_VALUE"""),15.0)</f>
        <v>15</v>
      </c>
      <c r="D2466" t="str">
        <f>IFERROR(__xludf.DUMMYFUNCTION("""COMPUTED_VALUE"""),"Daechwita")</f>
        <v>Daechwita</v>
      </c>
      <c r="E2466" t="str">
        <f>IFERROR(__xludf.DUMMYFUNCTION("""COMPUTED_VALUE"""),"Agust D")</f>
        <v>Agust D</v>
      </c>
      <c r="F2466" t="str">
        <f>IFERROR(__xludf.DUMMYFUNCTION("""COMPUTED_VALUE"""),"D-2")</f>
        <v>D-2</v>
      </c>
      <c r="G2466">
        <f>IFERROR(__xludf.DUMMYFUNCTION("""COMPUTED_VALUE"""),1.0)</f>
        <v>1</v>
      </c>
      <c r="H2466" s="5">
        <f>IFERROR(__xludf.DUMMYFUNCTION("""COMPUTED_VALUE"""),0.15625)</f>
        <v>0.15625</v>
      </c>
    </row>
    <row r="2467">
      <c r="A2467" t="str">
        <f>IFERROR(__xludf.DUMMYFUNCTION("""COMPUTED_VALUE"""),"Romania")</f>
        <v>Romania</v>
      </c>
      <c r="B2467" t="str">
        <f>IFERROR(__xludf.DUMMYFUNCTION("""COMPUTED_VALUE"""),"Europe")</f>
        <v>Europe</v>
      </c>
      <c r="C2467">
        <f>IFERROR(__xludf.DUMMYFUNCTION("""COMPUTED_VALUE"""),16.0)</f>
        <v>16</v>
      </c>
      <c r="D2467" t="str">
        <f>IFERROR(__xludf.DUMMYFUNCTION("""COMPUTED_VALUE"""),"Life Is Good (feat. Drake)")</f>
        <v>Life Is Good (feat. Drake)</v>
      </c>
      <c r="E2467" t="str">
        <f>IFERROR(__xludf.DUMMYFUNCTION("""COMPUTED_VALUE"""),"Future, Drake")</f>
        <v>Future, Drake</v>
      </c>
      <c r="F2467" t="str">
        <f>IFERROR(__xludf.DUMMYFUNCTION("""COMPUTED_VALUE"""),"High Off Life")</f>
        <v>High Off Life</v>
      </c>
      <c r="G2467">
        <f>IFERROR(__xludf.DUMMYFUNCTION("""COMPUTED_VALUE"""),1.0)</f>
        <v>1</v>
      </c>
      <c r="H2467" s="5">
        <f>IFERROR(__xludf.DUMMYFUNCTION("""COMPUTED_VALUE"""),0.16458333333503106)</f>
        <v>0.1645833333</v>
      </c>
    </row>
    <row r="2468">
      <c r="A2468" t="str">
        <f>IFERROR(__xludf.DUMMYFUNCTION("""COMPUTED_VALUE"""),"Romania")</f>
        <v>Romania</v>
      </c>
      <c r="B2468" t="str">
        <f>IFERROR(__xludf.DUMMYFUNCTION("""COMPUTED_VALUE"""),"Europe")</f>
        <v>Europe</v>
      </c>
      <c r="C2468">
        <f>IFERROR(__xludf.DUMMYFUNCTION("""COMPUTED_VALUE"""),17.0)</f>
        <v>17</v>
      </c>
      <c r="D2468" t="str">
        <f>IFERROR(__xludf.DUMMYFUNCTION("""COMPUTED_VALUE"""),"Don't Start Now")</f>
        <v>Don't Start Now</v>
      </c>
      <c r="E2468" t="str">
        <f>IFERROR(__xludf.DUMMYFUNCTION("""COMPUTED_VALUE"""),"Dua Lipa")</f>
        <v>Dua Lipa</v>
      </c>
      <c r="F2468" t="str">
        <f>IFERROR(__xludf.DUMMYFUNCTION("""COMPUTED_VALUE"""),"Future Nostalgia")</f>
        <v>Future Nostalgia</v>
      </c>
      <c r="G2468">
        <f>IFERROR(__xludf.DUMMYFUNCTION("""COMPUTED_VALUE"""),0.0)</f>
        <v>0</v>
      </c>
      <c r="H2468" s="5">
        <f>IFERROR(__xludf.DUMMYFUNCTION("""COMPUTED_VALUE"""),0.12708333333284827)</f>
        <v>0.1270833333</v>
      </c>
    </row>
    <row r="2469">
      <c r="A2469" t="str">
        <f>IFERROR(__xludf.DUMMYFUNCTION("""COMPUTED_VALUE"""),"Romania")</f>
        <v>Romania</v>
      </c>
      <c r="B2469" t="str">
        <f>IFERROR(__xludf.DUMMYFUNCTION("""COMPUTED_VALUE"""),"Europe")</f>
        <v>Europe</v>
      </c>
      <c r="C2469">
        <f>IFERROR(__xludf.DUMMYFUNCTION("""COMPUTED_VALUE"""),18.0)</f>
        <v>18</v>
      </c>
      <c r="D2469" t="str">
        <f>IFERROR(__xludf.DUMMYFUNCTION("""COMPUTED_VALUE"""),"Falling")</f>
        <v>Falling</v>
      </c>
      <c r="E2469" t="str">
        <f>IFERROR(__xludf.DUMMYFUNCTION("""COMPUTED_VALUE"""),"Trevor Daniel")</f>
        <v>Trevor Daniel</v>
      </c>
      <c r="F2469" t="str">
        <f>IFERROR(__xludf.DUMMYFUNCTION("""COMPUTED_VALUE"""),"Nicotine")</f>
        <v>Nicotine</v>
      </c>
      <c r="G2469">
        <f>IFERROR(__xludf.DUMMYFUNCTION("""COMPUTED_VALUE"""),0.0)</f>
        <v>0</v>
      </c>
      <c r="H2469" s="5">
        <f>IFERROR(__xludf.DUMMYFUNCTION("""COMPUTED_VALUE"""),0.11041666666642413)</f>
        <v>0.1104166667</v>
      </c>
    </row>
    <row r="2470">
      <c r="A2470" t="str">
        <f>IFERROR(__xludf.DUMMYFUNCTION("""COMPUTED_VALUE"""),"Romania")</f>
        <v>Romania</v>
      </c>
      <c r="B2470" t="str">
        <f>IFERROR(__xludf.DUMMYFUNCTION("""COMPUTED_VALUE"""),"Europe")</f>
        <v>Europe</v>
      </c>
      <c r="C2470">
        <f>IFERROR(__xludf.DUMMYFUNCTION("""COMPUTED_VALUE"""),19.0)</f>
        <v>19</v>
      </c>
      <c r="D2470" t="str">
        <f>IFERROR(__xludf.DUMMYFUNCTION("""COMPUTED_VALUE"""),"Miami Bici")</f>
        <v>Miami Bici</v>
      </c>
      <c r="E2470" t="str">
        <f>IFERROR(__xludf.DUMMYFUNCTION("""COMPUTED_VALUE"""),"Killa Fonic")</f>
        <v>Killa Fonic</v>
      </c>
      <c r="F2470" t="str">
        <f>IFERROR(__xludf.DUMMYFUNCTION("""COMPUTED_VALUE"""),"Miami Bici")</f>
        <v>Miami Bici</v>
      </c>
      <c r="G2470">
        <f>IFERROR(__xludf.DUMMYFUNCTION("""COMPUTED_VALUE"""),0.0)</f>
        <v>0</v>
      </c>
      <c r="H2470" s="5">
        <f>IFERROR(__xludf.DUMMYFUNCTION("""COMPUTED_VALUE"""),0.12777777777955635)</f>
        <v>0.1277777778</v>
      </c>
    </row>
    <row r="2471">
      <c r="A2471" t="str">
        <f>IFERROR(__xludf.DUMMYFUNCTION("""COMPUTED_VALUE"""),"Romania")</f>
        <v>Romania</v>
      </c>
      <c r="B2471" t="str">
        <f>IFERROR(__xludf.DUMMYFUNCTION("""COMPUTED_VALUE"""),"Europe")</f>
        <v>Europe</v>
      </c>
      <c r="C2471">
        <f>IFERROR(__xludf.DUMMYFUNCTION("""COMPUTED_VALUE"""),20.0)</f>
        <v>20</v>
      </c>
      <c r="D2471" t="str">
        <f>IFERROR(__xludf.DUMMYFUNCTION("""COMPUTED_VALUE"""),"Sigur Dar Incet")</f>
        <v>Sigur Dar Incet</v>
      </c>
      <c r="E2471" t="str">
        <f>IFERROR(__xludf.DUMMYFUNCTION("""COMPUTED_VALUE"""),"Ian, Azteca")</f>
        <v>Ian, Azteca</v>
      </c>
      <c r="F2471" t="str">
        <f>IFERROR(__xludf.DUMMYFUNCTION("""COMPUTED_VALUE"""),"Sigur Dar Incet")</f>
        <v>Sigur Dar Incet</v>
      </c>
      <c r="G2471">
        <f>IFERROR(__xludf.DUMMYFUNCTION("""COMPUTED_VALUE"""),1.0)</f>
        <v>1</v>
      </c>
      <c r="H2471" s="5">
        <f>IFERROR(__xludf.DUMMYFUNCTION("""COMPUTED_VALUE"""),0.12638888888977817)</f>
        <v>0.1263888889</v>
      </c>
    </row>
    <row r="2472">
      <c r="A2472" t="str">
        <f>IFERROR(__xludf.DUMMYFUNCTION("""COMPUTED_VALUE"""),"Romania")</f>
        <v>Romania</v>
      </c>
      <c r="B2472" t="str">
        <f>IFERROR(__xludf.DUMMYFUNCTION("""COMPUTED_VALUE"""),"Europe")</f>
        <v>Europe</v>
      </c>
      <c r="C2472">
        <f>IFERROR(__xludf.DUMMYFUNCTION("""COMPUTED_VALUE"""),21.0)</f>
        <v>21</v>
      </c>
      <c r="D2472" t="str">
        <f>IFERROR(__xludf.DUMMYFUNCTION("""COMPUTED_VALUE"""),"WHATS POPPIN")</f>
        <v>WHATS POPPIN</v>
      </c>
      <c r="E2472" t="str">
        <f>IFERROR(__xludf.DUMMYFUNCTION("""COMPUTED_VALUE"""),"Jack Harlow")</f>
        <v>Jack Harlow</v>
      </c>
      <c r="F2472" t="str">
        <f>IFERROR(__xludf.DUMMYFUNCTION("""COMPUTED_VALUE"""),"Sweet Action")</f>
        <v>Sweet Action</v>
      </c>
      <c r="G2472">
        <f>IFERROR(__xludf.DUMMYFUNCTION("""COMPUTED_VALUE"""),1.0)</f>
        <v>1</v>
      </c>
      <c r="H2472" s="5">
        <f>IFERROR(__xludf.DUMMYFUNCTION("""COMPUTED_VALUE"""),0.09652777777955635)</f>
        <v>0.09652777778</v>
      </c>
    </row>
    <row r="2473">
      <c r="A2473" t="str">
        <f>IFERROR(__xludf.DUMMYFUNCTION("""COMPUTED_VALUE"""),"Romania")</f>
        <v>Romania</v>
      </c>
      <c r="B2473" t="str">
        <f>IFERROR(__xludf.DUMMYFUNCTION("""COMPUTED_VALUE"""),"Europe")</f>
        <v>Europe</v>
      </c>
      <c r="C2473">
        <f>IFERROR(__xludf.DUMMYFUNCTION("""COMPUTED_VALUE"""),22.0)</f>
        <v>22</v>
      </c>
      <c r="D2473" t="str">
        <f>IFERROR(__xludf.DUMMYFUNCTION("""COMPUTED_VALUE"""),"In Your Eyes")</f>
        <v>In Your Eyes</v>
      </c>
      <c r="E2473" t="str">
        <f>IFERROR(__xludf.DUMMYFUNCTION("""COMPUTED_VALUE"""),"The Weeknd")</f>
        <v>The Weeknd</v>
      </c>
      <c r="F2473" t="str">
        <f>IFERROR(__xludf.DUMMYFUNCTION("""COMPUTED_VALUE"""),"After Hours")</f>
        <v>After Hours</v>
      </c>
      <c r="G2473">
        <f>IFERROR(__xludf.DUMMYFUNCTION("""COMPUTED_VALUE"""),1.0)</f>
        <v>1</v>
      </c>
      <c r="H2473" s="5">
        <f>IFERROR(__xludf.DUMMYFUNCTION("""COMPUTED_VALUE"""),0.16458333333503106)</f>
        <v>0.1645833333</v>
      </c>
    </row>
    <row r="2474">
      <c r="A2474" t="str">
        <f>IFERROR(__xludf.DUMMYFUNCTION("""COMPUTED_VALUE"""),"Romania")</f>
        <v>Romania</v>
      </c>
      <c r="B2474" t="str">
        <f>IFERROR(__xludf.DUMMYFUNCTION("""COMPUTED_VALUE"""),"Europe")</f>
        <v>Europe</v>
      </c>
      <c r="C2474">
        <f>IFERROR(__xludf.DUMMYFUNCTION("""COMPUTED_VALUE"""),23.0)</f>
        <v>23</v>
      </c>
      <c r="D2474" t="str">
        <f>IFERROR(__xludf.DUMMYFUNCTION("""COMPUTED_VALUE"""),"death bed (coffee for your head) (feat. beabadoobee)")</f>
        <v>death bed (coffee for your head) (feat. beabadoobee)</v>
      </c>
      <c r="E2474" t="str">
        <f>IFERROR(__xludf.DUMMYFUNCTION("""COMPUTED_VALUE"""),"Powfu, beabadoobee")</f>
        <v>Powfu, beabadoobee</v>
      </c>
      <c r="F2474" t="str">
        <f>IFERROR(__xludf.DUMMYFUNCTION("""COMPUTED_VALUE"""),"death bed (coffee for your head) (feat. beabadoobee)")</f>
        <v>death bed (coffee for your head) (feat. beabadoobee)</v>
      </c>
      <c r="G2474">
        <f>IFERROR(__xludf.DUMMYFUNCTION("""COMPUTED_VALUE"""),0.0)</f>
        <v>0</v>
      </c>
      <c r="H2474" s="5">
        <f>IFERROR(__xludf.DUMMYFUNCTION("""COMPUTED_VALUE"""),0.12013888888759539)</f>
        <v>0.1201388889</v>
      </c>
    </row>
    <row r="2475">
      <c r="A2475" t="str">
        <f>IFERROR(__xludf.DUMMYFUNCTION("""COMPUTED_VALUE"""),"Romania")</f>
        <v>Romania</v>
      </c>
      <c r="B2475" t="str">
        <f>IFERROR(__xludf.DUMMYFUNCTION("""COMPUTED_VALUE"""),"Europe")</f>
        <v>Europe</v>
      </c>
      <c r="C2475">
        <f>IFERROR(__xludf.DUMMYFUNCTION("""COMPUTED_VALUE"""),24.0)</f>
        <v>24</v>
      </c>
      <c r="D2475" t="str">
        <f>IFERROR(__xludf.DUMMYFUNCTION("""COMPUTED_VALUE"""),"After Party")</f>
        <v>After Party</v>
      </c>
      <c r="E2475" t="str">
        <f>IFERROR(__xludf.DUMMYFUNCTION("""COMPUTED_VALUE"""),"Don Toliver")</f>
        <v>Don Toliver</v>
      </c>
      <c r="F2475" t="str">
        <f>IFERROR(__xludf.DUMMYFUNCTION("""COMPUTED_VALUE"""),"Heaven Or Hell")</f>
        <v>Heaven Or Hell</v>
      </c>
      <c r="G2475">
        <f>IFERROR(__xludf.DUMMYFUNCTION("""COMPUTED_VALUE"""),1.0)</f>
        <v>1</v>
      </c>
      <c r="H2475" s="5">
        <f>IFERROR(__xludf.DUMMYFUNCTION("""COMPUTED_VALUE"""),0.11597222222189885)</f>
        <v>0.1159722222</v>
      </c>
    </row>
    <row r="2476">
      <c r="A2476" t="str">
        <f>IFERROR(__xludf.DUMMYFUNCTION("""COMPUTED_VALUE"""),"Romania")</f>
        <v>Romania</v>
      </c>
      <c r="B2476" t="str">
        <f>IFERROR(__xludf.DUMMYFUNCTION("""COMPUTED_VALUE"""),"Europe")</f>
        <v>Europe</v>
      </c>
      <c r="C2476">
        <f>IFERROR(__xludf.DUMMYFUNCTION("""COMPUTED_VALUE"""),25.0)</f>
        <v>25</v>
      </c>
      <c r="D2476" t="str">
        <f>IFERROR(__xludf.DUMMYFUNCTION("""COMPUTED_VALUE"""),"Dau Moda")</f>
        <v>Dau Moda</v>
      </c>
      <c r="E2476" t="str">
        <f>IFERROR(__xludf.DUMMYFUNCTION("""COMPUTED_VALUE"""),"Jador, Lino Golden")</f>
        <v>Jador, Lino Golden</v>
      </c>
      <c r="F2476" t="str">
        <f>IFERROR(__xludf.DUMMYFUNCTION("""COMPUTED_VALUE"""),"Dau Moda")</f>
        <v>Dau Moda</v>
      </c>
      <c r="G2476">
        <f>IFERROR(__xludf.DUMMYFUNCTION("""COMPUTED_VALUE"""),0.0)</f>
        <v>0</v>
      </c>
      <c r="H2476" s="5">
        <f>IFERROR(__xludf.DUMMYFUNCTION("""COMPUTED_VALUE"""),0.09583333333284827)</f>
        <v>0.09583333333</v>
      </c>
    </row>
    <row r="2477">
      <c r="A2477" t="str">
        <f>IFERROR(__xludf.DUMMYFUNCTION("""COMPUTED_VALUE"""),"Romania")</f>
        <v>Romania</v>
      </c>
      <c r="B2477" t="str">
        <f>IFERROR(__xludf.DUMMYFUNCTION("""COMPUTED_VALUE"""),"Europe")</f>
        <v>Europe</v>
      </c>
      <c r="C2477">
        <f>IFERROR(__xludf.DUMMYFUNCTION("""COMPUTED_VALUE"""),26.0)</f>
        <v>26</v>
      </c>
      <c r="D2477" t="str">
        <f>IFERROR(__xludf.DUMMYFUNCTION("""COMPUTED_VALUE"""),"Stuck with U (with Justin Bieber)")</f>
        <v>Stuck with U (with Justin Bieber)</v>
      </c>
      <c r="E2477" t="str">
        <f>IFERROR(__xludf.DUMMYFUNCTION("""COMPUTED_VALUE"""),"Ariana Grande, Justin Bieber")</f>
        <v>Ariana Grande, Justin Bieber</v>
      </c>
      <c r="F2477" t="str">
        <f>IFERROR(__xludf.DUMMYFUNCTION("""COMPUTED_VALUE"""),"Stuck with U")</f>
        <v>Stuck with U</v>
      </c>
      <c r="G2477">
        <f>IFERROR(__xludf.DUMMYFUNCTION("""COMPUTED_VALUE"""),0.0)</f>
        <v>0</v>
      </c>
      <c r="H2477" s="5">
        <f>IFERROR(__xludf.DUMMYFUNCTION("""COMPUTED_VALUE"""),0.15833333333284827)</f>
        <v>0.1583333333</v>
      </c>
    </row>
    <row r="2478">
      <c r="A2478" t="str">
        <f>IFERROR(__xludf.DUMMYFUNCTION("""COMPUTED_VALUE"""),"Romania")</f>
        <v>Romania</v>
      </c>
      <c r="B2478" t="str">
        <f>IFERROR(__xludf.DUMMYFUNCTION("""COMPUTED_VALUE"""),"Europe")</f>
        <v>Europe</v>
      </c>
      <c r="C2478">
        <f>IFERROR(__xludf.DUMMYFUNCTION("""COMPUTED_VALUE"""),27.0)</f>
        <v>27</v>
      </c>
      <c r="D2478" t="str">
        <f>IFERROR(__xludf.DUMMYFUNCTION("""COMPUTED_VALUE"""),"Godzilla (feat. Juice WRLD)")</f>
        <v>Godzilla (feat. Juice WRLD)</v>
      </c>
      <c r="E2478" t="str">
        <f>IFERROR(__xludf.DUMMYFUNCTION("""COMPUTED_VALUE"""),"Eminem, Juice WRLD")</f>
        <v>Eminem, Juice WRLD</v>
      </c>
      <c r="F2478" t="str">
        <f>IFERROR(__xludf.DUMMYFUNCTION("""COMPUTED_VALUE"""),"Music To Be Murdered By")</f>
        <v>Music To Be Murdered By</v>
      </c>
      <c r="G2478">
        <f>IFERROR(__xludf.DUMMYFUNCTION("""COMPUTED_VALUE"""),1.0)</f>
        <v>1</v>
      </c>
      <c r="H2478" s="5">
        <f>IFERROR(__xludf.DUMMYFUNCTION("""COMPUTED_VALUE"""),0.14583333333212067)</f>
        <v>0.1458333333</v>
      </c>
    </row>
    <row r="2479">
      <c r="A2479" t="str">
        <f>IFERROR(__xludf.DUMMYFUNCTION("""COMPUTED_VALUE"""),"Romania")</f>
        <v>Romania</v>
      </c>
      <c r="B2479" t="str">
        <f>IFERROR(__xludf.DUMMYFUNCTION("""COMPUTED_VALUE"""),"Europe")</f>
        <v>Europe</v>
      </c>
      <c r="C2479">
        <f>IFERROR(__xludf.DUMMYFUNCTION("""COMPUTED_VALUE"""),28.0)</f>
        <v>28</v>
      </c>
      <c r="D2479" t="str">
        <f>IFERROR(__xludf.DUMMYFUNCTION("""COMPUTED_VALUE"""),"ily (i love you baby) (feat. Emilee)")</f>
        <v>ily (i love you baby) (feat. Emilee)</v>
      </c>
      <c r="E2479" t="str">
        <f>IFERROR(__xludf.DUMMYFUNCTION("""COMPUTED_VALUE"""),"Surf Mesa, Emilee")</f>
        <v>Surf Mesa, Emilee</v>
      </c>
      <c r="F2479" t="str">
        <f>IFERROR(__xludf.DUMMYFUNCTION("""COMPUTED_VALUE"""),"ily (i love you baby) (feat. Emilee)")</f>
        <v>ily (i love you baby) (feat. Emilee)</v>
      </c>
      <c r="G2479">
        <f>IFERROR(__xludf.DUMMYFUNCTION("""COMPUTED_VALUE"""),0.0)</f>
        <v>0</v>
      </c>
      <c r="H2479" s="5">
        <f>IFERROR(__xludf.DUMMYFUNCTION("""COMPUTED_VALUE"""),0.12222222222044365)</f>
        <v>0.1222222222</v>
      </c>
    </row>
    <row r="2480">
      <c r="A2480" t="str">
        <f>IFERROR(__xludf.DUMMYFUNCTION("""COMPUTED_VALUE"""),"Romania")</f>
        <v>Romania</v>
      </c>
      <c r="B2480" t="str">
        <f>IFERROR(__xludf.DUMMYFUNCTION("""COMPUTED_VALUE"""),"Europe")</f>
        <v>Europe</v>
      </c>
      <c r="C2480">
        <f>IFERROR(__xludf.DUMMYFUNCTION("""COMPUTED_VALUE"""),29.0)</f>
        <v>29</v>
      </c>
      <c r="D2480" t="str">
        <f>IFERROR(__xludf.DUMMYFUNCTION("""COMPUTED_VALUE"""),"Dragostea Ta")</f>
        <v>Dragostea Ta</v>
      </c>
      <c r="E2480" t="str">
        <f>IFERROR(__xludf.DUMMYFUNCTION("""COMPUTED_VALUE"""),"Nane")</f>
        <v>Nane</v>
      </c>
      <c r="F2480" t="str">
        <f>IFERROR(__xludf.DUMMYFUNCTION("""COMPUTED_VALUE"""),"Dragostea Ta")</f>
        <v>Dragostea Ta</v>
      </c>
      <c r="G2480">
        <f>IFERROR(__xludf.DUMMYFUNCTION("""COMPUTED_VALUE"""),0.0)</f>
        <v>0</v>
      </c>
      <c r="H2480" s="5">
        <f>IFERROR(__xludf.DUMMYFUNCTION("""COMPUTED_VALUE"""),0.14513888888905058)</f>
        <v>0.1451388889</v>
      </c>
    </row>
    <row r="2481">
      <c r="A2481" t="str">
        <f>IFERROR(__xludf.DUMMYFUNCTION("""COMPUTED_VALUE"""),"Romania")</f>
        <v>Romania</v>
      </c>
      <c r="B2481" t="str">
        <f>IFERROR(__xludf.DUMMYFUNCTION("""COMPUTED_VALUE"""),"Europe")</f>
        <v>Europe</v>
      </c>
      <c r="C2481">
        <f>IFERROR(__xludf.DUMMYFUNCTION("""COMPUTED_VALUE"""),30.0)</f>
        <v>30</v>
      </c>
      <c r="D2481" t="str">
        <f>IFERROR(__xludf.DUMMYFUNCTION("""COMPUTED_VALUE"""),"Break My Heart")</f>
        <v>Break My Heart</v>
      </c>
      <c r="E2481" t="str">
        <f>IFERROR(__xludf.DUMMYFUNCTION("""COMPUTED_VALUE"""),"Dua Lipa")</f>
        <v>Dua Lipa</v>
      </c>
      <c r="F2481" t="str">
        <f>IFERROR(__xludf.DUMMYFUNCTION("""COMPUTED_VALUE"""),"Future Nostalgia")</f>
        <v>Future Nostalgia</v>
      </c>
      <c r="G2481">
        <f>IFERROR(__xludf.DUMMYFUNCTION("""COMPUTED_VALUE"""),0.0)</f>
        <v>0</v>
      </c>
      <c r="H2481" s="5">
        <f>IFERROR(__xludf.DUMMYFUNCTION("""COMPUTED_VALUE"""),0.15347222222044365)</f>
        <v>0.1534722222</v>
      </c>
    </row>
    <row r="2482">
      <c r="A2482" t="str">
        <f>IFERROR(__xludf.DUMMYFUNCTION("""COMPUTED_VALUE"""),"Romania")</f>
        <v>Romania</v>
      </c>
      <c r="B2482" t="str">
        <f>IFERROR(__xludf.DUMMYFUNCTION("""COMPUTED_VALUE"""),"Europe")</f>
        <v>Europe</v>
      </c>
      <c r="C2482">
        <f>IFERROR(__xludf.DUMMYFUNCTION("""COMPUTED_VALUE"""),31.0)</f>
        <v>31</v>
      </c>
      <c r="D2482" t="str">
        <f>IFERROR(__xludf.DUMMYFUNCTION("""COMPUTED_VALUE"""),"Dance Monkey")</f>
        <v>Dance Monkey</v>
      </c>
      <c r="E2482" t="str">
        <f>IFERROR(__xludf.DUMMYFUNCTION("""COMPUTED_VALUE"""),"Tones And I")</f>
        <v>Tones And I</v>
      </c>
      <c r="F2482" t="str">
        <f>IFERROR(__xludf.DUMMYFUNCTION("""COMPUTED_VALUE"""),"Dance Monkey (Stripped Back) / Dance Monkey")</f>
        <v>Dance Monkey (Stripped Back) / Dance Monkey</v>
      </c>
      <c r="G2482">
        <f>IFERROR(__xludf.DUMMYFUNCTION("""COMPUTED_VALUE"""),0.0)</f>
        <v>0</v>
      </c>
      <c r="H2482" s="5">
        <f>IFERROR(__xludf.DUMMYFUNCTION("""COMPUTED_VALUE"""),0.14513888888905058)</f>
        <v>0.1451388889</v>
      </c>
    </row>
    <row r="2483">
      <c r="A2483" t="str">
        <f>IFERROR(__xludf.DUMMYFUNCTION("""COMPUTED_VALUE"""),"Romania")</f>
        <v>Romania</v>
      </c>
      <c r="B2483" t="str">
        <f>IFERROR(__xludf.DUMMYFUNCTION("""COMPUTED_VALUE"""),"Europe")</f>
        <v>Europe</v>
      </c>
      <c r="C2483">
        <f>IFERROR(__xludf.DUMMYFUNCTION("""COMPUTED_VALUE"""),32.0)</f>
        <v>32</v>
      </c>
      <c r="D2483" t="str">
        <f>IFERROR(__xludf.DUMMYFUNCTION("""COMPUTED_VALUE"""),"ROXANNE")</f>
        <v>ROXANNE</v>
      </c>
      <c r="E2483" t="str">
        <f>IFERROR(__xludf.DUMMYFUNCTION("""COMPUTED_VALUE"""),"Arizona Zervas")</f>
        <v>Arizona Zervas</v>
      </c>
      <c r="F2483" t="str">
        <f>IFERROR(__xludf.DUMMYFUNCTION("""COMPUTED_VALUE"""),"ROXANNE")</f>
        <v>ROXANNE</v>
      </c>
      <c r="G2483">
        <f>IFERROR(__xludf.DUMMYFUNCTION("""COMPUTED_VALUE"""),1.0)</f>
        <v>1</v>
      </c>
      <c r="H2483" s="5">
        <f>IFERROR(__xludf.DUMMYFUNCTION("""COMPUTED_VALUE"""),0.11319444444598048)</f>
        <v>0.1131944444</v>
      </c>
    </row>
    <row r="2484">
      <c r="A2484" t="str">
        <f>IFERROR(__xludf.DUMMYFUNCTION("""COMPUTED_VALUE"""),"Romania")</f>
        <v>Romania</v>
      </c>
      <c r="B2484" t="str">
        <f>IFERROR(__xludf.DUMMYFUNCTION("""COMPUTED_VALUE"""),"Europe")</f>
        <v>Europe</v>
      </c>
      <c r="C2484">
        <f>IFERROR(__xludf.DUMMYFUNCTION("""COMPUTED_VALUE"""),33.0)</f>
        <v>33</v>
      </c>
      <c r="D2484" t="str">
        <f>IFERROR(__xludf.DUMMYFUNCTION("""COMPUTED_VALUE"""),"Party Girl")</f>
        <v>Party Girl</v>
      </c>
      <c r="E2484" t="str">
        <f>IFERROR(__xludf.DUMMYFUNCTION("""COMPUTED_VALUE"""),"StaySolidRocky")</f>
        <v>StaySolidRocky</v>
      </c>
      <c r="F2484" t="str">
        <f>IFERROR(__xludf.DUMMYFUNCTION("""COMPUTED_VALUE"""),"Party Girl")</f>
        <v>Party Girl</v>
      </c>
      <c r="G2484">
        <f>IFERROR(__xludf.DUMMYFUNCTION("""COMPUTED_VALUE"""),0.0)</f>
        <v>0</v>
      </c>
      <c r="H2484" s="5">
        <f>IFERROR(__xludf.DUMMYFUNCTION("""COMPUTED_VALUE"""),0.10208333333503106)</f>
        <v>0.1020833333</v>
      </c>
    </row>
    <row r="2485">
      <c r="A2485" t="str">
        <f>IFERROR(__xludf.DUMMYFUNCTION("""COMPUTED_VALUE"""),"Romania")</f>
        <v>Romania</v>
      </c>
      <c r="B2485" t="str">
        <f>IFERROR(__xludf.DUMMYFUNCTION("""COMPUTED_VALUE"""),"Europe")</f>
        <v>Europe</v>
      </c>
      <c r="C2485">
        <f>IFERROR(__xludf.DUMMYFUNCTION("""COMPUTED_VALUE"""),34.0)</f>
        <v>34</v>
      </c>
      <c r="D2485" t="str">
        <f>IFERROR(__xludf.DUMMYFUNCTION("""COMPUTED_VALUE"""),"Pala Mande")</f>
        <v>Pala Mande</v>
      </c>
      <c r="E2485" t="str">
        <f>IFERROR(__xludf.DUMMYFUNCTION("""COMPUTED_VALUE"""),"Azteca, Ian")</f>
        <v>Azteca, Ian</v>
      </c>
      <c r="F2485" t="str">
        <f>IFERROR(__xludf.DUMMYFUNCTION("""COMPUTED_VALUE"""),"Pala Mande")</f>
        <v>Pala Mande</v>
      </c>
      <c r="G2485">
        <f>IFERROR(__xludf.DUMMYFUNCTION("""COMPUTED_VALUE"""),1.0)</f>
        <v>1</v>
      </c>
      <c r="H2485" s="5">
        <f>IFERROR(__xludf.DUMMYFUNCTION("""COMPUTED_VALUE"""),0.1243055555569299)</f>
        <v>0.1243055556</v>
      </c>
    </row>
    <row r="2486">
      <c r="A2486" t="str">
        <f>IFERROR(__xludf.DUMMYFUNCTION("""COMPUTED_VALUE"""),"Romania")</f>
        <v>Romania</v>
      </c>
      <c r="B2486" t="str">
        <f>IFERROR(__xludf.DUMMYFUNCTION("""COMPUTED_VALUE"""),"Europe")</f>
        <v>Europe</v>
      </c>
      <c r="C2486">
        <f>IFERROR(__xludf.DUMMYFUNCTION("""COMPUTED_VALUE"""),35.0)</f>
        <v>35</v>
      </c>
      <c r="D2486" t="str">
        <f>IFERROR(__xludf.DUMMYFUNCTION("""COMPUTED_VALUE"""),"Dior")</f>
        <v>Dior</v>
      </c>
      <c r="E2486" t="str">
        <f>IFERROR(__xludf.DUMMYFUNCTION("""COMPUTED_VALUE"""),"Marko Glass, Bvcovia")</f>
        <v>Marko Glass, Bvcovia</v>
      </c>
      <c r="F2486" t="str">
        <f>IFERROR(__xludf.DUMMYFUNCTION("""COMPUTED_VALUE"""),"Dior")</f>
        <v>Dior</v>
      </c>
      <c r="G2486">
        <f>IFERROR(__xludf.DUMMYFUNCTION("""COMPUTED_VALUE"""),1.0)</f>
        <v>1</v>
      </c>
      <c r="H2486" s="5">
        <f>IFERROR(__xludf.DUMMYFUNCTION("""COMPUTED_VALUE"""),0.12291666666715173)</f>
        <v>0.1229166667</v>
      </c>
    </row>
    <row r="2487">
      <c r="A2487" t="str">
        <f>IFERROR(__xludf.DUMMYFUNCTION("""COMPUTED_VALUE"""),"Romania")</f>
        <v>Romania</v>
      </c>
      <c r="B2487" t="str">
        <f>IFERROR(__xludf.DUMMYFUNCTION("""COMPUTED_VALUE"""),"Europe")</f>
        <v>Europe</v>
      </c>
      <c r="C2487">
        <f>IFERROR(__xludf.DUMMYFUNCTION("""COMPUTED_VALUE"""),36.0)</f>
        <v>36</v>
      </c>
      <c r="D2487" t="str">
        <f>IFERROR(__xludf.DUMMYFUNCTION("""COMPUTED_VALUE"""),"Mili")</f>
        <v>Mili</v>
      </c>
      <c r="E2487" t="str">
        <f>IFERROR(__xludf.DUMMYFUNCTION("""COMPUTED_VALUE"""),"Ian, Amtilb, Simiz")</f>
        <v>Ian, Amtilb, Simiz</v>
      </c>
      <c r="F2487" t="str">
        <f>IFERROR(__xludf.DUMMYFUNCTION("""COMPUTED_VALUE"""),"Mili")</f>
        <v>Mili</v>
      </c>
      <c r="G2487">
        <f>IFERROR(__xludf.DUMMYFUNCTION("""COMPUTED_VALUE"""),1.0)</f>
        <v>1</v>
      </c>
      <c r="H2487" s="5">
        <f>IFERROR(__xludf.DUMMYFUNCTION("""COMPUTED_VALUE"""),0.12013888888759539)</f>
        <v>0.1201388889</v>
      </c>
    </row>
    <row r="2488">
      <c r="A2488" t="str">
        <f>IFERROR(__xludf.DUMMYFUNCTION("""COMPUTED_VALUE"""),"Romania")</f>
        <v>Romania</v>
      </c>
      <c r="B2488" t="str">
        <f>IFERROR(__xludf.DUMMYFUNCTION("""COMPUTED_VALUE"""),"Europe")</f>
        <v>Europe</v>
      </c>
      <c r="C2488">
        <f>IFERROR(__xludf.DUMMYFUNCTION("""COMPUTED_VALUE"""),37.0)</f>
        <v>37</v>
      </c>
      <c r="D2488" t="str">
        <f>IFERROR(__xludf.DUMMYFUNCTION("""COMPUTED_VALUE"""),"Intentions (feat. Quavo)")</f>
        <v>Intentions (feat. Quavo)</v>
      </c>
      <c r="E2488" t="str">
        <f>IFERROR(__xludf.DUMMYFUNCTION("""COMPUTED_VALUE"""),"Justin Bieber, Quavo")</f>
        <v>Justin Bieber, Quavo</v>
      </c>
      <c r="F2488" t="str">
        <f>IFERROR(__xludf.DUMMYFUNCTION("""COMPUTED_VALUE"""),"Changes")</f>
        <v>Changes</v>
      </c>
      <c r="G2488">
        <f>IFERROR(__xludf.DUMMYFUNCTION("""COMPUTED_VALUE"""),0.0)</f>
        <v>0</v>
      </c>
      <c r="H2488" s="5">
        <f>IFERROR(__xludf.DUMMYFUNCTION("""COMPUTED_VALUE"""),0.14722222222189885)</f>
        <v>0.1472222222</v>
      </c>
    </row>
    <row r="2489">
      <c r="A2489" t="str">
        <f>IFERROR(__xludf.DUMMYFUNCTION("""COMPUTED_VALUE"""),"Romania")</f>
        <v>Romania</v>
      </c>
      <c r="B2489" t="str">
        <f>IFERROR(__xludf.DUMMYFUNCTION("""COMPUTED_VALUE"""),"Europe")</f>
        <v>Europe</v>
      </c>
      <c r="C2489">
        <f>IFERROR(__xludf.DUMMYFUNCTION("""COMPUTED_VALUE"""),38.0)</f>
        <v>38</v>
      </c>
      <c r="D2489" t="str">
        <f>IFERROR(__xludf.DUMMYFUNCTION("""COMPUTED_VALUE"""),"Watermelon Sugar")</f>
        <v>Watermelon Sugar</v>
      </c>
      <c r="E2489" t="str">
        <f>IFERROR(__xludf.DUMMYFUNCTION("""COMPUTED_VALUE"""),"Harry Styles")</f>
        <v>Harry Styles</v>
      </c>
      <c r="F2489" t="str">
        <f>IFERROR(__xludf.DUMMYFUNCTION("""COMPUTED_VALUE"""),"Fine Line")</f>
        <v>Fine Line</v>
      </c>
      <c r="G2489">
        <f>IFERROR(__xludf.DUMMYFUNCTION("""COMPUTED_VALUE"""),0.0)</f>
        <v>0</v>
      </c>
      <c r="H2489" s="5">
        <f>IFERROR(__xludf.DUMMYFUNCTION("""COMPUTED_VALUE"""),0.12083333333430346)</f>
        <v>0.1208333333</v>
      </c>
    </row>
    <row r="2490">
      <c r="A2490" t="str">
        <f>IFERROR(__xludf.DUMMYFUNCTION("""COMPUTED_VALUE"""),"Romania")</f>
        <v>Romania</v>
      </c>
      <c r="B2490" t="str">
        <f>IFERROR(__xludf.DUMMYFUNCTION("""COMPUTED_VALUE"""),"Europe")</f>
        <v>Europe</v>
      </c>
      <c r="C2490">
        <f>IFERROR(__xludf.DUMMYFUNCTION("""COMPUTED_VALUE"""),39.0)</f>
        <v>39</v>
      </c>
      <c r="D2490" t="str">
        <f>IFERROR(__xludf.DUMMYFUNCTION("""COMPUTED_VALUE"""),"Circles")</f>
        <v>Circles</v>
      </c>
      <c r="E2490" t="str">
        <f>IFERROR(__xludf.DUMMYFUNCTION("""COMPUTED_VALUE"""),"Post Malone")</f>
        <v>Post Malone</v>
      </c>
      <c r="F2490" t="str">
        <f>IFERROR(__xludf.DUMMYFUNCTION("""COMPUTED_VALUE"""),"Hollywood's Bleeding")</f>
        <v>Hollywood's Bleeding</v>
      </c>
      <c r="G2490">
        <f>IFERROR(__xludf.DUMMYFUNCTION("""COMPUTED_VALUE"""),0.0)</f>
        <v>0</v>
      </c>
      <c r="H2490" s="5">
        <f>IFERROR(__xludf.DUMMYFUNCTION("""COMPUTED_VALUE"""),0.14930555555474712)</f>
        <v>0.1493055556</v>
      </c>
    </row>
    <row r="2491">
      <c r="A2491" t="str">
        <f>IFERROR(__xludf.DUMMYFUNCTION("""COMPUTED_VALUE"""),"Romania")</f>
        <v>Romania</v>
      </c>
      <c r="B2491" t="str">
        <f>IFERROR(__xludf.DUMMYFUNCTION("""COMPUTED_VALUE"""),"Europe")</f>
        <v>Europe</v>
      </c>
      <c r="C2491">
        <f>IFERROR(__xludf.DUMMYFUNCTION("""COMPUTED_VALUE"""),40.0)</f>
        <v>40</v>
      </c>
      <c r="D2491" t="str">
        <f>IFERROR(__xludf.DUMMYFUNCTION("""COMPUTED_VALUE"""),"Boss Bitch")</f>
        <v>Boss Bitch</v>
      </c>
      <c r="E2491" t="str">
        <f>IFERROR(__xludf.DUMMYFUNCTION("""COMPUTED_VALUE"""),"Doja Cat")</f>
        <v>Doja Cat</v>
      </c>
      <c r="F2491" t="str">
        <f>IFERROR(__xludf.DUMMYFUNCTION("""COMPUTED_VALUE"""),"Boss Bitch")</f>
        <v>Boss Bitch</v>
      </c>
      <c r="G2491">
        <f>IFERROR(__xludf.DUMMYFUNCTION("""COMPUTED_VALUE"""),0.0)</f>
        <v>0</v>
      </c>
      <c r="H2491" s="5">
        <f>IFERROR(__xludf.DUMMYFUNCTION("""COMPUTED_VALUE"""),0.0930555555569299)</f>
        <v>0.09305555556</v>
      </c>
    </row>
    <row r="2492">
      <c r="A2492" t="str">
        <f>IFERROR(__xludf.DUMMYFUNCTION("""COMPUTED_VALUE"""),"Romania")</f>
        <v>Romania</v>
      </c>
      <c r="B2492" t="str">
        <f>IFERROR(__xludf.DUMMYFUNCTION("""COMPUTED_VALUE"""),"Europe")</f>
        <v>Europe</v>
      </c>
      <c r="C2492">
        <f>IFERROR(__xludf.DUMMYFUNCTION("""COMPUTED_VALUE"""),41.0)</f>
        <v>41</v>
      </c>
      <c r="D2492" t="str">
        <f>IFERROR(__xludf.DUMMYFUNCTION("""COMPUTED_VALUE"""),"60 De Zile")</f>
        <v>60 De Zile</v>
      </c>
      <c r="E2492" t="str">
        <f>IFERROR(__xludf.DUMMYFUNCTION("""COMPUTED_VALUE"""),"Ian, Amuly")</f>
        <v>Ian, Amuly</v>
      </c>
      <c r="F2492" t="str">
        <f>IFERROR(__xludf.DUMMYFUNCTION("""COMPUTED_VALUE"""),"60 De Zile")</f>
        <v>60 De Zile</v>
      </c>
      <c r="G2492">
        <f>IFERROR(__xludf.DUMMYFUNCTION("""COMPUTED_VALUE"""),1.0)</f>
        <v>1</v>
      </c>
      <c r="H2492" s="5">
        <f>IFERROR(__xludf.DUMMYFUNCTION("""COMPUTED_VALUE"""),0.12222222222044365)</f>
        <v>0.1222222222</v>
      </c>
    </row>
    <row r="2493">
      <c r="A2493" t="str">
        <f>IFERROR(__xludf.DUMMYFUNCTION("""COMPUTED_VALUE"""),"Romania")</f>
        <v>Romania</v>
      </c>
      <c r="B2493" t="str">
        <f>IFERROR(__xludf.DUMMYFUNCTION("""COMPUTED_VALUE"""),"Europe")</f>
        <v>Europe</v>
      </c>
      <c r="C2493">
        <f>IFERROR(__xludf.DUMMYFUNCTION("""COMPUTED_VALUE"""),42.0)</f>
        <v>42</v>
      </c>
      <c r="D2493" t="str">
        <f>IFERROR(__xludf.DUMMYFUNCTION("""COMPUTED_VALUE"""),"Haolo")</f>
        <v>Haolo</v>
      </c>
      <c r="E2493" t="str">
        <f>IFERROR(__xludf.DUMMYFUNCTION("""COMPUTED_VALUE"""),"Killa Fonic, Nane")</f>
        <v>Killa Fonic, Nane</v>
      </c>
      <c r="F2493" t="str">
        <f>IFERROR(__xludf.DUMMYFUNCTION("""COMPUTED_VALUE"""),"Haolo")</f>
        <v>Haolo</v>
      </c>
      <c r="G2493">
        <f>IFERROR(__xludf.DUMMYFUNCTION("""COMPUTED_VALUE"""),1.0)</f>
        <v>1</v>
      </c>
      <c r="H2493" s="5">
        <f>IFERROR(__xludf.DUMMYFUNCTION("""COMPUTED_VALUE"""),0.11875000000145519)</f>
        <v>0.11875</v>
      </c>
    </row>
    <row r="2494">
      <c r="A2494" t="str">
        <f>IFERROR(__xludf.DUMMYFUNCTION("""COMPUTED_VALUE"""),"Romania")</f>
        <v>Romania</v>
      </c>
      <c r="B2494" t="str">
        <f>IFERROR(__xludf.DUMMYFUNCTION("""COMPUTED_VALUE"""),"Europe")</f>
        <v>Europe</v>
      </c>
      <c r="C2494">
        <f>IFERROR(__xludf.DUMMYFUNCTION("""COMPUTED_VALUE"""),43.0)</f>
        <v>43</v>
      </c>
      <c r="D2494" t="str">
        <f>IFERROR(__xludf.DUMMYFUNCTION("""COMPUTED_VALUE"""),"Nefiu")</f>
        <v>Nefiu</v>
      </c>
      <c r="E2494" t="str">
        <f>IFERROR(__xludf.DUMMYFUNCTION("""COMPUTED_VALUE"""),"Ian, Azteca")</f>
        <v>Ian, Azteca</v>
      </c>
      <c r="F2494" t="str">
        <f>IFERROR(__xludf.DUMMYFUNCTION("""COMPUTED_VALUE"""),"Nefiu")</f>
        <v>Nefiu</v>
      </c>
      <c r="G2494">
        <f>IFERROR(__xludf.DUMMYFUNCTION("""COMPUTED_VALUE"""),1.0)</f>
        <v>1</v>
      </c>
      <c r="H2494" s="5">
        <f>IFERROR(__xludf.DUMMYFUNCTION("""COMPUTED_VALUE"""),0.12847222222262644)</f>
        <v>0.1284722222</v>
      </c>
    </row>
    <row r="2495">
      <c r="A2495" t="str">
        <f>IFERROR(__xludf.DUMMYFUNCTION("""COMPUTED_VALUE"""),"Romania")</f>
        <v>Romania</v>
      </c>
      <c r="B2495" t="str">
        <f>IFERROR(__xludf.DUMMYFUNCTION("""COMPUTED_VALUE"""),"Europe")</f>
        <v>Europe</v>
      </c>
      <c r="C2495">
        <f>IFERROR(__xludf.DUMMYFUNCTION("""COMPUTED_VALUE"""),44.0)</f>
        <v>44</v>
      </c>
      <c r="D2495" t="str">
        <f>IFERROR(__xludf.DUMMYFUNCTION("""COMPUTED_VALUE"""),"Be Kind (with Halsey)")</f>
        <v>Be Kind (with Halsey)</v>
      </c>
      <c r="E2495" t="str">
        <f>IFERROR(__xludf.DUMMYFUNCTION("""COMPUTED_VALUE"""),"Marshmello, Halsey")</f>
        <v>Marshmello, Halsey</v>
      </c>
      <c r="F2495" t="str">
        <f>IFERROR(__xludf.DUMMYFUNCTION("""COMPUTED_VALUE"""),"Be Kind (with Halsey)")</f>
        <v>Be Kind (with Halsey)</v>
      </c>
      <c r="G2495">
        <f>IFERROR(__xludf.DUMMYFUNCTION("""COMPUTED_VALUE"""),0.0)</f>
        <v>0</v>
      </c>
      <c r="H2495" s="5">
        <f>IFERROR(__xludf.DUMMYFUNCTION("""COMPUTED_VALUE"""),0.11944444444452529)</f>
        <v>0.1194444444</v>
      </c>
    </row>
    <row r="2496">
      <c r="A2496" t="str">
        <f>IFERROR(__xludf.DUMMYFUNCTION("""COMPUTED_VALUE"""),"Romania")</f>
        <v>Romania</v>
      </c>
      <c r="B2496" t="str">
        <f>IFERROR(__xludf.DUMMYFUNCTION("""COMPUTED_VALUE"""),"Europe")</f>
        <v>Europe</v>
      </c>
      <c r="C2496">
        <f>IFERROR(__xludf.DUMMYFUNCTION("""COMPUTED_VALUE"""),45.0)</f>
        <v>45</v>
      </c>
      <c r="D2496" t="str">
        <f>IFERROR(__xludf.DUMMYFUNCTION("""COMPUTED_VALUE"""),"Sunday Best")</f>
        <v>Sunday Best</v>
      </c>
      <c r="E2496" t="str">
        <f>IFERROR(__xludf.DUMMYFUNCTION("""COMPUTED_VALUE"""),"Surfaces")</f>
        <v>Surfaces</v>
      </c>
      <c r="F2496" t="str">
        <f>IFERROR(__xludf.DUMMYFUNCTION("""COMPUTED_VALUE"""),"Where the Light Is")</f>
        <v>Where the Light Is</v>
      </c>
      <c r="G2496">
        <f>IFERROR(__xludf.DUMMYFUNCTION("""COMPUTED_VALUE"""),0.0)</f>
        <v>0</v>
      </c>
      <c r="H2496" s="5">
        <f>IFERROR(__xludf.DUMMYFUNCTION("""COMPUTED_VALUE"""),0.10972222222335404)</f>
        <v>0.1097222222</v>
      </c>
    </row>
    <row r="2497">
      <c r="A2497" t="str">
        <f>IFERROR(__xludf.DUMMYFUNCTION("""COMPUTED_VALUE"""),"Romania")</f>
        <v>Romania</v>
      </c>
      <c r="B2497" t="str">
        <f>IFERROR(__xludf.DUMMYFUNCTION("""COMPUTED_VALUE"""),"Europe")</f>
        <v>Europe</v>
      </c>
      <c r="C2497">
        <f>IFERROR(__xludf.DUMMYFUNCTION("""COMPUTED_VALUE"""),46.0)</f>
        <v>46</v>
      </c>
      <c r="D2497" t="str">
        <f>IFERROR(__xludf.DUMMYFUNCTION("""COMPUTED_VALUE"""),"bad guy")</f>
        <v>bad guy</v>
      </c>
      <c r="E2497" t="str">
        <f>IFERROR(__xludf.DUMMYFUNCTION("""COMPUTED_VALUE"""),"Billie Eilish")</f>
        <v>Billie Eilish</v>
      </c>
      <c r="F2497" t="str">
        <f>IFERROR(__xludf.DUMMYFUNCTION("""COMPUTED_VALUE"""),"WHEN WE ALL FALL ASLEEP, WHERE DO WE GO?")</f>
        <v>WHEN WE ALL FALL ASLEEP, WHERE DO WE GO?</v>
      </c>
      <c r="G2497">
        <f>IFERROR(__xludf.DUMMYFUNCTION("""COMPUTED_VALUE"""),0.0)</f>
        <v>0</v>
      </c>
      <c r="H2497" s="5">
        <f>IFERROR(__xludf.DUMMYFUNCTION("""COMPUTED_VALUE"""),0.13472222222117125)</f>
        <v>0.1347222222</v>
      </c>
    </row>
    <row r="2498">
      <c r="A2498" t="str">
        <f>IFERROR(__xludf.DUMMYFUNCTION("""COMPUTED_VALUE"""),"Romania")</f>
        <v>Romania</v>
      </c>
      <c r="B2498" t="str">
        <f>IFERROR(__xludf.DUMMYFUNCTION("""COMPUTED_VALUE"""),"Europe")</f>
        <v>Europe</v>
      </c>
      <c r="C2498">
        <f>IFERROR(__xludf.DUMMYFUNCTION("""COMPUTED_VALUE"""),47.0)</f>
        <v>47</v>
      </c>
      <c r="D2498" t="str">
        <f>IFERROR(__xludf.DUMMYFUNCTION("""COMPUTED_VALUE"""),"Supalonely")</f>
        <v>Supalonely</v>
      </c>
      <c r="E2498" t="str">
        <f>IFERROR(__xludf.DUMMYFUNCTION("""COMPUTED_VALUE"""),"BENEE, Gus Dapperton")</f>
        <v>BENEE, Gus Dapperton</v>
      </c>
      <c r="F2498" t="str">
        <f>IFERROR(__xludf.DUMMYFUNCTION("""COMPUTED_VALUE"""),"STELLA &amp; STEVE")</f>
        <v>STELLA &amp; STEVE</v>
      </c>
      <c r="G2498">
        <f>IFERROR(__xludf.DUMMYFUNCTION("""COMPUTED_VALUE"""),1.0)</f>
        <v>1</v>
      </c>
      <c r="H2498" s="5">
        <f>IFERROR(__xludf.DUMMYFUNCTION("""COMPUTED_VALUE"""),0.15486111111022183)</f>
        <v>0.1548611111</v>
      </c>
    </row>
    <row r="2499">
      <c r="A2499" t="str">
        <f>IFERROR(__xludf.DUMMYFUNCTION("""COMPUTED_VALUE"""),"Romania")</f>
        <v>Romania</v>
      </c>
      <c r="B2499" t="str">
        <f>IFERROR(__xludf.DUMMYFUNCTION("""COMPUTED_VALUE"""),"Europe")</f>
        <v>Europe</v>
      </c>
      <c r="C2499">
        <f>IFERROR(__xludf.DUMMYFUNCTION("""COMPUTED_VALUE"""),48.0)</f>
        <v>48</v>
      </c>
      <c r="D2499" t="str">
        <f>IFERROR(__xludf.DUMMYFUNCTION("""COMPUTED_VALUE"""),"Say So (feat. Nicki Minaj)")</f>
        <v>Say So (feat. Nicki Minaj)</v>
      </c>
      <c r="E2499" t="str">
        <f>IFERROR(__xludf.DUMMYFUNCTION("""COMPUTED_VALUE"""),"Doja Cat, Nicki Minaj")</f>
        <v>Doja Cat, Nicki Minaj</v>
      </c>
      <c r="F2499" t="str">
        <f>IFERROR(__xludf.DUMMYFUNCTION("""COMPUTED_VALUE"""),"Say So (feat. Nicki Minaj)")</f>
        <v>Say So (feat. Nicki Minaj)</v>
      </c>
      <c r="G2499">
        <f>IFERROR(__xludf.DUMMYFUNCTION("""COMPUTED_VALUE"""),1.0)</f>
        <v>1</v>
      </c>
      <c r="H2499" s="5">
        <f>IFERROR(__xludf.DUMMYFUNCTION("""COMPUTED_VALUE"""),0.1430555555562023)</f>
        <v>0.1430555556</v>
      </c>
    </row>
    <row r="2500">
      <c r="A2500" t="str">
        <f>IFERROR(__xludf.DUMMYFUNCTION("""COMPUTED_VALUE"""),"Romania")</f>
        <v>Romania</v>
      </c>
      <c r="B2500" t="str">
        <f>IFERROR(__xludf.DUMMYFUNCTION("""COMPUTED_VALUE"""),"Europe")</f>
        <v>Europe</v>
      </c>
      <c r="C2500">
        <f>IFERROR(__xludf.DUMMYFUNCTION("""COMPUTED_VALUE"""),49.0)</f>
        <v>49</v>
      </c>
      <c r="D2500" t="str">
        <f>IFERROR(__xludf.DUMMYFUNCTION("""COMPUTED_VALUE"""),"Lose Control")</f>
        <v>Lose Control</v>
      </c>
      <c r="E2500" t="str">
        <f>IFERROR(__xludf.DUMMYFUNCTION("""COMPUTED_VALUE"""),"MEDUZA, Becky Hill, Goodboys")</f>
        <v>MEDUZA, Becky Hill, Goodboys</v>
      </c>
      <c r="F2500" t="str">
        <f>IFERROR(__xludf.DUMMYFUNCTION("""COMPUTED_VALUE"""),"Lose Control")</f>
        <v>Lose Control</v>
      </c>
      <c r="G2500">
        <f>IFERROR(__xludf.DUMMYFUNCTION("""COMPUTED_VALUE"""),0.0)</f>
        <v>0</v>
      </c>
      <c r="H2500" s="5">
        <f>IFERROR(__xludf.DUMMYFUNCTION("""COMPUTED_VALUE"""),0.11666666666496894)</f>
        <v>0.1166666667</v>
      </c>
    </row>
    <row r="2501">
      <c r="A2501" t="str">
        <f>IFERROR(__xludf.DUMMYFUNCTION("""COMPUTED_VALUE"""),"Romania")</f>
        <v>Romania</v>
      </c>
      <c r="B2501" t="str">
        <f>IFERROR(__xludf.DUMMYFUNCTION("""COMPUTED_VALUE"""),"Europe")</f>
        <v>Europe</v>
      </c>
      <c r="C2501">
        <f>IFERROR(__xludf.DUMMYFUNCTION("""COMPUTED_VALUE"""),50.0)</f>
        <v>50</v>
      </c>
      <c r="D2501" t="str">
        <f>IFERROR(__xludf.DUMMYFUNCTION("""COMPUTED_VALUE"""),"Play Date")</f>
        <v>Play Date</v>
      </c>
      <c r="E2501" t="str">
        <f>IFERROR(__xludf.DUMMYFUNCTION("""COMPUTED_VALUE"""),"Melanie Martinez")</f>
        <v>Melanie Martinez</v>
      </c>
      <c r="F2501" t="str">
        <f>IFERROR(__xludf.DUMMYFUNCTION("""COMPUTED_VALUE"""),"Cry Baby (Deluxe Edition)")</f>
        <v>Cry Baby (Deluxe Edition)</v>
      </c>
      <c r="G2501">
        <f>IFERROR(__xludf.DUMMYFUNCTION("""COMPUTED_VALUE"""),1.0)</f>
        <v>1</v>
      </c>
      <c r="H2501" s="5">
        <f>IFERROR(__xludf.DUMMYFUNCTION("""COMPUTED_VALUE"""),0.1243055555569299)</f>
        <v>0.1243055556</v>
      </c>
    </row>
    <row r="2502">
      <c r="A2502" t="str">
        <f>IFERROR(__xludf.DUMMYFUNCTION("""COMPUTED_VALUE"""),"Singapore")</f>
        <v>Singapore</v>
      </c>
      <c r="B2502" t="str">
        <f>IFERROR(__xludf.DUMMYFUNCTION("""COMPUTED_VALUE"""),"Asia")</f>
        <v>Asia</v>
      </c>
      <c r="C2502">
        <f>IFERROR(__xludf.DUMMYFUNCTION("""COMPUTED_VALUE"""),1.0)</f>
        <v>1</v>
      </c>
      <c r="D2502" t="str">
        <f>IFERROR(__xludf.DUMMYFUNCTION("""COMPUTED_VALUE"""),"Rain On Me (with Ariana Grande)")</f>
        <v>Rain On Me (with Ariana Grande)</v>
      </c>
      <c r="E2502" t="str">
        <f>IFERROR(__xludf.DUMMYFUNCTION("""COMPUTED_VALUE"""),"Lady Gaga, Ariana Grande")</f>
        <v>Lady Gaga, Ariana Grande</v>
      </c>
      <c r="F2502" t="str">
        <f>IFERROR(__xludf.DUMMYFUNCTION("""COMPUTED_VALUE"""),"Rain On Me (with Ariana Grande)")</f>
        <v>Rain On Me (with Ariana Grande)</v>
      </c>
      <c r="G2502">
        <f>IFERROR(__xludf.DUMMYFUNCTION("""COMPUTED_VALUE"""),0.0)</f>
        <v>0</v>
      </c>
      <c r="H2502" s="5">
        <f>IFERROR(__xludf.DUMMYFUNCTION("""COMPUTED_VALUE"""),0.12638888888977817)</f>
        <v>0.1263888889</v>
      </c>
    </row>
    <row r="2503">
      <c r="A2503" t="str">
        <f>IFERROR(__xludf.DUMMYFUNCTION("""COMPUTED_VALUE"""),"Singapore")</f>
        <v>Singapore</v>
      </c>
      <c r="B2503" t="str">
        <f>IFERROR(__xludf.DUMMYFUNCTION("""COMPUTED_VALUE"""),"Asia")</f>
        <v>Asia</v>
      </c>
      <c r="C2503">
        <f>IFERROR(__xludf.DUMMYFUNCTION("""COMPUTED_VALUE"""),2.0)</f>
        <v>2</v>
      </c>
      <c r="D2503" t="str">
        <f>IFERROR(__xludf.DUMMYFUNCTION("""COMPUTED_VALUE"""),"Stuck with U (with Justin Bieber)")</f>
        <v>Stuck with U (with Justin Bieber)</v>
      </c>
      <c r="E2503" t="str">
        <f>IFERROR(__xludf.DUMMYFUNCTION("""COMPUTED_VALUE"""),"Ariana Grande, Justin Bieber")</f>
        <v>Ariana Grande, Justin Bieber</v>
      </c>
      <c r="F2503" t="str">
        <f>IFERROR(__xludf.DUMMYFUNCTION("""COMPUTED_VALUE"""),"Stuck with U")</f>
        <v>Stuck with U</v>
      </c>
      <c r="G2503">
        <f>IFERROR(__xludf.DUMMYFUNCTION("""COMPUTED_VALUE"""),0.0)</f>
        <v>0</v>
      </c>
      <c r="H2503" s="5">
        <f>IFERROR(__xludf.DUMMYFUNCTION("""COMPUTED_VALUE"""),0.15833333333284827)</f>
        <v>0.1583333333</v>
      </c>
    </row>
    <row r="2504">
      <c r="A2504" t="str">
        <f>IFERROR(__xludf.DUMMYFUNCTION("""COMPUTED_VALUE"""),"Singapore")</f>
        <v>Singapore</v>
      </c>
      <c r="B2504" t="str">
        <f>IFERROR(__xludf.DUMMYFUNCTION("""COMPUTED_VALUE"""),"Asia")</f>
        <v>Asia</v>
      </c>
      <c r="C2504">
        <f>IFERROR(__xludf.DUMMYFUNCTION("""COMPUTED_VALUE"""),3.0)</f>
        <v>3</v>
      </c>
      <c r="D2504" t="str">
        <f>IFERROR(__xludf.DUMMYFUNCTION("""COMPUTED_VALUE"""),"eight(Prod.&amp;Feat. SUGA of BTS)")</f>
        <v>eight(Prod.&amp;Feat. SUGA of BTS)</v>
      </c>
      <c r="E2504" t="str">
        <f>IFERROR(__xludf.DUMMYFUNCTION("""COMPUTED_VALUE"""),"IU, SUGA")</f>
        <v>IU, SUGA</v>
      </c>
      <c r="F2504" t="str">
        <f>IFERROR(__xludf.DUMMYFUNCTION("""COMPUTED_VALUE"""),"eight")</f>
        <v>eight</v>
      </c>
      <c r="G2504">
        <f>IFERROR(__xludf.DUMMYFUNCTION("""COMPUTED_VALUE"""),0.0)</f>
        <v>0</v>
      </c>
      <c r="H2504" s="5">
        <f>IFERROR(__xludf.DUMMYFUNCTION("""COMPUTED_VALUE"""),0.11597222222189885)</f>
        <v>0.1159722222</v>
      </c>
    </row>
    <row r="2505">
      <c r="A2505" t="str">
        <f>IFERROR(__xludf.DUMMYFUNCTION("""COMPUTED_VALUE"""),"Singapore")</f>
        <v>Singapore</v>
      </c>
      <c r="B2505" t="str">
        <f>IFERROR(__xludf.DUMMYFUNCTION("""COMPUTED_VALUE"""),"Asia")</f>
        <v>Asia</v>
      </c>
      <c r="C2505">
        <f>IFERROR(__xludf.DUMMYFUNCTION("""COMPUTED_VALUE"""),4.0)</f>
        <v>4</v>
      </c>
      <c r="D2505" t="str">
        <f>IFERROR(__xludf.DUMMYFUNCTION("""COMPUTED_VALUE"""),"Play Date")</f>
        <v>Play Date</v>
      </c>
      <c r="E2505" t="str">
        <f>IFERROR(__xludf.DUMMYFUNCTION("""COMPUTED_VALUE"""),"Melanie Martinez")</f>
        <v>Melanie Martinez</v>
      </c>
      <c r="F2505" t="str">
        <f>IFERROR(__xludf.DUMMYFUNCTION("""COMPUTED_VALUE"""),"Cry Baby (Deluxe Edition)")</f>
        <v>Cry Baby (Deluxe Edition)</v>
      </c>
      <c r="G2505">
        <f>IFERROR(__xludf.DUMMYFUNCTION("""COMPUTED_VALUE"""),1.0)</f>
        <v>1</v>
      </c>
      <c r="H2505" s="5">
        <f>IFERROR(__xludf.DUMMYFUNCTION("""COMPUTED_VALUE"""),0.1243055555569299)</f>
        <v>0.1243055556</v>
      </c>
    </row>
    <row r="2506">
      <c r="A2506" t="str">
        <f>IFERROR(__xludf.DUMMYFUNCTION("""COMPUTED_VALUE"""),"Singapore")</f>
        <v>Singapore</v>
      </c>
      <c r="B2506" t="str">
        <f>IFERROR(__xludf.DUMMYFUNCTION("""COMPUTED_VALUE"""),"Asia")</f>
        <v>Asia</v>
      </c>
      <c r="C2506">
        <f>IFERROR(__xludf.DUMMYFUNCTION("""COMPUTED_VALUE"""),5.0)</f>
        <v>5</v>
      </c>
      <c r="D2506" t="str">
        <f>IFERROR(__xludf.DUMMYFUNCTION("""COMPUTED_VALUE"""),"Be Kind (with Halsey)")</f>
        <v>Be Kind (with Halsey)</v>
      </c>
      <c r="E2506" t="str">
        <f>IFERROR(__xludf.DUMMYFUNCTION("""COMPUTED_VALUE"""),"Marshmello, Halsey")</f>
        <v>Marshmello, Halsey</v>
      </c>
      <c r="F2506" t="str">
        <f>IFERROR(__xludf.DUMMYFUNCTION("""COMPUTED_VALUE"""),"Be Kind (with Halsey)")</f>
        <v>Be Kind (with Halsey)</v>
      </c>
      <c r="G2506">
        <f>IFERROR(__xludf.DUMMYFUNCTION("""COMPUTED_VALUE"""),0.0)</f>
        <v>0</v>
      </c>
      <c r="H2506" s="5">
        <f>IFERROR(__xludf.DUMMYFUNCTION("""COMPUTED_VALUE"""),0.11944444444452529)</f>
        <v>0.1194444444</v>
      </c>
    </row>
    <row r="2507">
      <c r="A2507" t="str">
        <f>IFERROR(__xludf.DUMMYFUNCTION("""COMPUTED_VALUE"""),"Singapore")</f>
        <v>Singapore</v>
      </c>
      <c r="B2507" t="str">
        <f>IFERROR(__xludf.DUMMYFUNCTION("""COMPUTED_VALUE"""),"Asia")</f>
        <v>Asia</v>
      </c>
      <c r="C2507">
        <f>IFERROR(__xludf.DUMMYFUNCTION("""COMPUTED_VALUE"""),6.0)</f>
        <v>6</v>
      </c>
      <c r="D2507" t="str">
        <f>IFERROR(__xludf.DUMMYFUNCTION("""COMPUTED_VALUE"""),"death bed (coffee for your head) (feat. beabadoobee)")</f>
        <v>death bed (coffee for your head) (feat. beabadoobee)</v>
      </c>
      <c r="E2507" t="str">
        <f>IFERROR(__xludf.DUMMYFUNCTION("""COMPUTED_VALUE"""),"Powfu, beabadoobee")</f>
        <v>Powfu, beabadoobee</v>
      </c>
      <c r="F2507" t="str">
        <f>IFERROR(__xludf.DUMMYFUNCTION("""COMPUTED_VALUE"""),"death bed (coffee for your head) (feat. beabadoobee)")</f>
        <v>death bed (coffee for your head) (feat. beabadoobee)</v>
      </c>
      <c r="G2507">
        <f>IFERROR(__xludf.DUMMYFUNCTION("""COMPUTED_VALUE"""),0.0)</f>
        <v>0</v>
      </c>
      <c r="H2507" s="5">
        <f>IFERROR(__xludf.DUMMYFUNCTION("""COMPUTED_VALUE"""),0.12013888888759539)</f>
        <v>0.1201388889</v>
      </c>
    </row>
    <row r="2508">
      <c r="A2508" t="str">
        <f>IFERROR(__xludf.DUMMYFUNCTION("""COMPUTED_VALUE"""),"Singapore")</f>
        <v>Singapore</v>
      </c>
      <c r="B2508" t="str">
        <f>IFERROR(__xludf.DUMMYFUNCTION("""COMPUTED_VALUE"""),"Asia")</f>
        <v>Asia</v>
      </c>
      <c r="C2508">
        <f>IFERROR(__xludf.DUMMYFUNCTION("""COMPUTED_VALUE"""),7.0)</f>
        <v>7</v>
      </c>
      <c r="D2508" t="str">
        <f>IFERROR(__xludf.DUMMYFUNCTION("""COMPUTED_VALUE"""),"Blinding Lights")</f>
        <v>Blinding Lights</v>
      </c>
      <c r="E2508" t="str">
        <f>IFERROR(__xludf.DUMMYFUNCTION("""COMPUTED_VALUE"""),"The Weeknd")</f>
        <v>The Weeknd</v>
      </c>
      <c r="F2508" t="str">
        <f>IFERROR(__xludf.DUMMYFUNCTION("""COMPUTED_VALUE"""),"After Hours")</f>
        <v>After Hours</v>
      </c>
      <c r="G2508">
        <f>IFERROR(__xludf.DUMMYFUNCTION("""COMPUTED_VALUE"""),0.0)</f>
        <v>0</v>
      </c>
      <c r="H2508" s="5">
        <f>IFERROR(__xludf.DUMMYFUNCTION("""COMPUTED_VALUE"""),0.13888888889050577)</f>
        <v>0.1388888889</v>
      </c>
    </row>
    <row r="2509">
      <c r="A2509" t="str">
        <f>IFERROR(__xludf.DUMMYFUNCTION("""COMPUTED_VALUE"""),"Singapore")</f>
        <v>Singapore</v>
      </c>
      <c r="B2509" t="str">
        <f>IFERROR(__xludf.DUMMYFUNCTION("""COMPUTED_VALUE"""),"Asia")</f>
        <v>Asia</v>
      </c>
      <c r="C2509">
        <f>IFERROR(__xludf.DUMMYFUNCTION("""COMPUTED_VALUE"""),8.0)</f>
        <v>8</v>
      </c>
      <c r="D2509" t="str">
        <f>IFERROR(__xludf.DUMMYFUNCTION("""COMPUTED_VALUE"""),"Don't Start Now")</f>
        <v>Don't Start Now</v>
      </c>
      <c r="E2509" t="str">
        <f>IFERROR(__xludf.DUMMYFUNCTION("""COMPUTED_VALUE"""),"Dua Lipa")</f>
        <v>Dua Lipa</v>
      </c>
      <c r="F2509" t="str">
        <f>IFERROR(__xludf.DUMMYFUNCTION("""COMPUTED_VALUE"""),"Future Nostalgia")</f>
        <v>Future Nostalgia</v>
      </c>
      <c r="G2509">
        <f>IFERROR(__xludf.DUMMYFUNCTION("""COMPUTED_VALUE"""),0.0)</f>
        <v>0</v>
      </c>
      <c r="H2509" s="5">
        <f>IFERROR(__xludf.DUMMYFUNCTION("""COMPUTED_VALUE"""),0.12708333333284827)</f>
        <v>0.1270833333</v>
      </c>
    </row>
    <row r="2510">
      <c r="A2510" t="str">
        <f>IFERROR(__xludf.DUMMYFUNCTION("""COMPUTED_VALUE"""),"Singapore")</f>
        <v>Singapore</v>
      </c>
      <c r="B2510" t="str">
        <f>IFERROR(__xludf.DUMMYFUNCTION("""COMPUTED_VALUE"""),"Asia")</f>
        <v>Asia</v>
      </c>
      <c r="C2510">
        <f>IFERROR(__xludf.DUMMYFUNCTION("""COMPUTED_VALUE"""),9.0)</f>
        <v>9</v>
      </c>
      <c r="D2510" t="str">
        <f>IFERROR(__xludf.DUMMYFUNCTION("""COMPUTED_VALUE"""),"Intentions (feat. Quavo)")</f>
        <v>Intentions (feat. Quavo)</v>
      </c>
      <c r="E2510" t="str">
        <f>IFERROR(__xludf.DUMMYFUNCTION("""COMPUTED_VALUE"""),"Justin Bieber, Quavo")</f>
        <v>Justin Bieber, Quavo</v>
      </c>
      <c r="F2510" t="str">
        <f>IFERROR(__xludf.DUMMYFUNCTION("""COMPUTED_VALUE"""),"Changes")</f>
        <v>Changes</v>
      </c>
      <c r="G2510">
        <f>IFERROR(__xludf.DUMMYFUNCTION("""COMPUTED_VALUE"""),0.0)</f>
        <v>0</v>
      </c>
      <c r="H2510" s="5">
        <f>IFERROR(__xludf.DUMMYFUNCTION("""COMPUTED_VALUE"""),0.14722222222189885)</f>
        <v>0.1472222222</v>
      </c>
    </row>
    <row r="2511">
      <c r="A2511" t="str">
        <f>IFERROR(__xludf.DUMMYFUNCTION("""COMPUTED_VALUE"""),"Singapore")</f>
        <v>Singapore</v>
      </c>
      <c r="B2511" t="str">
        <f>IFERROR(__xludf.DUMMYFUNCTION("""COMPUTED_VALUE"""),"Asia")</f>
        <v>Asia</v>
      </c>
      <c r="C2511">
        <f>IFERROR(__xludf.DUMMYFUNCTION("""COMPUTED_VALUE"""),10.0)</f>
        <v>10</v>
      </c>
      <c r="D2511" t="str">
        <f>IFERROR(__xludf.DUMMYFUNCTION("""COMPUTED_VALUE"""),"Someone You Loved")</f>
        <v>Someone You Loved</v>
      </c>
      <c r="E2511" t="str">
        <f>IFERROR(__xludf.DUMMYFUNCTION("""COMPUTED_VALUE"""),"Lewis Capaldi")</f>
        <v>Lewis Capaldi</v>
      </c>
      <c r="F2511" t="str">
        <f>IFERROR(__xludf.DUMMYFUNCTION("""COMPUTED_VALUE"""),"Divinely Uninspired To A Hellish Extent")</f>
        <v>Divinely Uninspired To A Hellish Extent</v>
      </c>
      <c r="G2511">
        <f>IFERROR(__xludf.DUMMYFUNCTION("""COMPUTED_VALUE"""),0.0)</f>
        <v>0</v>
      </c>
      <c r="H2511" s="5">
        <f>IFERROR(__xludf.DUMMYFUNCTION("""COMPUTED_VALUE"""),0.12638888888977817)</f>
        <v>0.1263888889</v>
      </c>
    </row>
    <row r="2512">
      <c r="A2512" t="str">
        <f>IFERROR(__xludf.DUMMYFUNCTION("""COMPUTED_VALUE"""),"Singapore")</f>
        <v>Singapore</v>
      </c>
      <c r="B2512" t="str">
        <f>IFERROR(__xludf.DUMMYFUNCTION("""COMPUTED_VALUE"""),"Asia")</f>
        <v>Asia</v>
      </c>
      <c r="C2512">
        <f>IFERROR(__xludf.DUMMYFUNCTION("""COMPUTED_VALUE"""),11.0)</f>
        <v>11</v>
      </c>
      <c r="D2512" t="str">
        <f>IFERROR(__xludf.DUMMYFUNCTION("""COMPUTED_VALUE"""),"Daechwita")</f>
        <v>Daechwita</v>
      </c>
      <c r="E2512" t="str">
        <f>IFERROR(__xludf.DUMMYFUNCTION("""COMPUTED_VALUE"""),"Agust D")</f>
        <v>Agust D</v>
      </c>
      <c r="F2512" t="str">
        <f>IFERROR(__xludf.DUMMYFUNCTION("""COMPUTED_VALUE"""),"D-2")</f>
        <v>D-2</v>
      </c>
      <c r="G2512">
        <f>IFERROR(__xludf.DUMMYFUNCTION("""COMPUTED_VALUE"""),1.0)</f>
        <v>1</v>
      </c>
      <c r="H2512" s="5">
        <f>IFERROR(__xludf.DUMMYFUNCTION("""COMPUTED_VALUE"""),0.15625)</f>
        <v>0.15625</v>
      </c>
    </row>
    <row r="2513">
      <c r="A2513" t="str">
        <f>IFERROR(__xludf.DUMMYFUNCTION("""COMPUTED_VALUE"""),"Singapore")</f>
        <v>Singapore</v>
      </c>
      <c r="B2513" t="str">
        <f>IFERROR(__xludf.DUMMYFUNCTION("""COMPUTED_VALUE"""),"Asia")</f>
        <v>Asia</v>
      </c>
      <c r="C2513">
        <f>IFERROR(__xludf.DUMMYFUNCTION("""COMPUTED_VALUE"""),12.0)</f>
        <v>12</v>
      </c>
      <c r="D2513" t="str">
        <f>IFERROR(__xludf.DUMMYFUNCTION("""COMPUTED_VALUE"""),"Memories")</f>
        <v>Memories</v>
      </c>
      <c r="E2513" t="str">
        <f>IFERROR(__xludf.DUMMYFUNCTION("""COMPUTED_VALUE"""),"Maroon 5")</f>
        <v>Maroon 5</v>
      </c>
      <c r="F2513" t="str">
        <f>IFERROR(__xludf.DUMMYFUNCTION("""COMPUTED_VALUE"""),"Memories")</f>
        <v>Memories</v>
      </c>
      <c r="G2513">
        <f>IFERROR(__xludf.DUMMYFUNCTION("""COMPUTED_VALUE"""),0.0)</f>
        <v>0</v>
      </c>
      <c r="H2513" s="5">
        <f>IFERROR(__xludf.DUMMYFUNCTION("""COMPUTED_VALUE"""),0.1312499999985448)</f>
        <v>0.13125</v>
      </c>
    </row>
    <row r="2514">
      <c r="A2514" t="str">
        <f>IFERROR(__xludf.DUMMYFUNCTION("""COMPUTED_VALUE"""),"Singapore")</f>
        <v>Singapore</v>
      </c>
      <c r="B2514" t="str">
        <f>IFERROR(__xludf.DUMMYFUNCTION("""COMPUTED_VALUE"""),"Asia")</f>
        <v>Asia</v>
      </c>
      <c r="C2514">
        <f>IFERROR(__xludf.DUMMYFUNCTION("""COMPUTED_VALUE"""),13.0)</f>
        <v>13</v>
      </c>
      <c r="D2514" t="str">
        <f>IFERROR(__xludf.DUMMYFUNCTION("""COMPUTED_VALUE"""),"Roses - Imanbek Remix")</f>
        <v>Roses - Imanbek Remix</v>
      </c>
      <c r="E2514" t="str">
        <f>IFERROR(__xludf.DUMMYFUNCTION("""COMPUTED_VALUE"""),"SAINt JHN, Imanbek")</f>
        <v>SAINt JHN, Imanbek</v>
      </c>
      <c r="F2514" t="str">
        <f>IFERROR(__xludf.DUMMYFUNCTION("""COMPUTED_VALUE"""),"Roses (Imanbek Remix)")</f>
        <v>Roses (Imanbek Remix)</v>
      </c>
      <c r="G2514">
        <f>IFERROR(__xludf.DUMMYFUNCTION("""COMPUTED_VALUE"""),1.0)</f>
        <v>1</v>
      </c>
      <c r="H2514" s="5">
        <f>IFERROR(__xludf.DUMMYFUNCTION("""COMPUTED_VALUE"""),0.12222222222044365)</f>
        <v>0.1222222222</v>
      </c>
    </row>
    <row r="2515">
      <c r="A2515" t="str">
        <f>IFERROR(__xludf.DUMMYFUNCTION("""COMPUTED_VALUE"""),"Singapore")</f>
        <v>Singapore</v>
      </c>
      <c r="B2515" t="str">
        <f>IFERROR(__xludf.DUMMYFUNCTION("""COMPUTED_VALUE"""),"Asia")</f>
        <v>Asia</v>
      </c>
      <c r="C2515">
        <f>IFERROR(__xludf.DUMMYFUNCTION("""COMPUTED_VALUE"""),14.0)</f>
        <v>14</v>
      </c>
      <c r="D2515" t="str">
        <f>IFERROR(__xludf.DUMMYFUNCTION("""COMPUTED_VALUE"""),"Supalonely")</f>
        <v>Supalonely</v>
      </c>
      <c r="E2515" t="str">
        <f>IFERROR(__xludf.DUMMYFUNCTION("""COMPUTED_VALUE"""),"BENEE, Gus Dapperton")</f>
        <v>BENEE, Gus Dapperton</v>
      </c>
      <c r="F2515" t="str">
        <f>IFERROR(__xludf.DUMMYFUNCTION("""COMPUTED_VALUE"""),"STELLA &amp; STEVE")</f>
        <v>STELLA &amp; STEVE</v>
      </c>
      <c r="G2515">
        <f>IFERROR(__xludf.DUMMYFUNCTION("""COMPUTED_VALUE"""),1.0)</f>
        <v>1</v>
      </c>
      <c r="H2515" s="5">
        <f>IFERROR(__xludf.DUMMYFUNCTION("""COMPUTED_VALUE"""),0.15486111111022183)</f>
        <v>0.1548611111</v>
      </c>
    </row>
    <row r="2516">
      <c r="A2516" t="str">
        <f>IFERROR(__xludf.DUMMYFUNCTION("""COMPUTED_VALUE"""),"Singapore")</f>
        <v>Singapore</v>
      </c>
      <c r="B2516" t="str">
        <f>IFERROR(__xludf.DUMMYFUNCTION("""COMPUTED_VALUE"""),"Asia")</f>
        <v>Asia</v>
      </c>
      <c r="C2516">
        <f>IFERROR(__xludf.DUMMYFUNCTION("""COMPUTED_VALUE"""),15.0)</f>
        <v>15</v>
      </c>
      <c r="D2516" t="str">
        <f>IFERROR(__xludf.DUMMYFUNCTION("""COMPUTED_VALUE"""),"ily (i love you baby) (feat. Emilee)")</f>
        <v>ily (i love you baby) (feat. Emilee)</v>
      </c>
      <c r="E2516" t="str">
        <f>IFERROR(__xludf.DUMMYFUNCTION("""COMPUTED_VALUE"""),"Surf Mesa, Emilee")</f>
        <v>Surf Mesa, Emilee</v>
      </c>
      <c r="F2516" t="str">
        <f>IFERROR(__xludf.DUMMYFUNCTION("""COMPUTED_VALUE"""),"ily (i love you baby) (feat. Emilee)")</f>
        <v>ily (i love you baby) (feat. Emilee)</v>
      </c>
      <c r="G2516">
        <f>IFERROR(__xludf.DUMMYFUNCTION("""COMPUTED_VALUE"""),0.0)</f>
        <v>0</v>
      </c>
      <c r="H2516" s="5">
        <f>IFERROR(__xludf.DUMMYFUNCTION("""COMPUTED_VALUE"""),0.12222222222044365)</f>
        <v>0.1222222222</v>
      </c>
    </row>
    <row r="2517">
      <c r="A2517" t="str">
        <f>IFERROR(__xludf.DUMMYFUNCTION("""COMPUTED_VALUE"""),"Singapore")</f>
        <v>Singapore</v>
      </c>
      <c r="B2517" t="str">
        <f>IFERROR(__xludf.DUMMYFUNCTION("""COMPUTED_VALUE"""),"Asia")</f>
        <v>Asia</v>
      </c>
      <c r="C2517">
        <f>IFERROR(__xludf.DUMMYFUNCTION("""COMPUTED_VALUE"""),16.0)</f>
        <v>16</v>
      </c>
      <c r="D2517" t="str">
        <f>IFERROR(__xludf.DUMMYFUNCTION("""COMPUTED_VALUE"""),"Dance Monkey")</f>
        <v>Dance Monkey</v>
      </c>
      <c r="E2517" t="str">
        <f>IFERROR(__xludf.DUMMYFUNCTION("""COMPUTED_VALUE"""),"Tones And I")</f>
        <v>Tones And I</v>
      </c>
      <c r="F2517" t="str">
        <f>IFERROR(__xludf.DUMMYFUNCTION("""COMPUTED_VALUE"""),"Dance Monkey (Stripped Back) / Dance Monkey")</f>
        <v>Dance Monkey (Stripped Back) / Dance Monkey</v>
      </c>
      <c r="G2517">
        <f>IFERROR(__xludf.DUMMYFUNCTION("""COMPUTED_VALUE"""),0.0)</f>
        <v>0</v>
      </c>
      <c r="H2517" s="5">
        <f>IFERROR(__xludf.DUMMYFUNCTION("""COMPUTED_VALUE"""),0.14513888888905058)</f>
        <v>0.1451388889</v>
      </c>
    </row>
    <row r="2518">
      <c r="A2518" t="str">
        <f>IFERROR(__xludf.DUMMYFUNCTION("""COMPUTED_VALUE"""),"Singapore")</f>
        <v>Singapore</v>
      </c>
      <c r="B2518" t="str">
        <f>IFERROR(__xludf.DUMMYFUNCTION("""COMPUTED_VALUE"""),"Asia")</f>
        <v>Asia</v>
      </c>
      <c r="C2518">
        <f>IFERROR(__xludf.DUMMYFUNCTION("""COMPUTED_VALUE"""),17.0)</f>
        <v>17</v>
      </c>
      <c r="D2518" t="str">
        <f>IFERROR(__xludf.DUMMYFUNCTION("""COMPUTED_VALUE"""),"Toosie Slide")</f>
        <v>Toosie Slide</v>
      </c>
      <c r="E2518" t="str">
        <f>IFERROR(__xludf.DUMMYFUNCTION("""COMPUTED_VALUE"""),"Drake")</f>
        <v>Drake</v>
      </c>
      <c r="F2518" t="str">
        <f>IFERROR(__xludf.DUMMYFUNCTION("""COMPUTED_VALUE"""),"Dark Lane Demo Tapes")</f>
        <v>Dark Lane Demo Tapes</v>
      </c>
      <c r="G2518">
        <f>IFERROR(__xludf.DUMMYFUNCTION("""COMPUTED_VALUE"""),1.0)</f>
        <v>1</v>
      </c>
      <c r="H2518" s="5">
        <f>IFERROR(__xludf.DUMMYFUNCTION("""COMPUTED_VALUE"""),0.17152777777664596)</f>
        <v>0.1715277778</v>
      </c>
    </row>
    <row r="2519">
      <c r="A2519" t="str">
        <f>IFERROR(__xludf.DUMMYFUNCTION("""COMPUTED_VALUE"""),"Singapore")</f>
        <v>Singapore</v>
      </c>
      <c r="B2519" t="str">
        <f>IFERROR(__xludf.DUMMYFUNCTION("""COMPUTED_VALUE"""),"Asia")</f>
        <v>Asia</v>
      </c>
      <c r="C2519">
        <f>IFERROR(__xludf.DUMMYFUNCTION("""COMPUTED_VALUE"""),18.0)</f>
        <v>18</v>
      </c>
      <c r="D2519" t="str">
        <f>IFERROR(__xludf.DUMMYFUNCTION("""COMPUTED_VALUE"""),"Circles")</f>
        <v>Circles</v>
      </c>
      <c r="E2519" t="str">
        <f>IFERROR(__xludf.DUMMYFUNCTION("""COMPUTED_VALUE"""),"Post Malone")</f>
        <v>Post Malone</v>
      </c>
      <c r="F2519" t="str">
        <f>IFERROR(__xludf.DUMMYFUNCTION("""COMPUTED_VALUE"""),"Hollywood's Bleeding")</f>
        <v>Hollywood's Bleeding</v>
      </c>
      <c r="G2519">
        <f>IFERROR(__xludf.DUMMYFUNCTION("""COMPUTED_VALUE"""),0.0)</f>
        <v>0</v>
      </c>
      <c r="H2519" s="5">
        <f>IFERROR(__xludf.DUMMYFUNCTION("""COMPUTED_VALUE"""),0.14930555555474712)</f>
        <v>0.1493055556</v>
      </c>
    </row>
    <row r="2520">
      <c r="A2520" t="str">
        <f>IFERROR(__xludf.DUMMYFUNCTION("""COMPUTED_VALUE"""),"Singapore")</f>
        <v>Singapore</v>
      </c>
      <c r="B2520" t="str">
        <f>IFERROR(__xludf.DUMMYFUNCTION("""COMPUTED_VALUE"""),"Asia")</f>
        <v>Asia</v>
      </c>
      <c r="C2520">
        <f>IFERROR(__xludf.DUMMYFUNCTION("""COMPUTED_VALUE"""),19.0)</f>
        <v>19</v>
      </c>
      <c r="D2520" t="str">
        <f>IFERROR(__xludf.DUMMYFUNCTION("""COMPUTED_VALUE"""),"Break My Heart")</f>
        <v>Break My Heart</v>
      </c>
      <c r="E2520" t="str">
        <f>IFERROR(__xludf.DUMMYFUNCTION("""COMPUTED_VALUE"""),"Dua Lipa")</f>
        <v>Dua Lipa</v>
      </c>
      <c r="F2520" t="str">
        <f>IFERROR(__xludf.DUMMYFUNCTION("""COMPUTED_VALUE"""),"Future Nostalgia")</f>
        <v>Future Nostalgia</v>
      </c>
      <c r="G2520">
        <f>IFERROR(__xludf.DUMMYFUNCTION("""COMPUTED_VALUE"""),0.0)</f>
        <v>0</v>
      </c>
      <c r="H2520" s="5">
        <f>IFERROR(__xludf.DUMMYFUNCTION("""COMPUTED_VALUE"""),0.15347222222044365)</f>
        <v>0.1534722222</v>
      </c>
    </row>
    <row r="2521">
      <c r="A2521" t="str">
        <f>IFERROR(__xludf.DUMMYFUNCTION("""COMPUTED_VALUE"""),"Singapore")</f>
        <v>Singapore</v>
      </c>
      <c r="B2521" t="str">
        <f>IFERROR(__xludf.DUMMYFUNCTION("""COMPUTED_VALUE"""),"Asia")</f>
        <v>Asia</v>
      </c>
      <c r="C2521">
        <f>IFERROR(__xludf.DUMMYFUNCTION("""COMPUTED_VALUE"""),20.0)</f>
        <v>20</v>
      </c>
      <c r="D2521" t="str">
        <f>IFERROR(__xludf.DUMMYFUNCTION("""COMPUTED_VALUE"""),"If the World Was Ending - feat. Julia Michaels")</f>
        <v>If the World Was Ending - feat. Julia Michaels</v>
      </c>
      <c r="E2521" t="str">
        <f>IFERROR(__xludf.DUMMYFUNCTION("""COMPUTED_VALUE"""),"JP Saxe, Julia Michaels")</f>
        <v>JP Saxe, Julia Michaels</v>
      </c>
      <c r="F2521" t="str">
        <f>IFERROR(__xludf.DUMMYFUNCTION("""COMPUTED_VALUE"""),"If the World Was Ending (feat. Julia Michaels)")</f>
        <v>If the World Was Ending (feat. Julia Michaels)</v>
      </c>
      <c r="G2521">
        <f>IFERROR(__xludf.DUMMYFUNCTION("""COMPUTED_VALUE"""),0.0)</f>
        <v>0</v>
      </c>
      <c r="H2521" s="5">
        <f>IFERROR(__xludf.DUMMYFUNCTION("""COMPUTED_VALUE"""),0.14444444444598048)</f>
        <v>0.1444444444</v>
      </c>
    </row>
    <row r="2522">
      <c r="A2522" t="str">
        <f>IFERROR(__xludf.DUMMYFUNCTION("""COMPUTED_VALUE"""),"Singapore")</f>
        <v>Singapore</v>
      </c>
      <c r="B2522" t="str">
        <f>IFERROR(__xludf.DUMMYFUNCTION("""COMPUTED_VALUE"""),"Asia")</f>
        <v>Asia</v>
      </c>
      <c r="C2522">
        <f>IFERROR(__xludf.DUMMYFUNCTION("""COMPUTED_VALUE"""),21.0)</f>
        <v>21</v>
      </c>
      <c r="D2522" t="str">
        <f>IFERROR(__xludf.DUMMYFUNCTION("""COMPUTED_VALUE"""),"Say So (feat. Nicki Minaj)")</f>
        <v>Say So (feat. Nicki Minaj)</v>
      </c>
      <c r="E2522" t="str">
        <f>IFERROR(__xludf.DUMMYFUNCTION("""COMPUTED_VALUE"""),"Doja Cat, Nicki Minaj")</f>
        <v>Doja Cat, Nicki Minaj</v>
      </c>
      <c r="F2522" t="str">
        <f>IFERROR(__xludf.DUMMYFUNCTION("""COMPUTED_VALUE"""),"Say So (feat. Nicki Minaj)")</f>
        <v>Say So (feat. Nicki Minaj)</v>
      </c>
      <c r="G2522">
        <f>IFERROR(__xludf.DUMMYFUNCTION("""COMPUTED_VALUE"""),1.0)</f>
        <v>1</v>
      </c>
      <c r="H2522" s="5">
        <f>IFERROR(__xludf.DUMMYFUNCTION("""COMPUTED_VALUE"""),0.1430555555562023)</f>
        <v>0.1430555556</v>
      </c>
    </row>
    <row r="2523">
      <c r="A2523" t="str">
        <f>IFERROR(__xludf.DUMMYFUNCTION("""COMPUTED_VALUE"""),"Singapore")</f>
        <v>Singapore</v>
      </c>
      <c r="B2523" t="str">
        <f>IFERROR(__xludf.DUMMYFUNCTION("""COMPUTED_VALUE"""),"Asia")</f>
        <v>Asia</v>
      </c>
      <c r="C2523">
        <f>IFERROR(__xludf.DUMMYFUNCTION("""COMPUTED_VALUE"""),22.0)</f>
        <v>22</v>
      </c>
      <c r="D2523" t="str">
        <f>IFERROR(__xludf.DUMMYFUNCTION("""COMPUTED_VALUE"""),"Blueberry Faygo")</f>
        <v>Blueberry Faygo</v>
      </c>
      <c r="E2523" t="str">
        <f>IFERROR(__xludf.DUMMYFUNCTION("""COMPUTED_VALUE"""),"Lil Mosey")</f>
        <v>Lil Mosey</v>
      </c>
      <c r="F2523" t="str">
        <f>IFERROR(__xludf.DUMMYFUNCTION("""COMPUTED_VALUE"""),"Certified Hitmaker")</f>
        <v>Certified Hitmaker</v>
      </c>
      <c r="G2523">
        <f>IFERROR(__xludf.DUMMYFUNCTION("""COMPUTED_VALUE"""),1.0)</f>
        <v>1</v>
      </c>
      <c r="H2523" s="5">
        <f>IFERROR(__xludf.DUMMYFUNCTION("""COMPUTED_VALUE"""),0.1124999999992724)</f>
        <v>0.1125</v>
      </c>
    </row>
    <row r="2524">
      <c r="A2524" t="str">
        <f>IFERROR(__xludf.DUMMYFUNCTION("""COMPUTED_VALUE"""),"Singapore")</f>
        <v>Singapore</v>
      </c>
      <c r="B2524" t="str">
        <f>IFERROR(__xludf.DUMMYFUNCTION("""COMPUTED_VALUE"""),"Asia")</f>
        <v>Asia</v>
      </c>
      <c r="C2524">
        <f>IFERROR(__xludf.DUMMYFUNCTION("""COMPUTED_VALUE"""),23.0)</f>
        <v>23</v>
      </c>
      <c r="D2524" t="str">
        <f>IFERROR(__xludf.DUMMYFUNCTION("""COMPUTED_VALUE"""),"Before You Go")</f>
        <v>Before You Go</v>
      </c>
      <c r="E2524" t="str">
        <f>IFERROR(__xludf.DUMMYFUNCTION("""COMPUTED_VALUE"""),"Lewis Capaldi")</f>
        <v>Lewis Capaldi</v>
      </c>
      <c r="F2524" t="str">
        <f>IFERROR(__xludf.DUMMYFUNCTION("""COMPUTED_VALUE"""),"Divinely Uninspired To A Hellish Extent (Extended Edition)")</f>
        <v>Divinely Uninspired To A Hellish Extent (Extended Edition)</v>
      </c>
      <c r="G2524">
        <f>IFERROR(__xludf.DUMMYFUNCTION("""COMPUTED_VALUE"""),0.0)</f>
        <v>0</v>
      </c>
      <c r="H2524" s="5">
        <f>IFERROR(__xludf.DUMMYFUNCTION("""COMPUTED_VALUE"""),0.14930555555474712)</f>
        <v>0.1493055556</v>
      </c>
    </row>
    <row r="2525">
      <c r="A2525" t="str">
        <f>IFERROR(__xludf.DUMMYFUNCTION("""COMPUTED_VALUE"""),"Singapore")</f>
        <v>Singapore</v>
      </c>
      <c r="B2525" t="str">
        <f>IFERROR(__xludf.DUMMYFUNCTION("""COMPUTED_VALUE"""),"Asia")</f>
        <v>Asia</v>
      </c>
      <c r="C2525">
        <f>IFERROR(__xludf.DUMMYFUNCTION("""COMPUTED_VALUE"""),24.0)</f>
        <v>24</v>
      </c>
      <c r="D2525" t="str">
        <f>IFERROR(__xludf.DUMMYFUNCTION("""COMPUTED_VALUE"""),"ROCKSTAR (feat. Roddy Ricch)")</f>
        <v>ROCKSTAR (feat. Roddy Ricch)</v>
      </c>
      <c r="E2525" t="str">
        <f>IFERROR(__xludf.DUMMYFUNCTION("""COMPUTED_VALUE"""),"DaBaby, Roddy Ricch")</f>
        <v>DaBaby, Roddy Ricch</v>
      </c>
      <c r="F2525" t="str">
        <f>IFERROR(__xludf.DUMMYFUNCTION("""COMPUTED_VALUE"""),"BLAME IT ON BABY")</f>
        <v>BLAME IT ON BABY</v>
      </c>
      <c r="G2525">
        <f>IFERROR(__xludf.DUMMYFUNCTION("""COMPUTED_VALUE"""),1.0)</f>
        <v>1</v>
      </c>
      <c r="H2525" s="5">
        <f>IFERROR(__xludf.DUMMYFUNCTION("""COMPUTED_VALUE"""),0.1256944444430701)</f>
        <v>0.1256944444</v>
      </c>
    </row>
    <row r="2526">
      <c r="A2526" t="str">
        <f>IFERROR(__xludf.DUMMYFUNCTION("""COMPUTED_VALUE"""),"Singapore")</f>
        <v>Singapore</v>
      </c>
      <c r="B2526" t="str">
        <f>IFERROR(__xludf.DUMMYFUNCTION("""COMPUTED_VALUE"""),"Asia")</f>
        <v>Asia</v>
      </c>
      <c r="C2526">
        <f>IFERROR(__xludf.DUMMYFUNCTION("""COMPUTED_VALUE"""),25.0)</f>
        <v>25</v>
      </c>
      <c r="D2526" t="str">
        <f>IFERROR(__xludf.DUMMYFUNCTION("""COMPUTED_VALUE"""),"Sunday Best")</f>
        <v>Sunday Best</v>
      </c>
      <c r="E2526" t="str">
        <f>IFERROR(__xludf.DUMMYFUNCTION("""COMPUTED_VALUE"""),"Surfaces")</f>
        <v>Surfaces</v>
      </c>
      <c r="F2526" t="str">
        <f>IFERROR(__xludf.DUMMYFUNCTION("""COMPUTED_VALUE"""),"Where the Light Is")</f>
        <v>Where the Light Is</v>
      </c>
      <c r="G2526">
        <f>IFERROR(__xludf.DUMMYFUNCTION("""COMPUTED_VALUE"""),0.0)</f>
        <v>0</v>
      </c>
      <c r="H2526" s="5">
        <f>IFERROR(__xludf.DUMMYFUNCTION("""COMPUTED_VALUE"""),0.10972222222335404)</f>
        <v>0.1097222222</v>
      </c>
    </row>
    <row r="2527">
      <c r="A2527" t="str">
        <f>IFERROR(__xludf.DUMMYFUNCTION("""COMPUTED_VALUE"""),"Singapore")</f>
        <v>Singapore</v>
      </c>
      <c r="B2527" t="str">
        <f>IFERROR(__xludf.DUMMYFUNCTION("""COMPUTED_VALUE"""),"Asia")</f>
        <v>Asia</v>
      </c>
      <c r="C2527">
        <f>IFERROR(__xludf.DUMMYFUNCTION("""COMPUTED_VALUE"""),26.0)</f>
        <v>26</v>
      </c>
      <c r="D2527" t="str">
        <f>IFERROR(__xludf.DUMMYFUNCTION("""COMPUTED_VALUE"""),"想見你想見你想見你(電視劇""想見你""片尾曲)")</f>
        <v>想見你想見你想見你(電視劇"想見你"片尾曲)</v>
      </c>
      <c r="E2527" t="str">
        <f>IFERROR(__xludf.DUMMYFUNCTION("""COMPUTED_VALUE"""),"831")</f>
        <v>831</v>
      </c>
      <c r="F2527" t="str">
        <f>IFERROR(__xludf.DUMMYFUNCTION("""COMPUTED_VALUE"""),"想見你想見你想見你(電視劇""想見你""片尾曲)")</f>
        <v>想見你想見你想見你(電視劇"想見你"片尾曲)</v>
      </c>
      <c r="G2527">
        <f>IFERROR(__xludf.DUMMYFUNCTION("""COMPUTED_VALUE"""),0.0)</f>
        <v>0</v>
      </c>
      <c r="H2527" s="5">
        <f>IFERROR(__xludf.DUMMYFUNCTION("""COMPUTED_VALUE"""),0.16597222222117125)</f>
        <v>0.1659722222</v>
      </c>
    </row>
    <row r="2528">
      <c r="A2528" t="str">
        <f>IFERROR(__xludf.DUMMYFUNCTION("""COMPUTED_VALUE"""),"Singapore")</f>
        <v>Singapore</v>
      </c>
      <c r="B2528" t="str">
        <f>IFERROR(__xludf.DUMMYFUNCTION("""COMPUTED_VALUE"""),"Asia")</f>
        <v>Asia</v>
      </c>
      <c r="C2528">
        <f>IFERROR(__xludf.DUMMYFUNCTION("""COMPUTED_VALUE"""),27.0)</f>
        <v>27</v>
      </c>
      <c r="D2528" t="str">
        <f>IFERROR(__xludf.DUMMYFUNCTION("""COMPUTED_VALUE"""),"In Your Eyes")</f>
        <v>In Your Eyes</v>
      </c>
      <c r="E2528" t="str">
        <f>IFERROR(__xludf.DUMMYFUNCTION("""COMPUTED_VALUE"""),"The Weeknd")</f>
        <v>The Weeknd</v>
      </c>
      <c r="F2528" t="str">
        <f>IFERROR(__xludf.DUMMYFUNCTION("""COMPUTED_VALUE"""),"After Hours")</f>
        <v>After Hours</v>
      </c>
      <c r="G2528">
        <f>IFERROR(__xludf.DUMMYFUNCTION("""COMPUTED_VALUE"""),1.0)</f>
        <v>1</v>
      </c>
      <c r="H2528" s="5">
        <f>IFERROR(__xludf.DUMMYFUNCTION("""COMPUTED_VALUE"""),0.16458333333503106)</f>
        <v>0.1645833333</v>
      </c>
    </row>
    <row r="2529">
      <c r="A2529" t="str">
        <f>IFERROR(__xludf.DUMMYFUNCTION("""COMPUTED_VALUE"""),"Singapore")</f>
        <v>Singapore</v>
      </c>
      <c r="B2529" t="str">
        <f>IFERROR(__xludf.DUMMYFUNCTION("""COMPUTED_VALUE"""),"Asia")</f>
        <v>Asia</v>
      </c>
      <c r="C2529">
        <f>IFERROR(__xludf.DUMMYFUNCTION("""COMPUTED_VALUE"""),28.0)</f>
        <v>28</v>
      </c>
      <c r="D2529" t="str">
        <f>IFERROR(__xludf.DUMMYFUNCTION("""COMPUTED_VALUE"""),"怎麼了")</f>
        <v>怎麼了</v>
      </c>
      <c r="E2529" t="str">
        <f>IFERROR(__xludf.DUMMYFUNCTION("""COMPUTED_VALUE"""),"Eric Chou")</f>
        <v>Eric Chou</v>
      </c>
      <c r="F2529" t="str">
        <f>IFERROR(__xludf.DUMMYFUNCTION("""COMPUTED_VALUE"""),"終於了解自由 (Deluxe)")</f>
        <v>終於了解自由 (Deluxe)</v>
      </c>
      <c r="G2529">
        <f>IFERROR(__xludf.DUMMYFUNCTION("""COMPUTED_VALUE"""),0.0)</f>
        <v>0</v>
      </c>
      <c r="H2529" s="5">
        <f>IFERROR(__xludf.DUMMYFUNCTION("""COMPUTED_VALUE"""),0.22291666666569654)</f>
        <v>0.2229166667</v>
      </c>
    </row>
    <row r="2530">
      <c r="A2530" t="str">
        <f>IFERROR(__xludf.DUMMYFUNCTION("""COMPUTED_VALUE"""),"Singapore")</f>
        <v>Singapore</v>
      </c>
      <c r="B2530" t="str">
        <f>IFERROR(__xludf.DUMMYFUNCTION("""COMPUTED_VALUE"""),"Asia")</f>
        <v>Asia</v>
      </c>
      <c r="C2530">
        <f>IFERROR(__xludf.DUMMYFUNCTION("""COMPUTED_VALUE"""),29.0)</f>
        <v>29</v>
      </c>
      <c r="D2530" t="str">
        <f>IFERROR(__xludf.DUMMYFUNCTION("""COMPUTED_VALUE"""),"Señorita")</f>
        <v>Señorita</v>
      </c>
      <c r="E2530" t="str">
        <f>IFERROR(__xludf.DUMMYFUNCTION("""COMPUTED_VALUE"""),"Shawn Mendes, Camila Cabello")</f>
        <v>Shawn Mendes, Camila Cabello</v>
      </c>
      <c r="F2530" t="str">
        <f>IFERROR(__xludf.DUMMYFUNCTION("""COMPUTED_VALUE"""),"Shawn Mendes (Deluxe)")</f>
        <v>Shawn Mendes (Deluxe)</v>
      </c>
      <c r="G2530">
        <f>IFERROR(__xludf.DUMMYFUNCTION("""COMPUTED_VALUE"""),0.0)</f>
        <v>0</v>
      </c>
      <c r="H2530" s="5">
        <f>IFERROR(__xludf.DUMMYFUNCTION("""COMPUTED_VALUE"""),0.13194444444525288)</f>
        <v>0.1319444444</v>
      </c>
    </row>
    <row r="2531">
      <c r="A2531" t="str">
        <f>IFERROR(__xludf.DUMMYFUNCTION("""COMPUTED_VALUE"""),"Singapore")</f>
        <v>Singapore</v>
      </c>
      <c r="B2531" t="str">
        <f>IFERROR(__xludf.DUMMYFUNCTION("""COMPUTED_VALUE"""),"Asia")</f>
        <v>Asia</v>
      </c>
      <c r="C2531">
        <f>IFERROR(__xludf.DUMMYFUNCTION("""COMPUTED_VALUE"""),30.0)</f>
        <v>30</v>
      </c>
      <c r="D2531" t="str">
        <f>IFERROR(__xludf.DUMMYFUNCTION("""COMPUTED_VALUE"""),"說好不哭")</f>
        <v>說好不哭</v>
      </c>
      <c r="E2531" t="str">
        <f>IFERROR(__xludf.DUMMYFUNCTION("""COMPUTED_VALUE"""),"Jay Chou, Ashin Chen")</f>
        <v>Jay Chou, Ashin Chen</v>
      </c>
      <c r="F2531" t="str">
        <f>IFERROR(__xludf.DUMMYFUNCTION("""COMPUTED_VALUE"""),"說好不哭")</f>
        <v>說好不哭</v>
      </c>
      <c r="G2531">
        <f>IFERROR(__xludf.DUMMYFUNCTION("""COMPUTED_VALUE"""),0.0)</f>
        <v>0</v>
      </c>
      <c r="H2531" s="5">
        <f>IFERROR(__xludf.DUMMYFUNCTION("""COMPUTED_VALUE"""),0.15416666666715173)</f>
        <v>0.1541666667</v>
      </c>
    </row>
    <row r="2532">
      <c r="A2532" t="str">
        <f>IFERROR(__xludf.DUMMYFUNCTION("""COMPUTED_VALUE"""),"Singapore")</f>
        <v>Singapore</v>
      </c>
      <c r="B2532" t="str">
        <f>IFERROR(__xludf.DUMMYFUNCTION("""COMPUTED_VALUE"""),"Asia")</f>
        <v>Asia</v>
      </c>
      <c r="C2532">
        <f>IFERROR(__xludf.DUMMYFUNCTION("""COMPUTED_VALUE"""),31.0)</f>
        <v>31</v>
      </c>
      <c r="D2532" t="str">
        <f>IFERROR(__xludf.DUMMYFUNCTION("""COMPUTED_VALUE"""),"THE SCOTTS")</f>
        <v>THE SCOTTS</v>
      </c>
      <c r="E2532" t="str">
        <f>IFERROR(__xludf.DUMMYFUNCTION("""COMPUTED_VALUE"""),"THE SCOTTS, Travis Scott, Kid Cudi")</f>
        <v>THE SCOTTS, Travis Scott, Kid Cudi</v>
      </c>
      <c r="F2532" t="str">
        <f>IFERROR(__xludf.DUMMYFUNCTION("""COMPUTED_VALUE"""),"THE SCOTTS")</f>
        <v>THE SCOTTS</v>
      </c>
      <c r="G2532">
        <f>IFERROR(__xludf.DUMMYFUNCTION("""COMPUTED_VALUE"""),1.0)</f>
        <v>1</v>
      </c>
      <c r="H2532" s="5">
        <f>IFERROR(__xludf.DUMMYFUNCTION("""COMPUTED_VALUE"""),0.11458333333212067)</f>
        <v>0.1145833333</v>
      </c>
    </row>
    <row r="2533">
      <c r="A2533" t="str">
        <f>IFERROR(__xludf.DUMMYFUNCTION("""COMPUTED_VALUE"""),"Singapore")</f>
        <v>Singapore</v>
      </c>
      <c r="B2533" t="str">
        <f>IFERROR(__xludf.DUMMYFUNCTION("""COMPUTED_VALUE"""),"Asia")</f>
        <v>Asia</v>
      </c>
      <c r="C2533">
        <f>IFERROR(__xludf.DUMMYFUNCTION("""COMPUTED_VALUE"""),32.0)</f>
        <v>32</v>
      </c>
      <c r="D2533" t="str">
        <f>IFERROR(__xludf.DUMMYFUNCTION("""COMPUTED_VALUE"""),"Lose Somebody")</f>
        <v>Lose Somebody</v>
      </c>
      <c r="E2533" t="str">
        <f>IFERROR(__xludf.DUMMYFUNCTION("""COMPUTED_VALUE"""),"Kygo, OneRepublic")</f>
        <v>Kygo, OneRepublic</v>
      </c>
      <c r="F2533" t="str">
        <f>IFERROR(__xludf.DUMMYFUNCTION("""COMPUTED_VALUE"""),"Lose Somebody")</f>
        <v>Lose Somebody</v>
      </c>
      <c r="G2533">
        <f>IFERROR(__xludf.DUMMYFUNCTION("""COMPUTED_VALUE"""),0.0)</f>
        <v>0</v>
      </c>
      <c r="H2533" s="5">
        <f>IFERROR(__xludf.DUMMYFUNCTION("""COMPUTED_VALUE"""),0.1381944444437977)</f>
        <v>0.1381944444</v>
      </c>
    </row>
    <row r="2534">
      <c r="A2534" t="str">
        <f>IFERROR(__xludf.DUMMYFUNCTION("""COMPUTED_VALUE"""),"Singapore")</f>
        <v>Singapore</v>
      </c>
      <c r="B2534" t="str">
        <f>IFERROR(__xludf.DUMMYFUNCTION("""COMPUTED_VALUE"""),"Asia")</f>
        <v>Asia</v>
      </c>
      <c r="C2534">
        <f>IFERROR(__xludf.DUMMYFUNCTION("""COMPUTED_VALUE"""),33.0)</f>
        <v>33</v>
      </c>
      <c r="D2534" t="str">
        <f>IFERROR(__xludf.DUMMYFUNCTION("""COMPUTED_VALUE"""),"Falling")</f>
        <v>Falling</v>
      </c>
      <c r="E2534" t="str">
        <f>IFERROR(__xludf.DUMMYFUNCTION("""COMPUTED_VALUE"""),"Trevor Daniel")</f>
        <v>Trevor Daniel</v>
      </c>
      <c r="F2534" t="str">
        <f>IFERROR(__xludf.DUMMYFUNCTION("""COMPUTED_VALUE"""),"Nicotine")</f>
        <v>Nicotine</v>
      </c>
      <c r="G2534">
        <f>IFERROR(__xludf.DUMMYFUNCTION("""COMPUTED_VALUE"""),0.0)</f>
        <v>0</v>
      </c>
      <c r="H2534" s="5">
        <f>IFERROR(__xludf.DUMMYFUNCTION("""COMPUTED_VALUE"""),0.11041666666642413)</f>
        <v>0.1104166667</v>
      </c>
    </row>
    <row r="2535">
      <c r="A2535" t="str">
        <f>IFERROR(__xludf.DUMMYFUNCTION("""COMPUTED_VALUE"""),"Singapore")</f>
        <v>Singapore</v>
      </c>
      <c r="B2535" t="str">
        <f>IFERROR(__xludf.DUMMYFUNCTION("""COMPUTED_VALUE"""),"Asia")</f>
        <v>Asia</v>
      </c>
      <c r="C2535">
        <f>IFERROR(__xludf.DUMMYFUNCTION("""COMPUTED_VALUE"""),34.0)</f>
        <v>34</v>
      </c>
      <c r="D2535" t="str">
        <f>IFERROR(__xludf.DUMMYFUNCTION("""COMPUTED_VALUE"""),"Say So")</f>
        <v>Say So</v>
      </c>
      <c r="E2535" t="str">
        <f>IFERROR(__xludf.DUMMYFUNCTION("""COMPUTED_VALUE"""),"Doja Cat")</f>
        <v>Doja Cat</v>
      </c>
      <c r="F2535" t="str">
        <f>IFERROR(__xludf.DUMMYFUNCTION("""COMPUTED_VALUE"""),"Hot Pink")</f>
        <v>Hot Pink</v>
      </c>
      <c r="G2535">
        <f>IFERROR(__xludf.DUMMYFUNCTION("""COMPUTED_VALUE"""),1.0)</f>
        <v>1</v>
      </c>
      <c r="H2535" s="5">
        <f>IFERROR(__xludf.DUMMYFUNCTION("""COMPUTED_VALUE"""),0.16458333333503106)</f>
        <v>0.1645833333</v>
      </c>
    </row>
    <row r="2536">
      <c r="A2536" t="str">
        <f>IFERROR(__xludf.DUMMYFUNCTION("""COMPUTED_VALUE"""),"Singapore")</f>
        <v>Singapore</v>
      </c>
      <c r="B2536" t="str">
        <f>IFERROR(__xludf.DUMMYFUNCTION("""COMPUTED_VALUE"""),"Asia")</f>
        <v>Asia</v>
      </c>
      <c r="C2536">
        <f>IFERROR(__xludf.DUMMYFUNCTION("""COMPUTED_VALUE"""),35.0)</f>
        <v>35</v>
      </c>
      <c r="D2536" t="str">
        <f>IFERROR(__xludf.DUMMYFUNCTION("""COMPUTED_VALUE"""),"Daisies")</f>
        <v>Daisies</v>
      </c>
      <c r="E2536" t="str">
        <f>IFERROR(__xludf.DUMMYFUNCTION("""COMPUTED_VALUE"""),"Katy Perry")</f>
        <v>Katy Perry</v>
      </c>
      <c r="F2536" t="str">
        <f>IFERROR(__xludf.DUMMYFUNCTION("""COMPUTED_VALUE"""),"Daisies")</f>
        <v>Daisies</v>
      </c>
      <c r="G2536">
        <f>IFERROR(__xludf.DUMMYFUNCTION("""COMPUTED_VALUE"""),0.0)</f>
        <v>0</v>
      </c>
      <c r="H2536" s="5">
        <f>IFERROR(__xludf.DUMMYFUNCTION("""COMPUTED_VALUE"""),0.12013888888759539)</f>
        <v>0.1201388889</v>
      </c>
    </row>
    <row r="2537">
      <c r="A2537" t="str">
        <f>IFERROR(__xludf.DUMMYFUNCTION("""COMPUTED_VALUE"""),"Singapore")</f>
        <v>Singapore</v>
      </c>
      <c r="B2537" t="str">
        <f>IFERROR(__xludf.DUMMYFUNCTION("""COMPUTED_VALUE"""),"Asia")</f>
        <v>Asia</v>
      </c>
      <c r="C2537">
        <f>IFERROR(__xludf.DUMMYFUNCTION("""COMPUTED_VALUE"""),36.0)</f>
        <v>36</v>
      </c>
      <c r="D2537" t="str">
        <f>IFERROR(__xludf.DUMMYFUNCTION("""COMPUTED_VALUE"""),"Suasana Di Hari Raya")</f>
        <v>Suasana Di Hari Raya</v>
      </c>
      <c r="E2537" t="str">
        <f>IFERROR(__xludf.DUMMYFUNCTION("""COMPUTED_VALUE"""),"Anuar &amp; Ellina")</f>
        <v>Anuar &amp; Ellina</v>
      </c>
      <c r="F2537" t="str">
        <f>IFERROR(__xludf.DUMMYFUNCTION("""COMPUTED_VALUE"""),"Suasana Di Hari Raya")</f>
        <v>Suasana Di Hari Raya</v>
      </c>
      <c r="G2537">
        <f>IFERROR(__xludf.DUMMYFUNCTION("""COMPUTED_VALUE"""),0.0)</f>
        <v>0</v>
      </c>
      <c r="H2537" s="5">
        <f>IFERROR(__xludf.DUMMYFUNCTION("""COMPUTED_VALUE"""),0.13541666666787933)</f>
        <v>0.1354166667</v>
      </c>
    </row>
    <row r="2538">
      <c r="A2538" t="str">
        <f>IFERROR(__xludf.DUMMYFUNCTION("""COMPUTED_VALUE"""),"Singapore")</f>
        <v>Singapore</v>
      </c>
      <c r="B2538" t="str">
        <f>IFERROR(__xludf.DUMMYFUNCTION("""COMPUTED_VALUE"""),"Asia")</f>
        <v>Asia</v>
      </c>
      <c r="C2538">
        <f>IFERROR(__xludf.DUMMYFUNCTION("""COMPUTED_VALUE"""),37.0)</f>
        <v>37</v>
      </c>
      <c r="D2538" t="str">
        <f>IFERROR(__xludf.DUMMYFUNCTION("""COMPUTED_VALUE"""),"Savage Remix (feat. Beyoncé)")</f>
        <v>Savage Remix (feat. Beyoncé)</v>
      </c>
      <c r="E2538" t="str">
        <f>IFERROR(__xludf.DUMMYFUNCTION("""COMPUTED_VALUE"""),"Megan Thee Stallion, Beyoncé")</f>
        <v>Megan Thee Stallion, Beyoncé</v>
      </c>
      <c r="F2538" t="str">
        <f>IFERROR(__xludf.DUMMYFUNCTION("""COMPUTED_VALUE"""),"Savage Remix (feat. Beyoncé)")</f>
        <v>Savage Remix (feat. Beyoncé)</v>
      </c>
      <c r="G2538">
        <f>IFERROR(__xludf.DUMMYFUNCTION("""COMPUTED_VALUE"""),1.0)</f>
        <v>1</v>
      </c>
      <c r="H2538" s="5">
        <f>IFERROR(__xludf.DUMMYFUNCTION("""COMPUTED_VALUE"""),0.16805555555401952)</f>
        <v>0.1680555556</v>
      </c>
    </row>
    <row r="2539">
      <c r="A2539" t="str">
        <f>IFERROR(__xludf.DUMMYFUNCTION("""COMPUTED_VALUE"""),"Singapore")</f>
        <v>Singapore</v>
      </c>
      <c r="B2539" t="str">
        <f>IFERROR(__xludf.DUMMYFUNCTION("""COMPUTED_VALUE"""),"Asia")</f>
        <v>Asia</v>
      </c>
      <c r="C2539">
        <f>IFERROR(__xludf.DUMMYFUNCTION("""COMPUTED_VALUE"""),38.0)</f>
        <v>38</v>
      </c>
      <c r="D2539" t="str">
        <f>IFERROR(__xludf.DUMMYFUNCTION("""COMPUTED_VALUE"""),"ROXANNE")</f>
        <v>ROXANNE</v>
      </c>
      <c r="E2539" t="str">
        <f>IFERROR(__xludf.DUMMYFUNCTION("""COMPUTED_VALUE"""),"Arizona Zervas")</f>
        <v>Arizona Zervas</v>
      </c>
      <c r="F2539" t="str">
        <f>IFERROR(__xludf.DUMMYFUNCTION("""COMPUTED_VALUE"""),"ROXANNE")</f>
        <v>ROXANNE</v>
      </c>
      <c r="G2539">
        <f>IFERROR(__xludf.DUMMYFUNCTION("""COMPUTED_VALUE"""),1.0)</f>
        <v>1</v>
      </c>
      <c r="H2539" s="5">
        <f>IFERROR(__xludf.DUMMYFUNCTION("""COMPUTED_VALUE"""),0.11319444444598048)</f>
        <v>0.1131944444</v>
      </c>
    </row>
    <row r="2540">
      <c r="A2540" t="str">
        <f>IFERROR(__xludf.DUMMYFUNCTION("""COMPUTED_VALUE"""),"Singapore")</f>
        <v>Singapore</v>
      </c>
      <c r="B2540" t="str">
        <f>IFERROR(__xludf.DUMMYFUNCTION("""COMPUTED_VALUE"""),"Asia")</f>
        <v>Asia</v>
      </c>
      <c r="C2540">
        <f>IFERROR(__xludf.DUMMYFUNCTION("""COMPUTED_VALUE"""),39.0)</f>
        <v>39</v>
      </c>
      <c r="D2540" t="str">
        <f>IFERROR(__xludf.DUMMYFUNCTION("""COMPUTED_VALUE"""),"10,000 Hours (with Justin Bieber)")</f>
        <v>10,000 Hours (with Justin Bieber)</v>
      </c>
      <c r="E2540" t="str">
        <f>IFERROR(__xludf.DUMMYFUNCTION("""COMPUTED_VALUE"""),"Dan + Shay, Justin Bieber")</f>
        <v>Dan + Shay, Justin Bieber</v>
      </c>
      <c r="F2540" t="str">
        <f>IFERROR(__xludf.DUMMYFUNCTION("""COMPUTED_VALUE"""),"10,000 Hours (with Justin Bieber)")</f>
        <v>10,000 Hours (with Justin Bieber)</v>
      </c>
      <c r="G2540">
        <f>IFERROR(__xludf.DUMMYFUNCTION("""COMPUTED_VALUE"""),0.0)</f>
        <v>0</v>
      </c>
      <c r="H2540" s="5">
        <f>IFERROR(__xludf.DUMMYFUNCTION("""COMPUTED_VALUE"""),0.11597222222189885)</f>
        <v>0.1159722222</v>
      </c>
    </row>
    <row r="2541">
      <c r="A2541" t="str">
        <f>IFERROR(__xludf.DUMMYFUNCTION("""COMPUTED_VALUE"""),"Singapore")</f>
        <v>Singapore</v>
      </c>
      <c r="B2541" t="str">
        <f>IFERROR(__xludf.DUMMYFUNCTION("""COMPUTED_VALUE"""),"Asia")</f>
        <v>Asia</v>
      </c>
      <c r="C2541">
        <f>IFERROR(__xludf.DUMMYFUNCTION("""COMPUTED_VALUE"""),40.0)</f>
        <v>40</v>
      </c>
      <c r="D2541" t="str">
        <f>IFERROR(__xludf.DUMMYFUNCTION("""COMPUTED_VALUE"""),"WANNABE")</f>
        <v>WANNABE</v>
      </c>
      <c r="E2541" t="str">
        <f>IFERROR(__xludf.DUMMYFUNCTION("""COMPUTED_VALUE"""),"ITZY")</f>
        <v>ITZY</v>
      </c>
      <c r="F2541" t="str">
        <f>IFERROR(__xludf.DUMMYFUNCTION("""COMPUTED_VALUE"""),"IT'z ME")</f>
        <v>IT'z ME</v>
      </c>
      <c r="G2541">
        <f>IFERROR(__xludf.DUMMYFUNCTION("""COMPUTED_VALUE"""),0.0)</f>
        <v>0</v>
      </c>
      <c r="H2541" s="5">
        <f>IFERROR(__xludf.DUMMYFUNCTION("""COMPUTED_VALUE"""),0.13263888888832298)</f>
        <v>0.1326388889</v>
      </c>
    </row>
    <row r="2542">
      <c r="A2542" t="str">
        <f>IFERROR(__xludf.DUMMYFUNCTION("""COMPUTED_VALUE"""),"Singapore")</f>
        <v>Singapore</v>
      </c>
      <c r="B2542" t="str">
        <f>IFERROR(__xludf.DUMMYFUNCTION("""COMPUTED_VALUE"""),"Asia")</f>
        <v>Asia</v>
      </c>
      <c r="C2542">
        <f>IFERROR(__xludf.DUMMYFUNCTION("""COMPUTED_VALUE"""),41.0)</f>
        <v>41</v>
      </c>
      <c r="D2542" t="str">
        <f>IFERROR(__xludf.DUMMYFUNCTION("""COMPUTED_VALUE"""),"Boss Bitch")</f>
        <v>Boss Bitch</v>
      </c>
      <c r="E2542" t="str">
        <f>IFERROR(__xludf.DUMMYFUNCTION("""COMPUTED_VALUE"""),"Doja Cat")</f>
        <v>Doja Cat</v>
      </c>
      <c r="F2542" t="str">
        <f>IFERROR(__xludf.DUMMYFUNCTION("""COMPUTED_VALUE"""),"Boss Bitch")</f>
        <v>Boss Bitch</v>
      </c>
      <c r="G2542">
        <f>IFERROR(__xludf.DUMMYFUNCTION("""COMPUTED_VALUE"""),0.0)</f>
        <v>0</v>
      </c>
      <c r="H2542" s="5">
        <f>IFERROR(__xludf.DUMMYFUNCTION("""COMPUTED_VALUE"""),0.0930555555569299)</f>
        <v>0.09305555556</v>
      </c>
    </row>
    <row r="2543">
      <c r="A2543" t="str">
        <f>IFERROR(__xludf.DUMMYFUNCTION("""COMPUTED_VALUE"""),"Singapore")</f>
        <v>Singapore</v>
      </c>
      <c r="B2543" t="str">
        <f>IFERROR(__xludf.DUMMYFUNCTION("""COMPUTED_VALUE"""),"Asia")</f>
        <v>Asia</v>
      </c>
      <c r="C2543">
        <f>IFERROR(__xludf.DUMMYFUNCTION("""COMPUTED_VALUE"""),42.0)</f>
        <v>42</v>
      </c>
      <c r="D2543" t="str">
        <f>IFERROR(__xludf.DUMMYFUNCTION("""COMPUTED_VALUE"""),"你,好不好? - Ending Theme Song of TVBS Series ""Life List""")</f>
        <v>你,好不好? - Ending Theme Song of TVBS Series "Life List"</v>
      </c>
      <c r="E2543" t="str">
        <f>IFERROR(__xludf.DUMMYFUNCTION("""COMPUTED_VALUE"""),"Eric Chou")</f>
        <v>Eric Chou</v>
      </c>
      <c r="F2543" t="str">
        <f>IFERROR(__xludf.DUMMYFUNCTION("""COMPUTED_VALUE"""),"愛,教會我們的事")</f>
        <v>愛,教會我們的事</v>
      </c>
      <c r="G2543">
        <f>IFERROR(__xludf.DUMMYFUNCTION("""COMPUTED_VALUE"""),0.0)</f>
        <v>0</v>
      </c>
      <c r="H2543" s="5">
        <f>IFERROR(__xludf.DUMMYFUNCTION("""COMPUTED_VALUE"""),0.19930555555401952)</f>
        <v>0.1993055556</v>
      </c>
    </row>
    <row r="2544">
      <c r="A2544" t="str">
        <f>IFERROR(__xludf.DUMMYFUNCTION("""COMPUTED_VALUE"""),"Singapore")</f>
        <v>Singapore</v>
      </c>
      <c r="B2544" t="str">
        <f>IFERROR(__xludf.DUMMYFUNCTION("""COMPUTED_VALUE"""),"Asia")</f>
        <v>Asia</v>
      </c>
      <c r="C2544">
        <f>IFERROR(__xludf.DUMMYFUNCTION("""COMPUTED_VALUE"""),43.0)</f>
        <v>43</v>
      </c>
      <c r="D2544" t="str">
        <f>IFERROR(__xludf.DUMMYFUNCTION("""COMPUTED_VALUE"""),"What do you think?")</f>
        <v>What do you think?</v>
      </c>
      <c r="E2544" t="str">
        <f>IFERROR(__xludf.DUMMYFUNCTION("""COMPUTED_VALUE"""),"Agust D")</f>
        <v>Agust D</v>
      </c>
      <c r="F2544" t="str">
        <f>IFERROR(__xludf.DUMMYFUNCTION("""COMPUTED_VALUE"""),"D-2")</f>
        <v>D-2</v>
      </c>
      <c r="G2544">
        <f>IFERROR(__xludf.DUMMYFUNCTION("""COMPUTED_VALUE"""),1.0)</f>
        <v>1</v>
      </c>
      <c r="H2544" s="5">
        <f>IFERROR(__xludf.DUMMYFUNCTION("""COMPUTED_VALUE"""),0.12638888888977817)</f>
        <v>0.1263888889</v>
      </c>
    </row>
    <row r="2545">
      <c r="A2545" t="str">
        <f>IFERROR(__xludf.DUMMYFUNCTION("""COMPUTED_VALUE"""),"Singapore")</f>
        <v>Singapore</v>
      </c>
      <c r="B2545" t="str">
        <f>IFERROR(__xludf.DUMMYFUNCTION("""COMPUTED_VALUE"""),"Asia")</f>
        <v>Asia</v>
      </c>
      <c r="C2545">
        <f>IFERROR(__xludf.DUMMYFUNCTION("""COMPUTED_VALUE"""),44.0)</f>
        <v>44</v>
      </c>
      <c r="D2545" t="str">
        <f>IFERROR(__xludf.DUMMYFUNCTION("""COMPUTED_VALUE"""),"The Box")</f>
        <v>The Box</v>
      </c>
      <c r="E2545" t="str">
        <f>IFERROR(__xludf.DUMMYFUNCTION("""COMPUTED_VALUE"""),"Roddy Ricch")</f>
        <v>Roddy Ricch</v>
      </c>
      <c r="F2545" t="str">
        <f>IFERROR(__xludf.DUMMYFUNCTION("""COMPUTED_VALUE"""),"Please Excuse Me For Being Antisocial")</f>
        <v>Please Excuse Me For Being Antisocial</v>
      </c>
      <c r="G2545">
        <f>IFERROR(__xludf.DUMMYFUNCTION("""COMPUTED_VALUE"""),1.0)</f>
        <v>1</v>
      </c>
      <c r="H2545" s="5">
        <f>IFERROR(__xludf.DUMMYFUNCTION("""COMPUTED_VALUE"""),0.13611111111094942)</f>
        <v>0.1361111111</v>
      </c>
    </row>
    <row r="2546">
      <c r="A2546" t="str">
        <f>IFERROR(__xludf.DUMMYFUNCTION("""COMPUTED_VALUE"""),"Singapore")</f>
        <v>Singapore</v>
      </c>
      <c r="B2546" t="str">
        <f>IFERROR(__xludf.DUMMYFUNCTION("""COMPUTED_VALUE"""),"Asia")</f>
        <v>Asia</v>
      </c>
      <c r="C2546">
        <f>IFERROR(__xludf.DUMMYFUNCTION("""COMPUTED_VALUE"""),45.0)</f>
        <v>45</v>
      </c>
      <c r="D2546" t="str">
        <f>IFERROR(__xludf.DUMMYFUNCTION("""COMPUTED_VALUE"""),"Seloka Hari Raya")</f>
        <v>Seloka Hari Raya</v>
      </c>
      <c r="E2546" t="str">
        <f>IFERROR(__xludf.DUMMYFUNCTION("""COMPUTED_VALUE"""),"Uji Rashid, Hail Amir")</f>
        <v>Uji Rashid, Hail Amir</v>
      </c>
      <c r="F2546" t="str">
        <f>IFERROR(__xludf.DUMMYFUNCTION("""COMPUTED_VALUE"""),"Siri Bintang Pujaan")</f>
        <v>Siri Bintang Pujaan</v>
      </c>
      <c r="G2546">
        <f>IFERROR(__xludf.DUMMYFUNCTION("""COMPUTED_VALUE"""),0.0)</f>
        <v>0</v>
      </c>
      <c r="H2546" s="5">
        <f>IFERROR(__xludf.DUMMYFUNCTION("""COMPUTED_VALUE"""),0.12361111111022183)</f>
        <v>0.1236111111</v>
      </c>
    </row>
    <row r="2547">
      <c r="A2547" t="str">
        <f>IFERROR(__xludf.DUMMYFUNCTION("""COMPUTED_VALUE"""),"Singapore")</f>
        <v>Singapore</v>
      </c>
      <c r="B2547" t="str">
        <f>IFERROR(__xludf.DUMMYFUNCTION("""COMPUTED_VALUE"""),"Asia")</f>
        <v>Asia</v>
      </c>
      <c r="C2547">
        <f>IFERROR(__xludf.DUMMYFUNCTION("""COMPUTED_VALUE"""),46.0)</f>
        <v>46</v>
      </c>
      <c r="D2547" t="str">
        <f>IFERROR(__xludf.DUMMYFUNCTION("""COMPUTED_VALUE"""),"有一種悲傷 - 電影《比悲傷更悲傷的故事》主題曲")</f>
        <v>有一種悲傷 - 電影《比悲傷更悲傷的故事》主題曲</v>
      </c>
      <c r="E2547" t="str">
        <f>IFERROR(__xludf.DUMMYFUNCTION("""COMPUTED_VALUE"""),"A-Lin")</f>
        <v>A-Lin</v>
      </c>
      <c r="F2547" t="str">
        <f>IFERROR(__xludf.DUMMYFUNCTION("""COMPUTED_VALUE"""),"A-Lin原聲帶")</f>
        <v>A-Lin原聲帶</v>
      </c>
      <c r="G2547">
        <f>IFERROR(__xludf.DUMMYFUNCTION("""COMPUTED_VALUE"""),0.0)</f>
        <v>0</v>
      </c>
      <c r="H2547" s="5">
        <f>IFERROR(__xludf.DUMMYFUNCTION("""COMPUTED_VALUE"""),0.16458333333503106)</f>
        <v>0.1645833333</v>
      </c>
    </row>
    <row r="2548">
      <c r="A2548" t="str">
        <f>IFERROR(__xludf.DUMMYFUNCTION("""COMPUTED_VALUE"""),"Singapore")</f>
        <v>Singapore</v>
      </c>
      <c r="B2548" t="str">
        <f>IFERROR(__xludf.DUMMYFUNCTION("""COMPUTED_VALUE"""),"Asia")</f>
        <v>Asia</v>
      </c>
      <c r="C2548">
        <f>IFERROR(__xludf.DUMMYFUNCTION("""COMPUTED_VALUE"""),47.0)</f>
        <v>47</v>
      </c>
      <c r="D2548" t="str">
        <f>IFERROR(__xludf.DUMMYFUNCTION("""COMPUTED_VALUE"""),"告白氣球")</f>
        <v>告白氣球</v>
      </c>
      <c r="E2548" t="str">
        <f>IFERROR(__xludf.DUMMYFUNCTION("""COMPUTED_VALUE"""),"Jay Chou")</f>
        <v>Jay Chou</v>
      </c>
      <c r="F2548" t="str">
        <f>IFERROR(__xludf.DUMMYFUNCTION("""COMPUTED_VALUE"""),"周杰倫的床邊故事")</f>
        <v>周杰倫的床邊故事</v>
      </c>
      <c r="G2548">
        <f>IFERROR(__xludf.DUMMYFUNCTION("""COMPUTED_VALUE"""),0.0)</f>
        <v>0</v>
      </c>
      <c r="H2548" s="5">
        <f>IFERROR(__xludf.DUMMYFUNCTION("""COMPUTED_VALUE"""),0.14930555555474712)</f>
        <v>0.1493055556</v>
      </c>
    </row>
    <row r="2549">
      <c r="A2549" t="str">
        <f>IFERROR(__xludf.DUMMYFUNCTION("""COMPUTED_VALUE"""),"Singapore")</f>
        <v>Singapore</v>
      </c>
      <c r="B2549" t="str">
        <f>IFERROR(__xludf.DUMMYFUNCTION("""COMPUTED_VALUE"""),"Asia")</f>
        <v>Asia</v>
      </c>
      <c r="C2549">
        <f>IFERROR(__xludf.DUMMYFUNCTION("""COMPUTED_VALUE"""),48.0)</f>
        <v>48</v>
      </c>
      <c r="D2549" t="str">
        <f>IFERROR(__xludf.DUMMYFUNCTION("""COMPUTED_VALUE"""),"Strange")</f>
        <v>Strange</v>
      </c>
      <c r="E2549" t="str">
        <f>IFERROR(__xludf.DUMMYFUNCTION("""COMPUTED_VALUE"""),"Agust D, RM")</f>
        <v>Agust D, RM</v>
      </c>
      <c r="F2549" t="str">
        <f>IFERROR(__xludf.DUMMYFUNCTION("""COMPUTED_VALUE"""),"D-2")</f>
        <v>D-2</v>
      </c>
      <c r="G2549">
        <f>IFERROR(__xludf.DUMMYFUNCTION("""COMPUTED_VALUE"""),0.0)</f>
        <v>0</v>
      </c>
      <c r="H2549" s="5">
        <f>IFERROR(__xludf.DUMMYFUNCTION("""COMPUTED_VALUE"""),0.13611111111094942)</f>
        <v>0.1361111111</v>
      </c>
    </row>
    <row r="2550">
      <c r="A2550" t="str">
        <f>IFERROR(__xludf.DUMMYFUNCTION("""COMPUTED_VALUE"""),"Singapore")</f>
        <v>Singapore</v>
      </c>
      <c r="B2550" t="str">
        <f>IFERROR(__xludf.DUMMYFUNCTION("""COMPUTED_VALUE"""),"Asia")</f>
        <v>Asia</v>
      </c>
      <c r="C2550">
        <f>IFERROR(__xludf.DUMMYFUNCTION("""COMPUTED_VALUE"""),49.0)</f>
        <v>49</v>
      </c>
      <c r="D2550" t="str">
        <f>IFERROR(__xludf.DUMMYFUNCTION("""COMPUTED_VALUE"""),"28")</f>
        <v>28</v>
      </c>
      <c r="E2550" t="str">
        <f>IFERROR(__xludf.DUMMYFUNCTION("""COMPUTED_VALUE"""),"Agust D, NiiHWA")</f>
        <v>Agust D, NiiHWA</v>
      </c>
      <c r="F2550" t="str">
        <f>IFERROR(__xludf.DUMMYFUNCTION("""COMPUTED_VALUE"""),"D-2")</f>
        <v>D-2</v>
      </c>
      <c r="G2550">
        <f>IFERROR(__xludf.DUMMYFUNCTION("""COMPUTED_VALUE"""),0.0)</f>
        <v>0</v>
      </c>
      <c r="H2550" s="5">
        <f>IFERROR(__xludf.DUMMYFUNCTION("""COMPUTED_VALUE"""),0.09236111111022183)</f>
        <v>0.09236111111</v>
      </c>
    </row>
    <row r="2551">
      <c r="A2551" t="str">
        <f>IFERROR(__xludf.DUMMYFUNCTION("""COMPUTED_VALUE"""),"Singapore")</f>
        <v>Singapore</v>
      </c>
      <c r="B2551" t="str">
        <f>IFERROR(__xludf.DUMMYFUNCTION("""COMPUTED_VALUE"""),"Asia")</f>
        <v>Asia</v>
      </c>
      <c r="C2551">
        <f>IFERROR(__xludf.DUMMYFUNCTION("""COMPUTED_VALUE"""),50.0)</f>
        <v>50</v>
      </c>
      <c r="D2551" t="str">
        <f>IFERROR(__xludf.DUMMYFUNCTION("""COMPUTED_VALUE"""),"Moonlight")</f>
        <v>Moonlight</v>
      </c>
      <c r="E2551" t="str">
        <f>IFERROR(__xludf.DUMMYFUNCTION("""COMPUTED_VALUE"""),"Agust D")</f>
        <v>Agust D</v>
      </c>
      <c r="F2551" t="str">
        <f>IFERROR(__xludf.DUMMYFUNCTION("""COMPUTED_VALUE"""),"D-2")</f>
        <v>D-2</v>
      </c>
      <c r="G2551">
        <f>IFERROR(__xludf.DUMMYFUNCTION("""COMPUTED_VALUE"""),1.0)</f>
        <v>1</v>
      </c>
      <c r="H2551" s="5">
        <f>IFERROR(__xludf.DUMMYFUNCTION("""COMPUTED_VALUE"""),0.11319444444598048)</f>
        <v>0.1131944444</v>
      </c>
    </row>
    <row r="2552">
      <c r="A2552" t="str">
        <f>IFERROR(__xludf.DUMMYFUNCTION("""COMPUTED_VALUE"""),"Slovakia")</f>
        <v>Slovakia</v>
      </c>
      <c r="B2552" t="str">
        <f>IFERROR(__xludf.DUMMYFUNCTION("""COMPUTED_VALUE"""),"Europe")</f>
        <v>Europe</v>
      </c>
      <c r="C2552">
        <f>IFERROR(__xludf.DUMMYFUNCTION("""COMPUTED_VALUE"""),1.0)</f>
        <v>1</v>
      </c>
      <c r="D2552" t="str">
        <f>IFERROR(__xludf.DUMMYFUNCTION("""COMPUTED_VALUE"""),"Roses - Imanbek Remix")</f>
        <v>Roses - Imanbek Remix</v>
      </c>
      <c r="E2552" t="str">
        <f>IFERROR(__xludf.DUMMYFUNCTION("""COMPUTED_VALUE"""),"SAINt JHN, Imanbek")</f>
        <v>SAINt JHN, Imanbek</v>
      </c>
      <c r="F2552" t="str">
        <f>IFERROR(__xludf.DUMMYFUNCTION("""COMPUTED_VALUE"""),"Roses (Imanbek Remix)")</f>
        <v>Roses (Imanbek Remix)</v>
      </c>
      <c r="G2552">
        <f>IFERROR(__xludf.DUMMYFUNCTION("""COMPUTED_VALUE"""),1.0)</f>
        <v>1</v>
      </c>
      <c r="H2552" s="5">
        <f>IFERROR(__xludf.DUMMYFUNCTION("""COMPUTED_VALUE"""),0.12222222222044365)</f>
        <v>0.1222222222</v>
      </c>
    </row>
    <row r="2553">
      <c r="A2553" t="str">
        <f>IFERROR(__xludf.DUMMYFUNCTION("""COMPUTED_VALUE"""),"Slovakia")</f>
        <v>Slovakia</v>
      </c>
      <c r="B2553" t="str">
        <f>IFERROR(__xludf.DUMMYFUNCTION("""COMPUTED_VALUE"""),"Europe")</f>
        <v>Europe</v>
      </c>
      <c r="C2553">
        <f>IFERROR(__xludf.DUMMYFUNCTION("""COMPUTED_VALUE"""),2.0)</f>
        <v>2</v>
      </c>
      <c r="D2553" t="str">
        <f>IFERROR(__xludf.DUMMYFUNCTION("""COMPUTED_VALUE"""),"GOOBA")</f>
        <v>GOOBA</v>
      </c>
      <c r="E2553" t="str">
        <f>IFERROR(__xludf.DUMMYFUNCTION("""COMPUTED_VALUE"""),"6ix9ine")</f>
        <v>6ix9ine</v>
      </c>
      <c r="F2553" t="str">
        <f>IFERROR(__xludf.DUMMYFUNCTION("""COMPUTED_VALUE"""),"GOOBA")</f>
        <v>GOOBA</v>
      </c>
      <c r="G2553">
        <f>IFERROR(__xludf.DUMMYFUNCTION("""COMPUTED_VALUE"""),1.0)</f>
        <v>1</v>
      </c>
      <c r="H2553" s="5">
        <f>IFERROR(__xludf.DUMMYFUNCTION("""COMPUTED_VALUE"""),0.09166666666715173)</f>
        <v>0.09166666667</v>
      </c>
    </row>
    <row r="2554">
      <c r="A2554" t="str">
        <f>IFERROR(__xludf.DUMMYFUNCTION("""COMPUTED_VALUE"""),"Slovakia")</f>
        <v>Slovakia</v>
      </c>
      <c r="B2554" t="str">
        <f>IFERROR(__xludf.DUMMYFUNCTION("""COMPUTED_VALUE"""),"Europe")</f>
        <v>Europe</v>
      </c>
      <c r="C2554">
        <f>IFERROR(__xludf.DUMMYFUNCTION("""COMPUTED_VALUE"""),3.0)</f>
        <v>3</v>
      </c>
      <c r="D2554" t="str">
        <f>IFERROR(__xludf.DUMMYFUNCTION("""COMPUTED_VALUE"""),"Blinding Lights")</f>
        <v>Blinding Lights</v>
      </c>
      <c r="E2554" t="str">
        <f>IFERROR(__xludf.DUMMYFUNCTION("""COMPUTED_VALUE"""),"The Weeknd")</f>
        <v>The Weeknd</v>
      </c>
      <c r="F2554" t="str">
        <f>IFERROR(__xludf.DUMMYFUNCTION("""COMPUTED_VALUE"""),"After Hours")</f>
        <v>After Hours</v>
      </c>
      <c r="G2554">
        <f>IFERROR(__xludf.DUMMYFUNCTION("""COMPUTED_VALUE"""),0.0)</f>
        <v>0</v>
      </c>
      <c r="H2554" s="5">
        <f>IFERROR(__xludf.DUMMYFUNCTION("""COMPUTED_VALUE"""),0.13888888889050577)</f>
        <v>0.1388888889</v>
      </c>
    </row>
    <row r="2555">
      <c r="A2555" t="str">
        <f>IFERROR(__xludf.DUMMYFUNCTION("""COMPUTED_VALUE"""),"Slovakia")</f>
        <v>Slovakia</v>
      </c>
      <c r="B2555" t="str">
        <f>IFERROR(__xludf.DUMMYFUNCTION("""COMPUTED_VALUE"""),"Europe")</f>
        <v>Europe</v>
      </c>
      <c r="C2555">
        <f>IFERROR(__xludf.DUMMYFUNCTION("""COMPUTED_VALUE"""),4.0)</f>
        <v>4</v>
      </c>
      <c r="D2555" t="str">
        <f>IFERROR(__xludf.DUMMYFUNCTION("""COMPUTED_VALUE"""),"Rain On Me (with Ariana Grande)")</f>
        <v>Rain On Me (with Ariana Grande)</v>
      </c>
      <c r="E2555" t="str">
        <f>IFERROR(__xludf.DUMMYFUNCTION("""COMPUTED_VALUE"""),"Lady Gaga, Ariana Grande")</f>
        <v>Lady Gaga, Ariana Grande</v>
      </c>
      <c r="F2555" t="str">
        <f>IFERROR(__xludf.DUMMYFUNCTION("""COMPUTED_VALUE"""),"Rain On Me (with Ariana Grande)")</f>
        <v>Rain On Me (with Ariana Grande)</v>
      </c>
      <c r="G2555">
        <f>IFERROR(__xludf.DUMMYFUNCTION("""COMPUTED_VALUE"""),0.0)</f>
        <v>0</v>
      </c>
      <c r="H2555" s="5">
        <f>IFERROR(__xludf.DUMMYFUNCTION("""COMPUTED_VALUE"""),0.12638888888977817)</f>
        <v>0.1263888889</v>
      </c>
    </row>
    <row r="2556">
      <c r="A2556" t="str">
        <f>IFERROR(__xludf.DUMMYFUNCTION("""COMPUTED_VALUE"""),"Slovakia")</f>
        <v>Slovakia</v>
      </c>
      <c r="B2556" t="str">
        <f>IFERROR(__xludf.DUMMYFUNCTION("""COMPUTED_VALUE"""),"Europe")</f>
        <v>Europe</v>
      </c>
      <c r="C2556">
        <f>IFERROR(__xludf.DUMMYFUNCTION("""COMPUTED_VALUE"""),5.0)</f>
        <v>5</v>
      </c>
      <c r="D2556" t="str">
        <f>IFERROR(__xludf.DUMMYFUNCTION("""COMPUTED_VALUE"""),"THE SCOTTS")</f>
        <v>THE SCOTTS</v>
      </c>
      <c r="E2556" t="str">
        <f>IFERROR(__xludf.DUMMYFUNCTION("""COMPUTED_VALUE"""),"THE SCOTTS, Travis Scott, Kid Cudi")</f>
        <v>THE SCOTTS, Travis Scott, Kid Cudi</v>
      </c>
      <c r="F2556" t="str">
        <f>IFERROR(__xludf.DUMMYFUNCTION("""COMPUTED_VALUE"""),"THE SCOTTS")</f>
        <v>THE SCOTTS</v>
      </c>
      <c r="G2556">
        <f>IFERROR(__xludf.DUMMYFUNCTION("""COMPUTED_VALUE"""),1.0)</f>
        <v>1</v>
      </c>
      <c r="H2556" s="5">
        <f>IFERROR(__xludf.DUMMYFUNCTION("""COMPUTED_VALUE"""),0.11458333333212067)</f>
        <v>0.1145833333</v>
      </c>
    </row>
    <row r="2557">
      <c r="A2557" t="str">
        <f>IFERROR(__xludf.DUMMYFUNCTION("""COMPUTED_VALUE"""),"Slovakia")</f>
        <v>Slovakia</v>
      </c>
      <c r="B2557" t="str">
        <f>IFERROR(__xludf.DUMMYFUNCTION("""COMPUTED_VALUE"""),"Europe")</f>
        <v>Europe</v>
      </c>
      <c r="C2557">
        <f>IFERROR(__xludf.DUMMYFUNCTION("""COMPUTED_VALUE"""),6.0)</f>
        <v>6</v>
      </c>
      <c r="D2557" t="str">
        <f>IFERROR(__xludf.DUMMYFUNCTION("""COMPUTED_VALUE"""),"Breaking Me")</f>
        <v>Breaking Me</v>
      </c>
      <c r="E2557" t="str">
        <f>IFERROR(__xludf.DUMMYFUNCTION("""COMPUTED_VALUE"""),"Topic, A7S")</f>
        <v>Topic, A7S</v>
      </c>
      <c r="F2557" t="str">
        <f>IFERROR(__xludf.DUMMYFUNCTION("""COMPUTED_VALUE"""),"Breaking Me")</f>
        <v>Breaking Me</v>
      </c>
      <c r="G2557">
        <f>IFERROR(__xludf.DUMMYFUNCTION("""COMPUTED_VALUE"""),0.0)</f>
        <v>0</v>
      </c>
      <c r="H2557" s="5">
        <f>IFERROR(__xludf.DUMMYFUNCTION("""COMPUTED_VALUE"""),0.11527777777882875)</f>
        <v>0.1152777778</v>
      </c>
    </row>
    <row r="2558">
      <c r="A2558" t="str">
        <f>IFERROR(__xludf.DUMMYFUNCTION("""COMPUTED_VALUE"""),"Slovakia")</f>
        <v>Slovakia</v>
      </c>
      <c r="B2558" t="str">
        <f>IFERROR(__xludf.DUMMYFUNCTION("""COMPUTED_VALUE"""),"Europe")</f>
        <v>Europe</v>
      </c>
      <c r="C2558">
        <f>IFERROR(__xludf.DUMMYFUNCTION("""COMPUTED_VALUE"""),7.0)</f>
        <v>7</v>
      </c>
      <c r="D2558" t="str">
        <f>IFERROR(__xludf.DUMMYFUNCTION("""COMPUTED_VALUE"""),"Viac")</f>
        <v>Viac</v>
      </c>
      <c r="E2558" t="str">
        <f>IFERROR(__xludf.DUMMYFUNCTION("""COMPUTED_VALUE"""),"Nerieš, Separ")</f>
        <v>Nerieš, Separ</v>
      </c>
      <c r="F2558" t="str">
        <f>IFERROR(__xludf.DUMMYFUNCTION("""COMPUTED_VALUE"""),"OK")</f>
        <v>OK</v>
      </c>
      <c r="G2558">
        <f>IFERROR(__xludf.DUMMYFUNCTION("""COMPUTED_VALUE"""),1.0)</f>
        <v>1</v>
      </c>
      <c r="H2558" s="5">
        <f>IFERROR(__xludf.DUMMYFUNCTION("""COMPUTED_VALUE"""),0.14722222222189885)</f>
        <v>0.1472222222</v>
      </c>
    </row>
    <row r="2559">
      <c r="A2559" t="str">
        <f>IFERROR(__xludf.DUMMYFUNCTION("""COMPUTED_VALUE"""),"Slovakia")</f>
        <v>Slovakia</v>
      </c>
      <c r="B2559" t="str">
        <f>IFERROR(__xludf.DUMMYFUNCTION("""COMPUTED_VALUE"""),"Europe")</f>
        <v>Europe</v>
      </c>
      <c r="C2559">
        <f>IFERROR(__xludf.DUMMYFUNCTION("""COMPUTED_VALUE"""),8.0)</f>
        <v>8</v>
      </c>
      <c r="D2559" t="str">
        <f>IFERROR(__xludf.DUMMYFUNCTION("""COMPUTED_VALUE"""),"ROCKSTAR (feat. Roddy Ricch)")</f>
        <v>ROCKSTAR (feat. Roddy Ricch)</v>
      </c>
      <c r="E2559" t="str">
        <f>IFERROR(__xludf.DUMMYFUNCTION("""COMPUTED_VALUE"""),"DaBaby, Roddy Ricch")</f>
        <v>DaBaby, Roddy Ricch</v>
      </c>
      <c r="F2559" t="str">
        <f>IFERROR(__xludf.DUMMYFUNCTION("""COMPUTED_VALUE"""),"BLAME IT ON BABY")</f>
        <v>BLAME IT ON BABY</v>
      </c>
      <c r="G2559">
        <f>IFERROR(__xludf.DUMMYFUNCTION("""COMPUTED_VALUE"""),1.0)</f>
        <v>1</v>
      </c>
      <c r="H2559" s="5">
        <f>IFERROR(__xludf.DUMMYFUNCTION("""COMPUTED_VALUE"""),0.1256944444430701)</f>
        <v>0.1256944444</v>
      </c>
    </row>
    <row r="2560">
      <c r="A2560" t="str">
        <f>IFERROR(__xludf.DUMMYFUNCTION("""COMPUTED_VALUE"""),"Slovakia")</f>
        <v>Slovakia</v>
      </c>
      <c r="B2560" t="str">
        <f>IFERROR(__xludf.DUMMYFUNCTION("""COMPUTED_VALUE"""),"Europe")</f>
        <v>Europe</v>
      </c>
      <c r="C2560">
        <f>IFERROR(__xludf.DUMMYFUNCTION("""COMPUTED_VALUE"""),9.0)</f>
        <v>9</v>
      </c>
      <c r="D2560" t="str">
        <f>IFERROR(__xludf.DUMMYFUNCTION("""COMPUTED_VALUE"""),"Ahoj Ahoj Čo Ty")</f>
        <v>Ahoj Ahoj Čo Ty</v>
      </c>
      <c r="E2560" t="str">
        <f>IFERROR(__xludf.DUMMYFUNCTION("""COMPUTED_VALUE"""),"Separ")</f>
        <v>Separ</v>
      </c>
      <c r="F2560" t="str">
        <f>IFERROR(__xludf.DUMMYFUNCTION("""COMPUTED_VALUE"""),"Og")</f>
        <v>Og</v>
      </c>
      <c r="G2560">
        <f>IFERROR(__xludf.DUMMYFUNCTION("""COMPUTED_VALUE"""),1.0)</f>
        <v>1</v>
      </c>
      <c r="H2560" s="5">
        <f>IFERROR(__xludf.DUMMYFUNCTION("""COMPUTED_VALUE"""),0.09375)</f>
        <v>0.09375</v>
      </c>
    </row>
    <row r="2561">
      <c r="A2561" t="str">
        <f>IFERROR(__xludf.DUMMYFUNCTION("""COMPUTED_VALUE"""),"Slovakia")</f>
        <v>Slovakia</v>
      </c>
      <c r="B2561" t="str">
        <f>IFERROR(__xludf.DUMMYFUNCTION("""COMPUTED_VALUE"""),"Europe")</f>
        <v>Europe</v>
      </c>
      <c r="C2561">
        <f>IFERROR(__xludf.DUMMYFUNCTION("""COMPUTED_VALUE"""),10.0)</f>
        <v>10</v>
      </c>
      <c r="D2561" t="str">
        <f>IFERROR(__xludf.DUMMYFUNCTION("""COMPUTED_VALUE"""),"Og")</f>
        <v>Og</v>
      </c>
      <c r="E2561" t="str">
        <f>IFERROR(__xludf.DUMMYFUNCTION("""COMPUTED_VALUE"""),"Separ")</f>
        <v>Separ</v>
      </c>
      <c r="F2561" t="str">
        <f>IFERROR(__xludf.DUMMYFUNCTION("""COMPUTED_VALUE"""),"Og")</f>
        <v>Og</v>
      </c>
      <c r="G2561">
        <f>IFERROR(__xludf.DUMMYFUNCTION("""COMPUTED_VALUE"""),1.0)</f>
        <v>1</v>
      </c>
      <c r="H2561" s="5">
        <f>IFERROR(__xludf.DUMMYFUNCTION("""COMPUTED_VALUE"""),0.14027777777664596)</f>
        <v>0.1402777778</v>
      </c>
    </row>
    <row r="2562">
      <c r="A2562" t="str">
        <f>IFERROR(__xludf.DUMMYFUNCTION("""COMPUTED_VALUE"""),"Slovakia")</f>
        <v>Slovakia</v>
      </c>
      <c r="B2562" t="str">
        <f>IFERROR(__xludf.DUMMYFUNCTION("""COMPUTED_VALUE"""),"Europe")</f>
        <v>Europe</v>
      </c>
      <c r="C2562">
        <f>IFERROR(__xludf.DUMMYFUNCTION("""COMPUTED_VALUE"""),11.0)</f>
        <v>11</v>
      </c>
      <c r="D2562" t="str">
        <f>IFERROR(__xludf.DUMMYFUNCTION("""COMPUTED_VALUE"""),"Origami")</f>
        <v>Origami</v>
      </c>
      <c r="E2562" t="str">
        <f>IFERROR(__xludf.DUMMYFUNCTION("""COMPUTED_VALUE"""),"Separ, Ben Cristovao")</f>
        <v>Separ, Ben Cristovao</v>
      </c>
      <c r="F2562" t="str">
        <f>IFERROR(__xludf.DUMMYFUNCTION("""COMPUTED_VALUE"""),"Og")</f>
        <v>Og</v>
      </c>
      <c r="G2562">
        <f>IFERROR(__xludf.DUMMYFUNCTION("""COMPUTED_VALUE"""),1.0)</f>
        <v>1</v>
      </c>
      <c r="H2562" s="5">
        <f>IFERROR(__xludf.DUMMYFUNCTION("""COMPUTED_VALUE"""),0.15972222222262644)</f>
        <v>0.1597222222</v>
      </c>
    </row>
    <row r="2563">
      <c r="A2563" t="str">
        <f>IFERROR(__xludf.DUMMYFUNCTION("""COMPUTED_VALUE"""),"Slovakia")</f>
        <v>Slovakia</v>
      </c>
      <c r="B2563" t="str">
        <f>IFERROR(__xludf.DUMMYFUNCTION("""COMPUTED_VALUE"""),"Europe")</f>
        <v>Europe</v>
      </c>
      <c r="C2563">
        <f>IFERROR(__xludf.DUMMYFUNCTION("""COMPUTED_VALUE"""),12.0)</f>
        <v>12</v>
      </c>
      <c r="D2563" t="str">
        <f>IFERROR(__xludf.DUMMYFUNCTION("""COMPUTED_VALUE"""),"Toosie Slide")</f>
        <v>Toosie Slide</v>
      </c>
      <c r="E2563" t="str">
        <f>IFERROR(__xludf.DUMMYFUNCTION("""COMPUTED_VALUE"""),"Drake")</f>
        <v>Drake</v>
      </c>
      <c r="F2563" t="str">
        <f>IFERROR(__xludf.DUMMYFUNCTION("""COMPUTED_VALUE"""),"Dark Lane Demo Tapes")</f>
        <v>Dark Lane Demo Tapes</v>
      </c>
      <c r="G2563">
        <f>IFERROR(__xludf.DUMMYFUNCTION("""COMPUTED_VALUE"""),1.0)</f>
        <v>1</v>
      </c>
      <c r="H2563" s="5">
        <f>IFERROR(__xludf.DUMMYFUNCTION("""COMPUTED_VALUE"""),0.17152777777664596)</f>
        <v>0.1715277778</v>
      </c>
    </row>
    <row r="2564">
      <c r="A2564" t="str">
        <f>IFERROR(__xludf.DUMMYFUNCTION("""COMPUTED_VALUE"""),"Slovakia")</f>
        <v>Slovakia</v>
      </c>
      <c r="B2564" t="str">
        <f>IFERROR(__xludf.DUMMYFUNCTION("""COMPUTED_VALUE"""),"Europe")</f>
        <v>Europe</v>
      </c>
      <c r="C2564">
        <f>IFERROR(__xludf.DUMMYFUNCTION("""COMPUTED_VALUE"""),13.0)</f>
        <v>13</v>
      </c>
      <c r="D2564" t="str">
        <f>IFERROR(__xludf.DUMMYFUNCTION("""COMPUTED_VALUE"""),"Čo Odo Mňa Chcete")</f>
        <v>Čo Odo Mňa Chcete</v>
      </c>
      <c r="E2564" t="str">
        <f>IFERROR(__xludf.DUMMYFUNCTION("""COMPUTED_VALUE"""),"Separ, Karlo, Nik Tendo, Yzomandias")</f>
        <v>Separ, Karlo, Nik Tendo, Yzomandias</v>
      </c>
      <c r="F2564" t="str">
        <f>IFERROR(__xludf.DUMMYFUNCTION("""COMPUTED_VALUE"""),"Og")</f>
        <v>Og</v>
      </c>
      <c r="G2564">
        <f>IFERROR(__xludf.DUMMYFUNCTION("""COMPUTED_VALUE"""),1.0)</f>
        <v>1</v>
      </c>
      <c r="H2564" s="5">
        <f>IFERROR(__xludf.DUMMYFUNCTION("""COMPUTED_VALUE"""),0.16458333333503106)</f>
        <v>0.1645833333</v>
      </c>
    </row>
    <row r="2565">
      <c r="A2565" t="str">
        <f>IFERROR(__xludf.DUMMYFUNCTION("""COMPUTED_VALUE"""),"Slovakia")</f>
        <v>Slovakia</v>
      </c>
      <c r="B2565" t="str">
        <f>IFERROR(__xludf.DUMMYFUNCTION("""COMPUTED_VALUE"""),"Europe")</f>
        <v>Europe</v>
      </c>
      <c r="C2565">
        <f>IFERROR(__xludf.DUMMYFUNCTION("""COMPUTED_VALUE"""),14.0)</f>
        <v>14</v>
      </c>
      <c r="D2565" t="str">
        <f>IFERROR(__xludf.DUMMYFUNCTION("""COMPUTED_VALUE"""),"The Box")</f>
        <v>The Box</v>
      </c>
      <c r="E2565" t="str">
        <f>IFERROR(__xludf.DUMMYFUNCTION("""COMPUTED_VALUE"""),"Roddy Ricch")</f>
        <v>Roddy Ricch</v>
      </c>
      <c r="F2565" t="str">
        <f>IFERROR(__xludf.DUMMYFUNCTION("""COMPUTED_VALUE"""),"Please Excuse Me For Being Antisocial")</f>
        <v>Please Excuse Me For Being Antisocial</v>
      </c>
      <c r="G2565">
        <f>IFERROR(__xludf.DUMMYFUNCTION("""COMPUTED_VALUE"""),1.0)</f>
        <v>1</v>
      </c>
      <c r="H2565" s="5">
        <f>IFERROR(__xludf.DUMMYFUNCTION("""COMPUTED_VALUE"""),0.13611111111094942)</f>
        <v>0.1361111111</v>
      </c>
    </row>
    <row r="2566">
      <c r="A2566" t="str">
        <f>IFERROR(__xludf.DUMMYFUNCTION("""COMPUTED_VALUE"""),"Slovakia")</f>
        <v>Slovakia</v>
      </c>
      <c r="B2566" t="str">
        <f>IFERROR(__xludf.DUMMYFUNCTION("""COMPUTED_VALUE"""),"Europe")</f>
        <v>Europe</v>
      </c>
      <c r="C2566">
        <f>IFERROR(__xludf.DUMMYFUNCTION("""COMPUTED_VALUE"""),15.0)</f>
        <v>15</v>
      </c>
      <c r="D2566" t="str">
        <f>IFERROR(__xludf.DUMMYFUNCTION("""COMPUTED_VALUE"""),"Strýko Separ")</f>
        <v>Strýko Separ</v>
      </c>
      <c r="E2566" t="str">
        <f>IFERROR(__xludf.DUMMYFUNCTION("""COMPUTED_VALUE"""),"Separ")</f>
        <v>Separ</v>
      </c>
      <c r="F2566" t="str">
        <f>IFERROR(__xludf.DUMMYFUNCTION("""COMPUTED_VALUE"""),"Og")</f>
        <v>Og</v>
      </c>
      <c r="G2566">
        <f>IFERROR(__xludf.DUMMYFUNCTION("""COMPUTED_VALUE"""),1.0)</f>
        <v>1</v>
      </c>
      <c r="H2566" s="5">
        <f>IFERROR(__xludf.DUMMYFUNCTION("""COMPUTED_VALUE"""),0.0930555555569299)</f>
        <v>0.09305555556</v>
      </c>
    </row>
    <row r="2567">
      <c r="A2567" t="str">
        <f>IFERROR(__xludf.DUMMYFUNCTION("""COMPUTED_VALUE"""),"Slovakia")</f>
        <v>Slovakia</v>
      </c>
      <c r="B2567" t="str">
        <f>IFERROR(__xludf.DUMMYFUNCTION("""COMPUTED_VALUE"""),"Europe")</f>
        <v>Europe</v>
      </c>
      <c r="C2567">
        <f>IFERROR(__xludf.DUMMYFUNCTION("""COMPUTED_VALUE"""),16.0)</f>
        <v>16</v>
      </c>
      <c r="D2567" t="str">
        <f>IFERROR(__xludf.DUMMYFUNCTION("""COMPUTED_VALUE"""),"Čo Sa Dá")</f>
        <v>Čo Sa Dá</v>
      </c>
      <c r="E2567" t="str">
        <f>IFERROR(__xludf.DUMMYFUNCTION("""COMPUTED_VALUE"""),"Separ")</f>
        <v>Separ</v>
      </c>
      <c r="F2567" t="str">
        <f>IFERROR(__xludf.DUMMYFUNCTION("""COMPUTED_VALUE"""),"Og")</f>
        <v>Og</v>
      </c>
      <c r="G2567">
        <f>IFERROR(__xludf.DUMMYFUNCTION("""COMPUTED_VALUE"""),1.0)</f>
        <v>1</v>
      </c>
      <c r="H2567" s="5">
        <f>IFERROR(__xludf.DUMMYFUNCTION("""COMPUTED_VALUE"""),0.09999999999854481)</f>
        <v>0.1</v>
      </c>
    </row>
    <row r="2568">
      <c r="A2568" t="str">
        <f>IFERROR(__xludf.DUMMYFUNCTION("""COMPUTED_VALUE"""),"Slovakia")</f>
        <v>Slovakia</v>
      </c>
      <c r="B2568" t="str">
        <f>IFERROR(__xludf.DUMMYFUNCTION("""COMPUTED_VALUE"""),"Europe")</f>
        <v>Europe</v>
      </c>
      <c r="C2568">
        <f>IFERROR(__xludf.DUMMYFUNCTION("""COMPUTED_VALUE"""),17.0)</f>
        <v>17</v>
      </c>
      <c r="D2568" t="str">
        <f>IFERROR(__xludf.DUMMYFUNCTION("""COMPUTED_VALUE"""),"death bed (coffee for your head) (feat. beabadoobee)")</f>
        <v>death bed (coffee for your head) (feat. beabadoobee)</v>
      </c>
      <c r="E2568" t="str">
        <f>IFERROR(__xludf.DUMMYFUNCTION("""COMPUTED_VALUE"""),"Powfu, beabadoobee")</f>
        <v>Powfu, beabadoobee</v>
      </c>
      <c r="F2568" t="str">
        <f>IFERROR(__xludf.DUMMYFUNCTION("""COMPUTED_VALUE"""),"death bed (coffee for your head) (feat. beabadoobee)")</f>
        <v>death bed (coffee for your head) (feat. beabadoobee)</v>
      </c>
      <c r="G2568">
        <f>IFERROR(__xludf.DUMMYFUNCTION("""COMPUTED_VALUE"""),0.0)</f>
        <v>0</v>
      </c>
      <c r="H2568" s="5">
        <f>IFERROR(__xludf.DUMMYFUNCTION("""COMPUTED_VALUE"""),0.12013888888759539)</f>
        <v>0.1201388889</v>
      </c>
    </row>
    <row r="2569">
      <c r="A2569" t="str">
        <f>IFERROR(__xludf.DUMMYFUNCTION("""COMPUTED_VALUE"""),"Slovakia")</f>
        <v>Slovakia</v>
      </c>
      <c r="B2569" t="str">
        <f>IFERROR(__xludf.DUMMYFUNCTION("""COMPUTED_VALUE"""),"Europe")</f>
        <v>Europe</v>
      </c>
      <c r="C2569">
        <f>IFERROR(__xludf.DUMMYFUNCTION("""COMPUTED_VALUE"""),18.0)</f>
        <v>18</v>
      </c>
      <c r="D2569" t="str">
        <f>IFERROR(__xludf.DUMMYFUNCTION("""COMPUTED_VALUE"""),"Don't Start Now")</f>
        <v>Don't Start Now</v>
      </c>
      <c r="E2569" t="str">
        <f>IFERROR(__xludf.DUMMYFUNCTION("""COMPUTED_VALUE"""),"Dua Lipa")</f>
        <v>Dua Lipa</v>
      </c>
      <c r="F2569" t="str">
        <f>IFERROR(__xludf.DUMMYFUNCTION("""COMPUTED_VALUE"""),"Future Nostalgia")</f>
        <v>Future Nostalgia</v>
      </c>
      <c r="G2569">
        <f>IFERROR(__xludf.DUMMYFUNCTION("""COMPUTED_VALUE"""),0.0)</f>
        <v>0</v>
      </c>
      <c r="H2569" s="5">
        <f>IFERROR(__xludf.DUMMYFUNCTION("""COMPUTED_VALUE"""),0.12708333333284827)</f>
        <v>0.1270833333</v>
      </c>
    </row>
    <row r="2570">
      <c r="A2570" t="str">
        <f>IFERROR(__xludf.DUMMYFUNCTION("""COMPUTED_VALUE"""),"Slovakia")</f>
        <v>Slovakia</v>
      </c>
      <c r="B2570" t="str">
        <f>IFERROR(__xludf.DUMMYFUNCTION("""COMPUTED_VALUE"""),"Europe")</f>
        <v>Europe</v>
      </c>
      <c r="C2570">
        <f>IFERROR(__xludf.DUMMYFUNCTION("""COMPUTED_VALUE"""),19.0)</f>
        <v>19</v>
      </c>
      <c r="D2570" t="str">
        <f>IFERROR(__xludf.DUMMYFUNCTION("""COMPUTED_VALUE"""),"Falling")</f>
        <v>Falling</v>
      </c>
      <c r="E2570" t="str">
        <f>IFERROR(__xludf.DUMMYFUNCTION("""COMPUTED_VALUE"""),"Trevor Daniel")</f>
        <v>Trevor Daniel</v>
      </c>
      <c r="F2570" t="str">
        <f>IFERROR(__xludf.DUMMYFUNCTION("""COMPUTED_VALUE"""),"Nicotine")</f>
        <v>Nicotine</v>
      </c>
      <c r="G2570">
        <f>IFERROR(__xludf.DUMMYFUNCTION("""COMPUTED_VALUE"""),0.0)</f>
        <v>0</v>
      </c>
      <c r="H2570" s="5">
        <f>IFERROR(__xludf.DUMMYFUNCTION("""COMPUTED_VALUE"""),0.11041666666642413)</f>
        <v>0.1104166667</v>
      </c>
    </row>
    <row r="2571">
      <c r="A2571" t="str">
        <f>IFERROR(__xludf.DUMMYFUNCTION("""COMPUTED_VALUE"""),"Slovakia")</f>
        <v>Slovakia</v>
      </c>
      <c r="B2571" t="str">
        <f>IFERROR(__xludf.DUMMYFUNCTION("""COMPUTED_VALUE"""),"Europe")</f>
        <v>Europe</v>
      </c>
      <c r="C2571">
        <f>IFERROR(__xludf.DUMMYFUNCTION("""COMPUTED_VALUE"""),20.0)</f>
        <v>20</v>
      </c>
      <c r="D2571" t="str">
        <f>IFERROR(__xludf.DUMMYFUNCTION("""COMPUTED_VALUE"""),"ily (i love you baby) (feat. Emilee)")</f>
        <v>ily (i love you baby) (feat. Emilee)</v>
      </c>
      <c r="E2571" t="str">
        <f>IFERROR(__xludf.DUMMYFUNCTION("""COMPUTED_VALUE"""),"Surf Mesa, Emilee")</f>
        <v>Surf Mesa, Emilee</v>
      </c>
      <c r="F2571" t="str">
        <f>IFERROR(__xludf.DUMMYFUNCTION("""COMPUTED_VALUE"""),"ily (i love you baby) (feat. Emilee)")</f>
        <v>ily (i love you baby) (feat. Emilee)</v>
      </c>
      <c r="G2571">
        <f>IFERROR(__xludf.DUMMYFUNCTION("""COMPUTED_VALUE"""),0.0)</f>
        <v>0</v>
      </c>
      <c r="H2571" s="5">
        <f>IFERROR(__xludf.DUMMYFUNCTION("""COMPUTED_VALUE"""),0.12222222222044365)</f>
        <v>0.1222222222</v>
      </c>
    </row>
    <row r="2572">
      <c r="A2572" t="str">
        <f>IFERROR(__xludf.DUMMYFUNCTION("""COMPUTED_VALUE"""),"Slovakia")</f>
        <v>Slovakia</v>
      </c>
      <c r="B2572" t="str">
        <f>IFERROR(__xludf.DUMMYFUNCTION("""COMPUTED_VALUE"""),"Europe")</f>
        <v>Europe</v>
      </c>
      <c r="C2572">
        <f>IFERROR(__xludf.DUMMYFUNCTION("""COMPUTED_VALUE"""),21.0)</f>
        <v>21</v>
      </c>
      <c r="D2572" t="str">
        <f>IFERROR(__xludf.DUMMYFUNCTION("""COMPUTED_VALUE"""),"Boss Bitch")</f>
        <v>Boss Bitch</v>
      </c>
      <c r="E2572" t="str">
        <f>IFERROR(__xludf.DUMMYFUNCTION("""COMPUTED_VALUE"""),"Doja Cat")</f>
        <v>Doja Cat</v>
      </c>
      <c r="F2572" t="str">
        <f>IFERROR(__xludf.DUMMYFUNCTION("""COMPUTED_VALUE"""),"Boss Bitch")</f>
        <v>Boss Bitch</v>
      </c>
      <c r="G2572">
        <f>IFERROR(__xludf.DUMMYFUNCTION("""COMPUTED_VALUE"""),0.0)</f>
        <v>0</v>
      </c>
      <c r="H2572" s="5">
        <f>IFERROR(__xludf.DUMMYFUNCTION("""COMPUTED_VALUE"""),0.0930555555569299)</f>
        <v>0.09305555556</v>
      </c>
    </row>
    <row r="2573">
      <c r="A2573" t="str">
        <f>IFERROR(__xludf.DUMMYFUNCTION("""COMPUTED_VALUE"""),"Slovakia")</f>
        <v>Slovakia</v>
      </c>
      <c r="B2573" t="str">
        <f>IFERROR(__xludf.DUMMYFUNCTION("""COMPUTED_VALUE"""),"Europe")</f>
        <v>Europe</v>
      </c>
      <c r="C2573">
        <f>IFERROR(__xludf.DUMMYFUNCTION("""COMPUTED_VALUE"""),22.0)</f>
        <v>22</v>
      </c>
      <c r="D2573" t="str">
        <f>IFERROR(__xludf.DUMMYFUNCTION("""COMPUTED_VALUE"""),"Break My Heart")</f>
        <v>Break My Heart</v>
      </c>
      <c r="E2573" t="str">
        <f>IFERROR(__xludf.DUMMYFUNCTION("""COMPUTED_VALUE"""),"Dua Lipa")</f>
        <v>Dua Lipa</v>
      </c>
      <c r="F2573" t="str">
        <f>IFERROR(__xludf.DUMMYFUNCTION("""COMPUTED_VALUE"""),"Future Nostalgia")</f>
        <v>Future Nostalgia</v>
      </c>
      <c r="G2573">
        <f>IFERROR(__xludf.DUMMYFUNCTION("""COMPUTED_VALUE"""),0.0)</f>
        <v>0</v>
      </c>
      <c r="H2573" s="5">
        <f>IFERROR(__xludf.DUMMYFUNCTION("""COMPUTED_VALUE"""),0.15347222222044365)</f>
        <v>0.1534722222</v>
      </c>
    </row>
    <row r="2574">
      <c r="A2574" t="str">
        <f>IFERROR(__xludf.DUMMYFUNCTION("""COMPUTED_VALUE"""),"Slovakia")</f>
        <v>Slovakia</v>
      </c>
      <c r="B2574" t="str">
        <f>IFERROR(__xludf.DUMMYFUNCTION("""COMPUTED_VALUE"""),"Europe")</f>
        <v>Europe</v>
      </c>
      <c r="C2574">
        <f>IFERROR(__xludf.DUMMYFUNCTION("""COMPUTED_VALUE"""),23.0)</f>
        <v>23</v>
      </c>
      <c r="D2574" t="str">
        <f>IFERROR(__xludf.DUMMYFUNCTION("""COMPUTED_VALUE"""),"Dance Monkey")</f>
        <v>Dance Monkey</v>
      </c>
      <c r="E2574" t="str">
        <f>IFERROR(__xludf.DUMMYFUNCTION("""COMPUTED_VALUE"""),"Tones And I")</f>
        <v>Tones And I</v>
      </c>
      <c r="F2574" t="str">
        <f>IFERROR(__xludf.DUMMYFUNCTION("""COMPUTED_VALUE"""),"Dance Monkey (Stripped Back) / Dance Monkey")</f>
        <v>Dance Monkey (Stripped Back) / Dance Monkey</v>
      </c>
      <c r="G2574">
        <f>IFERROR(__xludf.DUMMYFUNCTION("""COMPUTED_VALUE"""),0.0)</f>
        <v>0</v>
      </c>
      <c r="H2574" s="5">
        <f>IFERROR(__xludf.DUMMYFUNCTION("""COMPUTED_VALUE"""),0.14513888888905058)</f>
        <v>0.1451388889</v>
      </c>
    </row>
    <row r="2575">
      <c r="A2575" t="str">
        <f>IFERROR(__xludf.DUMMYFUNCTION("""COMPUTED_VALUE"""),"Slovakia")</f>
        <v>Slovakia</v>
      </c>
      <c r="B2575" t="str">
        <f>IFERROR(__xludf.DUMMYFUNCTION("""COMPUTED_VALUE"""),"Europe")</f>
        <v>Europe</v>
      </c>
      <c r="C2575">
        <f>IFERROR(__xludf.DUMMYFUNCTION("""COMPUTED_VALUE"""),24.0)</f>
        <v>24</v>
      </c>
      <c r="D2575" t="str">
        <f>IFERROR(__xludf.DUMMYFUNCTION("""COMPUTED_VALUE"""),"Všetci Za Jedného")</f>
        <v>Všetci Za Jedného</v>
      </c>
      <c r="E2575" t="str">
        <f>IFERROR(__xludf.DUMMYFUNCTION("""COMPUTED_VALUE"""),"Separ, Tina")</f>
        <v>Separ, Tina</v>
      </c>
      <c r="F2575" t="str">
        <f>IFERROR(__xludf.DUMMYFUNCTION("""COMPUTED_VALUE"""),"Og")</f>
        <v>Og</v>
      </c>
      <c r="G2575">
        <f>IFERROR(__xludf.DUMMYFUNCTION("""COMPUTED_VALUE"""),0.0)</f>
        <v>0</v>
      </c>
      <c r="H2575" s="5">
        <f>IFERROR(__xludf.DUMMYFUNCTION("""COMPUTED_VALUE"""),0.16527777777810115)</f>
        <v>0.1652777778</v>
      </c>
    </row>
    <row r="2576">
      <c r="A2576" t="str">
        <f>IFERROR(__xludf.DUMMYFUNCTION("""COMPUTED_VALUE"""),"Slovakia")</f>
        <v>Slovakia</v>
      </c>
      <c r="B2576" t="str">
        <f>IFERROR(__xludf.DUMMYFUNCTION("""COMPUTED_VALUE"""),"Europe")</f>
        <v>Europe</v>
      </c>
      <c r="C2576">
        <f>IFERROR(__xludf.DUMMYFUNCTION("""COMPUTED_VALUE"""),25.0)</f>
        <v>25</v>
      </c>
      <c r="D2576" t="str">
        <f>IFERROR(__xludf.DUMMYFUNCTION("""COMPUTED_VALUE"""),"Pinokio")</f>
        <v>Pinokio</v>
      </c>
      <c r="E2576" t="str">
        <f>IFERROR(__xludf.DUMMYFUNCTION("""COMPUTED_VALUE"""),"Separ, Dano Kapitán")</f>
        <v>Separ, Dano Kapitán</v>
      </c>
      <c r="F2576" t="str">
        <f>IFERROR(__xludf.DUMMYFUNCTION("""COMPUTED_VALUE"""),"Og")</f>
        <v>Og</v>
      </c>
      <c r="G2576">
        <f>IFERROR(__xludf.DUMMYFUNCTION("""COMPUTED_VALUE"""),0.0)</f>
        <v>0</v>
      </c>
      <c r="H2576" s="5">
        <f>IFERROR(__xludf.DUMMYFUNCTION("""COMPUTED_VALUE"""),0.1506944444445253)</f>
        <v>0.1506944444</v>
      </c>
    </row>
    <row r="2577">
      <c r="A2577" t="str">
        <f>IFERROR(__xludf.DUMMYFUNCTION("""COMPUTED_VALUE"""),"Slovakia")</f>
        <v>Slovakia</v>
      </c>
      <c r="B2577" t="str">
        <f>IFERROR(__xludf.DUMMYFUNCTION("""COMPUTED_VALUE"""),"Europe")</f>
        <v>Europe</v>
      </c>
      <c r="C2577">
        <f>IFERROR(__xludf.DUMMYFUNCTION("""COMPUTED_VALUE"""),26.0)</f>
        <v>26</v>
      </c>
      <c r="D2577" t="str">
        <f>IFERROR(__xludf.DUMMYFUNCTION("""COMPUTED_VALUE"""),"Stuck with U (with Justin Bieber)")</f>
        <v>Stuck with U (with Justin Bieber)</v>
      </c>
      <c r="E2577" t="str">
        <f>IFERROR(__xludf.DUMMYFUNCTION("""COMPUTED_VALUE"""),"Ariana Grande, Justin Bieber")</f>
        <v>Ariana Grande, Justin Bieber</v>
      </c>
      <c r="F2577" t="str">
        <f>IFERROR(__xludf.DUMMYFUNCTION("""COMPUTED_VALUE"""),"Stuck with U")</f>
        <v>Stuck with U</v>
      </c>
      <c r="G2577">
        <f>IFERROR(__xludf.DUMMYFUNCTION("""COMPUTED_VALUE"""),0.0)</f>
        <v>0</v>
      </c>
      <c r="H2577" s="5">
        <f>IFERROR(__xludf.DUMMYFUNCTION("""COMPUTED_VALUE"""),0.15833333333284827)</f>
        <v>0.1583333333</v>
      </c>
    </row>
    <row r="2578">
      <c r="A2578" t="str">
        <f>IFERROR(__xludf.DUMMYFUNCTION("""COMPUTED_VALUE"""),"Slovakia")</f>
        <v>Slovakia</v>
      </c>
      <c r="B2578" t="str">
        <f>IFERROR(__xludf.DUMMYFUNCTION("""COMPUTED_VALUE"""),"Europe")</f>
        <v>Europe</v>
      </c>
      <c r="C2578">
        <f>IFERROR(__xludf.DUMMYFUNCTION("""COMPUTED_VALUE"""),27.0)</f>
        <v>27</v>
      </c>
      <c r="D2578" t="str">
        <f>IFERROR(__xludf.DUMMYFUNCTION("""COMPUTED_VALUE"""),"Blueberry Faygo")</f>
        <v>Blueberry Faygo</v>
      </c>
      <c r="E2578" t="str">
        <f>IFERROR(__xludf.DUMMYFUNCTION("""COMPUTED_VALUE"""),"Lil Mosey")</f>
        <v>Lil Mosey</v>
      </c>
      <c r="F2578" t="str">
        <f>IFERROR(__xludf.DUMMYFUNCTION("""COMPUTED_VALUE"""),"Certified Hitmaker")</f>
        <v>Certified Hitmaker</v>
      </c>
      <c r="G2578">
        <f>IFERROR(__xludf.DUMMYFUNCTION("""COMPUTED_VALUE"""),1.0)</f>
        <v>1</v>
      </c>
      <c r="H2578" s="5">
        <f>IFERROR(__xludf.DUMMYFUNCTION("""COMPUTED_VALUE"""),0.1124999999992724)</f>
        <v>0.1125</v>
      </c>
    </row>
    <row r="2579">
      <c r="A2579" t="str">
        <f>IFERROR(__xludf.DUMMYFUNCTION("""COMPUTED_VALUE"""),"Slovakia")</f>
        <v>Slovakia</v>
      </c>
      <c r="B2579" t="str">
        <f>IFERROR(__xludf.DUMMYFUNCTION("""COMPUTED_VALUE"""),"Europe")</f>
        <v>Europe</v>
      </c>
      <c r="C2579">
        <f>IFERROR(__xludf.DUMMYFUNCTION("""COMPUTED_VALUE"""),28.0)</f>
        <v>28</v>
      </c>
      <c r="D2579" t="str">
        <f>IFERROR(__xludf.DUMMYFUNCTION("""COMPUTED_VALUE"""),"Supalonely")</f>
        <v>Supalonely</v>
      </c>
      <c r="E2579" t="str">
        <f>IFERROR(__xludf.DUMMYFUNCTION("""COMPUTED_VALUE"""),"BENEE, Gus Dapperton")</f>
        <v>BENEE, Gus Dapperton</v>
      </c>
      <c r="F2579" t="str">
        <f>IFERROR(__xludf.DUMMYFUNCTION("""COMPUTED_VALUE"""),"STELLA &amp; STEVE")</f>
        <v>STELLA &amp; STEVE</v>
      </c>
      <c r="G2579">
        <f>IFERROR(__xludf.DUMMYFUNCTION("""COMPUTED_VALUE"""),1.0)</f>
        <v>1</v>
      </c>
      <c r="H2579" s="5">
        <f>IFERROR(__xludf.DUMMYFUNCTION("""COMPUTED_VALUE"""),0.15486111111022183)</f>
        <v>0.1548611111</v>
      </c>
    </row>
    <row r="2580">
      <c r="A2580" t="str">
        <f>IFERROR(__xludf.DUMMYFUNCTION("""COMPUTED_VALUE"""),"Slovakia")</f>
        <v>Slovakia</v>
      </c>
      <c r="B2580" t="str">
        <f>IFERROR(__xludf.DUMMYFUNCTION("""COMPUTED_VALUE"""),"Europe")</f>
        <v>Europe</v>
      </c>
      <c r="C2580">
        <f>IFERROR(__xludf.DUMMYFUNCTION("""COMPUTED_VALUE"""),29.0)</f>
        <v>29</v>
      </c>
      <c r="D2580" t="str">
        <f>IFERROR(__xludf.DUMMYFUNCTION("""COMPUTED_VALUE"""),"Ride It")</f>
        <v>Ride It</v>
      </c>
      <c r="E2580" t="str">
        <f>IFERROR(__xludf.DUMMYFUNCTION("""COMPUTED_VALUE"""),"Regard")</f>
        <v>Regard</v>
      </c>
      <c r="F2580" t="str">
        <f>IFERROR(__xludf.DUMMYFUNCTION("""COMPUTED_VALUE"""),"Ride It")</f>
        <v>Ride It</v>
      </c>
      <c r="G2580">
        <f>IFERROR(__xludf.DUMMYFUNCTION("""COMPUTED_VALUE"""),0.0)</f>
        <v>0</v>
      </c>
      <c r="H2580" s="5">
        <f>IFERROR(__xludf.DUMMYFUNCTION("""COMPUTED_VALUE"""),0.10902777777664596)</f>
        <v>0.1090277778</v>
      </c>
    </row>
    <row r="2581">
      <c r="A2581" t="str">
        <f>IFERROR(__xludf.DUMMYFUNCTION("""COMPUTED_VALUE"""),"Slovakia")</f>
        <v>Slovakia</v>
      </c>
      <c r="B2581" t="str">
        <f>IFERROR(__xludf.DUMMYFUNCTION("""COMPUTED_VALUE"""),"Europe")</f>
        <v>Europe</v>
      </c>
      <c r="C2581">
        <f>IFERROR(__xludf.DUMMYFUNCTION("""COMPUTED_VALUE"""),30.0)</f>
        <v>30</v>
      </c>
      <c r="D2581" t="str">
        <f>IFERROR(__xludf.DUMMYFUNCTION("""COMPUTED_VALUE"""),"In Your Eyes")</f>
        <v>In Your Eyes</v>
      </c>
      <c r="E2581" t="str">
        <f>IFERROR(__xludf.DUMMYFUNCTION("""COMPUTED_VALUE"""),"The Weeknd")</f>
        <v>The Weeknd</v>
      </c>
      <c r="F2581" t="str">
        <f>IFERROR(__xludf.DUMMYFUNCTION("""COMPUTED_VALUE"""),"After Hours")</f>
        <v>After Hours</v>
      </c>
      <c r="G2581">
        <f>IFERROR(__xludf.DUMMYFUNCTION("""COMPUTED_VALUE"""),1.0)</f>
        <v>1</v>
      </c>
      <c r="H2581" s="5">
        <f>IFERROR(__xludf.DUMMYFUNCTION("""COMPUTED_VALUE"""),0.16458333333503106)</f>
        <v>0.1645833333</v>
      </c>
    </row>
    <row r="2582">
      <c r="A2582" t="str">
        <f>IFERROR(__xludf.DUMMYFUNCTION("""COMPUTED_VALUE"""),"Slovakia")</f>
        <v>Slovakia</v>
      </c>
      <c r="B2582" t="str">
        <f>IFERROR(__xludf.DUMMYFUNCTION("""COMPUTED_VALUE"""),"Europe")</f>
        <v>Europe</v>
      </c>
      <c r="C2582">
        <f>IFERROR(__xludf.DUMMYFUNCTION("""COMPUTED_VALUE"""),31.0)</f>
        <v>31</v>
      </c>
      <c r="D2582" t="str">
        <f>IFERROR(__xludf.DUMMYFUNCTION("""COMPUTED_VALUE"""),"Watermelon Sugar")</f>
        <v>Watermelon Sugar</v>
      </c>
      <c r="E2582" t="str">
        <f>IFERROR(__xludf.DUMMYFUNCTION("""COMPUTED_VALUE"""),"Harry Styles")</f>
        <v>Harry Styles</v>
      </c>
      <c r="F2582" t="str">
        <f>IFERROR(__xludf.DUMMYFUNCTION("""COMPUTED_VALUE"""),"Fine Line")</f>
        <v>Fine Line</v>
      </c>
      <c r="G2582">
        <f>IFERROR(__xludf.DUMMYFUNCTION("""COMPUTED_VALUE"""),0.0)</f>
        <v>0</v>
      </c>
      <c r="H2582" s="5">
        <f>IFERROR(__xludf.DUMMYFUNCTION("""COMPUTED_VALUE"""),0.12083333333430346)</f>
        <v>0.1208333333</v>
      </c>
    </row>
    <row r="2583">
      <c r="A2583" t="str">
        <f>IFERROR(__xludf.DUMMYFUNCTION("""COMPUTED_VALUE"""),"Slovakia")</f>
        <v>Slovakia</v>
      </c>
      <c r="B2583" t="str">
        <f>IFERROR(__xludf.DUMMYFUNCTION("""COMPUTED_VALUE"""),"Europe")</f>
        <v>Europe</v>
      </c>
      <c r="C2583">
        <f>IFERROR(__xludf.DUMMYFUNCTION("""COMPUTED_VALUE"""),32.0)</f>
        <v>32</v>
      </c>
      <c r="D2583" t="str">
        <f>IFERROR(__xludf.DUMMYFUNCTION("""COMPUTED_VALUE"""),"Sunday Best")</f>
        <v>Sunday Best</v>
      </c>
      <c r="E2583" t="str">
        <f>IFERROR(__xludf.DUMMYFUNCTION("""COMPUTED_VALUE"""),"Surfaces")</f>
        <v>Surfaces</v>
      </c>
      <c r="F2583" t="str">
        <f>IFERROR(__xludf.DUMMYFUNCTION("""COMPUTED_VALUE"""),"Where the Light Is")</f>
        <v>Where the Light Is</v>
      </c>
      <c r="G2583">
        <f>IFERROR(__xludf.DUMMYFUNCTION("""COMPUTED_VALUE"""),0.0)</f>
        <v>0</v>
      </c>
      <c r="H2583" s="5">
        <f>IFERROR(__xludf.DUMMYFUNCTION("""COMPUTED_VALUE"""),0.10972222222335404)</f>
        <v>0.1097222222</v>
      </c>
    </row>
    <row r="2584">
      <c r="A2584" t="str">
        <f>IFERROR(__xludf.DUMMYFUNCTION("""COMPUTED_VALUE"""),"Slovakia")</f>
        <v>Slovakia</v>
      </c>
      <c r="B2584" t="str">
        <f>IFERROR(__xludf.DUMMYFUNCTION("""COMPUTED_VALUE"""),"Europe")</f>
        <v>Europe</v>
      </c>
      <c r="C2584">
        <f>IFERROR(__xludf.DUMMYFUNCTION("""COMPUTED_VALUE"""),33.0)</f>
        <v>33</v>
      </c>
      <c r="D2584" t="str">
        <f>IFERROR(__xludf.DUMMYFUNCTION("""COMPUTED_VALUE"""),"J Lo")</f>
        <v>J Lo</v>
      </c>
      <c r="E2584" t="str">
        <f>IFERROR(__xludf.DUMMYFUNCTION("""COMPUTED_VALUE"""),"Kontrafakt, Dalyb, Dokkeytino, Mirez, Zayo")</f>
        <v>Kontrafakt, Dalyb, Dokkeytino, Mirez, Zayo</v>
      </c>
      <c r="F2584" t="str">
        <f>IFERROR(__xludf.DUMMYFUNCTION("""COMPUTED_VALUE"""),"Real Newz")</f>
        <v>Real Newz</v>
      </c>
      <c r="G2584">
        <f>IFERROR(__xludf.DUMMYFUNCTION("""COMPUTED_VALUE"""),1.0)</f>
        <v>1</v>
      </c>
      <c r="H2584" s="5">
        <f>IFERROR(__xludf.DUMMYFUNCTION("""COMPUTED_VALUE"""),0.14722222222189885)</f>
        <v>0.1472222222</v>
      </c>
    </row>
    <row r="2585">
      <c r="A2585" t="str">
        <f>IFERROR(__xludf.DUMMYFUNCTION("""COMPUTED_VALUE"""),"Slovakia")</f>
        <v>Slovakia</v>
      </c>
      <c r="B2585" t="str">
        <f>IFERROR(__xludf.DUMMYFUNCTION("""COMPUTED_VALUE"""),"Europe")</f>
        <v>Europe</v>
      </c>
      <c r="C2585">
        <f>IFERROR(__xludf.DUMMYFUNCTION("""COMPUTED_VALUE"""),34.0)</f>
        <v>34</v>
      </c>
      <c r="D2585" t="str">
        <f>IFERROR(__xludf.DUMMYFUNCTION("""COMPUTED_VALUE"""),"Ruka Na Volante")</f>
        <v>Ruka Na Volante</v>
      </c>
      <c r="E2585" t="str">
        <f>IFERROR(__xludf.DUMMYFUNCTION("""COMPUTED_VALUE"""),"Nerieš")</f>
        <v>Nerieš</v>
      </c>
      <c r="F2585" t="str">
        <f>IFERROR(__xludf.DUMMYFUNCTION("""COMPUTED_VALUE"""),"OK")</f>
        <v>OK</v>
      </c>
      <c r="G2585">
        <f>IFERROR(__xludf.DUMMYFUNCTION("""COMPUTED_VALUE"""),0.0)</f>
        <v>0</v>
      </c>
      <c r="H2585" s="5">
        <f>IFERROR(__xludf.DUMMYFUNCTION("""COMPUTED_VALUE"""),0.11944444444452529)</f>
        <v>0.1194444444</v>
      </c>
    </row>
    <row r="2586">
      <c r="A2586" t="str">
        <f>IFERROR(__xludf.DUMMYFUNCTION("""COMPUTED_VALUE"""),"Slovakia")</f>
        <v>Slovakia</v>
      </c>
      <c r="B2586" t="str">
        <f>IFERROR(__xludf.DUMMYFUNCTION("""COMPUTED_VALUE"""),"Europe")</f>
        <v>Europe</v>
      </c>
      <c r="C2586">
        <f>IFERROR(__xludf.DUMMYFUNCTION("""COMPUTED_VALUE"""),35.0)</f>
        <v>35</v>
      </c>
      <c r="D2586" t="str">
        <f>IFERROR(__xludf.DUMMYFUNCTION("""COMPUTED_VALUE"""),"Circles")</f>
        <v>Circles</v>
      </c>
      <c r="E2586" t="str">
        <f>IFERROR(__xludf.DUMMYFUNCTION("""COMPUTED_VALUE"""),"Post Malone")</f>
        <v>Post Malone</v>
      </c>
      <c r="F2586" t="str">
        <f>IFERROR(__xludf.DUMMYFUNCTION("""COMPUTED_VALUE"""),"Hollywood's Bleeding")</f>
        <v>Hollywood's Bleeding</v>
      </c>
      <c r="G2586">
        <f>IFERROR(__xludf.DUMMYFUNCTION("""COMPUTED_VALUE"""),0.0)</f>
        <v>0</v>
      </c>
      <c r="H2586" s="5">
        <f>IFERROR(__xludf.DUMMYFUNCTION("""COMPUTED_VALUE"""),0.14930555555474712)</f>
        <v>0.1493055556</v>
      </c>
    </row>
    <row r="2587">
      <c r="A2587" t="str">
        <f>IFERROR(__xludf.DUMMYFUNCTION("""COMPUTED_VALUE"""),"Slovakia")</f>
        <v>Slovakia</v>
      </c>
      <c r="B2587" t="str">
        <f>IFERROR(__xludf.DUMMYFUNCTION("""COMPUTED_VALUE"""),"Europe")</f>
        <v>Europe</v>
      </c>
      <c r="C2587">
        <f>IFERROR(__xludf.DUMMYFUNCTION("""COMPUTED_VALUE"""),36.0)</f>
        <v>36</v>
      </c>
      <c r="D2587" t="str">
        <f>IFERROR(__xludf.DUMMYFUNCTION("""COMPUTED_VALUE"""),"Schíza")</f>
        <v>Schíza</v>
      </c>
      <c r="E2587" t="str">
        <f>IFERROR(__xludf.DUMMYFUNCTION("""COMPUTED_VALUE"""),"Separ, DMS")</f>
        <v>Separ, DMS</v>
      </c>
      <c r="F2587" t="str">
        <f>IFERROR(__xludf.DUMMYFUNCTION("""COMPUTED_VALUE"""),"Og")</f>
        <v>Og</v>
      </c>
      <c r="G2587">
        <f>IFERROR(__xludf.DUMMYFUNCTION("""COMPUTED_VALUE"""),1.0)</f>
        <v>1</v>
      </c>
      <c r="H2587" s="5">
        <f>IFERROR(__xludf.DUMMYFUNCTION("""COMPUTED_VALUE"""),0.1500000000014552)</f>
        <v>0.15</v>
      </c>
    </row>
    <row r="2588">
      <c r="A2588" t="str">
        <f>IFERROR(__xludf.DUMMYFUNCTION("""COMPUTED_VALUE"""),"Slovakia")</f>
        <v>Slovakia</v>
      </c>
      <c r="B2588" t="str">
        <f>IFERROR(__xludf.DUMMYFUNCTION("""COMPUTED_VALUE"""),"Europe")</f>
        <v>Europe</v>
      </c>
      <c r="C2588">
        <f>IFERROR(__xludf.DUMMYFUNCTION("""COMPUTED_VALUE"""),37.0)</f>
        <v>37</v>
      </c>
      <c r="D2588" t="str">
        <f>IFERROR(__xludf.DUMMYFUNCTION("""COMPUTED_VALUE"""),"SICKO MODE")</f>
        <v>SICKO MODE</v>
      </c>
      <c r="E2588" t="str">
        <f>IFERROR(__xludf.DUMMYFUNCTION("""COMPUTED_VALUE"""),"Travis Scott")</f>
        <v>Travis Scott</v>
      </c>
      <c r="F2588" t="str">
        <f>IFERROR(__xludf.DUMMYFUNCTION("""COMPUTED_VALUE"""),"ASTROWORLD")</f>
        <v>ASTROWORLD</v>
      </c>
      <c r="G2588">
        <f>IFERROR(__xludf.DUMMYFUNCTION("""COMPUTED_VALUE"""),1.0)</f>
        <v>1</v>
      </c>
      <c r="H2588" s="5">
        <f>IFERROR(__xludf.DUMMYFUNCTION("""COMPUTED_VALUE"""),0.21666666666715173)</f>
        <v>0.2166666667</v>
      </c>
    </row>
    <row r="2589">
      <c r="A2589" t="str">
        <f>IFERROR(__xludf.DUMMYFUNCTION("""COMPUTED_VALUE"""),"Slovakia")</f>
        <v>Slovakia</v>
      </c>
      <c r="B2589" t="str">
        <f>IFERROR(__xludf.DUMMYFUNCTION("""COMPUTED_VALUE"""),"Europe")</f>
        <v>Europe</v>
      </c>
      <c r="C2589">
        <f>IFERROR(__xludf.DUMMYFUNCTION("""COMPUTED_VALUE"""),38.0)</f>
        <v>38</v>
      </c>
      <c r="D2589" t="str">
        <f>IFERROR(__xludf.DUMMYFUNCTION("""COMPUTED_VALUE"""),"goosebumps")</f>
        <v>goosebumps</v>
      </c>
      <c r="E2589" t="str">
        <f>IFERROR(__xludf.DUMMYFUNCTION("""COMPUTED_VALUE"""),"Travis Scott")</f>
        <v>Travis Scott</v>
      </c>
      <c r="F2589" t="str">
        <f>IFERROR(__xludf.DUMMYFUNCTION("""COMPUTED_VALUE"""),"Birds In The Trap Sing McKnight")</f>
        <v>Birds In The Trap Sing McKnight</v>
      </c>
      <c r="G2589">
        <f>IFERROR(__xludf.DUMMYFUNCTION("""COMPUTED_VALUE"""),1.0)</f>
        <v>1</v>
      </c>
      <c r="H2589" s="5">
        <f>IFERROR(__xludf.DUMMYFUNCTION("""COMPUTED_VALUE"""),0.1687500000007276)</f>
        <v>0.16875</v>
      </c>
    </row>
    <row r="2590">
      <c r="A2590" t="str">
        <f>IFERROR(__xludf.DUMMYFUNCTION("""COMPUTED_VALUE"""),"Slovakia")</f>
        <v>Slovakia</v>
      </c>
      <c r="B2590" t="str">
        <f>IFERROR(__xludf.DUMMYFUNCTION("""COMPUTED_VALUE"""),"Europe")</f>
        <v>Europe</v>
      </c>
      <c r="C2590">
        <f>IFERROR(__xludf.DUMMYFUNCTION("""COMPUTED_VALUE"""),39.0)</f>
        <v>39</v>
      </c>
      <c r="D2590" t="str">
        <f>IFERROR(__xludf.DUMMYFUNCTION("""COMPUTED_VALUE"""),"Snake Moves")</f>
        <v>Snake Moves</v>
      </c>
      <c r="E2590" t="str">
        <f>IFERROR(__xludf.DUMMYFUNCTION("""COMPUTED_VALUE"""),"Separ, Yzomandias")</f>
        <v>Separ, Yzomandias</v>
      </c>
      <c r="F2590" t="str">
        <f>IFERROR(__xludf.DUMMYFUNCTION("""COMPUTED_VALUE"""),"Og")</f>
        <v>Og</v>
      </c>
      <c r="G2590">
        <f>IFERROR(__xludf.DUMMYFUNCTION("""COMPUTED_VALUE"""),1.0)</f>
        <v>1</v>
      </c>
      <c r="H2590" s="5">
        <f>IFERROR(__xludf.DUMMYFUNCTION("""COMPUTED_VALUE"""),0.10555555555401952)</f>
        <v>0.1055555556</v>
      </c>
    </row>
    <row r="2591">
      <c r="A2591" t="str">
        <f>IFERROR(__xludf.DUMMYFUNCTION("""COMPUTED_VALUE"""),"Slovakia")</f>
        <v>Slovakia</v>
      </c>
      <c r="B2591" t="str">
        <f>IFERROR(__xludf.DUMMYFUNCTION("""COMPUTED_VALUE"""),"Europe")</f>
        <v>Europe</v>
      </c>
      <c r="C2591">
        <f>IFERROR(__xludf.DUMMYFUNCTION("""COMPUTED_VALUE"""),40.0)</f>
        <v>40</v>
      </c>
      <c r="D2591" t="str">
        <f>IFERROR(__xludf.DUMMYFUNCTION("""COMPUTED_VALUE"""),"HIGHEST IN THE ROOM")</f>
        <v>HIGHEST IN THE ROOM</v>
      </c>
      <c r="E2591" t="str">
        <f>IFERROR(__xludf.DUMMYFUNCTION("""COMPUTED_VALUE"""),"Travis Scott")</f>
        <v>Travis Scott</v>
      </c>
      <c r="F2591" t="str">
        <f>IFERROR(__xludf.DUMMYFUNCTION("""COMPUTED_VALUE"""),"HIGHEST IN THE ROOM")</f>
        <v>HIGHEST IN THE ROOM</v>
      </c>
      <c r="G2591">
        <f>IFERROR(__xludf.DUMMYFUNCTION("""COMPUTED_VALUE"""),1.0)</f>
        <v>1</v>
      </c>
      <c r="H2591" s="5">
        <f>IFERROR(__xludf.DUMMYFUNCTION("""COMPUTED_VALUE"""),0.12152777777737356)</f>
        <v>0.1215277778</v>
      </c>
    </row>
    <row r="2592">
      <c r="A2592" t="str">
        <f>IFERROR(__xludf.DUMMYFUNCTION("""COMPUTED_VALUE"""),"Slovakia")</f>
        <v>Slovakia</v>
      </c>
      <c r="B2592" t="str">
        <f>IFERROR(__xludf.DUMMYFUNCTION("""COMPUTED_VALUE"""),"Europe")</f>
        <v>Europe</v>
      </c>
      <c r="C2592">
        <f>IFERROR(__xludf.DUMMYFUNCTION("""COMPUTED_VALUE"""),41.0)</f>
        <v>41</v>
      </c>
      <c r="D2592" t="str">
        <f>IFERROR(__xludf.DUMMYFUNCTION("""COMPUTED_VALUE"""),"ROXANNE")</f>
        <v>ROXANNE</v>
      </c>
      <c r="E2592" t="str">
        <f>IFERROR(__xludf.DUMMYFUNCTION("""COMPUTED_VALUE"""),"Arizona Zervas")</f>
        <v>Arizona Zervas</v>
      </c>
      <c r="F2592" t="str">
        <f>IFERROR(__xludf.DUMMYFUNCTION("""COMPUTED_VALUE"""),"ROXANNE")</f>
        <v>ROXANNE</v>
      </c>
      <c r="G2592">
        <f>IFERROR(__xludf.DUMMYFUNCTION("""COMPUTED_VALUE"""),1.0)</f>
        <v>1</v>
      </c>
      <c r="H2592" s="5">
        <f>IFERROR(__xludf.DUMMYFUNCTION("""COMPUTED_VALUE"""),0.11319444444598048)</f>
        <v>0.1131944444</v>
      </c>
    </row>
    <row r="2593">
      <c r="A2593" t="str">
        <f>IFERROR(__xludf.DUMMYFUNCTION("""COMPUTED_VALUE"""),"Slovakia")</f>
        <v>Slovakia</v>
      </c>
      <c r="B2593" t="str">
        <f>IFERROR(__xludf.DUMMYFUNCTION("""COMPUTED_VALUE"""),"Europe")</f>
        <v>Europe</v>
      </c>
      <c r="C2593">
        <f>IFERROR(__xludf.DUMMYFUNCTION("""COMPUTED_VALUE"""),42.0)</f>
        <v>42</v>
      </c>
      <c r="D2593" t="str">
        <f>IFERROR(__xludf.DUMMYFUNCTION("""COMPUTED_VALUE"""),"Neviditelnej")</f>
        <v>Neviditelnej</v>
      </c>
      <c r="E2593" t="str">
        <f>IFERROR(__xludf.DUMMYFUNCTION("""COMPUTED_VALUE"""),"Kontrafakt, Calin, Viktor Sheen")</f>
        <v>Kontrafakt, Calin, Viktor Sheen</v>
      </c>
      <c r="F2593" t="str">
        <f>IFERROR(__xludf.DUMMYFUNCTION("""COMPUTED_VALUE"""),"Real Newz")</f>
        <v>Real Newz</v>
      </c>
      <c r="G2593">
        <f>IFERROR(__xludf.DUMMYFUNCTION("""COMPUTED_VALUE"""),1.0)</f>
        <v>1</v>
      </c>
      <c r="H2593" s="5">
        <f>IFERROR(__xludf.DUMMYFUNCTION("""COMPUTED_VALUE"""),0.16041666666569654)</f>
        <v>0.1604166667</v>
      </c>
    </row>
    <row r="2594">
      <c r="A2594" t="str">
        <f>IFERROR(__xludf.DUMMYFUNCTION("""COMPUTED_VALUE"""),"Slovakia")</f>
        <v>Slovakia</v>
      </c>
      <c r="B2594" t="str">
        <f>IFERROR(__xludf.DUMMYFUNCTION("""COMPUTED_VALUE"""),"Europe")</f>
        <v>Europe</v>
      </c>
      <c r="C2594">
        <f>IFERROR(__xludf.DUMMYFUNCTION("""COMPUTED_VALUE"""),43.0)</f>
        <v>43</v>
      </c>
      <c r="D2594" t="str">
        <f>IFERROR(__xludf.DUMMYFUNCTION("""COMPUTED_VALUE"""),"Godzilla (feat. Juice WRLD)")</f>
        <v>Godzilla (feat. Juice WRLD)</v>
      </c>
      <c r="E2594" t="str">
        <f>IFERROR(__xludf.DUMMYFUNCTION("""COMPUTED_VALUE"""),"Eminem, Juice WRLD")</f>
        <v>Eminem, Juice WRLD</v>
      </c>
      <c r="F2594" t="str">
        <f>IFERROR(__xludf.DUMMYFUNCTION("""COMPUTED_VALUE"""),"Music To Be Murdered By")</f>
        <v>Music To Be Murdered By</v>
      </c>
      <c r="G2594">
        <f>IFERROR(__xludf.DUMMYFUNCTION("""COMPUTED_VALUE"""),1.0)</f>
        <v>1</v>
      </c>
      <c r="H2594" s="5">
        <f>IFERROR(__xludf.DUMMYFUNCTION("""COMPUTED_VALUE"""),0.14583333333212067)</f>
        <v>0.1458333333</v>
      </c>
    </row>
    <row r="2595">
      <c r="A2595" t="str">
        <f>IFERROR(__xludf.DUMMYFUNCTION("""COMPUTED_VALUE"""),"Slovakia")</f>
        <v>Slovakia</v>
      </c>
      <c r="B2595" t="str">
        <f>IFERROR(__xludf.DUMMYFUNCTION("""COMPUTED_VALUE"""),"Europe")</f>
        <v>Europe</v>
      </c>
      <c r="C2595">
        <f>IFERROR(__xludf.DUMMYFUNCTION("""COMPUTED_VALUE"""),44.0)</f>
        <v>44</v>
      </c>
      <c r="D2595" t="str">
        <f>IFERROR(__xludf.DUMMYFUNCTION("""COMPUTED_VALUE"""),"Be Kind (with Halsey)")</f>
        <v>Be Kind (with Halsey)</v>
      </c>
      <c r="E2595" t="str">
        <f>IFERROR(__xludf.DUMMYFUNCTION("""COMPUTED_VALUE"""),"Marshmello, Halsey")</f>
        <v>Marshmello, Halsey</v>
      </c>
      <c r="F2595" t="str">
        <f>IFERROR(__xludf.DUMMYFUNCTION("""COMPUTED_VALUE"""),"Be Kind (with Halsey)")</f>
        <v>Be Kind (with Halsey)</v>
      </c>
      <c r="G2595">
        <f>IFERROR(__xludf.DUMMYFUNCTION("""COMPUTED_VALUE"""),0.0)</f>
        <v>0</v>
      </c>
      <c r="H2595" s="5">
        <f>IFERROR(__xludf.DUMMYFUNCTION("""COMPUTED_VALUE"""),0.11944444444452529)</f>
        <v>0.1194444444</v>
      </c>
    </row>
    <row r="2596">
      <c r="A2596" t="str">
        <f>IFERROR(__xludf.DUMMYFUNCTION("""COMPUTED_VALUE"""),"Slovakia")</f>
        <v>Slovakia</v>
      </c>
      <c r="B2596" t="str">
        <f>IFERROR(__xludf.DUMMYFUNCTION("""COMPUTED_VALUE"""),"Europe")</f>
        <v>Europe</v>
      </c>
      <c r="C2596">
        <f>IFERROR(__xludf.DUMMYFUNCTION("""COMPUTED_VALUE"""),45.0)</f>
        <v>45</v>
      </c>
      <c r="D2596" t="str">
        <f>IFERROR(__xludf.DUMMYFUNCTION("""COMPUTED_VALUE"""),"Ruky Preč")</f>
        <v>Ruky Preč</v>
      </c>
      <c r="E2596" t="str">
        <f>IFERROR(__xludf.DUMMYFUNCTION("""COMPUTED_VALUE"""),"Separ, Bitman, Rest")</f>
        <v>Separ, Bitman, Rest</v>
      </c>
      <c r="F2596" t="str">
        <f>IFERROR(__xludf.DUMMYFUNCTION("""COMPUTED_VALUE"""),"Og")</f>
        <v>Og</v>
      </c>
      <c r="G2596">
        <f>IFERROR(__xludf.DUMMYFUNCTION("""COMPUTED_VALUE"""),1.0)</f>
        <v>1</v>
      </c>
      <c r="H2596" s="5">
        <f>IFERROR(__xludf.DUMMYFUNCTION("""COMPUTED_VALUE"""),0.1618055555554747)</f>
        <v>0.1618055556</v>
      </c>
    </row>
    <row r="2597">
      <c r="A2597" t="str">
        <f>IFERROR(__xludf.DUMMYFUNCTION("""COMPUTED_VALUE"""),"Slovakia")</f>
        <v>Slovakia</v>
      </c>
      <c r="B2597" t="str">
        <f>IFERROR(__xludf.DUMMYFUNCTION("""COMPUTED_VALUE"""),"Europe")</f>
        <v>Europe</v>
      </c>
      <c r="C2597">
        <f>IFERROR(__xludf.DUMMYFUNCTION("""COMPUTED_VALUE"""),46.0)</f>
        <v>46</v>
      </c>
      <c r="D2597" t="str">
        <f>IFERROR(__xludf.DUMMYFUNCTION("""COMPUTED_VALUE"""),"So Mnou")</f>
        <v>So Mnou</v>
      </c>
      <c r="E2597" t="str">
        <f>IFERROR(__xludf.DUMMYFUNCTION("""COMPUTED_VALUE"""),"Separ")</f>
        <v>Separ</v>
      </c>
      <c r="F2597" t="str">
        <f>IFERROR(__xludf.DUMMYFUNCTION("""COMPUTED_VALUE"""),"Og")</f>
        <v>Og</v>
      </c>
      <c r="G2597">
        <f>IFERROR(__xludf.DUMMYFUNCTION("""COMPUTED_VALUE"""),1.0)</f>
        <v>1</v>
      </c>
      <c r="H2597" s="5">
        <f>IFERROR(__xludf.DUMMYFUNCTION("""COMPUTED_VALUE"""),0.10208333333503106)</f>
        <v>0.1020833333</v>
      </c>
    </row>
    <row r="2598">
      <c r="A2598" t="str">
        <f>IFERROR(__xludf.DUMMYFUNCTION("""COMPUTED_VALUE"""),"Slovakia")</f>
        <v>Slovakia</v>
      </c>
      <c r="B2598" t="str">
        <f>IFERROR(__xludf.DUMMYFUNCTION("""COMPUTED_VALUE"""),"Europe")</f>
        <v>Europe</v>
      </c>
      <c r="C2598">
        <f>IFERROR(__xludf.DUMMYFUNCTION("""COMPUTED_VALUE"""),47.0)</f>
        <v>47</v>
      </c>
      <c r="D2598" t="str">
        <f>IFERROR(__xludf.DUMMYFUNCTION("""COMPUTED_VALUE"""),"Someone You Loved")</f>
        <v>Someone You Loved</v>
      </c>
      <c r="E2598" t="str">
        <f>IFERROR(__xludf.DUMMYFUNCTION("""COMPUTED_VALUE"""),"Lewis Capaldi")</f>
        <v>Lewis Capaldi</v>
      </c>
      <c r="F2598" t="str">
        <f>IFERROR(__xludf.DUMMYFUNCTION("""COMPUTED_VALUE"""),"Divinely Uninspired To A Hellish Extent")</f>
        <v>Divinely Uninspired To A Hellish Extent</v>
      </c>
      <c r="G2598">
        <f>IFERROR(__xludf.DUMMYFUNCTION("""COMPUTED_VALUE"""),0.0)</f>
        <v>0</v>
      </c>
      <c r="H2598" s="5">
        <f>IFERROR(__xludf.DUMMYFUNCTION("""COMPUTED_VALUE"""),0.12638888888977817)</f>
        <v>0.1263888889</v>
      </c>
    </row>
    <row r="2599">
      <c r="A2599" t="str">
        <f>IFERROR(__xludf.DUMMYFUNCTION("""COMPUTED_VALUE"""),"Slovakia")</f>
        <v>Slovakia</v>
      </c>
      <c r="B2599" t="str">
        <f>IFERROR(__xludf.DUMMYFUNCTION("""COMPUTED_VALUE"""),"Europe")</f>
        <v>Europe</v>
      </c>
      <c r="C2599">
        <f>IFERROR(__xludf.DUMMYFUNCTION("""COMPUTED_VALUE"""),48.0)</f>
        <v>48</v>
      </c>
      <c r="D2599" t="str">
        <f>IFERROR(__xludf.DUMMYFUNCTION("""COMPUTED_VALUE"""),"Salt")</f>
        <v>Salt</v>
      </c>
      <c r="E2599" t="str">
        <f>IFERROR(__xludf.DUMMYFUNCTION("""COMPUTED_VALUE"""),"Ava Max")</f>
        <v>Ava Max</v>
      </c>
      <c r="F2599" t="str">
        <f>IFERROR(__xludf.DUMMYFUNCTION("""COMPUTED_VALUE"""),"Salt")</f>
        <v>Salt</v>
      </c>
      <c r="G2599">
        <f>IFERROR(__xludf.DUMMYFUNCTION("""COMPUTED_VALUE"""),0.0)</f>
        <v>0</v>
      </c>
      <c r="H2599" s="5">
        <f>IFERROR(__xludf.DUMMYFUNCTION("""COMPUTED_VALUE"""),0.125)</f>
        <v>0.125</v>
      </c>
    </row>
    <row r="2600">
      <c r="A2600" t="str">
        <f>IFERROR(__xludf.DUMMYFUNCTION("""COMPUTED_VALUE"""),"Slovakia")</f>
        <v>Slovakia</v>
      </c>
      <c r="B2600" t="str">
        <f>IFERROR(__xludf.DUMMYFUNCTION("""COMPUTED_VALUE"""),"Europe")</f>
        <v>Europe</v>
      </c>
      <c r="C2600">
        <f>IFERROR(__xludf.DUMMYFUNCTION("""COMPUTED_VALUE"""),49.0)</f>
        <v>49</v>
      </c>
      <c r="D2600" t="str">
        <f>IFERROR(__xludf.DUMMYFUNCTION("""COMPUTED_VALUE"""),"Vietor")</f>
        <v>Vietor</v>
      </c>
      <c r="E2600" t="str">
        <f>IFERROR(__xludf.DUMMYFUNCTION("""COMPUTED_VALUE"""),"Separ, Nerieš")</f>
        <v>Separ, Nerieš</v>
      </c>
      <c r="F2600" t="str">
        <f>IFERROR(__xludf.DUMMYFUNCTION("""COMPUTED_VALUE"""),"Og")</f>
        <v>Og</v>
      </c>
      <c r="G2600">
        <f>IFERROR(__xludf.DUMMYFUNCTION("""COMPUTED_VALUE"""),1.0)</f>
        <v>1</v>
      </c>
      <c r="H2600" s="5">
        <f>IFERROR(__xludf.DUMMYFUNCTION("""COMPUTED_VALUE"""),0.11388888888905058)</f>
        <v>0.1138888889</v>
      </c>
    </row>
    <row r="2601">
      <c r="A2601" t="str">
        <f>IFERROR(__xludf.DUMMYFUNCTION("""COMPUTED_VALUE"""),"Slovakia")</f>
        <v>Slovakia</v>
      </c>
      <c r="B2601" t="str">
        <f>IFERROR(__xludf.DUMMYFUNCTION("""COMPUTED_VALUE"""),"Europe")</f>
        <v>Europe</v>
      </c>
      <c r="C2601">
        <f>IFERROR(__xludf.DUMMYFUNCTION("""COMPUTED_VALUE"""),50.0)</f>
        <v>50</v>
      </c>
      <c r="D2601" t="str">
        <f>IFERROR(__xludf.DUMMYFUNCTION("""COMPUTED_VALUE"""),"Hood Hero")</f>
        <v>Hood Hero</v>
      </c>
      <c r="E2601" t="str">
        <f>IFERROR(__xludf.DUMMYFUNCTION("""COMPUTED_VALUE"""),"Separ")</f>
        <v>Separ</v>
      </c>
      <c r="F2601" t="str">
        <f>IFERROR(__xludf.DUMMYFUNCTION("""COMPUTED_VALUE"""),"Og")</f>
        <v>Og</v>
      </c>
      <c r="G2601">
        <f>IFERROR(__xludf.DUMMYFUNCTION("""COMPUTED_VALUE"""),1.0)</f>
        <v>1</v>
      </c>
      <c r="H2601" s="5">
        <f>IFERROR(__xludf.DUMMYFUNCTION("""COMPUTED_VALUE"""),0.10277777777810115)</f>
        <v>0.1027777778</v>
      </c>
    </row>
    <row r="2602">
      <c r="A2602" t="str">
        <f>IFERROR(__xludf.DUMMYFUNCTION("""COMPUTED_VALUE"""),"South Africa")</f>
        <v>South Africa</v>
      </c>
      <c r="B2602" t="str">
        <f>IFERROR(__xludf.DUMMYFUNCTION("""COMPUTED_VALUE"""),"Africa")</f>
        <v>Africa</v>
      </c>
      <c r="C2602">
        <f>IFERROR(__xludf.DUMMYFUNCTION("""COMPUTED_VALUE"""),1.0)</f>
        <v>1</v>
      </c>
      <c r="D2602" t="str">
        <f>IFERROR(__xludf.DUMMYFUNCTION("""COMPUTED_VALUE"""),"Blinding Lights")</f>
        <v>Blinding Lights</v>
      </c>
      <c r="E2602" t="str">
        <f>IFERROR(__xludf.DUMMYFUNCTION("""COMPUTED_VALUE"""),"The Weeknd")</f>
        <v>The Weeknd</v>
      </c>
      <c r="F2602" t="str">
        <f>IFERROR(__xludf.DUMMYFUNCTION("""COMPUTED_VALUE"""),"After Hours")</f>
        <v>After Hours</v>
      </c>
      <c r="G2602">
        <f>IFERROR(__xludf.DUMMYFUNCTION("""COMPUTED_VALUE"""),0.0)</f>
        <v>0</v>
      </c>
      <c r="H2602" s="5">
        <f>IFERROR(__xludf.DUMMYFUNCTION("""COMPUTED_VALUE"""),0.13888888889050577)</f>
        <v>0.1388888889</v>
      </c>
    </row>
    <row r="2603">
      <c r="A2603" t="str">
        <f>IFERROR(__xludf.DUMMYFUNCTION("""COMPUTED_VALUE"""),"South Africa")</f>
        <v>South Africa</v>
      </c>
      <c r="B2603" t="str">
        <f>IFERROR(__xludf.DUMMYFUNCTION("""COMPUTED_VALUE"""),"Africa")</f>
        <v>Africa</v>
      </c>
      <c r="C2603">
        <f>IFERROR(__xludf.DUMMYFUNCTION("""COMPUTED_VALUE"""),2.0)</f>
        <v>2</v>
      </c>
      <c r="D2603" t="str">
        <f>IFERROR(__xludf.DUMMYFUNCTION("""COMPUTED_VALUE"""),"Toosie Slide")</f>
        <v>Toosie Slide</v>
      </c>
      <c r="E2603" t="str">
        <f>IFERROR(__xludf.DUMMYFUNCTION("""COMPUTED_VALUE"""),"Drake")</f>
        <v>Drake</v>
      </c>
      <c r="F2603" t="str">
        <f>IFERROR(__xludf.DUMMYFUNCTION("""COMPUTED_VALUE"""),"Dark Lane Demo Tapes")</f>
        <v>Dark Lane Demo Tapes</v>
      </c>
      <c r="G2603">
        <f>IFERROR(__xludf.DUMMYFUNCTION("""COMPUTED_VALUE"""),1.0)</f>
        <v>1</v>
      </c>
      <c r="H2603" s="5">
        <f>IFERROR(__xludf.DUMMYFUNCTION("""COMPUTED_VALUE"""),0.17152777777664596)</f>
        <v>0.1715277778</v>
      </c>
    </row>
    <row r="2604">
      <c r="A2604" t="str">
        <f>IFERROR(__xludf.DUMMYFUNCTION("""COMPUTED_VALUE"""),"South Africa")</f>
        <v>South Africa</v>
      </c>
      <c r="B2604" t="str">
        <f>IFERROR(__xludf.DUMMYFUNCTION("""COMPUTED_VALUE"""),"Africa")</f>
        <v>Africa</v>
      </c>
      <c r="C2604">
        <f>IFERROR(__xludf.DUMMYFUNCTION("""COMPUTED_VALUE"""),3.0)</f>
        <v>3</v>
      </c>
      <c r="D2604" t="str">
        <f>IFERROR(__xludf.DUMMYFUNCTION("""COMPUTED_VALUE"""),"ROCKSTAR (feat. Roddy Ricch)")</f>
        <v>ROCKSTAR (feat. Roddy Ricch)</v>
      </c>
      <c r="E2604" t="str">
        <f>IFERROR(__xludf.DUMMYFUNCTION("""COMPUTED_VALUE"""),"DaBaby, Roddy Ricch")</f>
        <v>DaBaby, Roddy Ricch</v>
      </c>
      <c r="F2604" t="str">
        <f>IFERROR(__xludf.DUMMYFUNCTION("""COMPUTED_VALUE"""),"BLAME IT ON BABY")</f>
        <v>BLAME IT ON BABY</v>
      </c>
      <c r="G2604">
        <f>IFERROR(__xludf.DUMMYFUNCTION("""COMPUTED_VALUE"""),1.0)</f>
        <v>1</v>
      </c>
      <c r="H2604" s="5">
        <f>IFERROR(__xludf.DUMMYFUNCTION("""COMPUTED_VALUE"""),0.1256944444430701)</f>
        <v>0.1256944444</v>
      </c>
    </row>
    <row r="2605">
      <c r="A2605" t="str">
        <f>IFERROR(__xludf.DUMMYFUNCTION("""COMPUTED_VALUE"""),"South Africa")</f>
        <v>South Africa</v>
      </c>
      <c r="B2605" t="str">
        <f>IFERROR(__xludf.DUMMYFUNCTION("""COMPUTED_VALUE"""),"Africa")</f>
        <v>Africa</v>
      </c>
      <c r="C2605">
        <f>IFERROR(__xludf.DUMMYFUNCTION("""COMPUTED_VALUE"""),4.0)</f>
        <v>4</v>
      </c>
      <c r="D2605" t="str">
        <f>IFERROR(__xludf.DUMMYFUNCTION("""COMPUTED_VALUE"""),"THE SCOTTS")</f>
        <v>THE SCOTTS</v>
      </c>
      <c r="E2605" t="str">
        <f>IFERROR(__xludf.DUMMYFUNCTION("""COMPUTED_VALUE"""),"THE SCOTTS, Travis Scott, Kid Cudi")</f>
        <v>THE SCOTTS, Travis Scott, Kid Cudi</v>
      </c>
      <c r="F2605" t="str">
        <f>IFERROR(__xludf.DUMMYFUNCTION("""COMPUTED_VALUE"""),"THE SCOTTS")</f>
        <v>THE SCOTTS</v>
      </c>
      <c r="G2605">
        <f>IFERROR(__xludf.DUMMYFUNCTION("""COMPUTED_VALUE"""),1.0)</f>
        <v>1</v>
      </c>
      <c r="H2605" s="5">
        <f>IFERROR(__xludf.DUMMYFUNCTION("""COMPUTED_VALUE"""),0.11458333333212067)</f>
        <v>0.1145833333</v>
      </c>
    </row>
    <row r="2606">
      <c r="A2606" t="str">
        <f>IFERROR(__xludf.DUMMYFUNCTION("""COMPUTED_VALUE"""),"South Africa")</f>
        <v>South Africa</v>
      </c>
      <c r="B2606" t="str">
        <f>IFERROR(__xludf.DUMMYFUNCTION("""COMPUTED_VALUE"""),"Africa")</f>
        <v>Africa</v>
      </c>
      <c r="C2606">
        <f>IFERROR(__xludf.DUMMYFUNCTION("""COMPUTED_VALUE"""),5.0)</f>
        <v>5</v>
      </c>
      <c r="D2606" t="str">
        <f>IFERROR(__xludf.DUMMYFUNCTION("""COMPUTED_VALUE"""),"Roses - Imanbek Remix")</f>
        <v>Roses - Imanbek Remix</v>
      </c>
      <c r="E2606" t="str">
        <f>IFERROR(__xludf.DUMMYFUNCTION("""COMPUTED_VALUE"""),"SAINt JHN, Imanbek")</f>
        <v>SAINt JHN, Imanbek</v>
      </c>
      <c r="F2606" t="str">
        <f>IFERROR(__xludf.DUMMYFUNCTION("""COMPUTED_VALUE"""),"Roses (Imanbek Remix)")</f>
        <v>Roses (Imanbek Remix)</v>
      </c>
      <c r="G2606">
        <f>IFERROR(__xludf.DUMMYFUNCTION("""COMPUTED_VALUE"""),1.0)</f>
        <v>1</v>
      </c>
      <c r="H2606" s="5">
        <f>IFERROR(__xludf.DUMMYFUNCTION("""COMPUTED_VALUE"""),0.12222222222044365)</f>
        <v>0.1222222222</v>
      </c>
    </row>
    <row r="2607">
      <c r="A2607" t="str">
        <f>IFERROR(__xludf.DUMMYFUNCTION("""COMPUTED_VALUE"""),"South Africa")</f>
        <v>South Africa</v>
      </c>
      <c r="B2607" t="str">
        <f>IFERROR(__xludf.DUMMYFUNCTION("""COMPUTED_VALUE"""),"Africa")</f>
        <v>Africa</v>
      </c>
      <c r="C2607">
        <f>IFERROR(__xludf.DUMMYFUNCTION("""COMPUTED_VALUE"""),6.0)</f>
        <v>6</v>
      </c>
      <c r="D2607" t="str">
        <f>IFERROR(__xludf.DUMMYFUNCTION("""COMPUTED_VALUE"""),"The Box")</f>
        <v>The Box</v>
      </c>
      <c r="E2607" t="str">
        <f>IFERROR(__xludf.DUMMYFUNCTION("""COMPUTED_VALUE"""),"Roddy Ricch")</f>
        <v>Roddy Ricch</v>
      </c>
      <c r="F2607" t="str">
        <f>IFERROR(__xludf.DUMMYFUNCTION("""COMPUTED_VALUE"""),"Please Excuse Me For Being Antisocial")</f>
        <v>Please Excuse Me For Being Antisocial</v>
      </c>
      <c r="G2607">
        <f>IFERROR(__xludf.DUMMYFUNCTION("""COMPUTED_VALUE"""),1.0)</f>
        <v>1</v>
      </c>
      <c r="H2607" s="5">
        <f>IFERROR(__xludf.DUMMYFUNCTION("""COMPUTED_VALUE"""),0.13611111111094942)</f>
        <v>0.1361111111</v>
      </c>
    </row>
    <row r="2608">
      <c r="A2608" t="str">
        <f>IFERROR(__xludf.DUMMYFUNCTION("""COMPUTED_VALUE"""),"South Africa")</f>
        <v>South Africa</v>
      </c>
      <c r="B2608" t="str">
        <f>IFERROR(__xludf.DUMMYFUNCTION("""COMPUTED_VALUE"""),"Africa")</f>
        <v>Africa</v>
      </c>
      <c r="C2608">
        <f>IFERROR(__xludf.DUMMYFUNCTION("""COMPUTED_VALUE"""),7.0)</f>
        <v>7</v>
      </c>
      <c r="D2608" t="str">
        <f>IFERROR(__xludf.DUMMYFUNCTION("""COMPUTED_VALUE"""),"ZOL")</f>
        <v>ZOL</v>
      </c>
      <c r="E2608" t="str">
        <f>IFERROR(__xludf.DUMMYFUNCTION("""COMPUTED_VALUE"""),"Max Hurrell")</f>
        <v>Max Hurrell</v>
      </c>
      <c r="F2608" t="str">
        <f>IFERROR(__xludf.DUMMYFUNCTION("""COMPUTED_VALUE"""),"ZOL")</f>
        <v>ZOL</v>
      </c>
      <c r="G2608">
        <f>IFERROR(__xludf.DUMMYFUNCTION("""COMPUTED_VALUE"""),0.0)</f>
        <v>0</v>
      </c>
      <c r="H2608" s="5">
        <f>IFERROR(__xludf.DUMMYFUNCTION("""COMPUTED_VALUE"""),0.09166666666715173)</f>
        <v>0.09166666667</v>
      </c>
    </row>
    <row r="2609">
      <c r="A2609" t="str">
        <f>IFERROR(__xludf.DUMMYFUNCTION("""COMPUTED_VALUE"""),"South Africa")</f>
        <v>South Africa</v>
      </c>
      <c r="B2609" t="str">
        <f>IFERROR(__xludf.DUMMYFUNCTION("""COMPUTED_VALUE"""),"Africa")</f>
        <v>Africa</v>
      </c>
      <c r="C2609">
        <f>IFERROR(__xludf.DUMMYFUNCTION("""COMPUTED_VALUE"""),8.0)</f>
        <v>8</v>
      </c>
      <c r="D2609" t="str">
        <f>IFERROR(__xludf.DUMMYFUNCTION("""COMPUTED_VALUE"""),"Blueberry Faygo")</f>
        <v>Blueberry Faygo</v>
      </c>
      <c r="E2609" t="str">
        <f>IFERROR(__xludf.DUMMYFUNCTION("""COMPUTED_VALUE"""),"Lil Mosey")</f>
        <v>Lil Mosey</v>
      </c>
      <c r="F2609" t="str">
        <f>IFERROR(__xludf.DUMMYFUNCTION("""COMPUTED_VALUE"""),"Certified Hitmaker")</f>
        <v>Certified Hitmaker</v>
      </c>
      <c r="G2609">
        <f>IFERROR(__xludf.DUMMYFUNCTION("""COMPUTED_VALUE"""),1.0)</f>
        <v>1</v>
      </c>
      <c r="H2609" s="5">
        <f>IFERROR(__xludf.DUMMYFUNCTION("""COMPUTED_VALUE"""),0.1124999999992724)</f>
        <v>0.1125</v>
      </c>
    </row>
    <row r="2610">
      <c r="A2610" t="str">
        <f>IFERROR(__xludf.DUMMYFUNCTION("""COMPUTED_VALUE"""),"South Africa")</f>
        <v>South Africa</v>
      </c>
      <c r="B2610" t="str">
        <f>IFERROR(__xludf.DUMMYFUNCTION("""COMPUTED_VALUE"""),"Africa")</f>
        <v>Africa</v>
      </c>
      <c r="C2610">
        <f>IFERROR(__xludf.DUMMYFUNCTION("""COMPUTED_VALUE"""),9.0)</f>
        <v>9</v>
      </c>
      <c r="D2610" t="str">
        <f>IFERROR(__xludf.DUMMYFUNCTION("""COMPUTED_VALUE"""),"Life Is Good (feat. Drake)")</f>
        <v>Life Is Good (feat. Drake)</v>
      </c>
      <c r="E2610" t="str">
        <f>IFERROR(__xludf.DUMMYFUNCTION("""COMPUTED_VALUE"""),"Future, Drake")</f>
        <v>Future, Drake</v>
      </c>
      <c r="F2610" t="str">
        <f>IFERROR(__xludf.DUMMYFUNCTION("""COMPUTED_VALUE"""),"High Off Life")</f>
        <v>High Off Life</v>
      </c>
      <c r="G2610">
        <f>IFERROR(__xludf.DUMMYFUNCTION("""COMPUTED_VALUE"""),1.0)</f>
        <v>1</v>
      </c>
      <c r="H2610" s="5">
        <f>IFERROR(__xludf.DUMMYFUNCTION("""COMPUTED_VALUE"""),0.16458333333503106)</f>
        <v>0.1645833333</v>
      </c>
    </row>
    <row r="2611">
      <c r="A2611" t="str">
        <f>IFERROR(__xludf.DUMMYFUNCTION("""COMPUTED_VALUE"""),"South Africa")</f>
        <v>South Africa</v>
      </c>
      <c r="B2611" t="str">
        <f>IFERROR(__xludf.DUMMYFUNCTION("""COMPUTED_VALUE"""),"Africa")</f>
        <v>Africa</v>
      </c>
      <c r="C2611">
        <f>IFERROR(__xludf.DUMMYFUNCTION("""COMPUTED_VALUE"""),10.0)</f>
        <v>10</v>
      </c>
      <c r="D2611" t="str">
        <f>IFERROR(__xludf.DUMMYFUNCTION("""COMPUTED_VALUE"""),"Rain On Me (with Ariana Grande)")</f>
        <v>Rain On Me (with Ariana Grande)</v>
      </c>
      <c r="E2611" t="str">
        <f>IFERROR(__xludf.DUMMYFUNCTION("""COMPUTED_VALUE"""),"Lady Gaga, Ariana Grande")</f>
        <v>Lady Gaga, Ariana Grande</v>
      </c>
      <c r="F2611" t="str">
        <f>IFERROR(__xludf.DUMMYFUNCTION("""COMPUTED_VALUE"""),"Rain On Me (with Ariana Grande)")</f>
        <v>Rain On Me (with Ariana Grande)</v>
      </c>
      <c r="G2611">
        <f>IFERROR(__xludf.DUMMYFUNCTION("""COMPUTED_VALUE"""),0.0)</f>
        <v>0</v>
      </c>
      <c r="H2611" s="5">
        <f>IFERROR(__xludf.DUMMYFUNCTION("""COMPUTED_VALUE"""),0.12638888888977817)</f>
        <v>0.1263888889</v>
      </c>
    </row>
    <row r="2612">
      <c r="A2612" t="str">
        <f>IFERROR(__xludf.DUMMYFUNCTION("""COMPUTED_VALUE"""),"South Africa")</f>
        <v>South Africa</v>
      </c>
      <c r="B2612" t="str">
        <f>IFERROR(__xludf.DUMMYFUNCTION("""COMPUTED_VALUE"""),"Africa")</f>
        <v>Africa</v>
      </c>
      <c r="C2612">
        <f>IFERROR(__xludf.DUMMYFUNCTION("""COMPUTED_VALUE"""),11.0)</f>
        <v>11</v>
      </c>
      <c r="D2612" t="str">
        <f>IFERROR(__xludf.DUMMYFUNCTION("""COMPUTED_VALUE"""),"Dance Monkey")</f>
        <v>Dance Monkey</v>
      </c>
      <c r="E2612" t="str">
        <f>IFERROR(__xludf.DUMMYFUNCTION("""COMPUTED_VALUE"""),"Tones And I")</f>
        <v>Tones And I</v>
      </c>
      <c r="F2612" t="str">
        <f>IFERROR(__xludf.DUMMYFUNCTION("""COMPUTED_VALUE"""),"Dance Monkey (Stripped Back) / Dance Monkey")</f>
        <v>Dance Monkey (Stripped Back) / Dance Monkey</v>
      </c>
      <c r="G2612">
        <f>IFERROR(__xludf.DUMMYFUNCTION("""COMPUTED_VALUE"""),0.0)</f>
        <v>0</v>
      </c>
      <c r="H2612" s="5">
        <f>IFERROR(__xludf.DUMMYFUNCTION("""COMPUTED_VALUE"""),0.14513888888905058)</f>
        <v>0.1451388889</v>
      </c>
    </row>
    <row r="2613">
      <c r="A2613" t="str">
        <f>IFERROR(__xludf.DUMMYFUNCTION("""COMPUTED_VALUE"""),"South Africa")</f>
        <v>South Africa</v>
      </c>
      <c r="B2613" t="str">
        <f>IFERROR(__xludf.DUMMYFUNCTION("""COMPUTED_VALUE"""),"Africa")</f>
        <v>Africa</v>
      </c>
      <c r="C2613">
        <f>IFERROR(__xludf.DUMMYFUNCTION("""COMPUTED_VALUE"""),12.0)</f>
        <v>12</v>
      </c>
      <c r="D2613" t="str">
        <f>IFERROR(__xludf.DUMMYFUNCTION("""COMPUTED_VALUE"""),"Don't Start Now")</f>
        <v>Don't Start Now</v>
      </c>
      <c r="E2613" t="str">
        <f>IFERROR(__xludf.DUMMYFUNCTION("""COMPUTED_VALUE"""),"Dua Lipa")</f>
        <v>Dua Lipa</v>
      </c>
      <c r="F2613" t="str">
        <f>IFERROR(__xludf.DUMMYFUNCTION("""COMPUTED_VALUE"""),"Future Nostalgia")</f>
        <v>Future Nostalgia</v>
      </c>
      <c r="G2613">
        <f>IFERROR(__xludf.DUMMYFUNCTION("""COMPUTED_VALUE"""),0.0)</f>
        <v>0</v>
      </c>
      <c r="H2613" s="5">
        <f>IFERROR(__xludf.DUMMYFUNCTION("""COMPUTED_VALUE"""),0.12708333333284827)</f>
        <v>0.1270833333</v>
      </c>
    </row>
    <row r="2614">
      <c r="A2614" t="str">
        <f>IFERROR(__xludf.DUMMYFUNCTION("""COMPUTED_VALUE"""),"South Africa")</f>
        <v>South Africa</v>
      </c>
      <c r="B2614" t="str">
        <f>IFERROR(__xludf.DUMMYFUNCTION("""COMPUTED_VALUE"""),"Africa")</f>
        <v>Africa</v>
      </c>
      <c r="C2614">
        <f>IFERROR(__xludf.DUMMYFUNCTION("""COMPUTED_VALUE"""),13.0)</f>
        <v>13</v>
      </c>
      <c r="D2614" t="str">
        <f>IFERROR(__xludf.DUMMYFUNCTION("""COMPUTED_VALUE"""),"Intentions (feat. Quavo)")</f>
        <v>Intentions (feat. Quavo)</v>
      </c>
      <c r="E2614" t="str">
        <f>IFERROR(__xludf.DUMMYFUNCTION("""COMPUTED_VALUE"""),"Justin Bieber, Quavo")</f>
        <v>Justin Bieber, Quavo</v>
      </c>
      <c r="F2614" t="str">
        <f>IFERROR(__xludf.DUMMYFUNCTION("""COMPUTED_VALUE"""),"Changes")</f>
        <v>Changes</v>
      </c>
      <c r="G2614">
        <f>IFERROR(__xludf.DUMMYFUNCTION("""COMPUTED_VALUE"""),0.0)</f>
        <v>0</v>
      </c>
      <c r="H2614" s="5">
        <f>IFERROR(__xludf.DUMMYFUNCTION("""COMPUTED_VALUE"""),0.14722222222189885)</f>
        <v>0.1472222222</v>
      </c>
    </row>
    <row r="2615">
      <c r="A2615" t="str">
        <f>IFERROR(__xludf.DUMMYFUNCTION("""COMPUTED_VALUE"""),"South Africa")</f>
        <v>South Africa</v>
      </c>
      <c r="B2615" t="str">
        <f>IFERROR(__xludf.DUMMYFUNCTION("""COMPUTED_VALUE"""),"Africa")</f>
        <v>Africa</v>
      </c>
      <c r="C2615">
        <f>IFERROR(__xludf.DUMMYFUNCTION("""COMPUTED_VALUE"""),14.0)</f>
        <v>14</v>
      </c>
      <c r="D2615" t="str">
        <f>IFERROR(__xludf.DUMMYFUNCTION("""COMPUTED_VALUE"""),"Circles")</f>
        <v>Circles</v>
      </c>
      <c r="E2615" t="str">
        <f>IFERROR(__xludf.DUMMYFUNCTION("""COMPUTED_VALUE"""),"Post Malone")</f>
        <v>Post Malone</v>
      </c>
      <c r="F2615" t="str">
        <f>IFERROR(__xludf.DUMMYFUNCTION("""COMPUTED_VALUE"""),"Hollywood's Bleeding")</f>
        <v>Hollywood's Bleeding</v>
      </c>
      <c r="G2615">
        <f>IFERROR(__xludf.DUMMYFUNCTION("""COMPUTED_VALUE"""),0.0)</f>
        <v>0</v>
      </c>
      <c r="H2615" s="5">
        <f>IFERROR(__xludf.DUMMYFUNCTION("""COMPUTED_VALUE"""),0.14930555555474712)</f>
        <v>0.1493055556</v>
      </c>
    </row>
    <row r="2616">
      <c r="A2616" t="str">
        <f>IFERROR(__xludf.DUMMYFUNCTION("""COMPUTED_VALUE"""),"South Africa")</f>
        <v>South Africa</v>
      </c>
      <c r="B2616" t="str">
        <f>IFERROR(__xludf.DUMMYFUNCTION("""COMPUTED_VALUE"""),"Africa")</f>
        <v>Africa</v>
      </c>
      <c r="C2616">
        <f>IFERROR(__xludf.DUMMYFUNCTION("""COMPUTED_VALUE"""),15.0)</f>
        <v>15</v>
      </c>
      <c r="D2616" t="str">
        <f>IFERROR(__xludf.DUMMYFUNCTION("""COMPUTED_VALUE"""),"death bed (coffee for your head) (feat. beabadoobee)")</f>
        <v>death bed (coffee for your head) (feat. beabadoobee)</v>
      </c>
      <c r="E2616" t="str">
        <f>IFERROR(__xludf.DUMMYFUNCTION("""COMPUTED_VALUE"""),"Powfu, beabadoobee")</f>
        <v>Powfu, beabadoobee</v>
      </c>
      <c r="F2616" t="str">
        <f>IFERROR(__xludf.DUMMYFUNCTION("""COMPUTED_VALUE"""),"death bed (coffee for your head) (feat. beabadoobee)")</f>
        <v>death bed (coffee for your head) (feat. beabadoobee)</v>
      </c>
      <c r="G2616">
        <f>IFERROR(__xludf.DUMMYFUNCTION("""COMPUTED_VALUE"""),0.0)</f>
        <v>0</v>
      </c>
      <c r="H2616" s="5">
        <f>IFERROR(__xludf.DUMMYFUNCTION("""COMPUTED_VALUE"""),0.12013888888759539)</f>
        <v>0.1201388889</v>
      </c>
    </row>
    <row r="2617">
      <c r="A2617" t="str">
        <f>IFERROR(__xludf.DUMMYFUNCTION("""COMPUTED_VALUE"""),"South Africa")</f>
        <v>South Africa</v>
      </c>
      <c r="B2617" t="str">
        <f>IFERROR(__xludf.DUMMYFUNCTION("""COMPUTED_VALUE"""),"Africa")</f>
        <v>Africa</v>
      </c>
      <c r="C2617">
        <f>IFERROR(__xludf.DUMMYFUNCTION("""COMPUTED_VALUE"""),16.0)</f>
        <v>16</v>
      </c>
      <c r="D2617" t="str">
        <f>IFERROR(__xludf.DUMMYFUNCTION("""COMPUTED_VALUE"""),"Someone You Loved")</f>
        <v>Someone You Loved</v>
      </c>
      <c r="E2617" t="str">
        <f>IFERROR(__xludf.DUMMYFUNCTION("""COMPUTED_VALUE"""),"Lewis Capaldi")</f>
        <v>Lewis Capaldi</v>
      </c>
      <c r="F2617" t="str">
        <f>IFERROR(__xludf.DUMMYFUNCTION("""COMPUTED_VALUE"""),"Divinely Uninspired To A Hellish Extent")</f>
        <v>Divinely Uninspired To A Hellish Extent</v>
      </c>
      <c r="G2617">
        <f>IFERROR(__xludf.DUMMYFUNCTION("""COMPUTED_VALUE"""),0.0)</f>
        <v>0</v>
      </c>
      <c r="H2617" s="5">
        <f>IFERROR(__xludf.DUMMYFUNCTION("""COMPUTED_VALUE"""),0.12638888888977817)</f>
        <v>0.1263888889</v>
      </c>
    </row>
    <row r="2618">
      <c r="A2618" t="str">
        <f>IFERROR(__xludf.DUMMYFUNCTION("""COMPUTED_VALUE"""),"South Africa")</f>
        <v>South Africa</v>
      </c>
      <c r="B2618" t="str">
        <f>IFERROR(__xludf.DUMMYFUNCTION("""COMPUTED_VALUE"""),"Africa")</f>
        <v>Africa</v>
      </c>
      <c r="C2618">
        <f>IFERROR(__xludf.DUMMYFUNCTION("""COMPUTED_VALUE"""),17.0)</f>
        <v>17</v>
      </c>
      <c r="D2618" t="str">
        <f>IFERROR(__xludf.DUMMYFUNCTION("""COMPUTED_VALUE"""),"Stuck with U (with Justin Bieber)")</f>
        <v>Stuck with U (with Justin Bieber)</v>
      </c>
      <c r="E2618" t="str">
        <f>IFERROR(__xludf.DUMMYFUNCTION("""COMPUTED_VALUE"""),"Ariana Grande, Justin Bieber")</f>
        <v>Ariana Grande, Justin Bieber</v>
      </c>
      <c r="F2618" t="str">
        <f>IFERROR(__xludf.DUMMYFUNCTION("""COMPUTED_VALUE"""),"Stuck with U")</f>
        <v>Stuck with U</v>
      </c>
      <c r="G2618">
        <f>IFERROR(__xludf.DUMMYFUNCTION("""COMPUTED_VALUE"""),0.0)</f>
        <v>0</v>
      </c>
      <c r="H2618" s="5">
        <f>IFERROR(__xludf.DUMMYFUNCTION("""COMPUTED_VALUE"""),0.15833333333284827)</f>
        <v>0.1583333333</v>
      </c>
    </row>
    <row r="2619">
      <c r="A2619" t="str">
        <f>IFERROR(__xludf.DUMMYFUNCTION("""COMPUTED_VALUE"""),"South Africa")</f>
        <v>South Africa</v>
      </c>
      <c r="B2619" t="str">
        <f>IFERROR(__xludf.DUMMYFUNCTION("""COMPUTED_VALUE"""),"Africa")</f>
        <v>Africa</v>
      </c>
      <c r="C2619">
        <f>IFERROR(__xludf.DUMMYFUNCTION("""COMPUTED_VALUE"""),18.0)</f>
        <v>18</v>
      </c>
      <c r="D2619" t="str">
        <f>IFERROR(__xludf.DUMMYFUNCTION("""COMPUTED_VALUE"""),"Falling")</f>
        <v>Falling</v>
      </c>
      <c r="E2619" t="str">
        <f>IFERROR(__xludf.DUMMYFUNCTION("""COMPUTED_VALUE"""),"Trevor Daniel")</f>
        <v>Trevor Daniel</v>
      </c>
      <c r="F2619" t="str">
        <f>IFERROR(__xludf.DUMMYFUNCTION("""COMPUTED_VALUE"""),"Nicotine")</f>
        <v>Nicotine</v>
      </c>
      <c r="G2619">
        <f>IFERROR(__xludf.DUMMYFUNCTION("""COMPUTED_VALUE"""),0.0)</f>
        <v>0</v>
      </c>
      <c r="H2619" s="5">
        <f>IFERROR(__xludf.DUMMYFUNCTION("""COMPUTED_VALUE"""),0.11041666666642413)</f>
        <v>0.1104166667</v>
      </c>
    </row>
    <row r="2620">
      <c r="A2620" t="str">
        <f>IFERROR(__xludf.DUMMYFUNCTION("""COMPUTED_VALUE"""),"South Africa")</f>
        <v>South Africa</v>
      </c>
      <c r="B2620" t="str">
        <f>IFERROR(__xludf.DUMMYFUNCTION("""COMPUTED_VALUE"""),"Africa")</f>
        <v>Africa</v>
      </c>
      <c r="C2620">
        <f>IFERROR(__xludf.DUMMYFUNCTION("""COMPUTED_VALUE"""),19.0)</f>
        <v>19</v>
      </c>
      <c r="D2620" t="str">
        <f>IFERROR(__xludf.DUMMYFUNCTION("""COMPUTED_VALUE"""),"Savage Remix (feat. Beyoncé)")</f>
        <v>Savage Remix (feat. Beyoncé)</v>
      </c>
      <c r="E2620" t="str">
        <f>IFERROR(__xludf.DUMMYFUNCTION("""COMPUTED_VALUE"""),"Megan Thee Stallion, Beyoncé")</f>
        <v>Megan Thee Stallion, Beyoncé</v>
      </c>
      <c r="F2620" t="str">
        <f>IFERROR(__xludf.DUMMYFUNCTION("""COMPUTED_VALUE"""),"Savage Remix (feat. Beyoncé)")</f>
        <v>Savage Remix (feat. Beyoncé)</v>
      </c>
      <c r="G2620">
        <f>IFERROR(__xludf.DUMMYFUNCTION("""COMPUTED_VALUE"""),1.0)</f>
        <v>1</v>
      </c>
      <c r="H2620" s="5">
        <f>IFERROR(__xludf.DUMMYFUNCTION("""COMPUTED_VALUE"""),0.16805555555401952)</f>
        <v>0.1680555556</v>
      </c>
    </row>
    <row r="2621">
      <c r="A2621" t="str">
        <f>IFERROR(__xludf.DUMMYFUNCTION("""COMPUTED_VALUE"""),"South Africa")</f>
        <v>South Africa</v>
      </c>
      <c r="B2621" t="str">
        <f>IFERROR(__xludf.DUMMYFUNCTION("""COMPUTED_VALUE"""),"Africa")</f>
        <v>Africa</v>
      </c>
      <c r="C2621">
        <f>IFERROR(__xludf.DUMMYFUNCTION("""COMPUTED_VALUE"""),20.0)</f>
        <v>20</v>
      </c>
      <c r="D2621" t="str">
        <f>IFERROR(__xludf.DUMMYFUNCTION("""COMPUTED_VALUE"""),"WHATS POPPIN")</f>
        <v>WHATS POPPIN</v>
      </c>
      <c r="E2621" t="str">
        <f>IFERROR(__xludf.DUMMYFUNCTION("""COMPUTED_VALUE"""),"Jack Harlow")</f>
        <v>Jack Harlow</v>
      </c>
      <c r="F2621" t="str">
        <f>IFERROR(__xludf.DUMMYFUNCTION("""COMPUTED_VALUE"""),"Sweet Action")</f>
        <v>Sweet Action</v>
      </c>
      <c r="G2621">
        <f>IFERROR(__xludf.DUMMYFUNCTION("""COMPUTED_VALUE"""),1.0)</f>
        <v>1</v>
      </c>
      <c r="H2621" s="5">
        <f>IFERROR(__xludf.DUMMYFUNCTION("""COMPUTED_VALUE"""),0.09652777777955635)</f>
        <v>0.09652777778</v>
      </c>
    </row>
    <row r="2622">
      <c r="A2622" t="str">
        <f>IFERROR(__xludf.DUMMYFUNCTION("""COMPUTED_VALUE"""),"South Africa")</f>
        <v>South Africa</v>
      </c>
      <c r="B2622" t="str">
        <f>IFERROR(__xludf.DUMMYFUNCTION("""COMPUTED_VALUE"""),"Africa")</f>
        <v>Africa</v>
      </c>
      <c r="C2622">
        <f>IFERROR(__xludf.DUMMYFUNCTION("""COMPUTED_VALUE"""),21.0)</f>
        <v>21</v>
      </c>
      <c r="D2622" t="str">
        <f>IFERROR(__xludf.DUMMYFUNCTION("""COMPUTED_VALUE"""),"Memories")</f>
        <v>Memories</v>
      </c>
      <c r="E2622" t="str">
        <f>IFERROR(__xludf.DUMMYFUNCTION("""COMPUTED_VALUE"""),"Maroon 5")</f>
        <v>Maroon 5</v>
      </c>
      <c r="F2622" t="str">
        <f>IFERROR(__xludf.DUMMYFUNCTION("""COMPUTED_VALUE"""),"Memories")</f>
        <v>Memories</v>
      </c>
      <c r="G2622">
        <f>IFERROR(__xludf.DUMMYFUNCTION("""COMPUTED_VALUE"""),0.0)</f>
        <v>0</v>
      </c>
      <c r="H2622" s="5">
        <f>IFERROR(__xludf.DUMMYFUNCTION("""COMPUTED_VALUE"""),0.1312499999985448)</f>
        <v>0.13125</v>
      </c>
    </row>
    <row r="2623">
      <c r="A2623" t="str">
        <f>IFERROR(__xludf.DUMMYFUNCTION("""COMPUTED_VALUE"""),"South Africa")</f>
        <v>South Africa</v>
      </c>
      <c r="B2623" t="str">
        <f>IFERROR(__xludf.DUMMYFUNCTION("""COMPUTED_VALUE"""),"Africa")</f>
        <v>Africa</v>
      </c>
      <c r="C2623">
        <f>IFERROR(__xludf.DUMMYFUNCTION("""COMPUTED_VALUE"""),22.0)</f>
        <v>22</v>
      </c>
      <c r="D2623" t="str">
        <f>IFERROR(__xludf.DUMMYFUNCTION("""COMPUTED_VALUE"""),"You're the One")</f>
        <v>You're the One</v>
      </c>
      <c r="E2623" t="str">
        <f>IFERROR(__xludf.DUMMYFUNCTION("""COMPUTED_VALUE"""),"Elaine")</f>
        <v>Elaine</v>
      </c>
      <c r="F2623" t="str">
        <f>IFERROR(__xludf.DUMMYFUNCTION("""COMPUTED_VALUE"""),"Elements")</f>
        <v>Elements</v>
      </c>
      <c r="G2623">
        <f>IFERROR(__xludf.DUMMYFUNCTION("""COMPUTED_VALUE"""),0.0)</f>
        <v>0</v>
      </c>
      <c r="H2623" s="5">
        <f>IFERROR(__xludf.DUMMYFUNCTION("""COMPUTED_VALUE"""),0.13888888889050577)</f>
        <v>0.1388888889</v>
      </c>
    </row>
    <row r="2624">
      <c r="A2624" t="str">
        <f>IFERROR(__xludf.DUMMYFUNCTION("""COMPUTED_VALUE"""),"South Africa")</f>
        <v>South Africa</v>
      </c>
      <c r="B2624" t="str">
        <f>IFERROR(__xludf.DUMMYFUNCTION("""COMPUTED_VALUE"""),"Africa")</f>
        <v>Africa</v>
      </c>
      <c r="C2624">
        <f>IFERROR(__xludf.DUMMYFUNCTION("""COMPUTED_VALUE"""),23.0)</f>
        <v>23</v>
      </c>
      <c r="D2624" t="str">
        <f>IFERROR(__xludf.DUMMYFUNCTION("""COMPUTED_VALUE"""),"In Your Eyes")</f>
        <v>In Your Eyes</v>
      </c>
      <c r="E2624" t="str">
        <f>IFERROR(__xludf.DUMMYFUNCTION("""COMPUTED_VALUE"""),"The Weeknd")</f>
        <v>The Weeknd</v>
      </c>
      <c r="F2624" t="str">
        <f>IFERROR(__xludf.DUMMYFUNCTION("""COMPUTED_VALUE"""),"After Hours")</f>
        <v>After Hours</v>
      </c>
      <c r="G2624">
        <f>IFERROR(__xludf.DUMMYFUNCTION("""COMPUTED_VALUE"""),1.0)</f>
        <v>1</v>
      </c>
      <c r="H2624" s="5">
        <f>IFERROR(__xludf.DUMMYFUNCTION("""COMPUTED_VALUE"""),0.16458333333503106)</f>
        <v>0.1645833333</v>
      </c>
    </row>
    <row r="2625">
      <c r="A2625" t="str">
        <f>IFERROR(__xludf.DUMMYFUNCTION("""COMPUTED_VALUE"""),"South Africa")</f>
        <v>South Africa</v>
      </c>
      <c r="B2625" t="str">
        <f>IFERROR(__xludf.DUMMYFUNCTION("""COMPUTED_VALUE"""),"Africa")</f>
        <v>Africa</v>
      </c>
      <c r="C2625">
        <f>IFERROR(__xludf.DUMMYFUNCTION("""COMPUTED_VALUE"""),24.0)</f>
        <v>24</v>
      </c>
      <c r="D2625" t="str">
        <f>IFERROR(__xludf.DUMMYFUNCTION("""COMPUTED_VALUE"""),"Chicago Freestyle (feat. Giveon)")</f>
        <v>Chicago Freestyle (feat. Giveon)</v>
      </c>
      <c r="E2625" t="str">
        <f>IFERROR(__xludf.DUMMYFUNCTION("""COMPUTED_VALUE"""),"Drake, Giveon")</f>
        <v>Drake, Giveon</v>
      </c>
      <c r="F2625" t="str">
        <f>IFERROR(__xludf.DUMMYFUNCTION("""COMPUTED_VALUE"""),"Dark Lane Demo Tapes")</f>
        <v>Dark Lane Demo Tapes</v>
      </c>
      <c r="G2625">
        <f>IFERROR(__xludf.DUMMYFUNCTION("""COMPUTED_VALUE"""),1.0)</f>
        <v>1</v>
      </c>
      <c r="H2625" s="5">
        <f>IFERROR(__xludf.DUMMYFUNCTION("""COMPUTED_VALUE"""),0.15277777777737356)</f>
        <v>0.1527777778</v>
      </c>
    </row>
    <row r="2626">
      <c r="A2626" t="str">
        <f>IFERROR(__xludf.DUMMYFUNCTION("""COMPUTED_VALUE"""),"South Africa")</f>
        <v>South Africa</v>
      </c>
      <c r="B2626" t="str">
        <f>IFERROR(__xludf.DUMMYFUNCTION("""COMPUTED_VALUE"""),"Africa")</f>
        <v>Africa</v>
      </c>
      <c r="C2626">
        <f>IFERROR(__xludf.DUMMYFUNCTION("""COMPUTED_VALUE"""),25.0)</f>
        <v>25</v>
      </c>
      <c r="D2626" t="str">
        <f>IFERROR(__xludf.DUMMYFUNCTION("""COMPUTED_VALUE"""),"Say So (feat. Nicki Minaj)")</f>
        <v>Say So (feat. Nicki Minaj)</v>
      </c>
      <c r="E2626" t="str">
        <f>IFERROR(__xludf.DUMMYFUNCTION("""COMPUTED_VALUE"""),"Doja Cat, Nicki Minaj")</f>
        <v>Doja Cat, Nicki Minaj</v>
      </c>
      <c r="F2626" t="str">
        <f>IFERROR(__xludf.DUMMYFUNCTION("""COMPUTED_VALUE"""),"Say So (feat. Nicki Minaj)")</f>
        <v>Say So (feat. Nicki Minaj)</v>
      </c>
      <c r="G2626">
        <f>IFERROR(__xludf.DUMMYFUNCTION("""COMPUTED_VALUE"""),1.0)</f>
        <v>1</v>
      </c>
      <c r="H2626" s="5">
        <f>IFERROR(__xludf.DUMMYFUNCTION("""COMPUTED_VALUE"""),0.1430555555562023)</f>
        <v>0.1430555556</v>
      </c>
    </row>
    <row r="2627">
      <c r="A2627" t="str">
        <f>IFERROR(__xludf.DUMMYFUNCTION("""COMPUTED_VALUE"""),"South Africa")</f>
        <v>South Africa</v>
      </c>
      <c r="B2627" t="str">
        <f>IFERROR(__xludf.DUMMYFUNCTION("""COMPUTED_VALUE"""),"Africa")</f>
        <v>Africa</v>
      </c>
      <c r="C2627">
        <f>IFERROR(__xludf.DUMMYFUNCTION("""COMPUTED_VALUE"""),26.0)</f>
        <v>26</v>
      </c>
      <c r="D2627" t="str">
        <f>IFERROR(__xludf.DUMMYFUNCTION("""COMPUTED_VALUE"""),"HIGHEST IN THE ROOM")</f>
        <v>HIGHEST IN THE ROOM</v>
      </c>
      <c r="E2627" t="str">
        <f>IFERROR(__xludf.DUMMYFUNCTION("""COMPUTED_VALUE"""),"Travis Scott")</f>
        <v>Travis Scott</v>
      </c>
      <c r="F2627" t="str">
        <f>IFERROR(__xludf.DUMMYFUNCTION("""COMPUTED_VALUE"""),"HIGHEST IN THE ROOM")</f>
        <v>HIGHEST IN THE ROOM</v>
      </c>
      <c r="G2627">
        <f>IFERROR(__xludf.DUMMYFUNCTION("""COMPUTED_VALUE"""),1.0)</f>
        <v>1</v>
      </c>
      <c r="H2627" s="5">
        <f>IFERROR(__xludf.DUMMYFUNCTION("""COMPUTED_VALUE"""),0.12152777777737356)</f>
        <v>0.1215277778</v>
      </c>
    </row>
    <row r="2628">
      <c r="A2628" t="str">
        <f>IFERROR(__xludf.DUMMYFUNCTION("""COMPUTED_VALUE"""),"South Africa")</f>
        <v>South Africa</v>
      </c>
      <c r="B2628" t="str">
        <f>IFERROR(__xludf.DUMMYFUNCTION("""COMPUTED_VALUE"""),"Africa")</f>
        <v>Africa</v>
      </c>
      <c r="C2628">
        <f>IFERROR(__xludf.DUMMYFUNCTION("""COMPUTED_VALUE"""),27.0)</f>
        <v>27</v>
      </c>
      <c r="D2628" t="str">
        <f>IFERROR(__xludf.DUMMYFUNCTION("""COMPUTED_VALUE"""),"goosebumps")</f>
        <v>goosebumps</v>
      </c>
      <c r="E2628" t="str">
        <f>IFERROR(__xludf.DUMMYFUNCTION("""COMPUTED_VALUE"""),"Travis Scott")</f>
        <v>Travis Scott</v>
      </c>
      <c r="F2628" t="str">
        <f>IFERROR(__xludf.DUMMYFUNCTION("""COMPUTED_VALUE"""),"Birds In The Trap Sing McKnight")</f>
        <v>Birds In The Trap Sing McKnight</v>
      </c>
      <c r="G2628">
        <f>IFERROR(__xludf.DUMMYFUNCTION("""COMPUTED_VALUE"""),1.0)</f>
        <v>1</v>
      </c>
      <c r="H2628" s="5">
        <f>IFERROR(__xludf.DUMMYFUNCTION("""COMPUTED_VALUE"""),0.1687500000007276)</f>
        <v>0.16875</v>
      </c>
    </row>
    <row r="2629">
      <c r="A2629" t="str">
        <f>IFERROR(__xludf.DUMMYFUNCTION("""COMPUTED_VALUE"""),"South Africa")</f>
        <v>South Africa</v>
      </c>
      <c r="B2629" t="str">
        <f>IFERROR(__xludf.DUMMYFUNCTION("""COMPUTED_VALUE"""),"Africa")</f>
        <v>Africa</v>
      </c>
      <c r="C2629">
        <f>IFERROR(__xludf.DUMMYFUNCTION("""COMPUTED_VALUE"""),28.0)</f>
        <v>28</v>
      </c>
      <c r="D2629" t="str">
        <f>IFERROR(__xludf.DUMMYFUNCTION("""COMPUTED_VALUE"""),"GOOBA")</f>
        <v>GOOBA</v>
      </c>
      <c r="E2629" t="str">
        <f>IFERROR(__xludf.DUMMYFUNCTION("""COMPUTED_VALUE"""),"6ix9ine")</f>
        <v>6ix9ine</v>
      </c>
      <c r="F2629" t="str">
        <f>IFERROR(__xludf.DUMMYFUNCTION("""COMPUTED_VALUE"""),"GOOBA")</f>
        <v>GOOBA</v>
      </c>
      <c r="G2629">
        <f>IFERROR(__xludf.DUMMYFUNCTION("""COMPUTED_VALUE"""),1.0)</f>
        <v>1</v>
      </c>
      <c r="H2629" s="5">
        <f>IFERROR(__xludf.DUMMYFUNCTION("""COMPUTED_VALUE"""),0.09166666666715173)</f>
        <v>0.09166666667</v>
      </c>
    </row>
    <row r="2630">
      <c r="A2630" t="str">
        <f>IFERROR(__xludf.DUMMYFUNCTION("""COMPUTED_VALUE"""),"South Africa")</f>
        <v>South Africa</v>
      </c>
      <c r="B2630" t="str">
        <f>IFERROR(__xludf.DUMMYFUNCTION("""COMPUTED_VALUE"""),"Africa")</f>
        <v>Africa</v>
      </c>
      <c r="C2630">
        <f>IFERROR(__xludf.DUMMYFUNCTION("""COMPUTED_VALUE"""),29.0)</f>
        <v>29</v>
      </c>
      <c r="D2630" t="str">
        <f>IFERROR(__xludf.DUMMYFUNCTION("""COMPUTED_VALUE"""),"Beautiful People (feat. Khalid)")</f>
        <v>Beautiful People (feat. Khalid)</v>
      </c>
      <c r="E2630" t="str">
        <f>IFERROR(__xludf.DUMMYFUNCTION("""COMPUTED_VALUE"""),"Ed Sheeran, Khalid")</f>
        <v>Ed Sheeran, Khalid</v>
      </c>
      <c r="F2630" t="str">
        <f>IFERROR(__xludf.DUMMYFUNCTION("""COMPUTED_VALUE"""),"No.6 Collaborations Project")</f>
        <v>No.6 Collaborations Project</v>
      </c>
      <c r="G2630">
        <f>IFERROR(__xludf.DUMMYFUNCTION("""COMPUTED_VALUE"""),0.0)</f>
        <v>0</v>
      </c>
      <c r="H2630" s="5">
        <f>IFERROR(__xludf.DUMMYFUNCTION("""COMPUTED_VALUE"""),0.13680555555401952)</f>
        <v>0.1368055556</v>
      </c>
    </row>
    <row r="2631">
      <c r="A2631" t="str">
        <f>IFERROR(__xludf.DUMMYFUNCTION("""COMPUTED_VALUE"""),"South Africa")</f>
        <v>South Africa</v>
      </c>
      <c r="B2631" t="str">
        <f>IFERROR(__xludf.DUMMYFUNCTION("""COMPUTED_VALUE"""),"Africa")</f>
        <v>Africa</v>
      </c>
      <c r="C2631">
        <f>IFERROR(__xludf.DUMMYFUNCTION("""COMPUTED_VALUE"""),30.0)</f>
        <v>30</v>
      </c>
      <c r="D2631" t="str">
        <f>IFERROR(__xludf.DUMMYFUNCTION("""COMPUTED_VALUE"""),"Go Crazy")</f>
        <v>Go Crazy</v>
      </c>
      <c r="E2631" t="str">
        <f>IFERROR(__xludf.DUMMYFUNCTION("""COMPUTED_VALUE"""),"Chris Brown, Young Thug")</f>
        <v>Chris Brown, Young Thug</v>
      </c>
      <c r="F2631" t="str">
        <f>IFERROR(__xludf.DUMMYFUNCTION("""COMPUTED_VALUE"""),"Slime &amp; B")</f>
        <v>Slime &amp; B</v>
      </c>
      <c r="G2631">
        <f>IFERROR(__xludf.DUMMYFUNCTION("""COMPUTED_VALUE"""),1.0)</f>
        <v>1</v>
      </c>
      <c r="H2631" s="5">
        <f>IFERROR(__xludf.DUMMYFUNCTION("""COMPUTED_VALUE"""),0.12222222222044365)</f>
        <v>0.1222222222</v>
      </c>
    </row>
    <row r="2632">
      <c r="A2632" t="str">
        <f>IFERROR(__xludf.DUMMYFUNCTION("""COMPUTED_VALUE"""),"South Africa")</f>
        <v>South Africa</v>
      </c>
      <c r="B2632" t="str">
        <f>IFERROR(__xludf.DUMMYFUNCTION("""COMPUTED_VALUE"""),"Africa")</f>
        <v>Africa</v>
      </c>
      <c r="C2632">
        <f>IFERROR(__xludf.DUMMYFUNCTION("""COMPUTED_VALUE"""),31.0)</f>
        <v>31</v>
      </c>
      <c r="D2632" t="str">
        <f>IFERROR(__xludf.DUMMYFUNCTION("""COMPUTED_VALUE"""),"ROXANNE")</f>
        <v>ROXANNE</v>
      </c>
      <c r="E2632" t="str">
        <f>IFERROR(__xludf.DUMMYFUNCTION("""COMPUTED_VALUE"""),"Arizona Zervas")</f>
        <v>Arizona Zervas</v>
      </c>
      <c r="F2632" t="str">
        <f>IFERROR(__xludf.DUMMYFUNCTION("""COMPUTED_VALUE"""),"ROXANNE")</f>
        <v>ROXANNE</v>
      </c>
      <c r="G2632">
        <f>IFERROR(__xludf.DUMMYFUNCTION("""COMPUTED_VALUE"""),1.0)</f>
        <v>1</v>
      </c>
      <c r="H2632" s="5">
        <f>IFERROR(__xludf.DUMMYFUNCTION("""COMPUTED_VALUE"""),0.11319444444598048)</f>
        <v>0.1131944444</v>
      </c>
    </row>
    <row r="2633">
      <c r="A2633" t="str">
        <f>IFERROR(__xludf.DUMMYFUNCTION("""COMPUTED_VALUE"""),"South Africa")</f>
        <v>South Africa</v>
      </c>
      <c r="B2633" t="str">
        <f>IFERROR(__xludf.DUMMYFUNCTION("""COMPUTED_VALUE"""),"Africa")</f>
        <v>Africa</v>
      </c>
      <c r="C2633">
        <f>IFERROR(__xludf.DUMMYFUNCTION("""COMPUTED_VALUE"""),32.0)</f>
        <v>32</v>
      </c>
      <c r="D2633" t="str">
        <f>IFERROR(__xludf.DUMMYFUNCTION("""COMPUTED_VALUE"""),"SICKO MODE")</f>
        <v>SICKO MODE</v>
      </c>
      <c r="E2633" t="str">
        <f>IFERROR(__xludf.DUMMYFUNCTION("""COMPUTED_VALUE"""),"Travis Scott")</f>
        <v>Travis Scott</v>
      </c>
      <c r="F2633" t="str">
        <f>IFERROR(__xludf.DUMMYFUNCTION("""COMPUTED_VALUE"""),"ASTROWORLD")</f>
        <v>ASTROWORLD</v>
      </c>
      <c r="G2633">
        <f>IFERROR(__xludf.DUMMYFUNCTION("""COMPUTED_VALUE"""),1.0)</f>
        <v>1</v>
      </c>
      <c r="H2633" s="5">
        <f>IFERROR(__xludf.DUMMYFUNCTION("""COMPUTED_VALUE"""),0.21666666666715173)</f>
        <v>0.2166666667</v>
      </c>
    </row>
    <row r="2634">
      <c r="A2634" t="str">
        <f>IFERROR(__xludf.DUMMYFUNCTION("""COMPUTED_VALUE"""),"South Africa")</f>
        <v>South Africa</v>
      </c>
      <c r="B2634" t="str">
        <f>IFERROR(__xludf.DUMMYFUNCTION("""COMPUTED_VALUE"""),"Africa")</f>
        <v>Africa</v>
      </c>
      <c r="C2634">
        <f>IFERROR(__xludf.DUMMYFUNCTION("""COMPUTED_VALUE"""),33.0)</f>
        <v>33</v>
      </c>
      <c r="D2634" t="str">
        <f>IFERROR(__xludf.DUMMYFUNCTION("""COMPUTED_VALUE"""),"Righteous")</f>
        <v>Righteous</v>
      </c>
      <c r="E2634" t="str">
        <f>IFERROR(__xludf.DUMMYFUNCTION("""COMPUTED_VALUE"""),"Juice WRLD")</f>
        <v>Juice WRLD</v>
      </c>
      <c r="F2634" t="str">
        <f>IFERROR(__xludf.DUMMYFUNCTION("""COMPUTED_VALUE"""),"Righteous")</f>
        <v>Righteous</v>
      </c>
      <c r="G2634">
        <f>IFERROR(__xludf.DUMMYFUNCTION("""COMPUTED_VALUE"""),1.0)</f>
        <v>1</v>
      </c>
      <c r="H2634" s="5">
        <f>IFERROR(__xludf.DUMMYFUNCTION("""COMPUTED_VALUE"""),0.1687500000007276)</f>
        <v>0.16875</v>
      </c>
    </row>
    <row r="2635">
      <c r="A2635" t="str">
        <f>IFERROR(__xludf.DUMMYFUNCTION("""COMPUTED_VALUE"""),"South Africa")</f>
        <v>South Africa</v>
      </c>
      <c r="B2635" t="str">
        <f>IFERROR(__xludf.DUMMYFUNCTION("""COMPUTED_VALUE"""),"Africa")</f>
        <v>Africa</v>
      </c>
      <c r="C2635">
        <f>IFERROR(__xludf.DUMMYFUNCTION("""COMPUTED_VALUE"""),34.0)</f>
        <v>34</v>
      </c>
      <c r="D2635" t="str">
        <f>IFERROR(__xludf.DUMMYFUNCTION("""COMPUTED_VALUE"""),"Sunday Best")</f>
        <v>Sunday Best</v>
      </c>
      <c r="E2635" t="str">
        <f>IFERROR(__xludf.DUMMYFUNCTION("""COMPUTED_VALUE"""),"Surfaces")</f>
        <v>Surfaces</v>
      </c>
      <c r="F2635" t="str">
        <f>IFERROR(__xludf.DUMMYFUNCTION("""COMPUTED_VALUE"""),"Where the Light Is")</f>
        <v>Where the Light Is</v>
      </c>
      <c r="G2635">
        <f>IFERROR(__xludf.DUMMYFUNCTION("""COMPUTED_VALUE"""),0.0)</f>
        <v>0</v>
      </c>
      <c r="H2635" s="5">
        <f>IFERROR(__xludf.DUMMYFUNCTION("""COMPUTED_VALUE"""),0.10972222222335404)</f>
        <v>0.1097222222</v>
      </c>
    </row>
    <row r="2636">
      <c r="A2636" t="str">
        <f>IFERROR(__xludf.DUMMYFUNCTION("""COMPUTED_VALUE"""),"South Africa")</f>
        <v>South Africa</v>
      </c>
      <c r="B2636" t="str">
        <f>IFERROR(__xludf.DUMMYFUNCTION("""COMPUTED_VALUE"""),"Africa")</f>
        <v>Africa</v>
      </c>
      <c r="C2636">
        <f>IFERROR(__xludf.DUMMYFUNCTION("""COMPUTED_VALUE"""),35.0)</f>
        <v>35</v>
      </c>
      <c r="D2636" t="str">
        <f>IFERROR(__xludf.DUMMYFUNCTION("""COMPUTED_VALUE"""),"Party Girl")</f>
        <v>Party Girl</v>
      </c>
      <c r="E2636" t="str">
        <f>IFERROR(__xludf.DUMMYFUNCTION("""COMPUTED_VALUE"""),"StaySolidRocky")</f>
        <v>StaySolidRocky</v>
      </c>
      <c r="F2636" t="str">
        <f>IFERROR(__xludf.DUMMYFUNCTION("""COMPUTED_VALUE"""),"Party Girl")</f>
        <v>Party Girl</v>
      </c>
      <c r="G2636">
        <f>IFERROR(__xludf.DUMMYFUNCTION("""COMPUTED_VALUE"""),0.0)</f>
        <v>0</v>
      </c>
      <c r="H2636" s="5">
        <f>IFERROR(__xludf.DUMMYFUNCTION("""COMPUTED_VALUE"""),0.10208333333503106)</f>
        <v>0.1020833333</v>
      </c>
    </row>
    <row r="2637">
      <c r="A2637" t="str">
        <f>IFERROR(__xludf.DUMMYFUNCTION("""COMPUTED_VALUE"""),"South Africa")</f>
        <v>South Africa</v>
      </c>
      <c r="B2637" t="str">
        <f>IFERROR(__xludf.DUMMYFUNCTION("""COMPUTED_VALUE"""),"Africa")</f>
        <v>Africa</v>
      </c>
      <c r="C2637">
        <f>IFERROR(__xludf.DUMMYFUNCTION("""COMPUTED_VALUE"""),36.0)</f>
        <v>36</v>
      </c>
      <c r="D2637" t="str">
        <f>IFERROR(__xludf.DUMMYFUNCTION("""COMPUTED_VALUE"""),"Be Kind (with Halsey)")</f>
        <v>Be Kind (with Halsey)</v>
      </c>
      <c r="E2637" t="str">
        <f>IFERROR(__xludf.DUMMYFUNCTION("""COMPUTED_VALUE"""),"Marshmello, Halsey")</f>
        <v>Marshmello, Halsey</v>
      </c>
      <c r="F2637" t="str">
        <f>IFERROR(__xludf.DUMMYFUNCTION("""COMPUTED_VALUE"""),"Be Kind (with Halsey)")</f>
        <v>Be Kind (with Halsey)</v>
      </c>
      <c r="G2637">
        <f>IFERROR(__xludf.DUMMYFUNCTION("""COMPUTED_VALUE"""),0.0)</f>
        <v>0</v>
      </c>
      <c r="H2637" s="5">
        <f>IFERROR(__xludf.DUMMYFUNCTION("""COMPUTED_VALUE"""),0.11944444444452529)</f>
        <v>0.1194444444</v>
      </c>
    </row>
    <row r="2638">
      <c r="A2638" t="str">
        <f>IFERROR(__xludf.DUMMYFUNCTION("""COMPUTED_VALUE"""),"South Africa")</f>
        <v>South Africa</v>
      </c>
      <c r="B2638" t="str">
        <f>IFERROR(__xludf.DUMMYFUNCTION("""COMPUTED_VALUE"""),"Africa")</f>
        <v>Africa</v>
      </c>
      <c r="C2638">
        <f>IFERROR(__xludf.DUMMYFUNCTION("""COMPUTED_VALUE"""),37.0)</f>
        <v>37</v>
      </c>
      <c r="D2638" t="str">
        <f>IFERROR(__xludf.DUMMYFUNCTION("""COMPUTED_VALUE"""),"everything i wanted")</f>
        <v>everything i wanted</v>
      </c>
      <c r="E2638" t="str">
        <f>IFERROR(__xludf.DUMMYFUNCTION("""COMPUTED_VALUE"""),"Billie Eilish")</f>
        <v>Billie Eilish</v>
      </c>
      <c r="F2638" t="str">
        <f>IFERROR(__xludf.DUMMYFUNCTION("""COMPUTED_VALUE"""),"everything i wanted")</f>
        <v>everything i wanted</v>
      </c>
      <c r="G2638">
        <f>IFERROR(__xludf.DUMMYFUNCTION("""COMPUTED_VALUE"""),0.0)</f>
        <v>0</v>
      </c>
      <c r="H2638" s="5">
        <f>IFERROR(__xludf.DUMMYFUNCTION("""COMPUTED_VALUE"""),0.17013888889050577)</f>
        <v>0.1701388889</v>
      </c>
    </row>
    <row r="2639">
      <c r="A2639" t="str">
        <f>IFERROR(__xludf.DUMMYFUNCTION("""COMPUTED_VALUE"""),"South Africa")</f>
        <v>South Africa</v>
      </c>
      <c r="B2639" t="str">
        <f>IFERROR(__xludf.DUMMYFUNCTION("""COMPUTED_VALUE"""),"Africa")</f>
        <v>Africa</v>
      </c>
      <c r="C2639">
        <f>IFERROR(__xludf.DUMMYFUNCTION("""COMPUTED_VALUE"""),38.0)</f>
        <v>38</v>
      </c>
      <c r="D2639" t="str">
        <f>IFERROR(__xludf.DUMMYFUNCTION("""COMPUTED_VALUE"""),"eMcimbini - Live")</f>
        <v>eMcimbini - Live</v>
      </c>
      <c r="E2639" t="str">
        <f>IFERROR(__xludf.DUMMYFUNCTION("""COMPUTED_VALUE"""),"Kabza De Small, DJ Maphorisa, Aymos, Samthing Soweto, Mas Musiq, Myztro")</f>
        <v>Kabza De Small, DJ Maphorisa, Aymos, Samthing Soweto, Mas Musiq, Myztro</v>
      </c>
      <c r="F2639" t="str">
        <f>IFERROR(__xludf.DUMMYFUNCTION("""COMPUTED_VALUE"""),"Scorpion Kings Live")</f>
        <v>Scorpion Kings Live</v>
      </c>
      <c r="G2639">
        <f>IFERROR(__xludf.DUMMYFUNCTION("""COMPUTED_VALUE"""),0.0)</f>
        <v>0</v>
      </c>
      <c r="H2639" s="5">
        <f>IFERROR(__xludf.DUMMYFUNCTION("""COMPUTED_VALUE"""),0.2826388888897782)</f>
        <v>0.2826388889</v>
      </c>
    </row>
    <row r="2640">
      <c r="A2640" t="str">
        <f>IFERROR(__xludf.DUMMYFUNCTION("""COMPUTED_VALUE"""),"South Africa")</f>
        <v>South Africa</v>
      </c>
      <c r="B2640" t="str">
        <f>IFERROR(__xludf.DUMMYFUNCTION("""COMPUTED_VALUE"""),"Africa")</f>
        <v>Africa</v>
      </c>
      <c r="C2640">
        <f>IFERROR(__xludf.DUMMYFUNCTION("""COMPUTED_VALUE"""),39.0)</f>
        <v>39</v>
      </c>
      <c r="D2640" t="str">
        <f>IFERROR(__xludf.DUMMYFUNCTION("""COMPUTED_VALUE"""),"ily (i love you baby) (feat. Emilee)")</f>
        <v>ily (i love you baby) (feat. Emilee)</v>
      </c>
      <c r="E2640" t="str">
        <f>IFERROR(__xludf.DUMMYFUNCTION("""COMPUTED_VALUE"""),"Surf Mesa, Emilee")</f>
        <v>Surf Mesa, Emilee</v>
      </c>
      <c r="F2640" t="str">
        <f>IFERROR(__xludf.DUMMYFUNCTION("""COMPUTED_VALUE"""),"ily (i love you baby) (feat. Emilee)")</f>
        <v>ily (i love you baby) (feat. Emilee)</v>
      </c>
      <c r="G2640">
        <f>IFERROR(__xludf.DUMMYFUNCTION("""COMPUTED_VALUE"""),0.0)</f>
        <v>0</v>
      </c>
      <c r="H2640" s="5">
        <f>IFERROR(__xludf.DUMMYFUNCTION("""COMPUTED_VALUE"""),0.12222222222044365)</f>
        <v>0.1222222222</v>
      </c>
    </row>
    <row r="2641">
      <c r="A2641" t="str">
        <f>IFERROR(__xludf.DUMMYFUNCTION("""COMPUTED_VALUE"""),"South Africa")</f>
        <v>South Africa</v>
      </c>
      <c r="B2641" t="str">
        <f>IFERROR(__xludf.DUMMYFUNCTION("""COMPUTED_VALUE"""),"Africa")</f>
        <v>Africa</v>
      </c>
      <c r="C2641">
        <f>IFERROR(__xludf.DUMMYFUNCTION("""COMPUTED_VALUE"""),40.0)</f>
        <v>40</v>
      </c>
      <c r="D2641" t="str">
        <f>IFERROR(__xludf.DUMMYFUNCTION("""COMPUTED_VALUE"""),"Break My Heart")</f>
        <v>Break My Heart</v>
      </c>
      <c r="E2641" t="str">
        <f>IFERROR(__xludf.DUMMYFUNCTION("""COMPUTED_VALUE"""),"Dua Lipa")</f>
        <v>Dua Lipa</v>
      </c>
      <c r="F2641" t="str">
        <f>IFERROR(__xludf.DUMMYFUNCTION("""COMPUTED_VALUE"""),"Future Nostalgia")</f>
        <v>Future Nostalgia</v>
      </c>
      <c r="G2641">
        <f>IFERROR(__xludf.DUMMYFUNCTION("""COMPUTED_VALUE"""),0.0)</f>
        <v>0</v>
      </c>
      <c r="H2641" s="5">
        <f>IFERROR(__xludf.DUMMYFUNCTION("""COMPUTED_VALUE"""),0.15347222222044365)</f>
        <v>0.1534722222</v>
      </c>
    </row>
    <row r="2642">
      <c r="A2642" t="str">
        <f>IFERROR(__xludf.DUMMYFUNCTION("""COMPUTED_VALUE"""),"South Africa")</f>
        <v>South Africa</v>
      </c>
      <c r="B2642" t="str">
        <f>IFERROR(__xludf.DUMMYFUNCTION("""COMPUTED_VALUE"""),"Africa")</f>
        <v>Africa</v>
      </c>
      <c r="C2642">
        <f>IFERROR(__xludf.DUMMYFUNCTION("""COMPUTED_VALUE"""),41.0)</f>
        <v>41</v>
      </c>
      <c r="D2642" t="str">
        <f>IFERROR(__xludf.DUMMYFUNCTION("""COMPUTED_VALUE"""),"WUNNA")</f>
        <v>WUNNA</v>
      </c>
      <c r="E2642" t="str">
        <f>IFERROR(__xludf.DUMMYFUNCTION("""COMPUTED_VALUE"""),"Gunna")</f>
        <v>Gunna</v>
      </c>
      <c r="F2642" t="str">
        <f>IFERROR(__xludf.DUMMYFUNCTION("""COMPUTED_VALUE"""),"WUNNA")</f>
        <v>WUNNA</v>
      </c>
      <c r="G2642">
        <f>IFERROR(__xludf.DUMMYFUNCTION("""COMPUTED_VALUE"""),1.0)</f>
        <v>1</v>
      </c>
      <c r="H2642" s="5">
        <f>IFERROR(__xludf.DUMMYFUNCTION("""COMPUTED_VALUE"""),0.10972222222335404)</f>
        <v>0.1097222222</v>
      </c>
    </row>
    <row r="2643">
      <c r="A2643" t="str">
        <f>IFERROR(__xludf.DUMMYFUNCTION("""COMPUTED_VALUE"""),"South Africa")</f>
        <v>South Africa</v>
      </c>
      <c r="B2643" t="str">
        <f>IFERROR(__xludf.DUMMYFUNCTION("""COMPUTED_VALUE"""),"Africa")</f>
        <v>Africa</v>
      </c>
      <c r="C2643">
        <f>IFERROR(__xludf.DUMMYFUNCTION("""COMPUTED_VALUE"""),42.0)</f>
        <v>42</v>
      </c>
      <c r="D2643" t="str">
        <f>IFERROR(__xludf.DUMMYFUNCTION("""COMPUTED_VALUE"""),"I Need You - From the Netflix original series ""Blood &amp; Water""")</f>
        <v>I Need You - From the Netflix original series "Blood &amp; Water"</v>
      </c>
      <c r="E2643" t="str">
        <f>IFERROR(__xludf.DUMMYFUNCTION("""COMPUTED_VALUE"""),"Nasty C, Rowlene")</f>
        <v>Nasty C, Rowlene</v>
      </c>
      <c r="F2643" t="str">
        <f>IFERROR(__xludf.DUMMYFUNCTION("""COMPUTED_VALUE"""),"I Need You (From the Netflix original series ""Blood &amp; Water"")")</f>
        <v>I Need You (From the Netflix original series "Blood &amp; Water")</v>
      </c>
      <c r="G2643">
        <f>IFERROR(__xludf.DUMMYFUNCTION("""COMPUTED_VALUE"""),0.0)</f>
        <v>0</v>
      </c>
      <c r="H2643" s="5">
        <f>IFERROR(__xludf.DUMMYFUNCTION("""COMPUTED_VALUE"""),0.14236111110949423)</f>
        <v>0.1423611111</v>
      </c>
    </row>
    <row r="2644">
      <c r="A2644" t="str">
        <f>IFERROR(__xludf.DUMMYFUNCTION("""COMPUTED_VALUE"""),"South Africa")</f>
        <v>South Africa</v>
      </c>
      <c r="B2644" t="str">
        <f>IFERROR(__xludf.DUMMYFUNCTION("""COMPUTED_VALUE"""),"Africa")</f>
        <v>Africa</v>
      </c>
      <c r="C2644">
        <f>IFERROR(__xludf.DUMMYFUNCTION("""COMPUTED_VALUE"""),43.0)</f>
        <v>43</v>
      </c>
      <c r="D2644" t="str">
        <f>IFERROR(__xludf.DUMMYFUNCTION("""COMPUTED_VALUE"""),"After Party")</f>
        <v>After Party</v>
      </c>
      <c r="E2644" t="str">
        <f>IFERROR(__xludf.DUMMYFUNCTION("""COMPUTED_VALUE"""),"Don Toliver")</f>
        <v>Don Toliver</v>
      </c>
      <c r="F2644" t="str">
        <f>IFERROR(__xludf.DUMMYFUNCTION("""COMPUTED_VALUE"""),"Heaven Or Hell")</f>
        <v>Heaven Or Hell</v>
      </c>
      <c r="G2644">
        <f>IFERROR(__xludf.DUMMYFUNCTION("""COMPUTED_VALUE"""),1.0)</f>
        <v>1</v>
      </c>
      <c r="H2644" s="5">
        <f>IFERROR(__xludf.DUMMYFUNCTION("""COMPUTED_VALUE"""),0.11597222222189885)</f>
        <v>0.1159722222</v>
      </c>
    </row>
    <row r="2645">
      <c r="A2645" t="str">
        <f>IFERROR(__xludf.DUMMYFUNCTION("""COMPUTED_VALUE"""),"South Africa")</f>
        <v>South Africa</v>
      </c>
      <c r="B2645" t="str">
        <f>IFERROR(__xludf.DUMMYFUNCTION("""COMPUTED_VALUE"""),"Africa")</f>
        <v>Africa</v>
      </c>
      <c r="C2645">
        <f>IFERROR(__xludf.DUMMYFUNCTION("""COMPUTED_VALUE"""),44.0)</f>
        <v>44</v>
      </c>
      <c r="D2645" t="str">
        <f>IFERROR(__xludf.DUMMYFUNCTION("""COMPUTED_VALUE"""),"Godzilla (feat. Juice WRLD)")</f>
        <v>Godzilla (feat. Juice WRLD)</v>
      </c>
      <c r="E2645" t="str">
        <f>IFERROR(__xludf.DUMMYFUNCTION("""COMPUTED_VALUE"""),"Eminem, Juice WRLD")</f>
        <v>Eminem, Juice WRLD</v>
      </c>
      <c r="F2645" t="str">
        <f>IFERROR(__xludf.DUMMYFUNCTION("""COMPUTED_VALUE"""),"Music To Be Murdered By")</f>
        <v>Music To Be Murdered By</v>
      </c>
      <c r="G2645">
        <f>IFERROR(__xludf.DUMMYFUNCTION("""COMPUTED_VALUE"""),1.0)</f>
        <v>1</v>
      </c>
      <c r="H2645" s="5">
        <f>IFERROR(__xludf.DUMMYFUNCTION("""COMPUTED_VALUE"""),0.14583333333212067)</f>
        <v>0.1458333333</v>
      </c>
    </row>
    <row r="2646">
      <c r="A2646" t="str">
        <f>IFERROR(__xludf.DUMMYFUNCTION("""COMPUTED_VALUE"""),"South Africa")</f>
        <v>South Africa</v>
      </c>
      <c r="B2646" t="str">
        <f>IFERROR(__xludf.DUMMYFUNCTION("""COMPUTED_VALUE"""),"Africa")</f>
        <v>Africa</v>
      </c>
      <c r="C2646">
        <f>IFERROR(__xludf.DUMMYFUNCTION("""COMPUTED_VALUE"""),45.0)</f>
        <v>45</v>
      </c>
      <c r="D2646" t="str">
        <f>IFERROR(__xludf.DUMMYFUNCTION("""COMPUTED_VALUE"""),"Before You Go")</f>
        <v>Before You Go</v>
      </c>
      <c r="E2646" t="str">
        <f>IFERROR(__xludf.DUMMYFUNCTION("""COMPUTED_VALUE"""),"Lewis Capaldi")</f>
        <v>Lewis Capaldi</v>
      </c>
      <c r="F2646" t="str">
        <f>IFERROR(__xludf.DUMMYFUNCTION("""COMPUTED_VALUE"""),"Divinely Uninspired To A Hellish Extent (Extended Edition)")</f>
        <v>Divinely Uninspired To A Hellish Extent (Extended Edition)</v>
      </c>
      <c r="G2646">
        <f>IFERROR(__xludf.DUMMYFUNCTION("""COMPUTED_VALUE"""),0.0)</f>
        <v>0</v>
      </c>
      <c r="H2646" s="5">
        <f>IFERROR(__xludf.DUMMYFUNCTION("""COMPUTED_VALUE"""),0.14930555555474712)</f>
        <v>0.1493055556</v>
      </c>
    </row>
    <row r="2647">
      <c r="A2647" t="str">
        <f>IFERROR(__xludf.DUMMYFUNCTION("""COMPUTED_VALUE"""),"South Africa")</f>
        <v>South Africa</v>
      </c>
      <c r="B2647" t="str">
        <f>IFERROR(__xludf.DUMMYFUNCTION("""COMPUTED_VALUE"""),"Africa")</f>
        <v>Africa</v>
      </c>
      <c r="C2647">
        <f>IFERROR(__xludf.DUMMYFUNCTION("""COMPUTED_VALUE"""),46.0)</f>
        <v>46</v>
      </c>
      <c r="D2647" t="str">
        <f>IFERROR(__xludf.DUMMYFUNCTION("""COMPUTED_VALUE"""),"Señorita")</f>
        <v>Señorita</v>
      </c>
      <c r="E2647" t="str">
        <f>IFERROR(__xludf.DUMMYFUNCTION("""COMPUTED_VALUE"""),"Shawn Mendes, Camila Cabello")</f>
        <v>Shawn Mendes, Camila Cabello</v>
      </c>
      <c r="F2647" t="str">
        <f>IFERROR(__xludf.DUMMYFUNCTION("""COMPUTED_VALUE"""),"Shawn Mendes (Deluxe)")</f>
        <v>Shawn Mendes (Deluxe)</v>
      </c>
      <c r="G2647">
        <f>IFERROR(__xludf.DUMMYFUNCTION("""COMPUTED_VALUE"""),0.0)</f>
        <v>0</v>
      </c>
      <c r="H2647" s="5">
        <f>IFERROR(__xludf.DUMMYFUNCTION("""COMPUTED_VALUE"""),0.13194444444525288)</f>
        <v>0.1319444444</v>
      </c>
    </row>
    <row r="2648">
      <c r="A2648" t="str">
        <f>IFERROR(__xludf.DUMMYFUNCTION("""COMPUTED_VALUE"""),"South Africa")</f>
        <v>South Africa</v>
      </c>
      <c r="B2648" t="str">
        <f>IFERROR(__xludf.DUMMYFUNCTION("""COMPUTED_VALUE"""),"Africa")</f>
        <v>Africa</v>
      </c>
      <c r="C2648">
        <f>IFERROR(__xludf.DUMMYFUNCTION("""COMPUTED_VALUE"""),47.0)</f>
        <v>47</v>
      </c>
      <c r="D2648" t="str">
        <f>IFERROR(__xludf.DUMMYFUNCTION("""COMPUTED_VALUE"""),"Sunflower - Spider-Man: Into the Spider-Verse")</f>
        <v>Sunflower - Spider-Man: Into the Spider-Verse</v>
      </c>
      <c r="E2648" t="str">
        <f>IFERROR(__xludf.DUMMYFUNCTION("""COMPUTED_VALUE"""),"Post Malone, Swae Lee")</f>
        <v>Post Malone, Swae Lee</v>
      </c>
      <c r="F2648" t="str">
        <f>IFERROR(__xludf.DUMMYFUNCTION("""COMPUTED_VALUE"""),"Hollywood's Bleeding")</f>
        <v>Hollywood's Bleeding</v>
      </c>
      <c r="G2648">
        <f>IFERROR(__xludf.DUMMYFUNCTION("""COMPUTED_VALUE"""),0.0)</f>
        <v>0</v>
      </c>
      <c r="H2648" s="5">
        <f>IFERROR(__xludf.DUMMYFUNCTION("""COMPUTED_VALUE"""),0.10902777777664596)</f>
        <v>0.1090277778</v>
      </c>
    </row>
    <row r="2649">
      <c r="A2649" t="str">
        <f>IFERROR(__xludf.DUMMYFUNCTION("""COMPUTED_VALUE"""),"South Africa")</f>
        <v>South Africa</v>
      </c>
      <c r="B2649" t="str">
        <f>IFERROR(__xludf.DUMMYFUNCTION("""COMPUTED_VALUE"""),"Africa")</f>
        <v>Africa</v>
      </c>
      <c r="C2649">
        <f>IFERROR(__xludf.DUMMYFUNCTION("""COMPUTED_VALUE"""),48.0)</f>
        <v>48</v>
      </c>
      <c r="D2649" t="str">
        <f>IFERROR(__xludf.DUMMYFUNCTION("""COMPUTED_VALUE"""),"Breaking Me")</f>
        <v>Breaking Me</v>
      </c>
      <c r="E2649" t="str">
        <f>IFERROR(__xludf.DUMMYFUNCTION("""COMPUTED_VALUE"""),"Topic, A7S")</f>
        <v>Topic, A7S</v>
      </c>
      <c r="F2649" t="str">
        <f>IFERROR(__xludf.DUMMYFUNCTION("""COMPUTED_VALUE"""),"Breaking Me")</f>
        <v>Breaking Me</v>
      </c>
      <c r="G2649">
        <f>IFERROR(__xludf.DUMMYFUNCTION("""COMPUTED_VALUE"""),0.0)</f>
        <v>0</v>
      </c>
      <c r="H2649" s="5">
        <f>IFERROR(__xludf.DUMMYFUNCTION("""COMPUTED_VALUE"""),0.11527777777882875)</f>
        <v>0.1152777778</v>
      </c>
    </row>
    <row r="2650">
      <c r="A2650" t="str">
        <f>IFERROR(__xludf.DUMMYFUNCTION("""COMPUTED_VALUE"""),"South Africa")</f>
        <v>South Africa</v>
      </c>
      <c r="B2650" t="str">
        <f>IFERROR(__xludf.DUMMYFUNCTION("""COMPUTED_VALUE"""),"Africa")</f>
        <v>Africa</v>
      </c>
      <c r="C2650">
        <f>IFERROR(__xludf.DUMMYFUNCTION("""COMPUTED_VALUE"""),49.0)</f>
        <v>49</v>
      </c>
      <c r="D2650" t="str">
        <f>IFERROR(__xludf.DUMMYFUNCTION("""COMPUTED_VALUE"""),"I Don't Care (with Justin Bieber)")</f>
        <v>I Don't Care (with Justin Bieber)</v>
      </c>
      <c r="E2650" t="str">
        <f>IFERROR(__xludf.DUMMYFUNCTION("""COMPUTED_VALUE"""),"Ed Sheeran, Justin Bieber")</f>
        <v>Ed Sheeran, Justin Bieber</v>
      </c>
      <c r="F2650" t="str">
        <f>IFERROR(__xludf.DUMMYFUNCTION("""COMPUTED_VALUE"""),"No.6 Collaborations Project")</f>
        <v>No.6 Collaborations Project</v>
      </c>
      <c r="G2650">
        <f>IFERROR(__xludf.DUMMYFUNCTION("""COMPUTED_VALUE"""),0.0)</f>
        <v>0</v>
      </c>
      <c r="H2650" s="5">
        <f>IFERROR(__xludf.DUMMYFUNCTION("""COMPUTED_VALUE"""),0.15208333333430346)</f>
        <v>0.1520833333</v>
      </c>
    </row>
    <row r="2651">
      <c r="A2651" t="str">
        <f>IFERROR(__xludf.DUMMYFUNCTION("""COMPUTED_VALUE"""),"South Africa")</f>
        <v>South Africa</v>
      </c>
      <c r="B2651" t="str">
        <f>IFERROR(__xludf.DUMMYFUNCTION("""COMPUTED_VALUE"""),"Africa")</f>
        <v>Africa</v>
      </c>
      <c r="C2651">
        <f>IFERROR(__xludf.DUMMYFUNCTION("""COMPUTED_VALUE"""),50.0)</f>
        <v>50</v>
      </c>
      <c r="D2651" t="str">
        <f>IFERROR(__xludf.DUMMYFUNCTION("""COMPUTED_VALUE"""),"BELIEVE IT")</f>
        <v>BELIEVE IT</v>
      </c>
      <c r="E2651" t="str">
        <f>IFERROR(__xludf.DUMMYFUNCTION("""COMPUTED_VALUE"""),"PARTYNEXTDOOR, Rihanna")</f>
        <v>PARTYNEXTDOOR, Rihanna</v>
      </c>
      <c r="F2651" t="str">
        <f>IFERROR(__xludf.DUMMYFUNCTION("""COMPUTED_VALUE"""),"PARTYMOBILE")</f>
        <v>PARTYMOBILE</v>
      </c>
      <c r="G2651">
        <f>IFERROR(__xludf.DUMMYFUNCTION("""COMPUTED_VALUE"""),1.0)</f>
        <v>1</v>
      </c>
      <c r="H2651" s="5">
        <f>IFERROR(__xludf.DUMMYFUNCTION("""COMPUTED_VALUE"""),0.12708333333284827)</f>
        <v>0.1270833333</v>
      </c>
    </row>
    <row r="2652">
      <c r="A2652" t="str">
        <f>IFERROR(__xludf.DUMMYFUNCTION("""COMPUTED_VALUE"""),"Spain")</f>
        <v>Spain</v>
      </c>
      <c r="B2652" t="str">
        <f>IFERROR(__xludf.DUMMYFUNCTION("""COMPUTED_VALUE"""),"Europe")</f>
        <v>Europe</v>
      </c>
      <c r="C2652">
        <f>IFERROR(__xludf.DUMMYFUNCTION("""COMPUTED_VALUE"""),1.0)</f>
        <v>1</v>
      </c>
      <c r="D2652" t="str">
        <f>IFERROR(__xludf.DUMMYFUNCTION("""COMPUTED_VALUE"""),"PAM")</f>
        <v>PAM</v>
      </c>
      <c r="E2652" t="str">
        <f>IFERROR(__xludf.DUMMYFUNCTION("""COMPUTED_VALUE"""),"Justin Quiles, Daddy Yankee, El Alfa")</f>
        <v>Justin Quiles, Daddy Yankee, El Alfa</v>
      </c>
      <c r="F2652" t="str">
        <f>IFERROR(__xludf.DUMMYFUNCTION("""COMPUTED_VALUE"""),"PAM")</f>
        <v>PAM</v>
      </c>
      <c r="G2652">
        <f>IFERROR(__xludf.DUMMYFUNCTION("""COMPUTED_VALUE"""),1.0)</f>
        <v>1</v>
      </c>
      <c r="H2652" s="5">
        <f>IFERROR(__xludf.DUMMYFUNCTION("""COMPUTED_VALUE"""),0.13958333333357587)</f>
        <v>0.1395833333</v>
      </c>
    </row>
    <row r="2653">
      <c r="A2653" t="str">
        <f>IFERROR(__xludf.DUMMYFUNCTION("""COMPUTED_VALUE"""),"Spain")</f>
        <v>Spain</v>
      </c>
      <c r="B2653" t="str">
        <f>IFERROR(__xludf.DUMMYFUNCTION("""COMPUTED_VALUE"""),"Europe")</f>
        <v>Europe</v>
      </c>
      <c r="C2653">
        <f>IFERROR(__xludf.DUMMYFUNCTION("""COMPUTED_VALUE"""),2.0)</f>
        <v>2</v>
      </c>
      <c r="D2653" t="str">
        <f>IFERROR(__xludf.DUMMYFUNCTION("""COMPUTED_VALUE"""),"La Jeepeta - Remix")</f>
        <v>La Jeepeta - Remix</v>
      </c>
      <c r="E2653" t="str">
        <f>IFERROR(__xludf.DUMMYFUNCTION("""COMPUTED_VALUE"""),"Nio Garcia, Anuel AA, Myke Towers, Brray, Juanka")</f>
        <v>Nio Garcia, Anuel AA, Myke Towers, Brray, Juanka</v>
      </c>
      <c r="F2653" t="str">
        <f>IFERROR(__xludf.DUMMYFUNCTION("""COMPUTED_VALUE"""),"La Jeepeta (Remix)")</f>
        <v>La Jeepeta (Remix)</v>
      </c>
      <c r="G2653">
        <f>IFERROR(__xludf.DUMMYFUNCTION("""COMPUTED_VALUE"""),1.0)</f>
        <v>1</v>
      </c>
      <c r="H2653" s="5">
        <f>IFERROR(__xludf.DUMMYFUNCTION("""COMPUTED_VALUE"""),0.23958333333212067)</f>
        <v>0.2395833333</v>
      </c>
    </row>
    <row r="2654">
      <c r="A2654" t="str">
        <f>IFERROR(__xludf.DUMMYFUNCTION("""COMPUTED_VALUE"""),"Spain")</f>
        <v>Spain</v>
      </c>
      <c r="B2654" t="str">
        <f>IFERROR(__xludf.DUMMYFUNCTION("""COMPUTED_VALUE"""),"Europe")</f>
        <v>Europe</v>
      </c>
      <c r="C2654">
        <f>IFERROR(__xludf.DUMMYFUNCTION("""COMPUTED_VALUE"""),3.0)</f>
        <v>3</v>
      </c>
      <c r="D2654" t="str">
        <f>IFERROR(__xludf.DUMMYFUNCTION("""COMPUTED_VALUE"""),"Nunca Estoy")</f>
        <v>Nunca Estoy</v>
      </c>
      <c r="E2654" t="str">
        <f>IFERROR(__xludf.DUMMYFUNCTION("""COMPUTED_VALUE"""),"C. Tangana")</f>
        <v>C. Tangana</v>
      </c>
      <c r="F2654" t="str">
        <f>IFERROR(__xludf.DUMMYFUNCTION("""COMPUTED_VALUE"""),"Nunca Estoy")</f>
        <v>Nunca Estoy</v>
      </c>
      <c r="G2654">
        <f>IFERROR(__xludf.DUMMYFUNCTION("""COMPUTED_VALUE"""),0.0)</f>
        <v>0</v>
      </c>
      <c r="H2654" s="5">
        <f>IFERROR(__xludf.DUMMYFUNCTION("""COMPUTED_VALUE"""),0.1124999999992724)</f>
        <v>0.1125</v>
      </c>
    </row>
    <row r="2655">
      <c r="A2655" t="str">
        <f>IFERROR(__xludf.DUMMYFUNCTION("""COMPUTED_VALUE"""),"Spain")</f>
        <v>Spain</v>
      </c>
      <c r="B2655" t="str">
        <f>IFERROR(__xludf.DUMMYFUNCTION("""COMPUTED_VALUE"""),"Europe")</f>
        <v>Europe</v>
      </c>
      <c r="C2655">
        <f>IFERROR(__xludf.DUMMYFUNCTION("""COMPUTED_VALUE"""),4.0)</f>
        <v>4</v>
      </c>
      <c r="D2655" t="str">
        <f>IFERROR(__xludf.DUMMYFUNCTION("""COMPUTED_VALUE"""),"Sola &amp; Vacía")</f>
        <v>Sola &amp; Vacía</v>
      </c>
      <c r="E2655" t="str">
        <f>IFERROR(__xludf.DUMMYFUNCTION("""COMPUTED_VALUE"""),"Casper Magico, Anuel AA")</f>
        <v>Casper Magico, Anuel AA</v>
      </c>
      <c r="F2655" t="str">
        <f>IFERROR(__xludf.DUMMYFUNCTION("""COMPUTED_VALUE"""),"Sola &amp; Vacía")</f>
        <v>Sola &amp; Vacía</v>
      </c>
      <c r="G2655">
        <f>IFERROR(__xludf.DUMMYFUNCTION("""COMPUTED_VALUE"""),1.0)</f>
        <v>1</v>
      </c>
      <c r="H2655" s="5">
        <f>IFERROR(__xludf.DUMMYFUNCTION("""COMPUTED_VALUE"""),0.12638888888977817)</f>
        <v>0.1263888889</v>
      </c>
    </row>
    <row r="2656">
      <c r="A2656" t="str">
        <f>IFERROR(__xludf.DUMMYFUNCTION("""COMPUTED_VALUE"""),"Spain")</f>
        <v>Spain</v>
      </c>
      <c r="B2656" t="str">
        <f>IFERROR(__xludf.DUMMYFUNCTION("""COMPUTED_VALUE"""),"Europe")</f>
        <v>Europe</v>
      </c>
      <c r="C2656">
        <f>IFERROR(__xludf.DUMMYFUNCTION("""COMPUTED_VALUE"""),5.0)</f>
        <v>5</v>
      </c>
      <c r="D2656" t="str">
        <f>IFERROR(__xludf.DUMMYFUNCTION("""COMPUTED_VALUE"""),"PA' ROMPERLA")</f>
        <v>PA' ROMPERLA</v>
      </c>
      <c r="E2656" t="str">
        <f>IFERROR(__xludf.DUMMYFUNCTION("""COMPUTED_VALUE"""),"Bad Bunny, Don Omar")</f>
        <v>Bad Bunny, Don Omar</v>
      </c>
      <c r="F2656" t="str">
        <f>IFERROR(__xludf.DUMMYFUNCTION("""COMPUTED_VALUE"""),"LAS QUE NO IBAN A SALIR")</f>
        <v>LAS QUE NO IBAN A SALIR</v>
      </c>
      <c r="G2656">
        <f>IFERROR(__xludf.DUMMYFUNCTION("""COMPUTED_VALUE"""),1.0)</f>
        <v>1</v>
      </c>
      <c r="H2656" s="5">
        <f>IFERROR(__xludf.DUMMYFUNCTION("""COMPUTED_VALUE"""),0.13472222222117125)</f>
        <v>0.1347222222</v>
      </c>
    </row>
    <row r="2657">
      <c r="A2657" t="str">
        <f>IFERROR(__xludf.DUMMYFUNCTION("""COMPUTED_VALUE"""),"Spain")</f>
        <v>Spain</v>
      </c>
      <c r="B2657" t="str">
        <f>IFERROR(__xludf.DUMMYFUNCTION("""COMPUTED_VALUE"""),"Europe")</f>
        <v>Europe</v>
      </c>
      <c r="C2657">
        <f>IFERROR(__xludf.DUMMYFUNCTION("""COMPUTED_VALUE"""),6.0)</f>
        <v>6</v>
      </c>
      <c r="D2657" t="str">
        <f>IFERROR(__xludf.DUMMYFUNCTION("""COMPUTED_VALUE"""),"Mil Tequilas")</f>
        <v>Mil Tequilas</v>
      </c>
      <c r="E2657" t="str">
        <f>IFERROR(__xludf.DUMMYFUNCTION("""COMPUTED_VALUE"""),"Chema Rivas")</f>
        <v>Chema Rivas</v>
      </c>
      <c r="F2657" t="str">
        <f>IFERROR(__xludf.DUMMYFUNCTION("""COMPUTED_VALUE"""),"Mil Tequilas")</f>
        <v>Mil Tequilas</v>
      </c>
      <c r="G2657">
        <f>IFERROR(__xludf.DUMMYFUNCTION("""COMPUTED_VALUE"""),0.0)</f>
        <v>0</v>
      </c>
      <c r="H2657" s="5">
        <f>IFERROR(__xludf.DUMMYFUNCTION("""COMPUTED_VALUE"""),0.17708333333212067)</f>
        <v>0.1770833333</v>
      </c>
    </row>
    <row r="2658">
      <c r="A2658" t="str">
        <f>IFERROR(__xludf.DUMMYFUNCTION("""COMPUTED_VALUE"""),"Spain")</f>
        <v>Spain</v>
      </c>
      <c r="B2658" t="str">
        <f>IFERROR(__xludf.DUMMYFUNCTION("""COMPUTED_VALUE"""),"Europe")</f>
        <v>Europe</v>
      </c>
      <c r="C2658">
        <f>IFERROR(__xludf.DUMMYFUNCTION("""COMPUTED_VALUE"""),7.0)</f>
        <v>7</v>
      </c>
      <c r="D2658" t="str">
        <f>IFERROR(__xludf.DUMMYFUNCTION("""COMPUTED_VALUE"""),"Favorito")</f>
        <v>Favorito</v>
      </c>
      <c r="E2658" t="str">
        <f>IFERROR(__xludf.DUMMYFUNCTION("""COMPUTED_VALUE"""),"Camilo")</f>
        <v>Camilo</v>
      </c>
      <c r="F2658" t="str">
        <f>IFERROR(__xludf.DUMMYFUNCTION("""COMPUTED_VALUE"""),"Por Primera Vez")</f>
        <v>Por Primera Vez</v>
      </c>
      <c r="G2658">
        <f>IFERROR(__xludf.DUMMYFUNCTION("""COMPUTED_VALUE"""),0.0)</f>
        <v>0</v>
      </c>
      <c r="H2658" s="5">
        <f>IFERROR(__xludf.DUMMYFUNCTION("""COMPUTED_VALUE"""),0.14513888888905058)</f>
        <v>0.1451388889</v>
      </c>
    </row>
    <row r="2659">
      <c r="A2659" t="str">
        <f>IFERROR(__xludf.DUMMYFUNCTION("""COMPUTED_VALUE"""),"Spain")</f>
        <v>Spain</v>
      </c>
      <c r="B2659" t="str">
        <f>IFERROR(__xludf.DUMMYFUNCTION("""COMPUTED_VALUE"""),"Europe")</f>
        <v>Europe</v>
      </c>
      <c r="C2659">
        <f>IFERROR(__xludf.DUMMYFUNCTION("""COMPUTED_VALUE"""),8.0)</f>
        <v>8</v>
      </c>
      <c r="D2659" t="str">
        <f>IFERROR(__xludf.DUMMYFUNCTION("""COMPUTED_VALUE"""),"Safaera")</f>
        <v>Safaera</v>
      </c>
      <c r="E2659" t="str">
        <f>IFERROR(__xludf.DUMMYFUNCTION("""COMPUTED_VALUE"""),"Bad Bunny, Jowell &amp; Randy, Nengo Flow")</f>
        <v>Bad Bunny, Jowell &amp; Randy, Nengo Flow</v>
      </c>
      <c r="F2659" t="str">
        <f>IFERROR(__xludf.DUMMYFUNCTION("""COMPUTED_VALUE"""),"YHLQMDLG")</f>
        <v>YHLQMDLG</v>
      </c>
      <c r="G2659">
        <f>IFERROR(__xludf.DUMMYFUNCTION("""COMPUTED_VALUE"""),1.0)</f>
        <v>1</v>
      </c>
      <c r="H2659" s="5">
        <f>IFERROR(__xludf.DUMMYFUNCTION("""COMPUTED_VALUE"""),0.20486111110949423)</f>
        <v>0.2048611111</v>
      </c>
    </row>
    <row r="2660">
      <c r="A2660" t="str">
        <f>IFERROR(__xludf.DUMMYFUNCTION("""COMPUTED_VALUE"""),"Spain")</f>
        <v>Spain</v>
      </c>
      <c r="B2660" t="str">
        <f>IFERROR(__xludf.DUMMYFUNCTION("""COMPUTED_VALUE"""),"Europe")</f>
        <v>Europe</v>
      </c>
      <c r="C2660">
        <f>IFERROR(__xludf.DUMMYFUNCTION("""COMPUTED_VALUE"""),9.0)</f>
        <v>9</v>
      </c>
      <c r="D2660" t="str">
        <f>IFERROR(__xludf.DUMMYFUNCTION("""COMPUTED_VALUE"""),"Amarillo")</f>
        <v>Amarillo</v>
      </c>
      <c r="E2660" t="str">
        <f>IFERROR(__xludf.DUMMYFUNCTION("""COMPUTED_VALUE"""),"J Balvin")</f>
        <v>J Balvin</v>
      </c>
      <c r="F2660" t="str">
        <f>IFERROR(__xludf.DUMMYFUNCTION("""COMPUTED_VALUE"""),"Colores")</f>
        <v>Colores</v>
      </c>
      <c r="G2660">
        <f>IFERROR(__xludf.DUMMYFUNCTION("""COMPUTED_VALUE"""),0.0)</f>
        <v>0</v>
      </c>
      <c r="H2660" s="5">
        <f>IFERROR(__xludf.DUMMYFUNCTION("""COMPUTED_VALUE"""),0.10902777777664596)</f>
        <v>0.1090277778</v>
      </c>
    </row>
    <row r="2661">
      <c r="A2661" t="str">
        <f>IFERROR(__xludf.DUMMYFUNCTION("""COMPUTED_VALUE"""),"Spain")</f>
        <v>Spain</v>
      </c>
      <c r="B2661" t="str">
        <f>IFERROR(__xludf.DUMMYFUNCTION("""COMPUTED_VALUE"""),"Europe")</f>
        <v>Europe</v>
      </c>
      <c r="C2661">
        <f>IFERROR(__xludf.DUMMYFUNCTION("""COMPUTED_VALUE"""),10.0)</f>
        <v>10</v>
      </c>
      <c r="D2661" t="str">
        <f>IFERROR(__xludf.DUMMYFUNCTION("""COMPUTED_VALUE"""),"Hola, Nena (feat. Omar Montes)")</f>
        <v>Hola, Nena (feat. Omar Montes)</v>
      </c>
      <c r="E2661" t="str">
        <f>IFERROR(__xludf.DUMMYFUNCTION("""COMPUTED_VALUE"""),"Nyno Vargas, Omar Montes")</f>
        <v>Nyno Vargas, Omar Montes</v>
      </c>
      <c r="F2661" t="str">
        <f>IFERROR(__xludf.DUMMYFUNCTION("""COMPUTED_VALUE"""),"Hola, Nena (feat. Omar Montes)")</f>
        <v>Hola, Nena (feat. Omar Montes)</v>
      </c>
      <c r="G2661">
        <f>IFERROR(__xludf.DUMMYFUNCTION("""COMPUTED_VALUE"""),0.0)</f>
        <v>0</v>
      </c>
      <c r="H2661" s="5">
        <f>IFERROR(__xludf.DUMMYFUNCTION("""COMPUTED_VALUE"""),0.13194444444525288)</f>
        <v>0.1319444444</v>
      </c>
    </row>
    <row r="2662">
      <c r="A2662" t="str">
        <f>IFERROR(__xludf.DUMMYFUNCTION("""COMPUTED_VALUE"""),"Spain")</f>
        <v>Spain</v>
      </c>
      <c r="B2662" t="str">
        <f>IFERROR(__xludf.DUMMYFUNCTION("""COMPUTED_VALUE"""),"Europe")</f>
        <v>Europe</v>
      </c>
      <c r="C2662">
        <f>IFERROR(__xludf.DUMMYFUNCTION("""COMPUTED_VALUE"""),11.0)</f>
        <v>11</v>
      </c>
      <c r="D2662" t="str">
        <f>IFERROR(__xludf.DUMMYFUNCTION("""COMPUTED_VALUE"""),"PORFA")</f>
        <v>PORFA</v>
      </c>
      <c r="E2662" t="str">
        <f>IFERROR(__xludf.DUMMYFUNCTION("""COMPUTED_VALUE"""),"Feid, Justin Quiles")</f>
        <v>Feid, Justin Quiles</v>
      </c>
      <c r="F2662" t="str">
        <f>IFERROR(__xludf.DUMMYFUNCTION("""COMPUTED_VALUE"""),"FERXXO (VOL 1: M.O.R)")</f>
        <v>FERXXO (VOL 1: M.O.R)</v>
      </c>
      <c r="G2662">
        <f>IFERROR(__xludf.DUMMYFUNCTION("""COMPUTED_VALUE"""),0.0)</f>
        <v>0</v>
      </c>
      <c r="H2662" s="5">
        <f>IFERROR(__xludf.DUMMYFUNCTION("""COMPUTED_VALUE"""),0.16111111111240461)</f>
        <v>0.1611111111</v>
      </c>
    </row>
    <row r="2663">
      <c r="A2663" t="str">
        <f>IFERROR(__xludf.DUMMYFUNCTION("""COMPUTED_VALUE"""),"Spain")</f>
        <v>Spain</v>
      </c>
      <c r="B2663" t="str">
        <f>IFERROR(__xludf.DUMMYFUNCTION("""COMPUTED_VALUE"""),"Europe")</f>
        <v>Europe</v>
      </c>
      <c r="C2663">
        <f>IFERROR(__xludf.DUMMYFUNCTION("""COMPUTED_VALUE"""),12.0)</f>
        <v>12</v>
      </c>
      <c r="D2663" t="str">
        <f>IFERROR(__xludf.DUMMYFUNCTION("""COMPUTED_VALUE"""),"Dime Bbsita")</f>
        <v>Dime Bbsita</v>
      </c>
      <c r="E2663" t="str">
        <f>IFERROR(__xludf.DUMMYFUNCTION("""COMPUTED_VALUE"""),"Robledo, Alex Martini")</f>
        <v>Robledo, Alex Martini</v>
      </c>
      <c r="F2663" t="str">
        <f>IFERROR(__xludf.DUMMYFUNCTION("""COMPUTED_VALUE"""),"Dime Bbsita")</f>
        <v>Dime Bbsita</v>
      </c>
      <c r="G2663">
        <f>IFERROR(__xludf.DUMMYFUNCTION("""COMPUTED_VALUE"""),0.0)</f>
        <v>0</v>
      </c>
      <c r="H2663" s="5">
        <f>IFERROR(__xludf.DUMMYFUNCTION("""COMPUTED_VALUE"""),0.12083333333430346)</f>
        <v>0.1208333333</v>
      </c>
    </row>
    <row r="2664">
      <c r="A2664" t="str">
        <f>IFERROR(__xludf.DUMMYFUNCTION("""COMPUTED_VALUE"""),"Spain")</f>
        <v>Spain</v>
      </c>
      <c r="B2664" t="str">
        <f>IFERROR(__xludf.DUMMYFUNCTION("""COMPUTED_VALUE"""),"Europe")</f>
        <v>Europe</v>
      </c>
      <c r="C2664">
        <f>IFERROR(__xludf.DUMMYFUNCTION("""COMPUTED_VALUE"""),13.0)</f>
        <v>13</v>
      </c>
      <c r="D2664" t="str">
        <f>IFERROR(__xludf.DUMMYFUNCTION("""COMPUTED_VALUE"""),"Tusa")</f>
        <v>Tusa</v>
      </c>
      <c r="E2664" t="str">
        <f>IFERROR(__xludf.DUMMYFUNCTION("""COMPUTED_VALUE"""),"KAROL G, Nicki Minaj")</f>
        <v>KAROL G, Nicki Minaj</v>
      </c>
      <c r="F2664" t="str">
        <f>IFERROR(__xludf.DUMMYFUNCTION("""COMPUTED_VALUE"""),"Tusa")</f>
        <v>Tusa</v>
      </c>
      <c r="G2664">
        <f>IFERROR(__xludf.DUMMYFUNCTION("""COMPUTED_VALUE"""),0.0)</f>
        <v>0</v>
      </c>
      <c r="H2664" s="5">
        <f>IFERROR(__xludf.DUMMYFUNCTION("""COMPUTED_VALUE"""),0.13888888889050577)</f>
        <v>0.1388888889</v>
      </c>
    </row>
    <row r="2665">
      <c r="A2665" t="str">
        <f>IFERROR(__xludf.DUMMYFUNCTION("""COMPUTED_VALUE"""),"Spain")</f>
        <v>Spain</v>
      </c>
      <c r="B2665" t="str">
        <f>IFERROR(__xludf.DUMMYFUNCTION("""COMPUTED_VALUE"""),"Europe")</f>
        <v>Europe</v>
      </c>
      <c r="C2665">
        <f>IFERROR(__xludf.DUMMYFUNCTION("""COMPUTED_VALUE"""),14.0)</f>
        <v>14</v>
      </c>
      <c r="D2665" t="str">
        <f>IFERROR(__xludf.DUMMYFUNCTION("""COMPUTED_VALUE"""),"4 besos")</f>
        <v>4 besos</v>
      </c>
      <c r="E2665" t="str">
        <f>IFERROR(__xludf.DUMMYFUNCTION("""COMPUTED_VALUE"""),"Lola Indigo, Rauw Alejandro, Lalo Ebratt")</f>
        <v>Lola Indigo, Rauw Alejandro, Lalo Ebratt</v>
      </c>
      <c r="F2665" t="str">
        <f>IFERROR(__xludf.DUMMYFUNCTION("""COMPUTED_VALUE"""),"4 besos")</f>
        <v>4 besos</v>
      </c>
      <c r="G2665">
        <f>IFERROR(__xludf.DUMMYFUNCTION("""COMPUTED_VALUE"""),0.0)</f>
        <v>0</v>
      </c>
      <c r="H2665" s="5">
        <f>IFERROR(__xludf.DUMMYFUNCTION("""COMPUTED_VALUE"""),0.16111111111240461)</f>
        <v>0.1611111111</v>
      </c>
    </row>
    <row r="2666">
      <c r="A2666" t="str">
        <f>IFERROR(__xludf.DUMMYFUNCTION("""COMPUTED_VALUE"""),"Spain")</f>
        <v>Spain</v>
      </c>
      <c r="B2666" t="str">
        <f>IFERROR(__xludf.DUMMYFUNCTION("""COMPUTED_VALUE"""),"Europe")</f>
        <v>Europe</v>
      </c>
      <c r="C2666">
        <f>IFERROR(__xludf.DUMMYFUNCTION("""COMPUTED_VALUE"""),15.0)</f>
        <v>15</v>
      </c>
      <c r="D2666" t="str">
        <f>IFERROR(__xludf.DUMMYFUNCTION("""COMPUTED_VALUE"""),"MÁS DE UNA CITA")</f>
        <v>MÁS DE UNA CITA</v>
      </c>
      <c r="E2666" t="str">
        <f>IFERROR(__xludf.DUMMYFUNCTION("""COMPUTED_VALUE"""),"Bad Bunny, Zion &amp; Lennox")</f>
        <v>Bad Bunny, Zion &amp; Lennox</v>
      </c>
      <c r="F2666" t="str">
        <f>IFERROR(__xludf.DUMMYFUNCTION("""COMPUTED_VALUE"""),"LAS QUE NO IBAN A SALIR")</f>
        <v>LAS QUE NO IBAN A SALIR</v>
      </c>
      <c r="G2666">
        <f>IFERROR(__xludf.DUMMYFUNCTION("""COMPUTED_VALUE"""),1.0)</f>
        <v>1</v>
      </c>
      <c r="H2666" s="5">
        <f>IFERROR(__xludf.DUMMYFUNCTION("""COMPUTED_VALUE"""),0.12708333333284827)</f>
        <v>0.1270833333</v>
      </c>
    </row>
    <row r="2667">
      <c r="A2667" t="str">
        <f>IFERROR(__xludf.DUMMYFUNCTION("""COMPUTED_VALUE"""),"Spain")</f>
        <v>Spain</v>
      </c>
      <c r="B2667" t="str">
        <f>IFERROR(__xludf.DUMMYFUNCTION("""COMPUTED_VALUE"""),"Europe")</f>
        <v>Europe</v>
      </c>
      <c r="C2667">
        <f>IFERROR(__xludf.DUMMYFUNCTION("""COMPUTED_VALUE"""),16.0)</f>
        <v>16</v>
      </c>
      <c r="D2667" t="str">
        <f>IFERROR(__xludf.DUMMYFUNCTION("""COMPUTED_VALUE"""),"Relación")</f>
        <v>Relación</v>
      </c>
      <c r="E2667" t="str">
        <f>IFERROR(__xludf.DUMMYFUNCTION("""COMPUTED_VALUE"""),"Sech")</f>
        <v>Sech</v>
      </c>
      <c r="F2667" t="str">
        <f>IFERROR(__xludf.DUMMYFUNCTION("""COMPUTED_VALUE"""),"1 of 1")</f>
        <v>1 of 1</v>
      </c>
      <c r="G2667">
        <f>IFERROR(__xludf.DUMMYFUNCTION("""COMPUTED_VALUE"""),0.0)</f>
        <v>0</v>
      </c>
      <c r="H2667" s="5">
        <f>IFERROR(__xludf.DUMMYFUNCTION("""COMPUTED_VALUE"""),0.12777777777955635)</f>
        <v>0.1277777778</v>
      </c>
    </row>
    <row r="2668">
      <c r="A2668" t="str">
        <f>IFERROR(__xludf.DUMMYFUNCTION("""COMPUTED_VALUE"""),"Spain")</f>
        <v>Spain</v>
      </c>
      <c r="B2668" t="str">
        <f>IFERROR(__xludf.DUMMYFUNCTION("""COMPUTED_VALUE"""),"Europe")</f>
        <v>Europe</v>
      </c>
      <c r="C2668">
        <f>IFERROR(__xludf.DUMMYFUNCTION("""COMPUTED_VALUE"""),17.0)</f>
        <v>17</v>
      </c>
      <c r="D2668" t="str">
        <f>IFERROR(__xludf.DUMMYFUNCTION("""COMPUTED_VALUE"""),"Rojo")</f>
        <v>Rojo</v>
      </c>
      <c r="E2668" t="str">
        <f>IFERROR(__xludf.DUMMYFUNCTION("""COMPUTED_VALUE"""),"J Balvin")</f>
        <v>J Balvin</v>
      </c>
      <c r="F2668" t="str">
        <f>IFERROR(__xludf.DUMMYFUNCTION("""COMPUTED_VALUE"""),"Colores")</f>
        <v>Colores</v>
      </c>
      <c r="G2668">
        <f>IFERROR(__xludf.DUMMYFUNCTION("""COMPUTED_VALUE"""),0.0)</f>
        <v>0</v>
      </c>
      <c r="H2668" s="5">
        <f>IFERROR(__xludf.DUMMYFUNCTION("""COMPUTED_VALUE"""),0.10416666666787933)</f>
        <v>0.1041666667</v>
      </c>
    </row>
    <row r="2669">
      <c r="A2669" t="str">
        <f>IFERROR(__xludf.DUMMYFUNCTION("""COMPUTED_VALUE"""),"Spain")</f>
        <v>Spain</v>
      </c>
      <c r="B2669" t="str">
        <f>IFERROR(__xludf.DUMMYFUNCTION("""COMPUTED_VALUE"""),"Europe")</f>
        <v>Europe</v>
      </c>
      <c r="C2669">
        <f>IFERROR(__xludf.DUMMYFUNCTION("""COMPUTED_VALUE"""),18.0)</f>
        <v>18</v>
      </c>
      <c r="D2669" t="str">
        <f>IFERROR(__xludf.DUMMYFUNCTION("""COMPUTED_VALUE"""),"Yo Perreo Sola")</f>
        <v>Yo Perreo Sola</v>
      </c>
      <c r="E2669" t="str">
        <f>IFERROR(__xludf.DUMMYFUNCTION("""COMPUTED_VALUE"""),"Bad Bunny")</f>
        <v>Bad Bunny</v>
      </c>
      <c r="F2669" t="str">
        <f>IFERROR(__xludf.DUMMYFUNCTION("""COMPUTED_VALUE"""),"YHLQMDLG")</f>
        <v>YHLQMDLG</v>
      </c>
      <c r="G2669">
        <f>IFERROR(__xludf.DUMMYFUNCTION("""COMPUTED_VALUE"""),0.0)</f>
        <v>0</v>
      </c>
      <c r="H2669" s="5">
        <f>IFERROR(__xludf.DUMMYFUNCTION("""COMPUTED_VALUE"""),0.11944444444452529)</f>
        <v>0.1194444444</v>
      </c>
    </row>
    <row r="2670">
      <c r="A2670" t="str">
        <f>IFERROR(__xludf.DUMMYFUNCTION("""COMPUTED_VALUE"""),"Spain")</f>
        <v>Spain</v>
      </c>
      <c r="B2670" t="str">
        <f>IFERROR(__xludf.DUMMYFUNCTION("""COMPUTED_VALUE"""),"Europe")</f>
        <v>Europe</v>
      </c>
      <c r="C2670">
        <f>IFERROR(__xludf.DUMMYFUNCTION("""COMPUTED_VALUE"""),19.0)</f>
        <v>19</v>
      </c>
      <c r="D2670" t="str">
        <f>IFERROR(__xludf.DUMMYFUNCTION("""COMPUTED_VALUE"""),"BAD CON NICKY")</f>
        <v>BAD CON NICKY</v>
      </c>
      <c r="E2670" t="str">
        <f>IFERROR(__xludf.DUMMYFUNCTION("""COMPUTED_VALUE"""),"Bad Bunny, Nicky Jam")</f>
        <v>Bad Bunny, Nicky Jam</v>
      </c>
      <c r="F2670" t="str">
        <f>IFERROR(__xludf.DUMMYFUNCTION("""COMPUTED_VALUE"""),"LAS QUE NO IBAN A SALIR")</f>
        <v>LAS QUE NO IBAN A SALIR</v>
      </c>
      <c r="G2670">
        <f>IFERROR(__xludf.DUMMYFUNCTION("""COMPUTED_VALUE"""),1.0)</f>
        <v>1</v>
      </c>
      <c r="H2670" s="5">
        <f>IFERROR(__xludf.DUMMYFUNCTION("""COMPUTED_VALUE"""),0.14027777777664596)</f>
        <v>0.1402777778</v>
      </c>
    </row>
    <row r="2671">
      <c r="A2671" t="str">
        <f>IFERROR(__xludf.DUMMYFUNCTION("""COMPUTED_VALUE"""),"Spain")</f>
        <v>Spain</v>
      </c>
      <c r="B2671" t="str">
        <f>IFERROR(__xludf.DUMMYFUNCTION("""COMPUTED_VALUE"""),"Europe")</f>
        <v>Europe</v>
      </c>
      <c r="C2671">
        <f>IFERROR(__xludf.DUMMYFUNCTION("""COMPUTED_VALUE"""),20.0)</f>
        <v>20</v>
      </c>
      <c r="D2671" t="str">
        <f>IFERROR(__xludf.DUMMYFUNCTION("""COMPUTED_VALUE"""),"Loco")</f>
        <v>Loco</v>
      </c>
      <c r="E2671" t="str">
        <f>IFERROR(__xludf.DUMMYFUNCTION("""COMPUTED_VALUE"""),"Beéle")</f>
        <v>Beéle</v>
      </c>
      <c r="F2671" t="str">
        <f>IFERROR(__xludf.DUMMYFUNCTION("""COMPUTED_VALUE"""),"Loco")</f>
        <v>Loco</v>
      </c>
      <c r="G2671">
        <f>IFERROR(__xludf.DUMMYFUNCTION("""COMPUTED_VALUE"""),0.0)</f>
        <v>0</v>
      </c>
      <c r="H2671" s="5">
        <f>IFERROR(__xludf.DUMMYFUNCTION("""COMPUTED_VALUE"""),0.14166666666642413)</f>
        <v>0.1416666667</v>
      </c>
    </row>
    <row r="2672">
      <c r="A2672" t="str">
        <f>IFERROR(__xludf.DUMMYFUNCTION("""COMPUTED_VALUE"""),"Spain")</f>
        <v>Spain</v>
      </c>
      <c r="B2672" t="str">
        <f>IFERROR(__xludf.DUMMYFUNCTION("""COMPUTED_VALUE"""),"Europe")</f>
        <v>Europe</v>
      </c>
      <c r="C2672">
        <f>IFERROR(__xludf.DUMMYFUNCTION("""COMPUTED_VALUE"""),21.0)</f>
        <v>21</v>
      </c>
      <c r="D2672" t="str">
        <f>IFERROR(__xludf.DUMMYFUNCTION("""COMPUTED_VALUE"""),"Una Mala (Remix)")</f>
        <v>Una Mala (Remix)</v>
      </c>
      <c r="E2672" t="str">
        <f>IFERROR(__xludf.DUMMYFUNCTION("""COMPUTED_VALUE"""),"El Completo Rd, Chimbala")</f>
        <v>El Completo Rd, Chimbala</v>
      </c>
      <c r="F2672" t="str">
        <f>IFERROR(__xludf.DUMMYFUNCTION("""COMPUTED_VALUE"""),"Una Mala (Remix)")</f>
        <v>Una Mala (Remix)</v>
      </c>
      <c r="G2672">
        <f>IFERROR(__xludf.DUMMYFUNCTION("""COMPUTED_VALUE"""),0.0)</f>
        <v>0</v>
      </c>
      <c r="H2672" s="5">
        <f>IFERROR(__xludf.DUMMYFUNCTION("""COMPUTED_VALUE"""),0.12777777777955635)</f>
        <v>0.1277777778</v>
      </c>
    </row>
    <row r="2673">
      <c r="A2673" t="str">
        <f>IFERROR(__xludf.DUMMYFUNCTION("""COMPUTED_VALUE"""),"Spain")</f>
        <v>Spain</v>
      </c>
      <c r="B2673" t="str">
        <f>IFERROR(__xludf.DUMMYFUNCTION("""COMPUTED_VALUE"""),"Europe")</f>
        <v>Europe</v>
      </c>
      <c r="C2673">
        <f>IFERROR(__xludf.DUMMYFUNCTION("""COMPUTED_VALUE"""),22.0)</f>
        <v>22</v>
      </c>
      <c r="D2673" t="str">
        <f>IFERROR(__xludf.DUMMYFUNCTION("""COMPUTED_VALUE"""),"Elegí (feat. Dímelo Flow)")</f>
        <v>Elegí (feat. Dímelo Flow)</v>
      </c>
      <c r="E2673" t="str">
        <f>IFERROR(__xludf.DUMMYFUNCTION("""COMPUTED_VALUE"""),"Rauw Alejandro, Dalex, Lenny Tavárez, Dímelo Flow")</f>
        <v>Rauw Alejandro, Dalex, Lenny Tavárez, Dímelo Flow</v>
      </c>
      <c r="F2673" t="str">
        <f>IFERROR(__xludf.DUMMYFUNCTION("""COMPUTED_VALUE"""),"Elegí (feat. Dímelo Flow)")</f>
        <v>Elegí (feat. Dímelo Flow)</v>
      </c>
      <c r="G2673">
        <f>IFERROR(__xludf.DUMMYFUNCTION("""COMPUTED_VALUE"""),0.0)</f>
        <v>0</v>
      </c>
      <c r="H2673" s="5">
        <f>IFERROR(__xludf.DUMMYFUNCTION("""COMPUTED_VALUE"""),0.13680555555401952)</f>
        <v>0.1368055556</v>
      </c>
    </row>
    <row r="2674">
      <c r="A2674" t="str">
        <f>IFERROR(__xludf.DUMMYFUNCTION("""COMPUTED_VALUE"""),"Spain")</f>
        <v>Spain</v>
      </c>
      <c r="B2674" t="str">
        <f>IFERROR(__xludf.DUMMYFUNCTION("""COMPUTED_VALUE"""),"Europe")</f>
        <v>Europe</v>
      </c>
      <c r="C2674">
        <f>IFERROR(__xludf.DUMMYFUNCTION("""COMPUTED_VALUE"""),23.0)</f>
        <v>23</v>
      </c>
      <c r="D2674" t="str">
        <f>IFERROR(__xludf.DUMMYFUNCTION("""COMPUTED_VALUE"""),"Se iluminaba")</f>
        <v>Se iluminaba</v>
      </c>
      <c r="E2674" t="str">
        <f>IFERROR(__xludf.DUMMYFUNCTION("""COMPUTED_VALUE"""),"Fred De Palma, Ana Mena")</f>
        <v>Fred De Palma, Ana Mena</v>
      </c>
      <c r="F2674" t="str">
        <f>IFERROR(__xludf.DUMMYFUNCTION("""COMPUTED_VALUE"""),"Uebe")</f>
        <v>Uebe</v>
      </c>
      <c r="G2674">
        <f>IFERROR(__xludf.DUMMYFUNCTION("""COMPUTED_VALUE"""),0.0)</f>
        <v>0</v>
      </c>
      <c r="H2674" s="5">
        <f>IFERROR(__xludf.DUMMYFUNCTION("""COMPUTED_VALUE"""),0.12083333333430346)</f>
        <v>0.1208333333</v>
      </c>
    </row>
    <row r="2675">
      <c r="A2675" t="str">
        <f>IFERROR(__xludf.DUMMYFUNCTION("""COMPUTED_VALUE"""),"Spain")</f>
        <v>Spain</v>
      </c>
      <c r="B2675" t="str">
        <f>IFERROR(__xludf.DUMMYFUNCTION("""COMPUTED_VALUE"""),"Europe")</f>
        <v>Europe</v>
      </c>
      <c r="C2675">
        <f>IFERROR(__xludf.DUMMYFUNCTION("""COMPUTED_VALUE"""),24.0)</f>
        <v>24</v>
      </c>
      <c r="D2675" t="str">
        <f>IFERROR(__xludf.DUMMYFUNCTION("""COMPUTED_VALUE"""),"Tattoo")</f>
        <v>Tattoo</v>
      </c>
      <c r="E2675" t="str">
        <f>IFERROR(__xludf.DUMMYFUNCTION("""COMPUTED_VALUE"""),"Rauw Alejandro")</f>
        <v>Rauw Alejandro</v>
      </c>
      <c r="F2675" t="str">
        <f>IFERROR(__xludf.DUMMYFUNCTION("""COMPUTED_VALUE"""),"Tattoo")</f>
        <v>Tattoo</v>
      </c>
      <c r="G2675">
        <f>IFERROR(__xludf.DUMMYFUNCTION("""COMPUTED_VALUE"""),0.0)</f>
        <v>0</v>
      </c>
      <c r="H2675" s="5">
        <f>IFERROR(__xludf.DUMMYFUNCTION("""COMPUTED_VALUE"""),0.14027777777664596)</f>
        <v>0.1402777778</v>
      </c>
    </row>
    <row r="2676">
      <c r="A2676" t="str">
        <f>IFERROR(__xludf.DUMMYFUNCTION("""COMPUTED_VALUE"""),"Spain")</f>
        <v>Spain</v>
      </c>
      <c r="B2676" t="str">
        <f>IFERROR(__xludf.DUMMYFUNCTION("""COMPUTED_VALUE"""),"Europe")</f>
        <v>Europe</v>
      </c>
      <c r="C2676">
        <f>IFERROR(__xludf.DUMMYFUNCTION("""COMPUTED_VALUE"""),25.0)</f>
        <v>25</v>
      </c>
      <c r="D2676" t="str">
        <f>IFERROR(__xludf.DUMMYFUNCTION("""COMPUTED_VALUE"""),"CÓMO SE SIENTE - Remix")</f>
        <v>CÓMO SE SIENTE - Remix</v>
      </c>
      <c r="E2676" t="str">
        <f>IFERROR(__xludf.DUMMYFUNCTION("""COMPUTED_VALUE"""),"Jhay Cortez, Bad Bunny")</f>
        <v>Jhay Cortez, Bad Bunny</v>
      </c>
      <c r="F2676" t="str">
        <f>IFERROR(__xludf.DUMMYFUNCTION("""COMPUTED_VALUE"""),"CÓMO SE SIENTE (Remix)")</f>
        <v>CÓMO SE SIENTE (Remix)</v>
      </c>
      <c r="G2676">
        <f>IFERROR(__xludf.DUMMYFUNCTION("""COMPUTED_VALUE"""),1.0)</f>
        <v>1</v>
      </c>
      <c r="H2676" s="5">
        <f>IFERROR(__xludf.DUMMYFUNCTION("""COMPUTED_VALUE"""),0.15763888888977817)</f>
        <v>0.1576388889</v>
      </c>
    </row>
    <row r="2677">
      <c r="A2677" t="str">
        <f>IFERROR(__xludf.DUMMYFUNCTION("""COMPUTED_VALUE"""),"Spain")</f>
        <v>Spain</v>
      </c>
      <c r="B2677" t="str">
        <f>IFERROR(__xludf.DUMMYFUNCTION("""COMPUTED_VALUE"""),"Europe")</f>
        <v>Europe</v>
      </c>
      <c r="C2677">
        <f>IFERROR(__xludf.DUMMYFUNCTION("""COMPUTED_VALUE"""),26.0)</f>
        <v>26</v>
      </c>
      <c r="D2677" t="str">
        <f>IFERROR(__xludf.DUMMYFUNCTION("""COMPUTED_VALUE"""),"Tak Tiki Tak")</f>
        <v>Tak Tiki Tak</v>
      </c>
      <c r="E2677" t="str">
        <f>IFERROR(__xludf.DUMMYFUNCTION("""COMPUTED_VALUE"""),"Harry Nach")</f>
        <v>Harry Nach</v>
      </c>
      <c r="F2677" t="str">
        <f>IFERROR(__xludf.DUMMYFUNCTION("""COMPUTED_VALUE"""),"Tak Tiki Tak")</f>
        <v>Tak Tiki Tak</v>
      </c>
      <c r="G2677">
        <f>IFERROR(__xludf.DUMMYFUNCTION("""COMPUTED_VALUE"""),1.0)</f>
        <v>1</v>
      </c>
      <c r="H2677" s="5">
        <f>IFERROR(__xludf.DUMMYFUNCTION("""COMPUTED_VALUE"""),0.14722222222189885)</f>
        <v>0.1472222222</v>
      </c>
    </row>
    <row r="2678">
      <c r="A2678" t="str">
        <f>IFERROR(__xludf.DUMMYFUNCTION("""COMPUTED_VALUE"""),"Spain")</f>
        <v>Spain</v>
      </c>
      <c r="B2678" t="str">
        <f>IFERROR(__xludf.DUMMYFUNCTION("""COMPUTED_VALUE"""),"Europe")</f>
        <v>Europe</v>
      </c>
      <c r="C2678">
        <f>IFERROR(__xludf.DUMMYFUNCTION("""COMPUTED_VALUE"""),27.0)</f>
        <v>27</v>
      </c>
      <c r="D2678" t="str">
        <f>IFERROR(__xludf.DUMMYFUNCTION("""COMPUTED_VALUE"""),"El Efecto")</f>
        <v>El Efecto</v>
      </c>
      <c r="E2678" t="str">
        <f>IFERROR(__xludf.DUMMYFUNCTION("""COMPUTED_VALUE"""),"Rauw Alejandro, Chencho Corleone")</f>
        <v>Rauw Alejandro, Chencho Corleone</v>
      </c>
      <c r="F2678" t="str">
        <f>IFERROR(__xludf.DUMMYFUNCTION("""COMPUTED_VALUE"""),"El Efecto")</f>
        <v>El Efecto</v>
      </c>
      <c r="G2678">
        <f>IFERROR(__xludf.DUMMYFUNCTION("""COMPUTED_VALUE"""),0.0)</f>
        <v>0</v>
      </c>
      <c r="H2678" s="5">
        <f>IFERROR(__xludf.DUMMYFUNCTION("""COMPUTED_VALUE"""),0.1506944444445253)</f>
        <v>0.1506944444</v>
      </c>
    </row>
    <row r="2679">
      <c r="A2679" t="str">
        <f>IFERROR(__xludf.DUMMYFUNCTION("""COMPUTED_VALUE"""),"Spain")</f>
        <v>Spain</v>
      </c>
      <c r="B2679" t="str">
        <f>IFERROR(__xludf.DUMMYFUNCTION("""COMPUTED_VALUE"""),"Europe")</f>
        <v>Europe</v>
      </c>
      <c r="C2679">
        <f>IFERROR(__xludf.DUMMYFUNCTION("""COMPUTED_VALUE"""),28.0)</f>
        <v>28</v>
      </c>
      <c r="D2679" t="str">
        <f>IFERROR(__xludf.DUMMYFUNCTION("""COMPUTED_VALUE"""),"Sur y Norte")</f>
        <v>Sur y Norte</v>
      </c>
      <c r="E2679" t="str">
        <f>IFERROR(__xludf.DUMMYFUNCTION("""COMPUTED_VALUE"""),"Nengo Flow, Anuel AA")</f>
        <v>Nengo Flow, Anuel AA</v>
      </c>
      <c r="F2679" t="str">
        <f>IFERROR(__xludf.DUMMYFUNCTION("""COMPUTED_VALUE"""),"The Goat")</f>
        <v>The Goat</v>
      </c>
      <c r="G2679">
        <f>IFERROR(__xludf.DUMMYFUNCTION("""COMPUTED_VALUE"""),1.0)</f>
        <v>1</v>
      </c>
      <c r="H2679" s="5">
        <f>IFERROR(__xludf.DUMMYFUNCTION("""COMPUTED_VALUE"""),0.14930555555474712)</f>
        <v>0.1493055556</v>
      </c>
    </row>
    <row r="2680">
      <c r="A2680" t="str">
        <f>IFERROR(__xludf.DUMMYFUNCTION("""COMPUTED_VALUE"""),"Spain")</f>
        <v>Spain</v>
      </c>
      <c r="B2680" t="str">
        <f>IFERROR(__xludf.DUMMYFUNCTION("""COMPUTED_VALUE"""),"Europe")</f>
        <v>Europe</v>
      </c>
      <c r="C2680">
        <f>IFERROR(__xludf.DUMMYFUNCTION("""COMPUTED_VALUE"""),29.0)</f>
        <v>29</v>
      </c>
      <c r="D2680" t="str">
        <f>IFERROR(__xludf.DUMMYFUNCTION("""COMPUTED_VALUE"""),"Enemigos")</f>
        <v>Enemigos</v>
      </c>
      <c r="E2680" t="str">
        <f>IFERROR(__xludf.DUMMYFUNCTION("""COMPUTED_VALUE"""),"Aitana, Reik")</f>
        <v>Aitana, Reik</v>
      </c>
      <c r="F2680" t="str">
        <f>IFERROR(__xludf.DUMMYFUNCTION("""COMPUTED_VALUE"""),"Enemigos")</f>
        <v>Enemigos</v>
      </c>
      <c r="G2680">
        <f>IFERROR(__xludf.DUMMYFUNCTION("""COMPUTED_VALUE"""),0.0)</f>
        <v>0</v>
      </c>
      <c r="H2680" s="5">
        <f>IFERROR(__xludf.DUMMYFUNCTION("""COMPUTED_VALUE"""),0.13680555555401952)</f>
        <v>0.1368055556</v>
      </c>
    </row>
    <row r="2681">
      <c r="A2681" t="str">
        <f>IFERROR(__xludf.DUMMYFUNCTION("""COMPUTED_VALUE"""),"Spain")</f>
        <v>Spain</v>
      </c>
      <c r="B2681" t="str">
        <f>IFERROR(__xludf.DUMMYFUNCTION("""COMPUTED_VALUE"""),"Europe")</f>
        <v>Europe</v>
      </c>
      <c r="C2681">
        <f>IFERROR(__xludf.DUMMYFUNCTION("""COMPUTED_VALUE"""),30.0)</f>
        <v>30</v>
      </c>
      <c r="D2681" t="str">
        <f>IFERROR(__xludf.DUMMYFUNCTION("""COMPUTED_VALUE"""),"Diosa")</f>
        <v>Diosa</v>
      </c>
      <c r="E2681" t="str">
        <f>IFERROR(__xludf.DUMMYFUNCTION("""COMPUTED_VALUE"""),"Myke Towers")</f>
        <v>Myke Towers</v>
      </c>
      <c r="F2681" t="str">
        <f>IFERROR(__xludf.DUMMYFUNCTION("""COMPUTED_VALUE"""),"Easy Money Baby")</f>
        <v>Easy Money Baby</v>
      </c>
      <c r="G2681">
        <f>IFERROR(__xludf.DUMMYFUNCTION("""COMPUTED_VALUE"""),1.0)</f>
        <v>1</v>
      </c>
      <c r="H2681" s="5">
        <f>IFERROR(__xludf.DUMMYFUNCTION("""COMPUTED_VALUE"""),0.14861111111167702)</f>
        <v>0.1486111111</v>
      </c>
    </row>
    <row r="2682">
      <c r="A2682" t="str">
        <f>IFERROR(__xludf.DUMMYFUNCTION("""COMPUTED_VALUE"""),"Spain")</f>
        <v>Spain</v>
      </c>
      <c r="B2682" t="str">
        <f>IFERROR(__xludf.DUMMYFUNCTION("""COMPUTED_VALUE"""),"Europe")</f>
        <v>Europe</v>
      </c>
      <c r="C2682">
        <f>IFERROR(__xludf.DUMMYFUNCTION("""COMPUTED_VALUE"""),31.0)</f>
        <v>31</v>
      </c>
      <c r="D2682" t="str">
        <f>IFERROR(__xludf.DUMMYFUNCTION("""COMPUTED_VALUE"""),"Confía")</f>
        <v>Confía</v>
      </c>
      <c r="E2682" t="str">
        <f>IFERROR(__xludf.DUMMYFUNCTION("""COMPUTED_VALUE"""),"Sech, Daddy Yankee")</f>
        <v>Sech, Daddy Yankee</v>
      </c>
      <c r="F2682" t="str">
        <f>IFERROR(__xludf.DUMMYFUNCTION("""COMPUTED_VALUE"""),"1 of 1")</f>
        <v>1 of 1</v>
      </c>
      <c r="G2682">
        <f>IFERROR(__xludf.DUMMYFUNCTION("""COMPUTED_VALUE"""),0.0)</f>
        <v>0</v>
      </c>
      <c r="H2682" s="5">
        <f>IFERROR(__xludf.DUMMYFUNCTION("""COMPUTED_VALUE"""),0.14027777777664596)</f>
        <v>0.1402777778</v>
      </c>
    </row>
    <row r="2683">
      <c r="A2683" t="str">
        <f>IFERROR(__xludf.DUMMYFUNCTION("""COMPUTED_VALUE"""),"Spain")</f>
        <v>Spain</v>
      </c>
      <c r="B2683" t="str">
        <f>IFERROR(__xludf.DUMMYFUNCTION("""COMPUTED_VALUE"""),"Europe")</f>
        <v>Europe</v>
      </c>
      <c r="C2683">
        <f>IFERROR(__xludf.DUMMYFUNCTION("""COMPUTED_VALUE"""),32.0)</f>
        <v>32</v>
      </c>
      <c r="D2683" t="str">
        <f>IFERROR(__xludf.DUMMYFUNCTION("""COMPUTED_VALUE"""),"Atrévete")</f>
        <v>Atrévete</v>
      </c>
      <c r="E2683" t="str">
        <f>IFERROR(__xludf.DUMMYFUNCTION("""COMPUTED_VALUE"""),"Yago Roche")</f>
        <v>Yago Roche</v>
      </c>
      <c r="F2683" t="str">
        <f>IFERROR(__xludf.DUMMYFUNCTION("""COMPUTED_VALUE"""),"Atrévete")</f>
        <v>Atrévete</v>
      </c>
      <c r="G2683">
        <f>IFERROR(__xludf.DUMMYFUNCTION("""COMPUTED_VALUE"""),0.0)</f>
        <v>0</v>
      </c>
      <c r="H2683" s="5">
        <f>IFERROR(__xludf.DUMMYFUNCTION("""COMPUTED_VALUE"""),0.13194444444525288)</f>
        <v>0.1319444444</v>
      </c>
    </row>
    <row r="2684">
      <c r="A2684" t="str">
        <f>IFERROR(__xludf.DUMMYFUNCTION("""COMPUTED_VALUE"""),"Spain")</f>
        <v>Spain</v>
      </c>
      <c r="B2684" t="str">
        <f>IFERROR(__xludf.DUMMYFUNCTION("""COMPUTED_VALUE"""),"Europe")</f>
        <v>Europe</v>
      </c>
      <c r="C2684">
        <f>IFERROR(__xludf.DUMMYFUNCTION("""COMPUTED_VALUE"""),33.0)</f>
        <v>33</v>
      </c>
      <c r="D2684" t="str">
        <f>IFERROR(__xludf.DUMMYFUNCTION("""COMPUTED_VALUE"""),"Tu Eres Un Bom Bom - Remix")</f>
        <v>Tu Eres Un Bom Bom - Remix</v>
      </c>
      <c r="E2684" t="str">
        <f>IFERROR(__xludf.DUMMYFUNCTION("""COMPUTED_VALUE"""),"Kafu Banton, Bad Gyal")</f>
        <v>Kafu Banton, Bad Gyal</v>
      </c>
      <c r="F2684" t="str">
        <f>IFERROR(__xludf.DUMMYFUNCTION("""COMPUTED_VALUE"""),"Tu Eres Un Bom Bom (Remix)")</f>
        <v>Tu Eres Un Bom Bom (Remix)</v>
      </c>
      <c r="G2684">
        <f>IFERROR(__xludf.DUMMYFUNCTION("""COMPUTED_VALUE"""),0.0)</f>
        <v>0</v>
      </c>
      <c r="H2684" s="5">
        <f>IFERROR(__xludf.DUMMYFUNCTION("""COMPUTED_VALUE"""),0.12013888888759539)</f>
        <v>0.1201388889</v>
      </c>
    </row>
    <row r="2685">
      <c r="A2685" t="str">
        <f>IFERROR(__xludf.DUMMYFUNCTION("""COMPUTED_VALUE"""),"Spain")</f>
        <v>Spain</v>
      </c>
      <c r="B2685" t="str">
        <f>IFERROR(__xludf.DUMMYFUNCTION("""COMPUTED_VALUE"""),"Europe")</f>
        <v>Europe</v>
      </c>
      <c r="C2685">
        <f>IFERROR(__xludf.DUMMYFUNCTION("""COMPUTED_VALUE"""),34.0)</f>
        <v>34</v>
      </c>
      <c r="D2685" t="str">
        <f>IFERROR(__xludf.DUMMYFUNCTION("""COMPUTED_VALUE"""),"Morado")</f>
        <v>Morado</v>
      </c>
      <c r="E2685" t="str">
        <f>IFERROR(__xludf.DUMMYFUNCTION("""COMPUTED_VALUE"""),"J Balvin")</f>
        <v>J Balvin</v>
      </c>
      <c r="F2685" t="str">
        <f>IFERROR(__xludf.DUMMYFUNCTION("""COMPUTED_VALUE"""),"Colores")</f>
        <v>Colores</v>
      </c>
      <c r="G2685">
        <f>IFERROR(__xludf.DUMMYFUNCTION("""COMPUTED_VALUE"""),0.0)</f>
        <v>0</v>
      </c>
      <c r="H2685" s="5">
        <f>IFERROR(__xludf.DUMMYFUNCTION("""COMPUTED_VALUE"""),0.13888888889050577)</f>
        <v>0.1388888889</v>
      </c>
    </row>
    <row r="2686">
      <c r="A2686" t="str">
        <f>IFERROR(__xludf.DUMMYFUNCTION("""COMPUTED_VALUE"""),"Spain")</f>
        <v>Spain</v>
      </c>
      <c r="B2686" t="str">
        <f>IFERROR(__xludf.DUMMYFUNCTION("""COMPUTED_VALUE"""),"Europe")</f>
        <v>Europe</v>
      </c>
      <c r="C2686">
        <f>IFERROR(__xludf.DUMMYFUNCTION("""COMPUTED_VALUE"""),35.0)</f>
        <v>35</v>
      </c>
      <c r="D2686" t="str">
        <f>IFERROR(__xludf.DUMMYFUNCTION("""COMPUTED_VALUE"""),"Roses - Imanbek Remix")</f>
        <v>Roses - Imanbek Remix</v>
      </c>
      <c r="E2686" t="str">
        <f>IFERROR(__xludf.DUMMYFUNCTION("""COMPUTED_VALUE"""),"SAINt JHN, Imanbek")</f>
        <v>SAINt JHN, Imanbek</v>
      </c>
      <c r="F2686" t="str">
        <f>IFERROR(__xludf.DUMMYFUNCTION("""COMPUTED_VALUE"""),"Roses (Imanbek Remix)")</f>
        <v>Roses (Imanbek Remix)</v>
      </c>
      <c r="G2686">
        <f>IFERROR(__xludf.DUMMYFUNCTION("""COMPUTED_VALUE"""),1.0)</f>
        <v>1</v>
      </c>
      <c r="H2686" s="5">
        <f>IFERROR(__xludf.DUMMYFUNCTION("""COMPUTED_VALUE"""),0.12222222222044365)</f>
        <v>0.1222222222</v>
      </c>
    </row>
    <row r="2687">
      <c r="A2687" t="str">
        <f>IFERROR(__xludf.DUMMYFUNCTION("""COMPUTED_VALUE"""),"Spain")</f>
        <v>Spain</v>
      </c>
      <c r="B2687" t="str">
        <f>IFERROR(__xludf.DUMMYFUNCTION("""COMPUTED_VALUE"""),"Europe")</f>
        <v>Europe</v>
      </c>
      <c r="C2687">
        <f>IFERROR(__xludf.DUMMYFUNCTION("""COMPUTED_VALUE"""),36.0)</f>
        <v>36</v>
      </c>
      <c r="D2687" t="str">
        <f>IFERROR(__xludf.DUMMYFUNCTION("""COMPUTED_VALUE"""),"Blinding Lights")</f>
        <v>Blinding Lights</v>
      </c>
      <c r="E2687" t="str">
        <f>IFERROR(__xludf.DUMMYFUNCTION("""COMPUTED_VALUE"""),"The Weeknd")</f>
        <v>The Weeknd</v>
      </c>
      <c r="F2687" t="str">
        <f>IFERROR(__xludf.DUMMYFUNCTION("""COMPUTED_VALUE"""),"After Hours")</f>
        <v>After Hours</v>
      </c>
      <c r="G2687">
        <f>IFERROR(__xludf.DUMMYFUNCTION("""COMPUTED_VALUE"""),0.0)</f>
        <v>0</v>
      </c>
      <c r="H2687" s="5">
        <f>IFERROR(__xludf.DUMMYFUNCTION("""COMPUTED_VALUE"""),0.13888888889050577)</f>
        <v>0.1388888889</v>
      </c>
    </row>
    <row r="2688">
      <c r="A2688" t="str">
        <f>IFERROR(__xludf.DUMMYFUNCTION("""COMPUTED_VALUE"""),"Spain")</f>
        <v>Spain</v>
      </c>
      <c r="B2688" t="str">
        <f>IFERROR(__xludf.DUMMYFUNCTION("""COMPUTED_VALUE"""),"Europe")</f>
        <v>Europe</v>
      </c>
      <c r="C2688">
        <f>IFERROR(__xludf.DUMMYFUNCTION("""COMPUTED_VALUE"""),37.0)</f>
        <v>37</v>
      </c>
      <c r="D2688" t="str">
        <f>IFERROR(__xludf.DUMMYFUNCTION("""COMPUTED_VALUE"""),"Si Tú La Quieres")</f>
        <v>Si Tú La Quieres</v>
      </c>
      <c r="E2688" t="str">
        <f>IFERROR(__xludf.DUMMYFUNCTION("""COMPUTED_VALUE"""),"David Bisbal, Aitana")</f>
        <v>David Bisbal, Aitana</v>
      </c>
      <c r="F2688" t="str">
        <f>IFERROR(__xludf.DUMMYFUNCTION("""COMPUTED_VALUE"""),"Si Tú La Quieres")</f>
        <v>Si Tú La Quieres</v>
      </c>
      <c r="G2688">
        <f>IFERROR(__xludf.DUMMYFUNCTION("""COMPUTED_VALUE"""),0.0)</f>
        <v>0</v>
      </c>
      <c r="H2688" s="5">
        <f>IFERROR(__xludf.DUMMYFUNCTION("""COMPUTED_VALUE"""),0.1555555555569299)</f>
        <v>0.1555555556</v>
      </c>
    </row>
    <row r="2689">
      <c r="A2689" t="str">
        <f>IFERROR(__xludf.DUMMYFUNCTION("""COMPUTED_VALUE"""),"Spain")</f>
        <v>Spain</v>
      </c>
      <c r="B2689" t="str">
        <f>IFERROR(__xludf.DUMMYFUNCTION("""COMPUTED_VALUE"""),"Europe")</f>
        <v>Europe</v>
      </c>
      <c r="C2689">
        <f>IFERROR(__xludf.DUMMYFUNCTION("""COMPUTED_VALUE"""),38.0)</f>
        <v>38</v>
      </c>
      <c r="D2689" t="str">
        <f>IFERROR(__xludf.DUMMYFUNCTION("""COMPUTED_VALUE"""),"La Difícil")</f>
        <v>La Difícil</v>
      </c>
      <c r="E2689" t="str">
        <f>IFERROR(__xludf.DUMMYFUNCTION("""COMPUTED_VALUE"""),"Bad Bunny")</f>
        <v>Bad Bunny</v>
      </c>
      <c r="F2689" t="str">
        <f>IFERROR(__xludf.DUMMYFUNCTION("""COMPUTED_VALUE"""),"YHLQMDLG")</f>
        <v>YHLQMDLG</v>
      </c>
      <c r="G2689">
        <f>IFERROR(__xludf.DUMMYFUNCTION("""COMPUTED_VALUE"""),1.0)</f>
        <v>1</v>
      </c>
      <c r="H2689" s="5">
        <f>IFERROR(__xludf.DUMMYFUNCTION("""COMPUTED_VALUE"""),0.11319444444598048)</f>
        <v>0.1131944444</v>
      </c>
    </row>
    <row r="2690">
      <c r="A2690" t="str">
        <f>IFERROR(__xludf.DUMMYFUNCTION("""COMPUTED_VALUE"""),"Spain")</f>
        <v>Spain</v>
      </c>
      <c r="B2690" t="str">
        <f>IFERROR(__xludf.DUMMYFUNCTION("""COMPUTED_VALUE"""),"Europe")</f>
        <v>Europe</v>
      </c>
      <c r="C2690">
        <f>IFERROR(__xludf.DUMMYFUNCTION("""COMPUTED_VALUE"""),39.0)</f>
        <v>39</v>
      </c>
      <c r="D2690" t="str">
        <f>IFERROR(__xludf.DUMMYFUNCTION("""COMPUTED_VALUE"""),"La Cama - Remix")</f>
        <v>La Cama - Remix</v>
      </c>
      <c r="E2690" t="str">
        <f>IFERROR(__xludf.DUMMYFUNCTION("""COMPUTED_VALUE"""),"Lunay, Myke Towers, Ozuna, Chencho Corleone, Rauw Alejandro")</f>
        <v>Lunay, Myke Towers, Ozuna, Chencho Corleone, Rauw Alejandro</v>
      </c>
      <c r="F2690" t="str">
        <f>IFERROR(__xludf.DUMMYFUNCTION("""COMPUTED_VALUE"""),"La Cama (Remix)")</f>
        <v>La Cama (Remix)</v>
      </c>
      <c r="G2690">
        <f>IFERROR(__xludf.DUMMYFUNCTION("""COMPUTED_VALUE"""),0.0)</f>
        <v>0</v>
      </c>
      <c r="H2690" s="5">
        <f>IFERROR(__xludf.DUMMYFUNCTION("""COMPUTED_VALUE"""),0.22916666666787933)</f>
        <v>0.2291666667</v>
      </c>
    </row>
    <row r="2691">
      <c r="A2691" t="str">
        <f>IFERROR(__xludf.DUMMYFUNCTION("""COMPUTED_VALUE"""),"Spain")</f>
        <v>Spain</v>
      </c>
      <c r="B2691" t="str">
        <f>IFERROR(__xludf.DUMMYFUNCTION("""COMPUTED_VALUE"""),"Europe")</f>
        <v>Europe</v>
      </c>
      <c r="C2691">
        <f>IFERROR(__xludf.DUMMYFUNCTION("""COMPUTED_VALUE"""),40.0)</f>
        <v>40</v>
      </c>
      <c r="D2691" t="str">
        <f>IFERROR(__xludf.DUMMYFUNCTION("""COMPUTED_VALUE"""),"Fantasias - Remix")</f>
        <v>Fantasias - Remix</v>
      </c>
      <c r="E2691" t="str">
        <f>IFERROR(__xludf.DUMMYFUNCTION("""COMPUTED_VALUE"""),"Rauw Alejandro, Anuel AA, Natti Natasha, Farruko, Lunay")</f>
        <v>Rauw Alejandro, Anuel AA, Natti Natasha, Farruko, Lunay</v>
      </c>
      <c r="F2691" t="str">
        <f>IFERROR(__xludf.DUMMYFUNCTION("""COMPUTED_VALUE"""),"Fantasias (Remix) [feat. Farruko &amp; Lunay]")</f>
        <v>Fantasias (Remix) [feat. Farruko &amp; Lunay]</v>
      </c>
      <c r="G2691">
        <f>IFERROR(__xludf.DUMMYFUNCTION("""COMPUTED_VALUE"""),0.0)</f>
        <v>0</v>
      </c>
      <c r="H2691" s="5">
        <f>IFERROR(__xludf.DUMMYFUNCTION("""COMPUTED_VALUE"""),0.18541666666715173)</f>
        <v>0.1854166667</v>
      </c>
    </row>
    <row r="2692">
      <c r="A2692" t="str">
        <f>IFERROR(__xludf.DUMMYFUNCTION("""COMPUTED_VALUE"""),"Spain")</f>
        <v>Spain</v>
      </c>
      <c r="B2692" t="str">
        <f>IFERROR(__xludf.DUMMYFUNCTION("""COMPUTED_VALUE"""),"Europe")</f>
        <v>Europe</v>
      </c>
      <c r="C2692">
        <f>IFERROR(__xludf.DUMMYFUNCTION("""COMPUTED_VALUE"""),41.0)</f>
        <v>41</v>
      </c>
      <c r="D2692" t="str">
        <f>IFERROR(__xludf.DUMMYFUNCTION("""COMPUTED_VALUE"""),"Dance Monkey")</f>
        <v>Dance Monkey</v>
      </c>
      <c r="E2692" t="str">
        <f>IFERROR(__xludf.DUMMYFUNCTION("""COMPUTED_VALUE"""),"Tones And I")</f>
        <v>Tones And I</v>
      </c>
      <c r="F2692" t="str">
        <f>IFERROR(__xludf.DUMMYFUNCTION("""COMPUTED_VALUE"""),"Dance Monkey (Stripped Back) / Dance Monkey")</f>
        <v>Dance Monkey (Stripped Back) / Dance Monkey</v>
      </c>
      <c r="G2692">
        <f>IFERROR(__xludf.DUMMYFUNCTION("""COMPUTED_VALUE"""),0.0)</f>
        <v>0</v>
      </c>
      <c r="H2692" s="5">
        <f>IFERROR(__xludf.DUMMYFUNCTION("""COMPUTED_VALUE"""),0.14513888888905058)</f>
        <v>0.1451388889</v>
      </c>
    </row>
    <row r="2693">
      <c r="A2693" t="str">
        <f>IFERROR(__xludf.DUMMYFUNCTION("""COMPUTED_VALUE"""),"Spain")</f>
        <v>Spain</v>
      </c>
      <c r="B2693" t="str">
        <f>IFERROR(__xludf.DUMMYFUNCTION("""COMPUTED_VALUE"""),"Europe")</f>
        <v>Europe</v>
      </c>
      <c r="C2693">
        <f>IFERROR(__xludf.DUMMYFUNCTION("""COMPUTED_VALUE"""),42.0)</f>
        <v>42</v>
      </c>
      <c r="D2693" t="str">
        <f>IFERROR(__xludf.DUMMYFUNCTION("""COMPUTED_VALUE"""),"Rain On Me (with Ariana Grande)")</f>
        <v>Rain On Me (with Ariana Grande)</v>
      </c>
      <c r="E2693" t="str">
        <f>IFERROR(__xludf.DUMMYFUNCTION("""COMPUTED_VALUE"""),"Lady Gaga, Ariana Grande")</f>
        <v>Lady Gaga, Ariana Grande</v>
      </c>
      <c r="F2693" t="str">
        <f>IFERROR(__xludf.DUMMYFUNCTION("""COMPUTED_VALUE"""),"Rain On Me (with Ariana Grande)")</f>
        <v>Rain On Me (with Ariana Grande)</v>
      </c>
      <c r="G2693">
        <f>IFERROR(__xludf.DUMMYFUNCTION("""COMPUTED_VALUE"""),0.0)</f>
        <v>0</v>
      </c>
      <c r="H2693" s="5">
        <f>IFERROR(__xludf.DUMMYFUNCTION("""COMPUTED_VALUE"""),0.12638888888977817)</f>
        <v>0.1263888889</v>
      </c>
    </row>
    <row r="2694">
      <c r="A2694" t="str">
        <f>IFERROR(__xludf.DUMMYFUNCTION("""COMPUTED_VALUE"""),"Spain")</f>
        <v>Spain</v>
      </c>
      <c r="B2694" t="str">
        <f>IFERROR(__xludf.DUMMYFUNCTION("""COMPUTED_VALUE"""),"Europe")</f>
        <v>Europe</v>
      </c>
      <c r="C2694">
        <f>IFERROR(__xludf.DUMMYFUNCTION("""COMPUTED_VALUE"""),43.0)</f>
        <v>43</v>
      </c>
      <c r="D2694" t="str">
        <f>IFERROR(__xludf.DUMMYFUNCTION("""COMPUTED_VALUE"""),"Follow")</f>
        <v>Follow</v>
      </c>
      <c r="E2694" t="str">
        <f>IFERROR(__xludf.DUMMYFUNCTION("""COMPUTED_VALUE"""),"KAROL G, Anuel AA")</f>
        <v>KAROL G, Anuel AA</v>
      </c>
      <c r="F2694" t="str">
        <f>IFERROR(__xludf.DUMMYFUNCTION("""COMPUTED_VALUE"""),"Follow")</f>
        <v>Follow</v>
      </c>
      <c r="G2694">
        <f>IFERROR(__xludf.DUMMYFUNCTION("""COMPUTED_VALUE"""),0.0)</f>
        <v>0</v>
      </c>
      <c r="H2694" s="5">
        <f>IFERROR(__xludf.DUMMYFUNCTION("""COMPUTED_VALUE"""),0.14097222222335404)</f>
        <v>0.1409722222</v>
      </c>
    </row>
    <row r="2695">
      <c r="A2695" t="str">
        <f>IFERROR(__xludf.DUMMYFUNCTION("""COMPUTED_VALUE"""),"Spain")</f>
        <v>Spain</v>
      </c>
      <c r="B2695" t="str">
        <f>IFERROR(__xludf.DUMMYFUNCTION("""COMPUTED_VALUE"""),"Europe")</f>
        <v>Europe</v>
      </c>
      <c r="C2695">
        <f>IFERROR(__xludf.DUMMYFUNCTION("""COMPUTED_VALUE"""),44.0)</f>
        <v>44</v>
      </c>
      <c r="D2695" t="str">
        <f>IFERROR(__xludf.DUMMYFUNCTION("""COMPUTED_VALUE"""),"Pegamos Tela")</f>
        <v>Pegamos Tela</v>
      </c>
      <c r="E2695" t="str">
        <f>IFERROR(__xludf.DUMMYFUNCTION("""COMPUTED_VALUE"""),"Lérica, Omar Montes, Abraham Mateo")</f>
        <v>Lérica, Omar Montes, Abraham Mateo</v>
      </c>
      <c r="F2695" t="str">
        <f>IFERROR(__xludf.DUMMYFUNCTION("""COMPUTED_VALUE"""),"Pegamos Tela")</f>
        <v>Pegamos Tela</v>
      </c>
      <c r="G2695">
        <f>IFERROR(__xludf.DUMMYFUNCTION("""COMPUTED_VALUE"""),0.0)</f>
        <v>0</v>
      </c>
      <c r="H2695" s="5">
        <f>IFERROR(__xludf.DUMMYFUNCTION("""COMPUTED_VALUE"""),0.12986111111240461)</f>
        <v>0.1298611111</v>
      </c>
    </row>
    <row r="2696">
      <c r="A2696" t="str">
        <f>IFERROR(__xludf.DUMMYFUNCTION("""COMPUTED_VALUE"""),"Spain")</f>
        <v>Spain</v>
      </c>
      <c r="B2696" t="str">
        <f>IFERROR(__xludf.DUMMYFUNCTION("""COMPUTED_VALUE"""),"Europe")</f>
        <v>Europe</v>
      </c>
      <c r="C2696">
        <f>IFERROR(__xludf.DUMMYFUNCTION("""COMPUTED_VALUE"""),45.0)</f>
        <v>45</v>
      </c>
      <c r="D2696" t="str">
        <f>IFERROR(__xludf.DUMMYFUNCTION("""COMPUTED_VALUE"""),"Locura")</f>
        <v>Locura</v>
      </c>
      <c r="E2696" t="str">
        <f>IFERROR(__xludf.DUMMYFUNCTION("""COMPUTED_VALUE"""),"Cali Y El Dandee, Sebastian Yatra")</f>
        <v>Cali Y El Dandee, Sebastian Yatra</v>
      </c>
      <c r="F2696" t="str">
        <f>IFERROR(__xludf.DUMMYFUNCTION("""COMPUTED_VALUE"""),"Colegio")</f>
        <v>Colegio</v>
      </c>
      <c r="G2696">
        <f>IFERROR(__xludf.DUMMYFUNCTION("""COMPUTED_VALUE"""),0.0)</f>
        <v>0</v>
      </c>
      <c r="H2696" s="5">
        <f>IFERROR(__xludf.DUMMYFUNCTION("""COMPUTED_VALUE"""),0.14513888888905058)</f>
        <v>0.1451388889</v>
      </c>
    </row>
    <row r="2697">
      <c r="A2697" t="str">
        <f>IFERROR(__xludf.DUMMYFUNCTION("""COMPUTED_VALUE"""),"Spain")</f>
        <v>Spain</v>
      </c>
      <c r="B2697" t="str">
        <f>IFERROR(__xludf.DUMMYFUNCTION("""COMPUTED_VALUE"""),"Europe")</f>
        <v>Europe</v>
      </c>
      <c r="C2697">
        <f>IFERROR(__xludf.DUMMYFUNCTION("""COMPUTED_VALUE"""),46.0)</f>
        <v>46</v>
      </c>
      <c r="D2697" t="str">
        <f>IFERROR(__xludf.DUMMYFUNCTION("""COMPUTED_VALUE"""),"Prendio (Remix)")</f>
        <v>Prendio (Remix)</v>
      </c>
      <c r="E2697" t="str">
        <f>IFERROR(__xludf.DUMMYFUNCTION("""COMPUTED_VALUE"""),"Rvfv, Omar Montes, Daviles de Novelda")</f>
        <v>Rvfv, Omar Montes, Daviles de Novelda</v>
      </c>
      <c r="F2697" t="str">
        <f>IFERROR(__xludf.DUMMYFUNCTION("""COMPUTED_VALUE"""),"Prendio (Remix)")</f>
        <v>Prendio (Remix)</v>
      </c>
      <c r="G2697">
        <f>IFERROR(__xludf.DUMMYFUNCTION("""COMPUTED_VALUE"""),0.0)</f>
        <v>0</v>
      </c>
      <c r="H2697" s="5">
        <f>IFERROR(__xludf.DUMMYFUNCTION("""COMPUTED_VALUE"""),0.13263888888832298)</f>
        <v>0.1326388889</v>
      </c>
    </row>
    <row r="2698">
      <c r="A2698" t="str">
        <f>IFERROR(__xludf.DUMMYFUNCTION("""COMPUTED_VALUE"""),"Spain")</f>
        <v>Spain</v>
      </c>
      <c r="B2698" t="str">
        <f>IFERROR(__xludf.DUMMYFUNCTION("""COMPUTED_VALUE"""),"Europe")</f>
        <v>Europe</v>
      </c>
      <c r="C2698">
        <f>IFERROR(__xludf.DUMMYFUNCTION("""COMPUTED_VALUE"""),47.0)</f>
        <v>47</v>
      </c>
      <c r="D2698" t="str">
        <f>IFERROR(__xludf.DUMMYFUNCTION("""COMPUTED_VALUE"""),"Ponte Pa' Mi")</f>
        <v>Ponte Pa' Mi</v>
      </c>
      <c r="E2698" t="str">
        <f>IFERROR(__xludf.DUMMYFUNCTION("""COMPUTED_VALUE"""),"Rauw Alejandro, Myke Towers, Sky Rompiendo")</f>
        <v>Rauw Alejandro, Myke Towers, Sky Rompiendo</v>
      </c>
      <c r="F2698" t="str">
        <f>IFERROR(__xludf.DUMMYFUNCTION("""COMPUTED_VALUE"""),"Ponte Pa' Mi")</f>
        <v>Ponte Pa' Mi</v>
      </c>
      <c r="G2698">
        <f>IFERROR(__xludf.DUMMYFUNCTION("""COMPUTED_VALUE"""),1.0)</f>
        <v>1</v>
      </c>
      <c r="H2698" s="5">
        <f>IFERROR(__xludf.DUMMYFUNCTION("""COMPUTED_VALUE"""),0.12777777777955635)</f>
        <v>0.1277777778</v>
      </c>
    </row>
    <row r="2699">
      <c r="A2699" t="str">
        <f>IFERROR(__xludf.DUMMYFUNCTION("""COMPUTED_VALUE"""),"Spain")</f>
        <v>Spain</v>
      </c>
      <c r="B2699" t="str">
        <f>IFERROR(__xludf.DUMMYFUNCTION("""COMPUTED_VALUE"""),"Europe")</f>
        <v>Europe</v>
      </c>
      <c r="C2699">
        <f>IFERROR(__xludf.DUMMYFUNCTION("""COMPUTED_VALUE"""),48.0)</f>
        <v>48</v>
      </c>
      <c r="D2699" t="str">
        <f>IFERROR(__xludf.DUMMYFUNCTION("""COMPUTED_VALUE"""),"Gris")</f>
        <v>Gris</v>
      </c>
      <c r="E2699" t="str">
        <f>IFERROR(__xludf.DUMMYFUNCTION("""COMPUTED_VALUE"""),"J Balvin")</f>
        <v>J Balvin</v>
      </c>
      <c r="F2699" t="str">
        <f>IFERROR(__xludf.DUMMYFUNCTION("""COMPUTED_VALUE"""),"Colores")</f>
        <v>Colores</v>
      </c>
      <c r="G2699">
        <f>IFERROR(__xludf.DUMMYFUNCTION("""COMPUTED_VALUE"""),0.0)</f>
        <v>0</v>
      </c>
      <c r="H2699" s="5">
        <f>IFERROR(__xludf.DUMMYFUNCTION("""COMPUTED_VALUE"""),0.12222222222044365)</f>
        <v>0.1222222222</v>
      </c>
    </row>
    <row r="2700">
      <c r="A2700" t="str">
        <f>IFERROR(__xludf.DUMMYFUNCTION("""COMPUTED_VALUE"""),"Spain")</f>
        <v>Spain</v>
      </c>
      <c r="B2700" t="str">
        <f>IFERROR(__xludf.DUMMYFUNCTION("""COMPUTED_VALUE"""),"Europe")</f>
        <v>Europe</v>
      </c>
      <c r="C2700">
        <f>IFERROR(__xludf.DUMMYFUNCTION("""COMPUTED_VALUE"""),49.0)</f>
        <v>49</v>
      </c>
      <c r="D2700" t="str">
        <f>IFERROR(__xludf.DUMMYFUNCTION("""COMPUTED_VALUE"""),"Alocao (With Bad Gyal)")</f>
        <v>Alocao (With Bad Gyal)</v>
      </c>
      <c r="E2700" t="str">
        <f>IFERROR(__xludf.DUMMYFUNCTION("""COMPUTED_VALUE"""),"Omar Montes, Bad Gyal")</f>
        <v>Omar Montes, Bad Gyal</v>
      </c>
      <c r="F2700" t="str">
        <f>IFERROR(__xludf.DUMMYFUNCTION("""COMPUTED_VALUE"""),"Alocao (With Bad Gyal)")</f>
        <v>Alocao (With Bad Gyal)</v>
      </c>
      <c r="G2700">
        <f>IFERROR(__xludf.DUMMYFUNCTION("""COMPUTED_VALUE"""),0.0)</f>
        <v>0</v>
      </c>
      <c r="H2700" s="5">
        <f>IFERROR(__xludf.DUMMYFUNCTION("""COMPUTED_VALUE"""),0.14513888888905058)</f>
        <v>0.1451388889</v>
      </c>
    </row>
    <row r="2701">
      <c r="A2701" t="str">
        <f>IFERROR(__xludf.DUMMYFUNCTION("""COMPUTED_VALUE"""),"Spain")</f>
        <v>Spain</v>
      </c>
      <c r="B2701" t="str">
        <f>IFERROR(__xludf.DUMMYFUNCTION("""COMPUTED_VALUE"""),"Europe")</f>
        <v>Europe</v>
      </c>
      <c r="C2701">
        <f>IFERROR(__xludf.DUMMYFUNCTION("""COMPUTED_VALUE"""),50.0)</f>
        <v>50</v>
      </c>
      <c r="D2701" t="str">
        <f>IFERROR(__xludf.DUMMYFUNCTION("""COMPUTED_VALUE"""),"BYE ME FUI")</f>
        <v>BYE ME FUI</v>
      </c>
      <c r="E2701" t="str">
        <f>IFERROR(__xludf.DUMMYFUNCTION("""COMPUTED_VALUE"""),"Bad Bunny")</f>
        <v>Bad Bunny</v>
      </c>
      <c r="F2701" t="str">
        <f>IFERROR(__xludf.DUMMYFUNCTION("""COMPUTED_VALUE"""),"LAS QUE NO IBAN A SALIR")</f>
        <v>LAS QUE NO IBAN A SALIR</v>
      </c>
      <c r="G2701">
        <f>IFERROR(__xludf.DUMMYFUNCTION("""COMPUTED_VALUE"""),1.0)</f>
        <v>1</v>
      </c>
      <c r="H2701" s="5">
        <f>IFERROR(__xludf.DUMMYFUNCTION("""COMPUTED_VALUE"""),0.12361111111022183)</f>
        <v>0.1236111111</v>
      </c>
    </row>
    <row r="2702">
      <c r="A2702" t="str">
        <f>IFERROR(__xludf.DUMMYFUNCTION("""COMPUTED_VALUE"""),"Sweden")</f>
        <v>Sweden</v>
      </c>
      <c r="B2702" t="str">
        <f>IFERROR(__xludf.DUMMYFUNCTION("""COMPUTED_VALUE"""),"Europe")</f>
        <v>Europe</v>
      </c>
      <c r="C2702">
        <f>IFERROR(__xludf.DUMMYFUNCTION("""COMPUTED_VALUE"""),1.0)</f>
        <v>1</v>
      </c>
      <c r="D2702" t="str">
        <f>IFERROR(__xludf.DUMMYFUNCTION("""COMPUTED_VALUE"""),"Blinding Lights")</f>
        <v>Blinding Lights</v>
      </c>
      <c r="E2702" t="str">
        <f>IFERROR(__xludf.DUMMYFUNCTION("""COMPUTED_VALUE"""),"The Weeknd")</f>
        <v>The Weeknd</v>
      </c>
      <c r="F2702" t="str">
        <f>IFERROR(__xludf.DUMMYFUNCTION("""COMPUTED_VALUE"""),"After Hours")</f>
        <v>After Hours</v>
      </c>
      <c r="G2702">
        <f>IFERROR(__xludf.DUMMYFUNCTION("""COMPUTED_VALUE"""),0.0)</f>
        <v>0</v>
      </c>
      <c r="H2702" s="5">
        <f>IFERROR(__xludf.DUMMYFUNCTION("""COMPUTED_VALUE"""),0.13888888889050577)</f>
        <v>0.1388888889</v>
      </c>
    </row>
    <row r="2703">
      <c r="A2703" t="str">
        <f>IFERROR(__xludf.DUMMYFUNCTION("""COMPUTED_VALUE"""),"Sweden")</f>
        <v>Sweden</v>
      </c>
      <c r="B2703" t="str">
        <f>IFERROR(__xludf.DUMMYFUNCTION("""COMPUTED_VALUE"""),"Europe")</f>
        <v>Europe</v>
      </c>
      <c r="C2703">
        <f>IFERROR(__xludf.DUMMYFUNCTION("""COMPUTED_VALUE"""),2.0)</f>
        <v>2</v>
      </c>
      <c r="D2703" t="str">
        <f>IFERROR(__xludf.DUMMYFUNCTION("""COMPUTED_VALUE"""),"Svag")</f>
        <v>Svag</v>
      </c>
      <c r="E2703" t="str">
        <f>IFERROR(__xludf.DUMMYFUNCTION("""COMPUTED_VALUE"""),"Victor Leksell")</f>
        <v>Victor Leksell</v>
      </c>
      <c r="F2703" t="str">
        <f>IFERROR(__xludf.DUMMYFUNCTION("""COMPUTED_VALUE"""),"Svag")</f>
        <v>Svag</v>
      </c>
      <c r="G2703">
        <f>IFERROR(__xludf.DUMMYFUNCTION("""COMPUTED_VALUE"""),0.0)</f>
        <v>0</v>
      </c>
      <c r="H2703" s="5">
        <f>IFERROR(__xludf.DUMMYFUNCTION("""COMPUTED_VALUE"""),0.13263888888832298)</f>
        <v>0.1326388889</v>
      </c>
    </row>
    <row r="2704">
      <c r="A2704" t="str">
        <f>IFERROR(__xludf.DUMMYFUNCTION("""COMPUTED_VALUE"""),"Sweden")</f>
        <v>Sweden</v>
      </c>
      <c r="B2704" t="str">
        <f>IFERROR(__xludf.DUMMYFUNCTION("""COMPUTED_VALUE"""),"Europe")</f>
        <v>Europe</v>
      </c>
      <c r="C2704">
        <f>IFERROR(__xludf.DUMMYFUNCTION("""COMPUTED_VALUE"""),3.0)</f>
        <v>3</v>
      </c>
      <c r="D2704" t="str">
        <f>IFERROR(__xludf.DUMMYFUNCTION("""COMPUTED_VALUE"""),"ROCKSTAR (feat. Roddy Ricch)")</f>
        <v>ROCKSTAR (feat. Roddy Ricch)</v>
      </c>
      <c r="E2704" t="str">
        <f>IFERROR(__xludf.DUMMYFUNCTION("""COMPUTED_VALUE"""),"DaBaby, Roddy Ricch")</f>
        <v>DaBaby, Roddy Ricch</v>
      </c>
      <c r="F2704" t="str">
        <f>IFERROR(__xludf.DUMMYFUNCTION("""COMPUTED_VALUE"""),"BLAME IT ON BABY")</f>
        <v>BLAME IT ON BABY</v>
      </c>
      <c r="G2704">
        <f>IFERROR(__xludf.DUMMYFUNCTION("""COMPUTED_VALUE"""),1.0)</f>
        <v>1</v>
      </c>
      <c r="H2704" s="5">
        <f>IFERROR(__xludf.DUMMYFUNCTION("""COMPUTED_VALUE"""),0.1256944444430701)</f>
        <v>0.1256944444</v>
      </c>
    </row>
    <row r="2705">
      <c r="A2705" t="str">
        <f>IFERROR(__xludf.DUMMYFUNCTION("""COMPUTED_VALUE"""),"Sweden")</f>
        <v>Sweden</v>
      </c>
      <c r="B2705" t="str">
        <f>IFERROR(__xludf.DUMMYFUNCTION("""COMPUTED_VALUE"""),"Europe")</f>
        <v>Europe</v>
      </c>
      <c r="C2705">
        <f>IFERROR(__xludf.DUMMYFUNCTION("""COMPUTED_VALUE"""),4.0)</f>
        <v>4</v>
      </c>
      <c r="D2705" t="str">
        <f>IFERROR(__xludf.DUMMYFUNCTION("""COMPUTED_VALUE"""),"Young &amp; Heartless")</f>
        <v>Young &amp; Heartless</v>
      </c>
      <c r="E2705" t="str">
        <f>IFERROR(__xludf.DUMMYFUNCTION("""COMPUTED_VALUE"""),"Yasin")</f>
        <v>Yasin</v>
      </c>
      <c r="F2705" t="str">
        <f>IFERROR(__xludf.DUMMYFUNCTION("""COMPUTED_VALUE"""),"98.01.11")</f>
        <v>98.01.11</v>
      </c>
      <c r="G2705">
        <f>IFERROR(__xludf.DUMMYFUNCTION("""COMPUTED_VALUE"""),1.0)</f>
        <v>1</v>
      </c>
      <c r="H2705" s="5">
        <f>IFERROR(__xludf.DUMMYFUNCTION("""COMPUTED_VALUE"""),0.10069444444525288)</f>
        <v>0.1006944444</v>
      </c>
    </row>
    <row r="2706">
      <c r="A2706" t="str">
        <f>IFERROR(__xludf.DUMMYFUNCTION("""COMPUTED_VALUE"""),"Sweden")</f>
        <v>Sweden</v>
      </c>
      <c r="B2706" t="str">
        <f>IFERROR(__xludf.DUMMYFUNCTION("""COMPUTED_VALUE"""),"Europe")</f>
        <v>Europe</v>
      </c>
      <c r="C2706">
        <f>IFERROR(__xludf.DUMMYFUNCTION("""COMPUTED_VALUE"""),5.0)</f>
        <v>5</v>
      </c>
      <c r="D2706" t="str">
        <f>IFERROR(__xludf.DUMMYFUNCTION("""COMPUTED_VALUE"""),"Komplicerad")</f>
        <v>Komplicerad</v>
      </c>
      <c r="E2706" t="str">
        <f>IFERROR(__xludf.DUMMYFUNCTION("""COMPUTED_VALUE"""),"Miss Li")</f>
        <v>Miss Li</v>
      </c>
      <c r="F2706" t="str">
        <f>IFERROR(__xludf.DUMMYFUNCTION("""COMPUTED_VALUE"""),"Complicated")</f>
        <v>Complicated</v>
      </c>
      <c r="G2706">
        <f>IFERROR(__xludf.DUMMYFUNCTION("""COMPUTED_VALUE"""),0.0)</f>
        <v>0</v>
      </c>
      <c r="H2706" s="5">
        <f>IFERROR(__xludf.DUMMYFUNCTION("""COMPUTED_VALUE"""),0.11111111110949423)</f>
        <v>0.1111111111</v>
      </c>
    </row>
    <row r="2707">
      <c r="A2707" t="str">
        <f>IFERROR(__xludf.DUMMYFUNCTION("""COMPUTED_VALUE"""),"Sweden")</f>
        <v>Sweden</v>
      </c>
      <c r="B2707" t="str">
        <f>IFERROR(__xludf.DUMMYFUNCTION("""COMPUTED_VALUE"""),"Europe")</f>
        <v>Europe</v>
      </c>
      <c r="C2707">
        <f>IFERROR(__xludf.DUMMYFUNCTION("""COMPUTED_VALUE"""),6.0)</f>
        <v>6</v>
      </c>
      <c r="D2707" t="str">
        <f>IFERROR(__xludf.DUMMYFUNCTION("""COMPUTED_VALUE"""),"Chris Tukker Ft Asme")</f>
        <v>Chris Tukker Ft Asme</v>
      </c>
      <c r="E2707" t="str">
        <f>IFERROR(__xludf.DUMMYFUNCTION("""COMPUTED_VALUE"""),"Yasin, Asme")</f>
        <v>Yasin, Asme</v>
      </c>
      <c r="F2707" t="str">
        <f>IFERROR(__xludf.DUMMYFUNCTION("""COMPUTED_VALUE"""),"98.01.11")</f>
        <v>98.01.11</v>
      </c>
      <c r="G2707">
        <f>IFERROR(__xludf.DUMMYFUNCTION("""COMPUTED_VALUE"""),1.0)</f>
        <v>1</v>
      </c>
      <c r="H2707" s="5">
        <f>IFERROR(__xludf.DUMMYFUNCTION("""COMPUTED_VALUE"""),0.0944444444430701)</f>
        <v>0.09444444444</v>
      </c>
    </row>
    <row r="2708">
      <c r="A2708" t="str">
        <f>IFERROR(__xludf.DUMMYFUNCTION("""COMPUTED_VALUE"""),"Sweden")</f>
        <v>Sweden</v>
      </c>
      <c r="B2708" t="str">
        <f>IFERROR(__xludf.DUMMYFUNCTION("""COMPUTED_VALUE"""),"Europe")</f>
        <v>Europe</v>
      </c>
      <c r="C2708">
        <f>IFERROR(__xludf.DUMMYFUNCTION("""COMPUTED_VALUE"""),7.0)</f>
        <v>7</v>
      </c>
      <c r="D2708" t="str">
        <f>IFERROR(__xludf.DUMMYFUNCTION("""COMPUTED_VALUE"""),"Hiphop N RnB")</f>
        <v>Hiphop N RnB</v>
      </c>
      <c r="E2708" t="str">
        <f>IFERROR(__xludf.DUMMYFUNCTION("""COMPUTED_VALUE"""),"Yasin")</f>
        <v>Yasin</v>
      </c>
      <c r="F2708" t="str">
        <f>IFERROR(__xludf.DUMMYFUNCTION("""COMPUTED_VALUE"""),"98.01.11")</f>
        <v>98.01.11</v>
      </c>
      <c r="G2708">
        <f>IFERROR(__xludf.DUMMYFUNCTION("""COMPUTED_VALUE"""),1.0)</f>
        <v>1</v>
      </c>
      <c r="H2708" s="5">
        <f>IFERROR(__xludf.DUMMYFUNCTION("""COMPUTED_VALUE"""),0.11458333333212067)</f>
        <v>0.1145833333</v>
      </c>
    </row>
    <row r="2709">
      <c r="A2709" t="str">
        <f>IFERROR(__xludf.DUMMYFUNCTION("""COMPUTED_VALUE"""),"Sweden")</f>
        <v>Sweden</v>
      </c>
      <c r="B2709" t="str">
        <f>IFERROR(__xludf.DUMMYFUNCTION("""COMPUTED_VALUE"""),"Europe")</f>
        <v>Europe</v>
      </c>
      <c r="C2709">
        <f>IFERROR(__xludf.DUMMYFUNCTION("""COMPUTED_VALUE"""),8.0)</f>
        <v>8</v>
      </c>
      <c r="D2709" t="str">
        <f>IFERROR(__xludf.DUMMYFUNCTION("""COMPUTED_VALUE"""),"Source Ft Aden")</f>
        <v>Source Ft Aden</v>
      </c>
      <c r="E2709" t="str">
        <f>IFERROR(__xludf.DUMMYFUNCTION("""COMPUTED_VALUE"""),"Yasin, Aden")</f>
        <v>Yasin, Aden</v>
      </c>
      <c r="F2709" t="str">
        <f>IFERROR(__xludf.DUMMYFUNCTION("""COMPUTED_VALUE"""),"98.01.11")</f>
        <v>98.01.11</v>
      </c>
      <c r="G2709">
        <f>IFERROR(__xludf.DUMMYFUNCTION("""COMPUTED_VALUE"""),1.0)</f>
        <v>1</v>
      </c>
      <c r="H2709" s="5">
        <f>IFERROR(__xludf.DUMMYFUNCTION("""COMPUTED_VALUE"""),0.10555555555401952)</f>
        <v>0.1055555556</v>
      </c>
    </row>
    <row r="2710">
      <c r="A2710" t="str">
        <f>IFERROR(__xludf.DUMMYFUNCTION("""COMPUTED_VALUE"""),"Sweden")</f>
        <v>Sweden</v>
      </c>
      <c r="B2710" t="str">
        <f>IFERROR(__xludf.DUMMYFUNCTION("""COMPUTED_VALUE"""),"Europe")</f>
        <v>Europe</v>
      </c>
      <c r="C2710">
        <f>IFERROR(__xludf.DUMMYFUNCTION("""COMPUTED_VALUE"""),9.0)</f>
        <v>9</v>
      </c>
      <c r="D2710" t="str">
        <f>IFERROR(__xludf.DUMMYFUNCTION("""COMPUTED_VALUE"""),"Workin")</f>
        <v>Workin</v>
      </c>
      <c r="E2710" t="str">
        <f>IFERROR(__xludf.DUMMYFUNCTION("""COMPUTED_VALUE"""),"Yasin")</f>
        <v>Yasin</v>
      </c>
      <c r="F2710" t="str">
        <f>IFERROR(__xludf.DUMMYFUNCTION("""COMPUTED_VALUE"""),"98.01.11")</f>
        <v>98.01.11</v>
      </c>
      <c r="G2710">
        <f>IFERROR(__xludf.DUMMYFUNCTION("""COMPUTED_VALUE"""),1.0)</f>
        <v>1</v>
      </c>
      <c r="H2710" s="5">
        <f>IFERROR(__xludf.DUMMYFUNCTION("""COMPUTED_VALUE"""),0.09791666666569654)</f>
        <v>0.09791666667</v>
      </c>
    </row>
    <row r="2711">
      <c r="A2711" t="str">
        <f>IFERROR(__xludf.DUMMYFUNCTION("""COMPUTED_VALUE"""),"Sweden")</f>
        <v>Sweden</v>
      </c>
      <c r="B2711" t="str">
        <f>IFERROR(__xludf.DUMMYFUNCTION("""COMPUTED_VALUE"""),"Europe")</f>
        <v>Europe</v>
      </c>
      <c r="C2711">
        <f>IFERROR(__xludf.DUMMYFUNCTION("""COMPUTED_VALUE"""),10.0)</f>
        <v>10</v>
      </c>
      <c r="D2711" t="str">
        <f>IFERROR(__xludf.DUMMYFUNCTION("""COMPUTED_VALUE"""),"Spiderman ( Intro )")</f>
        <v>Spiderman ( Intro )</v>
      </c>
      <c r="E2711" t="str">
        <f>IFERROR(__xludf.DUMMYFUNCTION("""COMPUTED_VALUE"""),"Yasin")</f>
        <v>Yasin</v>
      </c>
      <c r="F2711" t="str">
        <f>IFERROR(__xludf.DUMMYFUNCTION("""COMPUTED_VALUE"""),"98.01.11")</f>
        <v>98.01.11</v>
      </c>
      <c r="G2711">
        <f>IFERROR(__xludf.DUMMYFUNCTION("""COMPUTED_VALUE"""),1.0)</f>
        <v>1</v>
      </c>
      <c r="H2711" s="5">
        <f>IFERROR(__xludf.DUMMYFUNCTION("""COMPUTED_VALUE"""),0.08194444444598048)</f>
        <v>0.08194444445</v>
      </c>
    </row>
    <row r="2712">
      <c r="A2712" t="str">
        <f>IFERROR(__xludf.DUMMYFUNCTION("""COMPUTED_VALUE"""),"Sweden")</f>
        <v>Sweden</v>
      </c>
      <c r="B2712" t="str">
        <f>IFERROR(__xludf.DUMMYFUNCTION("""COMPUTED_VALUE"""),"Europe")</f>
        <v>Europe</v>
      </c>
      <c r="C2712">
        <f>IFERROR(__xludf.DUMMYFUNCTION("""COMPUTED_VALUE"""),11.0)</f>
        <v>11</v>
      </c>
      <c r="D2712" t="str">
        <f>IFERROR(__xludf.DUMMYFUNCTION("""COMPUTED_VALUE"""),"Buzz Light Year")</f>
        <v>Buzz Light Year</v>
      </c>
      <c r="E2712" t="str">
        <f>IFERROR(__xludf.DUMMYFUNCTION("""COMPUTED_VALUE"""),"Yasin")</f>
        <v>Yasin</v>
      </c>
      <c r="F2712" t="str">
        <f>IFERROR(__xludf.DUMMYFUNCTION("""COMPUTED_VALUE"""),"98.01.11")</f>
        <v>98.01.11</v>
      </c>
      <c r="G2712">
        <f>IFERROR(__xludf.DUMMYFUNCTION("""COMPUTED_VALUE"""),1.0)</f>
        <v>1</v>
      </c>
      <c r="H2712" s="5">
        <f>IFERROR(__xludf.DUMMYFUNCTION("""COMPUTED_VALUE"""),0.10972222222335404)</f>
        <v>0.1097222222</v>
      </c>
    </row>
    <row r="2713">
      <c r="A2713" t="str">
        <f>IFERROR(__xludf.DUMMYFUNCTION("""COMPUTED_VALUE"""),"Sweden")</f>
        <v>Sweden</v>
      </c>
      <c r="B2713" t="str">
        <f>IFERROR(__xludf.DUMMYFUNCTION("""COMPUTED_VALUE"""),"Europe")</f>
        <v>Europe</v>
      </c>
      <c r="C2713">
        <f>IFERROR(__xludf.DUMMYFUNCTION("""COMPUTED_VALUE"""),12.0)</f>
        <v>12</v>
      </c>
      <c r="D2713" t="str">
        <f>IFERROR(__xludf.DUMMYFUNCTION("""COMPUTED_VALUE"""),"Think About It")</f>
        <v>Think About It</v>
      </c>
      <c r="E2713" t="str">
        <f>IFERROR(__xludf.DUMMYFUNCTION("""COMPUTED_VALUE"""),"Yasin")</f>
        <v>Yasin</v>
      </c>
      <c r="F2713" t="str">
        <f>IFERROR(__xludf.DUMMYFUNCTION("""COMPUTED_VALUE"""),"98.01.11")</f>
        <v>98.01.11</v>
      </c>
      <c r="G2713">
        <f>IFERROR(__xludf.DUMMYFUNCTION("""COMPUTED_VALUE"""),1.0)</f>
        <v>1</v>
      </c>
      <c r="H2713" s="5">
        <f>IFERROR(__xludf.DUMMYFUNCTION("""COMPUTED_VALUE"""),0.09722222222262644)</f>
        <v>0.09722222222</v>
      </c>
    </row>
    <row r="2714">
      <c r="A2714" t="str">
        <f>IFERROR(__xludf.DUMMYFUNCTION("""COMPUTED_VALUE"""),"Sweden")</f>
        <v>Sweden</v>
      </c>
      <c r="B2714" t="str">
        <f>IFERROR(__xludf.DUMMYFUNCTION("""COMPUTED_VALUE"""),"Europe")</f>
        <v>Europe</v>
      </c>
      <c r="C2714">
        <f>IFERROR(__xludf.DUMMYFUNCTION("""COMPUTED_VALUE"""),13.0)</f>
        <v>13</v>
      </c>
      <c r="D2714" t="str">
        <f>IFERROR(__xludf.DUMMYFUNCTION("""COMPUTED_VALUE"""),"GOOBA")</f>
        <v>GOOBA</v>
      </c>
      <c r="E2714" t="str">
        <f>IFERROR(__xludf.DUMMYFUNCTION("""COMPUTED_VALUE"""),"6ix9ine")</f>
        <v>6ix9ine</v>
      </c>
      <c r="F2714" t="str">
        <f>IFERROR(__xludf.DUMMYFUNCTION("""COMPUTED_VALUE"""),"GOOBA")</f>
        <v>GOOBA</v>
      </c>
      <c r="G2714">
        <f>IFERROR(__xludf.DUMMYFUNCTION("""COMPUTED_VALUE"""),1.0)</f>
        <v>1</v>
      </c>
      <c r="H2714" s="5">
        <f>IFERROR(__xludf.DUMMYFUNCTION("""COMPUTED_VALUE"""),0.09166666666715173)</f>
        <v>0.09166666667</v>
      </c>
    </row>
    <row r="2715">
      <c r="A2715" t="str">
        <f>IFERROR(__xludf.DUMMYFUNCTION("""COMPUTED_VALUE"""),"Sweden")</f>
        <v>Sweden</v>
      </c>
      <c r="B2715" t="str">
        <f>IFERROR(__xludf.DUMMYFUNCTION("""COMPUTED_VALUE"""),"Europe")</f>
        <v>Europe</v>
      </c>
      <c r="C2715">
        <f>IFERROR(__xludf.DUMMYFUNCTION("""COMPUTED_VALUE"""),14.0)</f>
        <v>14</v>
      </c>
      <c r="D2715" t="str">
        <f>IFERROR(__xludf.DUMMYFUNCTION("""COMPUTED_VALUE"""),"Amen")</f>
        <v>Amen</v>
      </c>
      <c r="E2715" t="str">
        <f>IFERROR(__xludf.DUMMYFUNCTION("""COMPUTED_VALUE"""),"Yasin")</f>
        <v>Yasin</v>
      </c>
      <c r="F2715" t="str">
        <f>IFERROR(__xludf.DUMMYFUNCTION("""COMPUTED_VALUE"""),"98.01.11")</f>
        <v>98.01.11</v>
      </c>
      <c r="G2715">
        <f>IFERROR(__xludf.DUMMYFUNCTION("""COMPUTED_VALUE"""),1.0)</f>
        <v>1</v>
      </c>
      <c r="H2715" s="5">
        <f>IFERROR(__xludf.DUMMYFUNCTION("""COMPUTED_VALUE"""),0.10208333333503106)</f>
        <v>0.1020833333</v>
      </c>
    </row>
    <row r="2716">
      <c r="A2716" t="str">
        <f>IFERROR(__xludf.DUMMYFUNCTION("""COMPUTED_VALUE"""),"Sweden")</f>
        <v>Sweden</v>
      </c>
      <c r="B2716" t="str">
        <f>IFERROR(__xludf.DUMMYFUNCTION("""COMPUTED_VALUE"""),"Europe")</f>
        <v>Europe</v>
      </c>
      <c r="C2716">
        <f>IFERROR(__xludf.DUMMYFUNCTION("""COMPUTED_VALUE"""),15.0)</f>
        <v>15</v>
      </c>
      <c r="D2716" t="str">
        <f>IFERROR(__xludf.DUMMYFUNCTION("""COMPUTED_VALUE"""),"Drownin")</f>
        <v>Drownin</v>
      </c>
      <c r="E2716" t="str">
        <f>IFERROR(__xludf.DUMMYFUNCTION("""COMPUTED_VALUE"""),"Yasin")</f>
        <v>Yasin</v>
      </c>
      <c r="F2716" t="str">
        <f>IFERROR(__xludf.DUMMYFUNCTION("""COMPUTED_VALUE"""),"98.01.11")</f>
        <v>98.01.11</v>
      </c>
      <c r="G2716">
        <f>IFERROR(__xludf.DUMMYFUNCTION("""COMPUTED_VALUE"""),1.0)</f>
        <v>1</v>
      </c>
      <c r="H2716" s="5">
        <f>IFERROR(__xludf.DUMMYFUNCTION("""COMPUTED_VALUE"""),0.09999999999854481)</f>
        <v>0.1</v>
      </c>
    </row>
    <row r="2717">
      <c r="A2717" t="str">
        <f>IFERROR(__xludf.DUMMYFUNCTION("""COMPUTED_VALUE"""),"Sweden")</f>
        <v>Sweden</v>
      </c>
      <c r="B2717" t="str">
        <f>IFERROR(__xludf.DUMMYFUNCTION("""COMPUTED_VALUE"""),"Europe")</f>
        <v>Europe</v>
      </c>
      <c r="C2717">
        <f>IFERROR(__xludf.DUMMYFUNCTION("""COMPUTED_VALUE"""),16.0)</f>
        <v>16</v>
      </c>
      <c r="D2717" t="str">
        <f>IFERROR(__xludf.DUMMYFUNCTION("""COMPUTED_VALUE"""),"Roses - Imanbek Remix")</f>
        <v>Roses - Imanbek Remix</v>
      </c>
      <c r="E2717" t="str">
        <f>IFERROR(__xludf.DUMMYFUNCTION("""COMPUTED_VALUE"""),"SAINt JHN, Imanbek")</f>
        <v>SAINt JHN, Imanbek</v>
      </c>
      <c r="F2717" t="str">
        <f>IFERROR(__xludf.DUMMYFUNCTION("""COMPUTED_VALUE"""),"Roses (Imanbek Remix)")</f>
        <v>Roses (Imanbek Remix)</v>
      </c>
      <c r="G2717">
        <f>IFERROR(__xludf.DUMMYFUNCTION("""COMPUTED_VALUE"""),1.0)</f>
        <v>1</v>
      </c>
      <c r="H2717" s="5">
        <f>IFERROR(__xludf.DUMMYFUNCTION("""COMPUTED_VALUE"""),0.12222222222044365)</f>
        <v>0.1222222222</v>
      </c>
    </row>
    <row r="2718">
      <c r="A2718" t="str">
        <f>IFERROR(__xludf.DUMMYFUNCTION("""COMPUTED_VALUE"""),"Sweden")</f>
        <v>Sweden</v>
      </c>
      <c r="B2718" t="str">
        <f>IFERROR(__xludf.DUMMYFUNCTION("""COMPUTED_VALUE"""),"Europe")</f>
        <v>Europe</v>
      </c>
      <c r="C2718">
        <f>IFERROR(__xludf.DUMMYFUNCTION("""COMPUTED_VALUE"""),17.0)</f>
        <v>17</v>
      </c>
      <c r="D2718" t="str">
        <f>IFERROR(__xludf.DUMMYFUNCTION("""COMPUTED_VALUE"""),"En säng av rosor")</f>
        <v>En säng av rosor</v>
      </c>
      <c r="E2718" t="str">
        <f>IFERROR(__xludf.DUMMYFUNCTION("""COMPUTED_VALUE"""),"Darin")</f>
        <v>Darin</v>
      </c>
      <c r="F2718" t="str">
        <f>IFERROR(__xludf.DUMMYFUNCTION("""COMPUTED_VALUE"""),"En säng av rosor")</f>
        <v>En säng av rosor</v>
      </c>
      <c r="G2718">
        <f>IFERROR(__xludf.DUMMYFUNCTION("""COMPUTED_VALUE"""),0.0)</f>
        <v>0</v>
      </c>
      <c r="H2718" s="5">
        <f>IFERROR(__xludf.DUMMYFUNCTION("""COMPUTED_VALUE"""),0.15416666666715173)</f>
        <v>0.1541666667</v>
      </c>
    </row>
    <row r="2719">
      <c r="A2719" t="str">
        <f>IFERROR(__xludf.DUMMYFUNCTION("""COMPUTED_VALUE"""),"Sweden")</f>
        <v>Sweden</v>
      </c>
      <c r="B2719" t="str">
        <f>IFERROR(__xludf.DUMMYFUNCTION("""COMPUTED_VALUE"""),"Europe")</f>
        <v>Europe</v>
      </c>
      <c r="C2719">
        <f>IFERROR(__xludf.DUMMYFUNCTION("""COMPUTED_VALUE"""),18.0)</f>
        <v>18</v>
      </c>
      <c r="D2719" t="str">
        <f>IFERROR(__xludf.DUMMYFUNCTION("""COMPUTED_VALUE"""),"In Your Eyes")</f>
        <v>In Your Eyes</v>
      </c>
      <c r="E2719" t="str">
        <f>IFERROR(__xludf.DUMMYFUNCTION("""COMPUTED_VALUE"""),"The Weeknd")</f>
        <v>The Weeknd</v>
      </c>
      <c r="F2719" t="str">
        <f>IFERROR(__xludf.DUMMYFUNCTION("""COMPUTED_VALUE"""),"After Hours")</f>
        <v>After Hours</v>
      </c>
      <c r="G2719">
        <f>IFERROR(__xludf.DUMMYFUNCTION("""COMPUTED_VALUE"""),1.0)</f>
        <v>1</v>
      </c>
      <c r="H2719" s="5">
        <f>IFERROR(__xludf.DUMMYFUNCTION("""COMPUTED_VALUE"""),0.16458333333503106)</f>
        <v>0.1645833333</v>
      </c>
    </row>
    <row r="2720">
      <c r="A2720" t="str">
        <f>IFERROR(__xludf.DUMMYFUNCTION("""COMPUTED_VALUE"""),"Sweden")</f>
        <v>Sweden</v>
      </c>
      <c r="B2720" t="str">
        <f>IFERROR(__xludf.DUMMYFUNCTION("""COMPUTED_VALUE"""),"Europe")</f>
        <v>Europe</v>
      </c>
      <c r="C2720">
        <f>IFERROR(__xludf.DUMMYFUNCTION("""COMPUTED_VALUE"""),19.0)</f>
        <v>19</v>
      </c>
      <c r="D2720" t="str">
        <f>IFERROR(__xludf.DUMMYFUNCTION("""COMPUTED_VALUE"""),"Rain On Me (with Ariana Grande)")</f>
        <v>Rain On Me (with Ariana Grande)</v>
      </c>
      <c r="E2720" t="str">
        <f>IFERROR(__xludf.DUMMYFUNCTION("""COMPUTED_VALUE"""),"Lady Gaga, Ariana Grande")</f>
        <v>Lady Gaga, Ariana Grande</v>
      </c>
      <c r="F2720" t="str">
        <f>IFERROR(__xludf.DUMMYFUNCTION("""COMPUTED_VALUE"""),"Rain On Me (with Ariana Grande)")</f>
        <v>Rain On Me (with Ariana Grande)</v>
      </c>
      <c r="G2720">
        <f>IFERROR(__xludf.DUMMYFUNCTION("""COMPUTED_VALUE"""),0.0)</f>
        <v>0</v>
      </c>
      <c r="H2720" s="5">
        <f>IFERROR(__xludf.DUMMYFUNCTION("""COMPUTED_VALUE"""),0.12638888888977817)</f>
        <v>0.1263888889</v>
      </c>
    </row>
    <row r="2721">
      <c r="A2721" t="str">
        <f>IFERROR(__xludf.DUMMYFUNCTION("""COMPUTED_VALUE"""),"Sweden")</f>
        <v>Sweden</v>
      </c>
      <c r="B2721" t="str">
        <f>IFERROR(__xludf.DUMMYFUNCTION("""COMPUTED_VALUE"""),"Europe")</f>
        <v>Europe</v>
      </c>
      <c r="C2721">
        <f>IFERROR(__xludf.DUMMYFUNCTION("""COMPUTED_VALUE"""),20.0)</f>
        <v>20</v>
      </c>
      <c r="D2721" t="str">
        <f>IFERROR(__xludf.DUMMYFUNCTION("""COMPUTED_VALUE"""),"Kanske var vi rätt bra ändå")</f>
        <v>Kanske var vi rätt bra ändå</v>
      </c>
      <c r="E2721" t="str">
        <f>IFERROR(__xludf.DUMMYFUNCTION("""COMPUTED_VALUE"""),"Newkid")</f>
        <v>Newkid</v>
      </c>
      <c r="F2721" t="str">
        <f>IFERROR(__xludf.DUMMYFUNCTION("""COMPUTED_VALUE"""),"Kanske var vi rätt bra ändå")</f>
        <v>Kanske var vi rätt bra ändå</v>
      </c>
      <c r="G2721">
        <f>IFERROR(__xludf.DUMMYFUNCTION("""COMPUTED_VALUE"""),0.0)</f>
        <v>0</v>
      </c>
      <c r="H2721" s="5">
        <f>IFERROR(__xludf.DUMMYFUNCTION("""COMPUTED_VALUE"""),0.1062500000007276)</f>
        <v>0.10625</v>
      </c>
    </row>
    <row r="2722">
      <c r="A2722" t="str">
        <f>IFERROR(__xludf.DUMMYFUNCTION("""COMPUTED_VALUE"""),"Sweden")</f>
        <v>Sweden</v>
      </c>
      <c r="B2722" t="str">
        <f>IFERROR(__xludf.DUMMYFUNCTION("""COMPUTED_VALUE"""),"Europe")</f>
        <v>Europe</v>
      </c>
      <c r="C2722">
        <f>IFERROR(__xludf.DUMMYFUNCTION("""COMPUTED_VALUE"""),21.0)</f>
        <v>21</v>
      </c>
      <c r="D2722" t="str">
        <f>IFERROR(__xludf.DUMMYFUNCTION("""COMPUTED_VALUE"""),"Ghetto Mamacita")</f>
        <v>Ghetto Mamacita</v>
      </c>
      <c r="E2722" t="str">
        <f>IFERROR(__xludf.DUMMYFUNCTION("""COMPUTED_VALUE"""),"Einár, Dree Low")</f>
        <v>Einár, Dree Low</v>
      </c>
      <c r="F2722" t="str">
        <f>IFERROR(__xludf.DUMMYFUNCTION("""COMPUTED_VALUE"""),"Welcome To Sweden")</f>
        <v>Welcome To Sweden</v>
      </c>
      <c r="G2722">
        <f>IFERROR(__xludf.DUMMYFUNCTION("""COMPUTED_VALUE"""),1.0)</f>
        <v>1</v>
      </c>
      <c r="H2722" s="5">
        <f>IFERROR(__xludf.DUMMYFUNCTION("""COMPUTED_VALUE"""),0.12847222222262644)</f>
        <v>0.1284722222</v>
      </c>
    </row>
    <row r="2723">
      <c r="A2723" t="str">
        <f>IFERROR(__xludf.DUMMYFUNCTION("""COMPUTED_VALUE"""),"Sweden")</f>
        <v>Sweden</v>
      </c>
      <c r="B2723" t="str">
        <f>IFERROR(__xludf.DUMMYFUNCTION("""COMPUTED_VALUE"""),"Europe")</f>
        <v>Europe</v>
      </c>
      <c r="C2723">
        <f>IFERROR(__xludf.DUMMYFUNCTION("""COMPUTED_VALUE"""),22.0)</f>
        <v>22</v>
      </c>
      <c r="D2723" t="str">
        <f>IFERROR(__xludf.DUMMYFUNCTION("""COMPUTED_VALUE"""),"Lev nu dö sen")</f>
        <v>Lev nu dö sen</v>
      </c>
      <c r="E2723" t="str">
        <f>IFERROR(__xludf.DUMMYFUNCTION("""COMPUTED_VALUE"""),"Miss Li")</f>
        <v>Miss Li</v>
      </c>
      <c r="F2723" t="str">
        <f>IFERROR(__xludf.DUMMYFUNCTION("""COMPUTED_VALUE"""),"Lev nu dö sen")</f>
        <v>Lev nu dö sen</v>
      </c>
      <c r="G2723">
        <f>IFERROR(__xludf.DUMMYFUNCTION("""COMPUTED_VALUE"""),0.0)</f>
        <v>0</v>
      </c>
      <c r="H2723" s="5">
        <f>IFERROR(__xludf.DUMMYFUNCTION("""COMPUTED_VALUE"""),0.12638888888977817)</f>
        <v>0.1263888889</v>
      </c>
    </row>
    <row r="2724">
      <c r="A2724" t="str">
        <f>IFERROR(__xludf.DUMMYFUNCTION("""COMPUTED_VALUE"""),"Sweden")</f>
        <v>Sweden</v>
      </c>
      <c r="B2724" t="str">
        <f>IFERROR(__xludf.DUMMYFUNCTION("""COMPUTED_VALUE"""),"Europe")</f>
        <v>Europe</v>
      </c>
      <c r="C2724">
        <f>IFERROR(__xludf.DUMMYFUNCTION("""COMPUTED_VALUE"""),23.0)</f>
        <v>23</v>
      </c>
      <c r="D2724" t="str">
        <f>IFERROR(__xludf.DUMMYFUNCTION("""COMPUTED_VALUE"""),"Passa dig")</f>
        <v>Passa dig</v>
      </c>
      <c r="E2724" t="str">
        <f>IFERROR(__xludf.DUMMYFUNCTION("""COMPUTED_VALUE"""),"Miriam Bryant")</f>
        <v>Miriam Bryant</v>
      </c>
      <c r="F2724" t="str">
        <f>IFERROR(__xludf.DUMMYFUNCTION("""COMPUTED_VALUE"""),"Passa dig")</f>
        <v>Passa dig</v>
      </c>
      <c r="G2724">
        <f>IFERROR(__xludf.DUMMYFUNCTION("""COMPUTED_VALUE"""),0.0)</f>
        <v>0</v>
      </c>
      <c r="H2724" s="5">
        <f>IFERROR(__xludf.DUMMYFUNCTION("""COMPUTED_VALUE"""),0.15763888888977817)</f>
        <v>0.1576388889</v>
      </c>
    </row>
    <row r="2725">
      <c r="A2725" t="str">
        <f>IFERROR(__xludf.DUMMYFUNCTION("""COMPUTED_VALUE"""),"Sweden")</f>
        <v>Sweden</v>
      </c>
      <c r="B2725" t="str">
        <f>IFERROR(__xludf.DUMMYFUNCTION("""COMPUTED_VALUE"""),"Europe")</f>
        <v>Europe</v>
      </c>
      <c r="C2725">
        <f>IFERROR(__xludf.DUMMYFUNCTION("""COMPUTED_VALUE"""),24.0)</f>
        <v>24</v>
      </c>
      <c r="D2725" t="str">
        <f>IFERROR(__xludf.DUMMYFUNCTION("""COMPUTED_VALUE"""),"Dance Monkey")</f>
        <v>Dance Monkey</v>
      </c>
      <c r="E2725" t="str">
        <f>IFERROR(__xludf.DUMMYFUNCTION("""COMPUTED_VALUE"""),"Tones And I")</f>
        <v>Tones And I</v>
      </c>
      <c r="F2725" t="str">
        <f>IFERROR(__xludf.DUMMYFUNCTION("""COMPUTED_VALUE"""),"Dance Monkey (Stripped Back) / Dance Monkey")</f>
        <v>Dance Monkey (Stripped Back) / Dance Monkey</v>
      </c>
      <c r="G2725">
        <f>IFERROR(__xludf.DUMMYFUNCTION("""COMPUTED_VALUE"""),0.0)</f>
        <v>0</v>
      </c>
      <c r="H2725" s="5">
        <f>IFERROR(__xludf.DUMMYFUNCTION("""COMPUTED_VALUE"""),0.14513888888905058)</f>
        <v>0.1451388889</v>
      </c>
    </row>
    <row r="2726">
      <c r="A2726" t="str">
        <f>IFERROR(__xludf.DUMMYFUNCTION("""COMPUTED_VALUE"""),"Sweden")</f>
        <v>Sweden</v>
      </c>
      <c r="B2726" t="str">
        <f>IFERROR(__xludf.DUMMYFUNCTION("""COMPUTED_VALUE"""),"Europe")</f>
        <v>Europe</v>
      </c>
      <c r="C2726">
        <f>IFERROR(__xludf.DUMMYFUNCTION("""COMPUTED_VALUE"""),25.0)</f>
        <v>25</v>
      </c>
      <c r="D2726" t="str">
        <f>IFERROR(__xludf.DUMMYFUNCTION("""COMPUTED_VALUE"""),"Lose Somebody")</f>
        <v>Lose Somebody</v>
      </c>
      <c r="E2726" t="str">
        <f>IFERROR(__xludf.DUMMYFUNCTION("""COMPUTED_VALUE"""),"Kygo, OneRepublic")</f>
        <v>Kygo, OneRepublic</v>
      </c>
      <c r="F2726" t="str">
        <f>IFERROR(__xludf.DUMMYFUNCTION("""COMPUTED_VALUE"""),"Lose Somebody")</f>
        <v>Lose Somebody</v>
      </c>
      <c r="G2726">
        <f>IFERROR(__xludf.DUMMYFUNCTION("""COMPUTED_VALUE"""),0.0)</f>
        <v>0</v>
      </c>
      <c r="H2726" s="5">
        <f>IFERROR(__xludf.DUMMYFUNCTION("""COMPUTED_VALUE"""),0.1381944444437977)</f>
        <v>0.1381944444</v>
      </c>
    </row>
    <row r="2727">
      <c r="A2727" t="str">
        <f>IFERROR(__xludf.DUMMYFUNCTION("""COMPUTED_VALUE"""),"Sweden")</f>
        <v>Sweden</v>
      </c>
      <c r="B2727" t="str">
        <f>IFERROR(__xludf.DUMMYFUNCTION("""COMPUTED_VALUE"""),"Europe")</f>
        <v>Europe</v>
      </c>
      <c r="C2727">
        <f>IFERROR(__xludf.DUMMYFUNCTION("""COMPUTED_VALUE"""),26.0)</f>
        <v>26</v>
      </c>
      <c r="D2727" t="str">
        <f>IFERROR(__xludf.DUMMYFUNCTION("""COMPUTED_VALUE"""),"DIP DIP")</f>
        <v>DIP DIP</v>
      </c>
      <c r="E2727" t="str">
        <f>IFERROR(__xludf.DUMMYFUNCTION("""COMPUTED_VALUE"""),"Dree Low, Owen")</f>
        <v>Dree Low, Owen</v>
      </c>
      <c r="F2727" t="str">
        <f>IFERROR(__xludf.DUMMYFUNCTION("""COMPUTED_VALUE"""),"FLAWLESS 2")</f>
        <v>FLAWLESS 2</v>
      </c>
      <c r="G2727">
        <f>IFERROR(__xludf.DUMMYFUNCTION("""COMPUTED_VALUE"""),1.0)</f>
        <v>1</v>
      </c>
      <c r="H2727" s="5">
        <f>IFERROR(__xludf.DUMMYFUNCTION("""COMPUTED_VALUE"""),0.10138888888832298)</f>
        <v>0.1013888889</v>
      </c>
    </row>
    <row r="2728">
      <c r="A2728" t="str">
        <f>IFERROR(__xludf.DUMMYFUNCTION("""COMPUTED_VALUE"""),"Sweden")</f>
        <v>Sweden</v>
      </c>
      <c r="B2728" t="str">
        <f>IFERROR(__xludf.DUMMYFUNCTION("""COMPUTED_VALUE"""),"Europe")</f>
        <v>Europe</v>
      </c>
      <c r="C2728">
        <f>IFERROR(__xludf.DUMMYFUNCTION("""COMPUTED_VALUE"""),27.0)</f>
        <v>27</v>
      </c>
      <c r="D2728" t="str">
        <f>IFERROR(__xludf.DUMMYFUNCTION("""COMPUTED_VALUE"""),"Sexcigg")</f>
        <v>Sexcigg</v>
      </c>
      <c r="E2728" t="str">
        <f>IFERROR(__xludf.DUMMYFUNCTION("""COMPUTED_VALUE"""),"Lov1")</f>
        <v>Lov1</v>
      </c>
      <c r="F2728" t="str">
        <f>IFERROR(__xludf.DUMMYFUNCTION("""COMPUTED_VALUE"""),"Sexcigg")</f>
        <v>Sexcigg</v>
      </c>
      <c r="G2728">
        <f>IFERROR(__xludf.DUMMYFUNCTION("""COMPUTED_VALUE"""),1.0)</f>
        <v>1</v>
      </c>
      <c r="H2728" s="5">
        <f>IFERROR(__xludf.DUMMYFUNCTION("""COMPUTED_VALUE"""),0.12708333333284827)</f>
        <v>0.1270833333</v>
      </c>
    </row>
    <row r="2729">
      <c r="A2729" t="str">
        <f>IFERROR(__xludf.DUMMYFUNCTION("""COMPUTED_VALUE"""),"Sweden")</f>
        <v>Sweden</v>
      </c>
      <c r="B2729" t="str">
        <f>IFERROR(__xludf.DUMMYFUNCTION("""COMPUTED_VALUE"""),"Europe")</f>
        <v>Europe</v>
      </c>
      <c r="C2729">
        <f>IFERROR(__xludf.DUMMYFUNCTION("""COMPUTED_VALUE"""),28.0)</f>
        <v>28</v>
      </c>
      <c r="D2729" t="str">
        <f>IFERROR(__xludf.DUMMYFUNCTION("""COMPUTED_VALUE"""),"Toosie Slide")</f>
        <v>Toosie Slide</v>
      </c>
      <c r="E2729" t="str">
        <f>IFERROR(__xludf.DUMMYFUNCTION("""COMPUTED_VALUE"""),"Drake")</f>
        <v>Drake</v>
      </c>
      <c r="F2729" t="str">
        <f>IFERROR(__xludf.DUMMYFUNCTION("""COMPUTED_VALUE"""),"Dark Lane Demo Tapes")</f>
        <v>Dark Lane Demo Tapes</v>
      </c>
      <c r="G2729">
        <f>IFERROR(__xludf.DUMMYFUNCTION("""COMPUTED_VALUE"""),1.0)</f>
        <v>1</v>
      </c>
      <c r="H2729" s="5">
        <f>IFERROR(__xludf.DUMMYFUNCTION("""COMPUTED_VALUE"""),0.17152777777664596)</f>
        <v>0.1715277778</v>
      </c>
    </row>
    <row r="2730">
      <c r="A2730" t="str">
        <f>IFERROR(__xludf.DUMMYFUNCTION("""COMPUTED_VALUE"""),"Sweden")</f>
        <v>Sweden</v>
      </c>
      <c r="B2730" t="str">
        <f>IFERROR(__xludf.DUMMYFUNCTION("""COMPUTED_VALUE"""),"Europe")</f>
        <v>Europe</v>
      </c>
      <c r="C2730">
        <f>IFERROR(__xludf.DUMMYFUNCTION("""COMPUTED_VALUE"""),29.0)</f>
        <v>29</v>
      </c>
      <c r="D2730" t="str">
        <f>IFERROR(__xludf.DUMMYFUNCTION("""COMPUTED_VALUE"""),"Stuck with U (with Justin Bieber)")</f>
        <v>Stuck with U (with Justin Bieber)</v>
      </c>
      <c r="E2730" t="str">
        <f>IFERROR(__xludf.DUMMYFUNCTION("""COMPUTED_VALUE"""),"Ariana Grande, Justin Bieber")</f>
        <v>Ariana Grande, Justin Bieber</v>
      </c>
      <c r="F2730" t="str">
        <f>IFERROR(__xludf.DUMMYFUNCTION("""COMPUTED_VALUE"""),"Stuck with U")</f>
        <v>Stuck with U</v>
      </c>
      <c r="G2730">
        <f>IFERROR(__xludf.DUMMYFUNCTION("""COMPUTED_VALUE"""),0.0)</f>
        <v>0</v>
      </c>
      <c r="H2730" s="5">
        <f>IFERROR(__xludf.DUMMYFUNCTION("""COMPUTED_VALUE"""),0.15833333333284827)</f>
        <v>0.1583333333</v>
      </c>
    </row>
    <row r="2731">
      <c r="A2731" t="str">
        <f>IFERROR(__xludf.DUMMYFUNCTION("""COMPUTED_VALUE"""),"Sweden")</f>
        <v>Sweden</v>
      </c>
      <c r="B2731" t="str">
        <f>IFERROR(__xludf.DUMMYFUNCTION("""COMPUTED_VALUE"""),"Europe")</f>
        <v>Europe</v>
      </c>
      <c r="C2731">
        <f>IFERROR(__xludf.DUMMYFUNCTION("""COMPUTED_VALUE"""),30.0)</f>
        <v>30</v>
      </c>
      <c r="D2731" t="str">
        <f>IFERROR(__xludf.DUMMYFUNCTION("""COMPUTED_VALUE"""),"Sykepleierinnen (Sykehuset 2020)")</f>
        <v>Sykepleierinnen (Sykehuset 2020)</v>
      </c>
      <c r="E2731" t="str">
        <f>IFERROR(__xludf.DUMMYFUNCTION("""COMPUTED_VALUE"""),"El Papi")</f>
        <v>El Papi</v>
      </c>
      <c r="F2731" t="str">
        <f>IFERROR(__xludf.DUMMYFUNCTION("""COMPUTED_VALUE"""),"Sykepleierinnen (Sykehuset 2020)")</f>
        <v>Sykepleierinnen (Sykehuset 2020)</v>
      </c>
      <c r="G2731">
        <f>IFERROR(__xludf.DUMMYFUNCTION("""COMPUTED_VALUE"""),0.0)</f>
        <v>0</v>
      </c>
      <c r="H2731" s="5">
        <f>IFERROR(__xludf.DUMMYFUNCTION("""COMPUTED_VALUE"""),0.12638888888977817)</f>
        <v>0.1263888889</v>
      </c>
    </row>
    <row r="2732">
      <c r="A2732" t="str">
        <f>IFERROR(__xludf.DUMMYFUNCTION("""COMPUTED_VALUE"""),"Sweden")</f>
        <v>Sweden</v>
      </c>
      <c r="B2732" t="str">
        <f>IFERROR(__xludf.DUMMYFUNCTION("""COMPUTED_VALUE"""),"Europe")</f>
        <v>Europe</v>
      </c>
      <c r="C2732">
        <f>IFERROR(__xludf.DUMMYFUNCTION("""COMPUTED_VALUE"""),31.0)</f>
        <v>31</v>
      </c>
      <c r="D2732" t="str">
        <f>IFERROR(__xludf.DUMMYFUNCTION("""COMPUTED_VALUE"""),"THE SCOTTS")</f>
        <v>THE SCOTTS</v>
      </c>
      <c r="E2732" t="str">
        <f>IFERROR(__xludf.DUMMYFUNCTION("""COMPUTED_VALUE"""),"THE SCOTTS, Travis Scott, Kid Cudi")</f>
        <v>THE SCOTTS, Travis Scott, Kid Cudi</v>
      </c>
      <c r="F2732" t="str">
        <f>IFERROR(__xludf.DUMMYFUNCTION("""COMPUTED_VALUE"""),"THE SCOTTS")</f>
        <v>THE SCOTTS</v>
      </c>
      <c r="G2732">
        <f>IFERROR(__xludf.DUMMYFUNCTION("""COMPUTED_VALUE"""),1.0)</f>
        <v>1</v>
      </c>
      <c r="H2732" s="5">
        <f>IFERROR(__xludf.DUMMYFUNCTION("""COMPUTED_VALUE"""),0.11458333333212067)</f>
        <v>0.1145833333</v>
      </c>
    </row>
    <row r="2733">
      <c r="A2733" t="str">
        <f>IFERROR(__xludf.DUMMYFUNCTION("""COMPUTED_VALUE"""),"Sweden")</f>
        <v>Sweden</v>
      </c>
      <c r="B2733" t="str">
        <f>IFERROR(__xludf.DUMMYFUNCTION("""COMPUTED_VALUE"""),"Europe")</f>
        <v>Europe</v>
      </c>
      <c r="C2733">
        <f>IFERROR(__xludf.DUMMYFUNCTION("""COMPUTED_VALUE"""),32.0)</f>
        <v>32</v>
      </c>
      <c r="D2733" t="str">
        <f>IFERROR(__xludf.DUMMYFUNCTION("""COMPUTED_VALUE"""),"BLod")</f>
        <v>BLod</v>
      </c>
      <c r="E2733" t="str">
        <f>IFERROR(__xludf.DUMMYFUNCTION("""COMPUTED_VALUE"""),"Asme")</f>
        <v>Asme</v>
      </c>
      <c r="F2733" t="str">
        <f>IFERROR(__xludf.DUMMYFUNCTION("""COMPUTED_VALUE"""),"BLod")</f>
        <v>BLod</v>
      </c>
      <c r="G2733">
        <f>IFERROR(__xludf.DUMMYFUNCTION("""COMPUTED_VALUE"""),1.0)</f>
        <v>1</v>
      </c>
      <c r="H2733" s="5">
        <f>IFERROR(__xludf.DUMMYFUNCTION("""COMPUTED_VALUE"""),0.11666666666496894)</f>
        <v>0.1166666667</v>
      </c>
    </row>
    <row r="2734">
      <c r="A2734" t="str">
        <f>IFERROR(__xludf.DUMMYFUNCTION("""COMPUTED_VALUE"""),"Sweden")</f>
        <v>Sweden</v>
      </c>
      <c r="B2734" t="str">
        <f>IFERROR(__xludf.DUMMYFUNCTION("""COMPUTED_VALUE"""),"Europe")</f>
        <v>Europe</v>
      </c>
      <c r="C2734">
        <f>IFERROR(__xludf.DUMMYFUNCTION("""COMPUTED_VALUE"""),33.0)</f>
        <v>33</v>
      </c>
      <c r="D2734" t="str">
        <f>IFERROR(__xludf.DUMMYFUNCTION("""COMPUTED_VALUE"""),"death bed (coffee for your head) (feat. beabadoobee)")</f>
        <v>death bed (coffee for your head) (feat. beabadoobee)</v>
      </c>
      <c r="E2734" t="str">
        <f>IFERROR(__xludf.DUMMYFUNCTION("""COMPUTED_VALUE"""),"Powfu, beabadoobee")</f>
        <v>Powfu, beabadoobee</v>
      </c>
      <c r="F2734" t="str">
        <f>IFERROR(__xludf.DUMMYFUNCTION("""COMPUTED_VALUE"""),"death bed (coffee for your head) (feat. beabadoobee)")</f>
        <v>death bed (coffee for your head) (feat. beabadoobee)</v>
      </c>
      <c r="G2734">
        <f>IFERROR(__xludf.DUMMYFUNCTION("""COMPUTED_VALUE"""),0.0)</f>
        <v>0</v>
      </c>
      <c r="H2734" s="5">
        <f>IFERROR(__xludf.DUMMYFUNCTION("""COMPUTED_VALUE"""),0.12013888888759539)</f>
        <v>0.1201388889</v>
      </c>
    </row>
    <row r="2735">
      <c r="A2735" t="str">
        <f>IFERROR(__xludf.DUMMYFUNCTION("""COMPUTED_VALUE"""),"Sweden")</f>
        <v>Sweden</v>
      </c>
      <c r="B2735" t="str">
        <f>IFERROR(__xludf.DUMMYFUNCTION("""COMPUTED_VALUE"""),"Europe")</f>
        <v>Europe</v>
      </c>
      <c r="C2735">
        <f>IFERROR(__xludf.DUMMYFUNCTION("""COMPUTED_VALUE"""),34.0)</f>
        <v>34</v>
      </c>
      <c r="D2735" t="str">
        <f>IFERROR(__xludf.DUMMYFUNCTION("""COMPUTED_VALUE"""),"Welcome To Sweden")</f>
        <v>Welcome To Sweden</v>
      </c>
      <c r="E2735" t="str">
        <f>IFERROR(__xludf.DUMMYFUNCTION("""COMPUTED_VALUE"""),"Einár")</f>
        <v>Einár</v>
      </c>
      <c r="F2735" t="str">
        <f>IFERROR(__xludf.DUMMYFUNCTION("""COMPUTED_VALUE"""),"Welcome To Sweden")</f>
        <v>Welcome To Sweden</v>
      </c>
      <c r="G2735">
        <f>IFERROR(__xludf.DUMMYFUNCTION("""COMPUTED_VALUE"""),1.0)</f>
        <v>1</v>
      </c>
      <c r="H2735" s="5">
        <f>IFERROR(__xludf.DUMMYFUNCTION("""COMPUTED_VALUE"""),0.11666666666496894)</f>
        <v>0.1166666667</v>
      </c>
    </row>
    <row r="2736">
      <c r="A2736" t="str">
        <f>IFERROR(__xludf.DUMMYFUNCTION("""COMPUTED_VALUE"""),"Sweden")</f>
        <v>Sweden</v>
      </c>
      <c r="B2736" t="str">
        <f>IFERROR(__xludf.DUMMYFUNCTION("""COMPUTED_VALUE"""),"Europe")</f>
        <v>Europe</v>
      </c>
      <c r="C2736">
        <f>IFERROR(__xludf.DUMMYFUNCTION("""COMPUTED_VALUE"""),35.0)</f>
        <v>35</v>
      </c>
      <c r="D2736" t="str">
        <f>IFERROR(__xludf.DUMMYFUNCTION("""COMPUTED_VALUE"""),"PIPPI")</f>
        <v>PIPPI</v>
      </c>
      <c r="E2736" t="str">
        <f>IFERROR(__xludf.DUMMYFUNCTION("""COMPUTED_VALUE"""),"Dree Low")</f>
        <v>Dree Low</v>
      </c>
      <c r="F2736" t="str">
        <f>IFERROR(__xludf.DUMMYFUNCTION("""COMPUTED_VALUE"""),"FLAWLESS")</f>
        <v>FLAWLESS</v>
      </c>
      <c r="G2736">
        <f>IFERROR(__xludf.DUMMYFUNCTION("""COMPUTED_VALUE"""),1.0)</f>
        <v>1</v>
      </c>
      <c r="H2736" s="5">
        <f>IFERROR(__xludf.DUMMYFUNCTION("""COMPUTED_VALUE"""),0.11388888888905058)</f>
        <v>0.1138888889</v>
      </c>
    </row>
    <row r="2737">
      <c r="A2737" t="str">
        <f>IFERROR(__xludf.DUMMYFUNCTION("""COMPUTED_VALUE"""),"Sweden")</f>
        <v>Sweden</v>
      </c>
      <c r="B2737" t="str">
        <f>IFERROR(__xludf.DUMMYFUNCTION("""COMPUTED_VALUE"""),"Europe")</f>
        <v>Europe</v>
      </c>
      <c r="C2737">
        <f>IFERROR(__xludf.DUMMYFUNCTION("""COMPUTED_VALUE"""),36.0)</f>
        <v>36</v>
      </c>
      <c r="D2737" t="str">
        <f>IFERROR(__xludf.DUMMYFUNCTION("""COMPUTED_VALUE"""),"Rover (feat. DTG)")</f>
        <v>Rover (feat. DTG)</v>
      </c>
      <c r="E2737" t="str">
        <f>IFERROR(__xludf.DUMMYFUNCTION("""COMPUTED_VALUE"""),"S1mba, DTG")</f>
        <v>S1mba, DTG</v>
      </c>
      <c r="F2737" t="str">
        <f>IFERROR(__xludf.DUMMYFUNCTION("""COMPUTED_VALUE"""),"Rover (feat. DTG)")</f>
        <v>Rover (feat. DTG)</v>
      </c>
      <c r="G2737">
        <f>IFERROR(__xludf.DUMMYFUNCTION("""COMPUTED_VALUE"""),1.0)</f>
        <v>1</v>
      </c>
      <c r="H2737" s="5">
        <f>IFERROR(__xludf.DUMMYFUNCTION("""COMPUTED_VALUE"""),0.11597222222189885)</f>
        <v>0.1159722222</v>
      </c>
    </row>
    <row r="2738">
      <c r="A2738" t="str">
        <f>IFERROR(__xludf.DUMMYFUNCTION("""COMPUTED_VALUE"""),"Sweden")</f>
        <v>Sweden</v>
      </c>
      <c r="B2738" t="str">
        <f>IFERROR(__xludf.DUMMYFUNCTION("""COMPUTED_VALUE"""),"Europe")</f>
        <v>Europe</v>
      </c>
      <c r="C2738">
        <f>IFERROR(__xludf.DUMMYFUNCTION("""COMPUTED_VALUE"""),37.0)</f>
        <v>37</v>
      </c>
      <c r="D2738" t="str">
        <f>IFERROR(__xludf.DUMMYFUNCTION("""COMPUTED_VALUE"""),"Blueberry Faygo")</f>
        <v>Blueberry Faygo</v>
      </c>
      <c r="E2738" t="str">
        <f>IFERROR(__xludf.DUMMYFUNCTION("""COMPUTED_VALUE"""),"Lil Mosey")</f>
        <v>Lil Mosey</v>
      </c>
      <c r="F2738" t="str">
        <f>IFERROR(__xludf.DUMMYFUNCTION("""COMPUTED_VALUE"""),"Certified Hitmaker")</f>
        <v>Certified Hitmaker</v>
      </c>
      <c r="G2738">
        <f>IFERROR(__xludf.DUMMYFUNCTION("""COMPUTED_VALUE"""),1.0)</f>
        <v>1</v>
      </c>
      <c r="H2738" s="5">
        <f>IFERROR(__xludf.DUMMYFUNCTION("""COMPUTED_VALUE"""),0.1124999999992724)</f>
        <v>0.1125</v>
      </c>
    </row>
    <row r="2739">
      <c r="A2739" t="str">
        <f>IFERROR(__xludf.DUMMYFUNCTION("""COMPUTED_VALUE"""),"Sweden")</f>
        <v>Sweden</v>
      </c>
      <c r="B2739" t="str">
        <f>IFERROR(__xludf.DUMMYFUNCTION("""COMPUTED_VALUE"""),"Europe")</f>
        <v>Europe</v>
      </c>
      <c r="C2739">
        <f>IFERROR(__xludf.DUMMYFUNCTION("""COMPUTED_VALUE"""),38.0)</f>
        <v>38</v>
      </c>
      <c r="D2739" t="str">
        <f>IFERROR(__xludf.DUMMYFUNCTION("""COMPUTED_VALUE"""),"Det Kommer Bli Bra")</f>
        <v>Det Kommer Bli Bra</v>
      </c>
      <c r="E2739" t="str">
        <f>IFERROR(__xludf.DUMMYFUNCTION("""COMPUTED_VALUE"""),"Laleh")</f>
        <v>Laleh</v>
      </c>
      <c r="F2739" t="str">
        <f>IFERROR(__xludf.DUMMYFUNCTION("""COMPUTED_VALUE"""),"Det Kommer Bli Bra")</f>
        <v>Det Kommer Bli Bra</v>
      </c>
      <c r="G2739">
        <f>IFERROR(__xludf.DUMMYFUNCTION("""COMPUTED_VALUE"""),0.0)</f>
        <v>0</v>
      </c>
      <c r="H2739" s="5">
        <f>IFERROR(__xludf.DUMMYFUNCTION("""COMPUTED_VALUE"""),0.16041666666569654)</f>
        <v>0.1604166667</v>
      </c>
    </row>
    <row r="2740">
      <c r="A2740" t="str">
        <f>IFERROR(__xludf.DUMMYFUNCTION("""COMPUTED_VALUE"""),"Sweden")</f>
        <v>Sweden</v>
      </c>
      <c r="B2740" t="str">
        <f>IFERROR(__xludf.DUMMYFUNCTION("""COMPUTED_VALUE"""),"Europe")</f>
        <v>Europe</v>
      </c>
      <c r="C2740">
        <f>IFERROR(__xludf.DUMMYFUNCTION("""COMPUTED_VALUE"""),39.0)</f>
        <v>39</v>
      </c>
      <c r="D2740" t="str">
        <f>IFERROR(__xludf.DUMMYFUNCTION("""COMPUTED_VALUE"""),"Kings &amp; Queens")</f>
        <v>Kings &amp; Queens</v>
      </c>
      <c r="E2740" t="str">
        <f>IFERROR(__xludf.DUMMYFUNCTION("""COMPUTED_VALUE"""),"Ava Max")</f>
        <v>Ava Max</v>
      </c>
      <c r="F2740" t="str">
        <f>IFERROR(__xludf.DUMMYFUNCTION("""COMPUTED_VALUE"""),"Kings &amp; Queens")</f>
        <v>Kings &amp; Queens</v>
      </c>
      <c r="G2740">
        <f>IFERROR(__xludf.DUMMYFUNCTION("""COMPUTED_VALUE"""),0.0)</f>
        <v>0</v>
      </c>
      <c r="H2740" s="5">
        <f>IFERROR(__xludf.DUMMYFUNCTION("""COMPUTED_VALUE"""),0.1124999999992724)</f>
        <v>0.1125</v>
      </c>
    </row>
    <row r="2741">
      <c r="A2741" t="str">
        <f>IFERROR(__xludf.DUMMYFUNCTION("""COMPUTED_VALUE"""),"Sweden")</f>
        <v>Sweden</v>
      </c>
      <c r="B2741" t="str">
        <f>IFERROR(__xludf.DUMMYFUNCTION("""COMPUTED_VALUE"""),"Europe")</f>
        <v>Europe</v>
      </c>
      <c r="C2741">
        <f>IFERROR(__xludf.DUMMYFUNCTION("""COMPUTED_VALUE"""),40.0)</f>
        <v>40</v>
      </c>
      <c r="D2741" t="str">
        <f>IFERROR(__xludf.DUMMYFUNCTION("""COMPUTED_VALUE"""),"ily (i love you baby) (feat. Emilee)")</f>
        <v>ily (i love you baby) (feat. Emilee)</v>
      </c>
      <c r="E2741" t="str">
        <f>IFERROR(__xludf.DUMMYFUNCTION("""COMPUTED_VALUE"""),"Surf Mesa, Emilee")</f>
        <v>Surf Mesa, Emilee</v>
      </c>
      <c r="F2741" t="str">
        <f>IFERROR(__xludf.DUMMYFUNCTION("""COMPUTED_VALUE"""),"ily (i love you baby) (feat. Emilee)")</f>
        <v>ily (i love you baby) (feat. Emilee)</v>
      </c>
      <c r="G2741">
        <f>IFERROR(__xludf.DUMMYFUNCTION("""COMPUTED_VALUE"""),0.0)</f>
        <v>0</v>
      </c>
      <c r="H2741" s="5">
        <f>IFERROR(__xludf.DUMMYFUNCTION("""COMPUTED_VALUE"""),0.12222222222044365)</f>
        <v>0.1222222222</v>
      </c>
    </row>
    <row r="2742">
      <c r="A2742" t="str">
        <f>IFERROR(__xludf.DUMMYFUNCTION("""COMPUTED_VALUE"""),"Sweden")</f>
        <v>Sweden</v>
      </c>
      <c r="B2742" t="str">
        <f>IFERROR(__xludf.DUMMYFUNCTION("""COMPUTED_VALUE"""),"Europe")</f>
        <v>Europe</v>
      </c>
      <c r="C2742">
        <f>IFERROR(__xludf.DUMMYFUNCTION("""COMPUTED_VALUE"""),41.0)</f>
        <v>41</v>
      </c>
      <c r="D2742" t="str">
        <f>IFERROR(__xludf.DUMMYFUNCTION("""COMPUTED_VALUE"""),"Va händish")</f>
        <v>Va händish</v>
      </c>
      <c r="E2742" t="str">
        <f>IFERROR(__xludf.DUMMYFUNCTION("""COMPUTED_VALUE"""),"Einár, Thrife")</f>
        <v>Einár, Thrife</v>
      </c>
      <c r="F2742" t="str">
        <f>IFERROR(__xludf.DUMMYFUNCTION("""COMPUTED_VALUE"""),"Welcome To Sweden")</f>
        <v>Welcome To Sweden</v>
      </c>
      <c r="G2742">
        <f>IFERROR(__xludf.DUMMYFUNCTION("""COMPUTED_VALUE"""),1.0)</f>
        <v>1</v>
      </c>
      <c r="H2742" s="5">
        <f>IFERROR(__xludf.DUMMYFUNCTION("""COMPUTED_VALUE"""),0.10833333333357587)</f>
        <v>0.1083333333</v>
      </c>
    </row>
    <row r="2743">
      <c r="A2743" t="str">
        <f>IFERROR(__xludf.DUMMYFUNCTION("""COMPUTED_VALUE"""),"Sweden")</f>
        <v>Sweden</v>
      </c>
      <c r="B2743" t="str">
        <f>IFERROR(__xludf.DUMMYFUNCTION("""COMPUTED_VALUE"""),"Europe")</f>
        <v>Europe</v>
      </c>
      <c r="C2743">
        <f>IFERROR(__xludf.DUMMYFUNCTION("""COMPUTED_VALUE"""),42.0)</f>
        <v>42</v>
      </c>
      <c r="D2743" t="str">
        <f>IFERROR(__xludf.DUMMYFUNCTION("""COMPUTED_VALUE"""),"Think About Things")</f>
        <v>Think About Things</v>
      </c>
      <c r="E2743" t="str">
        <f>IFERROR(__xludf.DUMMYFUNCTION("""COMPUTED_VALUE"""),"Daði Freyr")</f>
        <v>Daði Freyr</v>
      </c>
      <c r="F2743" t="str">
        <f>IFERROR(__xludf.DUMMYFUNCTION("""COMPUTED_VALUE"""),"Think About Things")</f>
        <v>Think About Things</v>
      </c>
      <c r="G2743">
        <f>IFERROR(__xludf.DUMMYFUNCTION("""COMPUTED_VALUE"""),0.0)</f>
        <v>0</v>
      </c>
      <c r="H2743" s="5">
        <f>IFERROR(__xludf.DUMMYFUNCTION("""COMPUTED_VALUE"""),0.12013888888759539)</f>
        <v>0.1201388889</v>
      </c>
    </row>
    <row r="2744">
      <c r="A2744" t="str">
        <f>IFERROR(__xludf.DUMMYFUNCTION("""COMPUTED_VALUE"""),"Sweden")</f>
        <v>Sweden</v>
      </c>
      <c r="B2744" t="str">
        <f>IFERROR(__xludf.DUMMYFUNCTION("""COMPUTED_VALUE"""),"Europe")</f>
        <v>Europe</v>
      </c>
      <c r="C2744">
        <f>IFERROR(__xludf.DUMMYFUNCTION("""COMPUTED_VALUE"""),43.0)</f>
        <v>43</v>
      </c>
      <c r="D2744" t="str">
        <f>IFERROR(__xludf.DUMMYFUNCTION("""COMPUTED_VALUE"""),"Nån av oss")</f>
        <v>Nån av oss</v>
      </c>
      <c r="E2744" t="str">
        <f>IFERROR(__xludf.DUMMYFUNCTION("""COMPUTED_VALUE"""),"Miriam Bryant")</f>
        <v>Miriam Bryant</v>
      </c>
      <c r="F2744" t="str">
        <f>IFERROR(__xludf.DUMMYFUNCTION("""COMPUTED_VALUE"""),"Nån av oss")</f>
        <v>Nån av oss</v>
      </c>
      <c r="G2744">
        <f>IFERROR(__xludf.DUMMYFUNCTION("""COMPUTED_VALUE"""),0.0)</f>
        <v>0</v>
      </c>
      <c r="H2744" s="5">
        <f>IFERROR(__xludf.DUMMYFUNCTION("""COMPUTED_VALUE"""),0.15763888888977817)</f>
        <v>0.1576388889</v>
      </c>
    </row>
    <row r="2745">
      <c r="A2745" t="str">
        <f>IFERROR(__xludf.DUMMYFUNCTION("""COMPUTED_VALUE"""),"Sweden")</f>
        <v>Sweden</v>
      </c>
      <c r="B2745" t="str">
        <f>IFERROR(__xludf.DUMMYFUNCTION("""COMPUTED_VALUE"""),"Europe")</f>
        <v>Europe</v>
      </c>
      <c r="C2745">
        <f>IFERROR(__xludf.DUMMYFUNCTION("""COMPUTED_VALUE"""),44.0)</f>
        <v>44</v>
      </c>
      <c r="D2745" t="str">
        <f>IFERROR(__xludf.DUMMYFUNCTION("""COMPUTED_VALUE"""),"Don't Start Now")</f>
        <v>Don't Start Now</v>
      </c>
      <c r="E2745" t="str">
        <f>IFERROR(__xludf.DUMMYFUNCTION("""COMPUTED_VALUE"""),"Dua Lipa")</f>
        <v>Dua Lipa</v>
      </c>
      <c r="F2745" t="str">
        <f>IFERROR(__xludf.DUMMYFUNCTION("""COMPUTED_VALUE"""),"Future Nostalgia")</f>
        <v>Future Nostalgia</v>
      </c>
      <c r="G2745">
        <f>IFERROR(__xludf.DUMMYFUNCTION("""COMPUTED_VALUE"""),0.0)</f>
        <v>0</v>
      </c>
      <c r="H2745" s="5">
        <f>IFERROR(__xludf.DUMMYFUNCTION("""COMPUTED_VALUE"""),0.12708333333284827)</f>
        <v>0.1270833333</v>
      </c>
    </row>
    <row r="2746">
      <c r="A2746" t="str">
        <f>IFERROR(__xludf.DUMMYFUNCTION("""COMPUTED_VALUE"""),"Sweden")</f>
        <v>Sweden</v>
      </c>
      <c r="B2746" t="str">
        <f>IFERROR(__xludf.DUMMYFUNCTION("""COMPUTED_VALUE"""),"Europe")</f>
        <v>Europe</v>
      </c>
      <c r="C2746">
        <f>IFERROR(__xludf.DUMMYFUNCTION("""COMPUTED_VALUE"""),45.0)</f>
        <v>45</v>
      </c>
      <c r="D2746" t="str">
        <f>IFERROR(__xludf.DUMMYFUNCTION("""COMPUTED_VALUE"""),"Break My Heart")</f>
        <v>Break My Heart</v>
      </c>
      <c r="E2746" t="str">
        <f>IFERROR(__xludf.DUMMYFUNCTION("""COMPUTED_VALUE"""),"Dua Lipa")</f>
        <v>Dua Lipa</v>
      </c>
      <c r="F2746" t="str">
        <f>IFERROR(__xludf.DUMMYFUNCTION("""COMPUTED_VALUE"""),"Future Nostalgia")</f>
        <v>Future Nostalgia</v>
      </c>
      <c r="G2746">
        <f>IFERROR(__xludf.DUMMYFUNCTION("""COMPUTED_VALUE"""),0.0)</f>
        <v>0</v>
      </c>
      <c r="H2746" s="5">
        <f>IFERROR(__xludf.DUMMYFUNCTION("""COMPUTED_VALUE"""),0.15347222222044365)</f>
        <v>0.1534722222</v>
      </c>
    </row>
    <row r="2747">
      <c r="A2747" t="str">
        <f>IFERROR(__xludf.DUMMYFUNCTION("""COMPUTED_VALUE"""),"Sweden")</f>
        <v>Sweden</v>
      </c>
      <c r="B2747" t="str">
        <f>IFERROR(__xludf.DUMMYFUNCTION("""COMPUTED_VALUE"""),"Europe")</f>
        <v>Europe</v>
      </c>
      <c r="C2747">
        <f>IFERROR(__xludf.DUMMYFUNCTION("""COMPUTED_VALUE"""),46.0)</f>
        <v>46</v>
      </c>
      <c r="D2747" t="str">
        <f>IFERROR(__xludf.DUMMYFUNCTION("""COMPUTED_VALUE"""),"Chambea")</f>
        <v>Chambea</v>
      </c>
      <c r="E2747" t="str">
        <f>IFERROR(__xludf.DUMMYFUNCTION("""COMPUTED_VALUE"""),"Newkid")</f>
        <v>Newkid</v>
      </c>
      <c r="F2747" t="str">
        <f>IFERROR(__xludf.DUMMYFUNCTION("""COMPUTED_VALUE"""),"Chambea")</f>
        <v>Chambea</v>
      </c>
      <c r="G2747">
        <f>IFERROR(__xludf.DUMMYFUNCTION("""COMPUTED_VALUE"""),0.0)</f>
        <v>0</v>
      </c>
      <c r="H2747" s="5">
        <f>IFERROR(__xludf.DUMMYFUNCTION("""COMPUTED_VALUE"""),0.11805555555474712)</f>
        <v>0.1180555556</v>
      </c>
    </row>
    <row r="2748">
      <c r="A2748" t="str">
        <f>IFERROR(__xludf.DUMMYFUNCTION("""COMPUTED_VALUE"""),"Sweden")</f>
        <v>Sweden</v>
      </c>
      <c r="B2748" t="str">
        <f>IFERROR(__xludf.DUMMYFUNCTION("""COMPUTED_VALUE"""),"Europe")</f>
        <v>Europe</v>
      </c>
      <c r="C2748">
        <f>IFERROR(__xludf.DUMMYFUNCTION("""COMPUTED_VALUE"""),47.0)</f>
        <v>47</v>
      </c>
      <c r="D2748" t="str">
        <f>IFERROR(__xludf.DUMMYFUNCTION("""COMPUTED_VALUE"""),"Apelsinskal (feat. Newkid)")</f>
        <v>Apelsinskal (feat. Newkid)</v>
      </c>
      <c r="E2748" t="str">
        <f>IFERROR(__xludf.DUMMYFUNCTION("""COMPUTED_VALUE"""),"Tjuvjakt, Newkid")</f>
        <v>Tjuvjakt, Newkid</v>
      </c>
      <c r="F2748" t="str">
        <f>IFERROR(__xludf.DUMMYFUNCTION("""COMPUTED_VALUE"""),"Apelsinskal (feat. Newkid)")</f>
        <v>Apelsinskal (feat. Newkid)</v>
      </c>
      <c r="G2748">
        <f>IFERROR(__xludf.DUMMYFUNCTION("""COMPUTED_VALUE"""),1.0)</f>
        <v>1</v>
      </c>
      <c r="H2748" s="5">
        <f>IFERROR(__xludf.DUMMYFUNCTION("""COMPUTED_VALUE"""),0.10972222222335404)</f>
        <v>0.1097222222</v>
      </c>
    </row>
    <row r="2749">
      <c r="A2749" t="str">
        <f>IFERROR(__xludf.DUMMYFUNCTION("""COMPUTED_VALUE"""),"Sweden")</f>
        <v>Sweden</v>
      </c>
      <c r="B2749" t="str">
        <f>IFERROR(__xludf.DUMMYFUNCTION("""COMPUTED_VALUE"""),"Europe")</f>
        <v>Europe</v>
      </c>
      <c r="C2749">
        <f>IFERROR(__xludf.DUMMYFUNCTION("""COMPUTED_VALUE"""),48.0)</f>
        <v>48</v>
      </c>
      <c r="D2749" t="str">
        <f>IFERROR(__xludf.DUMMYFUNCTION("""COMPUTED_VALUE"""),"Like It Is")</f>
        <v>Like It Is</v>
      </c>
      <c r="E2749" t="str">
        <f>IFERROR(__xludf.DUMMYFUNCTION("""COMPUTED_VALUE"""),"Kygo, Zara Larsson, Tyga")</f>
        <v>Kygo, Zara Larsson, Tyga</v>
      </c>
      <c r="F2749" t="str">
        <f>IFERROR(__xludf.DUMMYFUNCTION("""COMPUTED_VALUE"""),"Like It Is")</f>
        <v>Like It Is</v>
      </c>
      <c r="G2749">
        <f>IFERROR(__xludf.DUMMYFUNCTION("""COMPUTED_VALUE"""),0.0)</f>
        <v>0</v>
      </c>
      <c r="H2749" s="5">
        <f>IFERROR(__xludf.DUMMYFUNCTION("""COMPUTED_VALUE"""),0.12708333333284827)</f>
        <v>0.1270833333</v>
      </c>
    </row>
    <row r="2750">
      <c r="A2750" t="str">
        <f>IFERROR(__xludf.DUMMYFUNCTION("""COMPUTED_VALUE"""),"Sweden")</f>
        <v>Sweden</v>
      </c>
      <c r="B2750" t="str">
        <f>IFERROR(__xludf.DUMMYFUNCTION("""COMPUTED_VALUE"""),"Europe")</f>
        <v>Europe</v>
      </c>
      <c r="C2750">
        <f>IFERROR(__xludf.DUMMYFUNCTION("""COMPUTED_VALUE"""),49.0)</f>
        <v>49</v>
      </c>
      <c r="D2750" t="str">
        <f>IFERROR(__xludf.DUMMYFUNCTION("""COMPUTED_VALUE"""),"Alla drömmar är uppfyllda")</f>
        <v>Alla drömmar är uppfyllda</v>
      </c>
      <c r="E2750" t="str">
        <f>IFERROR(__xludf.DUMMYFUNCTION("""COMPUTED_VALUE"""),"Håkan Hellström")</f>
        <v>Håkan Hellström</v>
      </c>
      <c r="F2750" t="str">
        <f>IFERROR(__xludf.DUMMYFUNCTION("""COMPUTED_VALUE"""),"Rampljus Vol. 1")</f>
        <v>Rampljus Vol. 1</v>
      </c>
      <c r="G2750">
        <f>IFERROR(__xludf.DUMMYFUNCTION("""COMPUTED_VALUE"""),0.0)</f>
        <v>0</v>
      </c>
      <c r="H2750" s="5">
        <f>IFERROR(__xludf.DUMMYFUNCTION("""COMPUTED_VALUE"""),0.22222222222262644)</f>
        <v>0.2222222222</v>
      </c>
    </row>
    <row r="2751">
      <c r="A2751" t="str">
        <f>IFERROR(__xludf.DUMMYFUNCTION("""COMPUTED_VALUE"""),"Sweden")</f>
        <v>Sweden</v>
      </c>
      <c r="B2751" t="str">
        <f>IFERROR(__xludf.DUMMYFUNCTION("""COMPUTED_VALUE"""),"Europe")</f>
        <v>Europe</v>
      </c>
      <c r="C2751">
        <f>IFERROR(__xludf.DUMMYFUNCTION("""COMPUTED_VALUE"""),50.0)</f>
        <v>50</v>
      </c>
      <c r="D2751" t="str">
        <f>IFERROR(__xludf.DUMMYFUNCTION("""COMPUTED_VALUE"""),"Salt")</f>
        <v>Salt</v>
      </c>
      <c r="E2751" t="str">
        <f>IFERROR(__xludf.DUMMYFUNCTION("""COMPUTED_VALUE"""),"Ava Max")</f>
        <v>Ava Max</v>
      </c>
      <c r="F2751" t="str">
        <f>IFERROR(__xludf.DUMMYFUNCTION("""COMPUTED_VALUE"""),"Salt")</f>
        <v>Salt</v>
      </c>
      <c r="G2751">
        <f>IFERROR(__xludf.DUMMYFUNCTION("""COMPUTED_VALUE"""),0.0)</f>
        <v>0</v>
      </c>
      <c r="H2751" s="5">
        <f>IFERROR(__xludf.DUMMYFUNCTION("""COMPUTED_VALUE"""),0.125)</f>
        <v>0.125</v>
      </c>
    </row>
    <row r="2752">
      <c r="A2752" t="str">
        <f>IFERROR(__xludf.DUMMYFUNCTION("""COMPUTED_VALUE"""),"Switzerland")</f>
        <v>Switzerland</v>
      </c>
      <c r="B2752" t="str">
        <f>IFERROR(__xludf.DUMMYFUNCTION("""COMPUTED_VALUE"""),"Europe")</f>
        <v>Europe</v>
      </c>
      <c r="C2752">
        <f>IFERROR(__xludf.DUMMYFUNCTION("""COMPUTED_VALUE"""),1.0)</f>
        <v>1</v>
      </c>
      <c r="D2752" t="str">
        <f>IFERROR(__xludf.DUMMYFUNCTION("""COMPUTED_VALUE"""),"ROCKSTAR (feat. Roddy Ricch)")</f>
        <v>ROCKSTAR (feat. Roddy Ricch)</v>
      </c>
      <c r="E2752" t="str">
        <f>IFERROR(__xludf.DUMMYFUNCTION("""COMPUTED_VALUE"""),"DaBaby, Roddy Ricch")</f>
        <v>DaBaby, Roddy Ricch</v>
      </c>
      <c r="F2752" t="str">
        <f>IFERROR(__xludf.DUMMYFUNCTION("""COMPUTED_VALUE"""),"BLAME IT ON BABY")</f>
        <v>BLAME IT ON BABY</v>
      </c>
      <c r="G2752">
        <f>IFERROR(__xludf.DUMMYFUNCTION("""COMPUTED_VALUE"""),1.0)</f>
        <v>1</v>
      </c>
      <c r="H2752" s="5">
        <f>IFERROR(__xludf.DUMMYFUNCTION("""COMPUTED_VALUE"""),0.1256944444430701)</f>
        <v>0.1256944444</v>
      </c>
    </row>
    <row r="2753">
      <c r="A2753" t="str">
        <f>IFERROR(__xludf.DUMMYFUNCTION("""COMPUTED_VALUE"""),"Switzerland")</f>
        <v>Switzerland</v>
      </c>
      <c r="B2753" t="str">
        <f>IFERROR(__xludf.DUMMYFUNCTION("""COMPUTED_VALUE"""),"Europe")</f>
        <v>Europe</v>
      </c>
      <c r="C2753">
        <f>IFERROR(__xludf.DUMMYFUNCTION("""COMPUTED_VALUE"""),2.0)</f>
        <v>2</v>
      </c>
      <c r="D2753" t="str">
        <f>IFERROR(__xludf.DUMMYFUNCTION("""COMPUTED_VALUE"""),"Komm Komm")</f>
        <v>Komm Komm</v>
      </c>
      <c r="E2753" t="str">
        <f>IFERROR(__xludf.DUMMYFUNCTION("""COMPUTED_VALUE"""),"Capital Bra")</f>
        <v>Capital Bra</v>
      </c>
      <c r="F2753" t="str">
        <f>IFERROR(__xludf.DUMMYFUNCTION("""COMPUTED_VALUE"""),"Komm Komm")</f>
        <v>Komm Komm</v>
      </c>
      <c r="G2753">
        <f>IFERROR(__xludf.DUMMYFUNCTION("""COMPUTED_VALUE"""),0.0)</f>
        <v>0</v>
      </c>
      <c r="H2753" s="5">
        <f>IFERROR(__xludf.DUMMYFUNCTION("""COMPUTED_VALUE"""),0.11111111110949423)</f>
        <v>0.1111111111</v>
      </c>
    </row>
    <row r="2754">
      <c r="A2754" t="str">
        <f>IFERROR(__xludf.DUMMYFUNCTION("""COMPUTED_VALUE"""),"Switzerland")</f>
        <v>Switzerland</v>
      </c>
      <c r="B2754" t="str">
        <f>IFERROR(__xludf.DUMMYFUNCTION("""COMPUTED_VALUE"""),"Europe")</f>
        <v>Europe</v>
      </c>
      <c r="C2754">
        <f>IFERROR(__xludf.DUMMYFUNCTION("""COMPUTED_VALUE"""),3.0)</f>
        <v>3</v>
      </c>
      <c r="D2754" t="str">
        <f>IFERROR(__xludf.DUMMYFUNCTION("""COMPUTED_VALUE"""),"Roadrunner")</f>
        <v>Roadrunner</v>
      </c>
      <c r="E2754" t="str">
        <f>IFERROR(__xludf.DUMMYFUNCTION("""COMPUTED_VALUE"""),"Bonez MC")</f>
        <v>Bonez MC</v>
      </c>
      <c r="F2754" t="str">
        <f>IFERROR(__xludf.DUMMYFUNCTION("""COMPUTED_VALUE"""),"Roadrunner")</f>
        <v>Roadrunner</v>
      </c>
      <c r="G2754">
        <f>IFERROR(__xludf.DUMMYFUNCTION("""COMPUTED_VALUE"""),0.0)</f>
        <v>0</v>
      </c>
      <c r="H2754" s="5">
        <f>IFERROR(__xludf.DUMMYFUNCTION("""COMPUTED_VALUE"""),0.10347222222117125)</f>
        <v>0.1034722222</v>
      </c>
    </row>
    <row r="2755">
      <c r="A2755" t="str">
        <f>IFERROR(__xludf.DUMMYFUNCTION("""COMPUTED_VALUE"""),"Switzerland")</f>
        <v>Switzerland</v>
      </c>
      <c r="B2755" t="str">
        <f>IFERROR(__xludf.DUMMYFUNCTION("""COMPUTED_VALUE"""),"Europe")</f>
        <v>Europe</v>
      </c>
      <c r="C2755">
        <f>IFERROR(__xludf.DUMMYFUNCTION("""COMPUTED_VALUE"""),4.0)</f>
        <v>4</v>
      </c>
      <c r="D2755" t="str">
        <f>IFERROR(__xludf.DUMMYFUNCTION("""COMPUTED_VALUE"""),"Roses - Imanbek Remix")</f>
        <v>Roses - Imanbek Remix</v>
      </c>
      <c r="E2755" t="str">
        <f>IFERROR(__xludf.DUMMYFUNCTION("""COMPUTED_VALUE"""),"SAINt JHN, Imanbek")</f>
        <v>SAINt JHN, Imanbek</v>
      </c>
      <c r="F2755" t="str">
        <f>IFERROR(__xludf.DUMMYFUNCTION("""COMPUTED_VALUE"""),"Roses (Imanbek Remix)")</f>
        <v>Roses (Imanbek Remix)</v>
      </c>
      <c r="G2755">
        <f>IFERROR(__xludf.DUMMYFUNCTION("""COMPUTED_VALUE"""),1.0)</f>
        <v>1</v>
      </c>
      <c r="H2755" s="5">
        <f>IFERROR(__xludf.DUMMYFUNCTION("""COMPUTED_VALUE"""),0.12222222222044365)</f>
        <v>0.1222222222</v>
      </c>
    </row>
    <row r="2756">
      <c r="A2756" t="str">
        <f>IFERROR(__xludf.DUMMYFUNCTION("""COMPUTED_VALUE"""),"Switzerland")</f>
        <v>Switzerland</v>
      </c>
      <c r="B2756" t="str">
        <f>IFERROR(__xludf.DUMMYFUNCTION("""COMPUTED_VALUE"""),"Europe")</f>
        <v>Europe</v>
      </c>
      <c r="C2756">
        <f>IFERROR(__xludf.DUMMYFUNCTION("""COMPUTED_VALUE"""),5.0)</f>
        <v>5</v>
      </c>
      <c r="D2756" t="str">
        <f>IFERROR(__xludf.DUMMYFUNCTION("""COMPUTED_VALUE"""),"Blinding Lights")</f>
        <v>Blinding Lights</v>
      </c>
      <c r="E2756" t="str">
        <f>IFERROR(__xludf.DUMMYFUNCTION("""COMPUTED_VALUE"""),"The Weeknd")</f>
        <v>The Weeknd</v>
      </c>
      <c r="F2756" t="str">
        <f>IFERROR(__xludf.DUMMYFUNCTION("""COMPUTED_VALUE"""),"After Hours")</f>
        <v>After Hours</v>
      </c>
      <c r="G2756">
        <f>IFERROR(__xludf.DUMMYFUNCTION("""COMPUTED_VALUE"""),0.0)</f>
        <v>0</v>
      </c>
      <c r="H2756" s="5">
        <f>IFERROR(__xludf.DUMMYFUNCTION("""COMPUTED_VALUE"""),0.13888888889050577)</f>
        <v>0.1388888889</v>
      </c>
    </row>
    <row r="2757">
      <c r="A2757" t="str">
        <f>IFERROR(__xludf.DUMMYFUNCTION("""COMPUTED_VALUE"""),"Switzerland")</f>
        <v>Switzerland</v>
      </c>
      <c r="B2757" t="str">
        <f>IFERROR(__xludf.DUMMYFUNCTION("""COMPUTED_VALUE"""),"Europe")</f>
        <v>Europe</v>
      </c>
      <c r="C2757">
        <f>IFERROR(__xludf.DUMMYFUNCTION("""COMPUTED_VALUE"""),6.0)</f>
        <v>6</v>
      </c>
      <c r="D2757" t="str">
        <f>IFERROR(__xludf.DUMMYFUNCTION("""COMPUTED_VALUE"""),"GOOBA")</f>
        <v>GOOBA</v>
      </c>
      <c r="E2757" t="str">
        <f>IFERROR(__xludf.DUMMYFUNCTION("""COMPUTED_VALUE"""),"6ix9ine")</f>
        <v>6ix9ine</v>
      </c>
      <c r="F2757" t="str">
        <f>IFERROR(__xludf.DUMMYFUNCTION("""COMPUTED_VALUE"""),"GOOBA")</f>
        <v>GOOBA</v>
      </c>
      <c r="G2757">
        <f>IFERROR(__xludf.DUMMYFUNCTION("""COMPUTED_VALUE"""),1.0)</f>
        <v>1</v>
      </c>
      <c r="H2757" s="5">
        <f>IFERROR(__xludf.DUMMYFUNCTION("""COMPUTED_VALUE"""),0.09166666666715173)</f>
        <v>0.09166666667</v>
      </c>
    </row>
    <row r="2758">
      <c r="A2758" t="str">
        <f>IFERROR(__xludf.DUMMYFUNCTION("""COMPUTED_VALUE"""),"Switzerland")</f>
        <v>Switzerland</v>
      </c>
      <c r="B2758" t="str">
        <f>IFERROR(__xludf.DUMMYFUNCTION("""COMPUTED_VALUE"""),"Europe")</f>
        <v>Europe</v>
      </c>
      <c r="C2758">
        <f>IFERROR(__xludf.DUMMYFUNCTION("""COMPUTED_VALUE"""),7.0)</f>
        <v>7</v>
      </c>
      <c r="D2758" t="str">
        <f>IFERROR(__xludf.DUMMYFUNCTION("""COMPUTED_VALUE"""),"Toosie Slide")</f>
        <v>Toosie Slide</v>
      </c>
      <c r="E2758" t="str">
        <f>IFERROR(__xludf.DUMMYFUNCTION("""COMPUTED_VALUE"""),"Drake")</f>
        <v>Drake</v>
      </c>
      <c r="F2758" t="str">
        <f>IFERROR(__xludf.DUMMYFUNCTION("""COMPUTED_VALUE"""),"Dark Lane Demo Tapes")</f>
        <v>Dark Lane Demo Tapes</v>
      </c>
      <c r="G2758">
        <f>IFERROR(__xludf.DUMMYFUNCTION("""COMPUTED_VALUE"""),1.0)</f>
        <v>1</v>
      </c>
      <c r="H2758" s="5">
        <f>IFERROR(__xludf.DUMMYFUNCTION("""COMPUTED_VALUE"""),0.17152777777664596)</f>
        <v>0.1715277778</v>
      </c>
    </row>
    <row r="2759">
      <c r="A2759" t="str">
        <f>IFERROR(__xludf.DUMMYFUNCTION("""COMPUTED_VALUE"""),"Switzerland")</f>
        <v>Switzerland</v>
      </c>
      <c r="B2759" t="str">
        <f>IFERROR(__xludf.DUMMYFUNCTION("""COMPUTED_VALUE"""),"Europe")</f>
        <v>Europe</v>
      </c>
      <c r="C2759">
        <f>IFERROR(__xludf.DUMMYFUNCTION("""COMPUTED_VALUE"""),8.0)</f>
        <v>8</v>
      </c>
      <c r="D2759" t="str">
        <f>IFERROR(__xludf.DUMMYFUNCTION("""COMPUTED_VALUE"""),"ily (i love you baby) (feat. Emilee)")</f>
        <v>ily (i love you baby) (feat. Emilee)</v>
      </c>
      <c r="E2759" t="str">
        <f>IFERROR(__xludf.DUMMYFUNCTION("""COMPUTED_VALUE"""),"Surf Mesa, Emilee")</f>
        <v>Surf Mesa, Emilee</v>
      </c>
      <c r="F2759" t="str">
        <f>IFERROR(__xludf.DUMMYFUNCTION("""COMPUTED_VALUE"""),"ily (i love you baby) (feat. Emilee)")</f>
        <v>ily (i love you baby) (feat. Emilee)</v>
      </c>
      <c r="G2759">
        <f>IFERROR(__xludf.DUMMYFUNCTION("""COMPUTED_VALUE"""),0.0)</f>
        <v>0</v>
      </c>
      <c r="H2759" s="5">
        <f>IFERROR(__xludf.DUMMYFUNCTION("""COMPUTED_VALUE"""),0.12222222222044365)</f>
        <v>0.1222222222</v>
      </c>
    </row>
    <row r="2760">
      <c r="A2760" t="str">
        <f>IFERROR(__xludf.DUMMYFUNCTION("""COMPUTED_VALUE"""),"Switzerland")</f>
        <v>Switzerland</v>
      </c>
      <c r="B2760" t="str">
        <f>IFERROR(__xludf.DUMMYFUNCTION("""COMPUTED_VALUE"""),"Europe")</f>
        <v>Europe</v>
      </c>
      <c r="C2760">
        <f>IFERROR(__xludf.DUMMYFUNCTION("""COMPUTED_VALUE"""),9.0)</f>
        <v>9</v>
      </c>
      <c r="D2760" t="str">
        <f>IFERROR(__xludf.DUMMYFUNCTION("""COMPUTED_VALUE"""),"Dance Monkey")</f>
        <v>Dance Monkey</v>
      </c>
      <c r="E2760" t="str">
        <f>IFERROR(__xludf.DUMMYFUNCTION("""COMPUTED_VALUE"""),"Tones And I")</f>
        <v>Tones And I</v>
      </c>
      <c r="F2760" t="str">
        <f>IFERROR(__xludf.DUMMYFUNCTION("""COMPUTED_VALUE"""),"Dance Monkey (Stripped Back) / Dance Monkey")</f>
        <v>Dance Monkey (Stripped Back) / Dance Monkey</v>
      </c>
      <c r="G2760">
        <f>IFERROR(__xludf.DUMMYFUNCTION("""COMPUTED_VALUE"""),0.0)</f>
        <v>0</v>
      </c>
      <c r="H2760" s="5">
        <f>IFERROR(__xludf.DUMMYFUNCTION("""COMPUTED_VALUE"""),0.14513888888905058)</f>
        <v>0.1451388889</v>
      </c>
    </row>
    <row r="2761">
      <c r="A2761" t="str">
        <f>IFERROR(__xludf.DUMMYFUNCTION("""COMPUTED_VALUE"""),"Switzerland")</f>
        <v>Switzerland</v>
      </c>
      <c r="B2761" t="str">
        <f>IFERROR(__xludf.DUMMYFUNCTION("""COMPUTED_VALUE"""),"Europe")</f>
        <v>Europe</v>
      </c>
      <c r="C2761">
        <f>IFERROR(__xludf.DUMMYFUNCTION("""COMPUTED_VALUE"""),10.0)</f>
        <v>10</v>
      </c>
      <c r="D2761" t="str">
        <f>IFERROR(__xludf.DUMMYFUNCTION("""COMPUTED_VALUE"""),"THE SCOTTS")</f>
        <v>THE SCOTTS</v>
      </c>
      <c r="E2761" t="str">
        <f>IFERROR(__xludf.DUMMYFUNCTION("""COMPUTED_VALUE"""),"THE SCOTTS, Travis Scott, Kid Cudi")</f>
        <v>THE SCOTTS, Travis Scott, Kid Cudi</v>
      </c>
      <c r="F2761" t="str">
        <f>IFERROR(__xludf.DUMMYFUNCTION("""COMPUTED_VALUE"""),"THE SCOTTS")</f>
        <v>THE SCOTTS</v>
      </c>
      <c r="G2761">
        <f>IFERROR(__xludf.DUMMYFUNCTION("""COMPUTED_VALUE"""),1.0)</f>
        <v>1</v>
      </c>
      <c r="H2761" s="5">
        <f>IFERROR(__xludf.DUMMYFUNCTION("""COMPUTED_VALUE"""),0.11458333333212067)</f>
        <v>0.1145833333</v>
      </c>
    </row>
    <row r="2762">
      <c r="A2762" t="str">
        <f>IFERROR(__xludf.DUMMYFUNCTION("""COMPUTED_VALUE"""),"Switzerland")</f>
        <v>Switzerland</v>
      </c>
      <c r="B2762" t="str">
        <f>IFERROR(__xludf.DUMMYFUNCTION("""COMPUTED_VALUE"""),"Europe")</f>
        <v>Europe</v>
      </c>
      <c r="C2762">
        <f>IFERROR(__xludf.DUMMYFUNCTION("""COMPUTED_VALUE"""),11.0)</f>
        <v>11</v>
      </c>
      <c r="D2762" t="str">
        <f>IFERROR(__xludf.DUMMYFUNCTION("""COMPUTED_VALUE"""),"Breaking Me")</f>
        <v>Breaking Me</v>
      </c>
      <c r="E2762" t="str">
        <f>IFERROR(__xludf.DUMMYFUNCTION("""COMPUTED_VALUE"""),"Topic, A7S")</f>
        <v>Topic, A7S</v>
      </c>
      <c r="F2762" t="str">
        <f>IFERROR(__xludf.DUMMYFUNCTION("""COMPUTED_VALUE"""),"Breaking Me")</f>
        <v>Breaking Me</v>
      </c>
      <c r="G2762">
        <f>IFERROR(__xludf.DUMMYFUNCTION("""COMPUTED_VALUE"""),0.0)</f>
        <v>0</v>
      </c>
      <c r="H2762" s="5">
        <f>IFERROR(__xludf.DUMMYFUNCTION("""COMPUTED_VALUE"""),0.11527777777882875)</f>
        <v>0.1152777778</v>
      </c>
    </row>
    <row r="2763">
      <c r="A2763" t="str">
        <f>IFERROR(__xludf.DUMMYFUNCTION("""COMPUTED_VALUE"""),"Switzerland")</f>
        <v>Switzerland</v>
      </c>
      <c r="B2763" t="str">
        <f>IFERROR(__xludf.DUMMYFUNCTION("""COMPUTED_VALUE"""),"Europe")</f>
        <v>Europe</v>
      </c>
      <c r="C2763">
        <f>IFERROR(__xludf.DUMMYFUNCTION("""COMPUTED_VALUE"""),12.0)</f>
        <v>12</v>
      </c>
      <c r="D2763" t="str">
        <f>IFERROR(__xludf.DUMMYFUNCTION("""COMPUTED_VALUE"""),"Fame")</f>
        <v>Fame</v>
      </c>
      <c r="E2763" t="str">
        <f>IFERROR(__xludf.DUMMYFUNCTION("""COMPUTED_VALUE"""),"Apache 207")</f>
        <v>Apache 207</v>
      </c>
      <c r="F2763" t="str">
        <f>IFERROR(__xludf.DUMMYFUNCTION("""COMPUTED_VALUE"""),"Fame")</f>
        <v>Fame</v>
      </c>
      <c r="G2763">
        <f>IFERROR(__xludf.DUMMYFUNCTION("""COMPUTED_VALUE"""),0.0)</f>
        <v>0</v>
      </c>
      <c r="H2763" s="5">
        <f>IFERROR(__xludf.DUMMYFUNCTION("""COMPUTED_VALUE"""),0.12013888888759539)</f>
        <v>0.1201388889</v>
      </c>
    </row>
    <row r="2764">
      <c r="A2764" t="str">
        <f>IFERROR(__xludf.DUMMYFUNCTION("""COMPUTED_VALUE"""),"Switzerland")</f>
        <v>Switzerland</v>
      </c>
      <c r="B2764" t="str">
        <f>IFERROR(__xludf.DUMMYFUNCTION("""COMPUTED_VALUE"""),"Europe")</f>
        <v>Europe</v>
      </c>
      <c r="C2764">
        <f>IFERROR(__xludf.DUMMYFUNCTION("""COMPUTED_VALUE"""),13.0)</f>
        <v>13</v>
      </c>
      <c r="D2764" t="str">
        <f>IFERROR(__xludf.DUMMYFUNCTION("""COMPUTED_VALUE"""),"death bed (coffee for your head) (feat. beabadoobee)")</f>
        <v>death bed (coffee for your head) (feat. beabadoobee)</v>
      </c>
      <c r="E2764" t="str">
        <f>IFERROR(__xludf.DUMMYFUNCTION("""COMPUTED_VALUE"""),"Powfu, beabadoobee")</f>
        <v>Powfu, beabadoobee</v>
      </c>
      <c r="F2764" t="str">
        <f>IFERROR(__xludf.DUMMYFUNCTION("""COMPUTED_VALUE"""),"death bed (coffee for your head) (feat. beabadoobee)")</f>
        <v>death bed (coffee for your head) (feat. beabadoobee)</v>
      </c>
      <c r="G2764">
        <f>IFERROR(__xludf.DUMMYFUNCTION("""COMPUTED_VALUE"""),0.0)</f>
        <v>0</v>
      </c>
      <c r="H2764" s="5">
        <f>IFERROR(__xludf.DUMMYFUNCTION("""COMPUTED_VALUE"""),0.12013888888759539)</f>
        <v>0.1201388889</v>
      </c>
    </row>
    <row r="2765">
      <c r="A2765" t="str">
        <f>IFERROR(__xludf.DUMMYFUNCTION("""COMPUTED_VALUE"""),"Switzerland")</f>
        <v>Switzerland</v>
      </c>
      <c r="B2765" t="str">
        <f>IFERROR(__xludf.DUMMYFUNCTION("""COMPUTED_VALUE"""),"Europe")</f>
        <v>Europe</v>
      </c>
      <c r="C2765">
        <f>IFERROR(__xludf.DUMMYFUNCTION("""COMPUTED_VALUE"""),14.0)</f>
        <v>14</v>
      </c>
      <c r="D2765" t="str">
        <f>IFERROR(__xludf.DUMMYFUNCTION("""COMPUTED_VALUE"""),"Rain On Me (with Ariana Grande)")</f>
        <v>Rain On Me (with Ariana Grande)</v>
      </c>
      <c r="E2765" t="str">
        <f>IFERROR(__xludf.DUMMYFUNCTION("""COMPUTED_VALUE"""),"Lady Gaga, Ariana Grande")</f>
        <v>Lady Gaga, Ariana Grande</v>
      </c>
      <c r="F2765" t="str">
        <f>IFERROR(__xludf.DUMMYFUNCTION("""COMPUTED_VALUE"""),"Rain On Me (with Ariana Grande)")</f>
        <v>Rain On Me (with Ariana Grande)</v>
      </c>
      <c r="G2765">
        <f>IFERROR(__xludf.DUMMYFUNCTION("""COMPUTED_VALUE"""),0.0)</f>
        <v>0</v>
      </c>
      <c r="H2765" s="5">
        <f>IFERROR(__xludf.DUMMYFUNCTION("""COMPUTED_VALUE"""),0.12638888888977817)</f>
        <v>0.1263888889</v>
      </c>
    </row>
    <row r="2766">
      <c r="A2766" t="str">
        <f>IFERROR(__xludf.DUMMYFUNCTION("""COMPUTED_VALUE"""),"Switzerland")</f>
        <v>Switzerland</v>
      </c>
      <c r="B2766" t="str">
        <f>IFERROR(__xludf.DUMMYFUNCTION("""COMPUTED_VALUE"""),"Europe")</f>
        <v>Europe</v>
      </c>
      <c r="C2766">
        <f>IFERROR(__xludf.DUMMYFUNCTION("""COMPUTED_VALUE"""),15.0)</f>
        <v>15</v>
      </c>
      <c r="D2766" t="str">
        <f>IFERROR(__xludf.DUMMYFUNCTION("""COMPUTED_VALUE"""),"MAMACITA")</f>
        <v>MAMACITA</v>
      </c>
      <c r="E2766" t="str">
        <f>IFERROR(__xludf.DUMMYFUNCTION("""COMPUTED_VALUE"""),"Black Eyed Peas, Ozuna, J. Rey Soul")</f>
        <v>Black Eyed Peas, Ozuna, J. Rey Soul</v>
      </c>
      <c r="F2766" t="str">
        <f>IFERROR(__xludf.DUMMYFUNCTION("""COMPUTED_VALUE"""),"MAMACITA")</f>
        <v>MAMACITA</v>
      </c>
      <c r="G2766">
        <f>IFERROR(__xludf.DUMMYFUNCTION("""COMPUTED_VALUE"""),1.0)</f>
        <v>1</v>
      </c>
      <c r="H2766" s="5">
        <f>IFERROR(__xludf.DUMMYFUNCTION("""COMPUTED_VALUE"""),0.17291666666642413)</f>
        <v>0.1729166667</v>
      </c>
    </row>
    <row r="2767">
      <c r="A2767" t="str">
        <f>IFERROR(__xludf.DUMMYFUNCTION("""COMPUTED_VALUE"""),"Switzerland")</f>
        <v>Switzerland</v>
      </c>
      <c r="B2767" t="str">
        <f>IFERROR(__xludf.DUMMYFUNCTION("""COMPUTED_VALUE"""),"Europe")</f>
        <v>Europe</v>
      </c>
      <c r="C2767">
        <f>IFERROR(__xludf.DUMMYFUNCTION("""COMPUTED_VALUE"""),16.0)</f>
        <v>16</v>
      </c>
      <c r="D2767" t="str">
        <f>IFERROR(__xludf.DUMMYFUNCTION("""COMPUTED_VALUE"""),"In Your Eyes (feat. Alida)")</f>
        <v>In Your Eyes (feat. Alida)</v>
      </c>
      <c r="E2767" t="str">
        <f>IFERROR(__xludf.DUMMYFUNCTION("""COMPUTED_VALUE"""),"Robin Schulz, Alida")</f>
        <v>Robin Schulz, Alida</v>
      </c>
      <c r="F2767" t="str">
        <f>IFERROR(__xludf.DUMMYFUNCTION("""COMPUTED_VALUE"""),"In Your Eyes (feat. Alida)")</f>
        <v>In Your Eyes (feat. Alida)</v>
      </c>
      <c r="G2767">
        <f>IFERROR(__xludf.DUMMYFUNCTION("""COMPUTED_VALUE"""),0.0)</f>
        <v>0</v>
      </c>
      <c r="H2767" s="5">
        <f>IFERROR(__xludf.DUMMYFUNCTION("""COMPUTED_VALUE"""),0.14444444444598048)</f>
        <v>0.1444444444</v>
      </c>
    </row>
    <row r="2768">
      <c r="A2768" t="str">
        <f>IFERROR(__xludf.DUMMYFUNCTION("""COMPUTED_VALUE"""),"Switzerland")</f>
        <v>Switzerland</v>
      </c>
      <c r="B2768" t="str">
        <f>IFERROR(__xludf.DUMMYFUNCTION("""COMPUTED_VALUE"""),"Europe")</f>
        <v>Europe</v>
      </c>
      <c r="C2768">
        <f>IFERROR(__xludf.DUMMYFUNCTION("""COMPUTED_VALUE"""),17.0)</f>
        <v>17</v>
      </c>
      <c r="D2768" t="str">
        <f>IFERROR(__xludf.DUMMYFUNCTION("""COMPUTED_VALUE"""),"Nicht verdient")</f>
        <v>Nicht verdient</v>
      </c>
      <c r="E2768" t="str">
        <f>IFERROR(__xludf.DUMMYFUNCTION("""COMPUTED_VALUE"""),"Capital Bra, Loredana")</f>
        <v>Capital Bra, Loredana</v>
      </c>
      <c r="F2768" t="str">
        <f>IFERROR(__xludf.DUMMYFUNCTION("""COMPUTED_VALUE"""),"Nicht verdient")</f>
        <v>Nicht verdient</v>
      </c>
      <c r="G2768">
        <f>IFERROR(__xludf.DUMMYFUNCTION("""COMPUTED_VALUE"""),0.0)</f>
        <v>0</v>
      </c>
      <c r="H2768" s="5">
        <f>IFERROR(__xludf.DUMMYFUNCTION("""COMPUTED_VALUE"""),0.12222222222044365)</f>
        <v>0.1222222222</v>
      </c>
    </row>
    <row r="2769">
      <c r="A2769" t="str">
        <f>IFERROR(__xludf.DUMMYFUNCTION("""COMPUTED_VALUE"""),"Switzerland")</f>
        <v>Switzerland</v>
      </c>
      <c r="B2769" t="str">
        <f>IFERROR(__xludf.DUMMYFUNCTION("""COMPUTED_VALUE"""),"Europe")</f>
        <v>Europe</v>
      </c>
      <c r="C2769">
        <f>IFERROR(__xludf.DUMMYFUNCTION("""COMPUTED_VALUE"""),18.0)</f>
        <v>18</v>
      </c>
      <c r="D2769" t="str">
        <f>IFERROR(__xludf.DUMMYFUNCTION("""COMPUTED_VALUE"""),"Salt")</f>
        <v>Salt</v>
      </c>
      <c r="E2769" t="str">
        <f>IFERROR(__xludf.DUMMYFUNCTION("""COMPUTED_VALUE"""),"Ava Max")</f>
        <v>Ava Max</v>
      </c>
      <c r="F2769" t="str">
        <f>IFERROR(__xludf.DUMMYFUNCTION("""COMPUTED_VALUE"""),"Salt")</f>
        <v>Salt</v>
      </c>
      <c r="G2769">
        <f>IFERROR(__xludf.DUMMYFUNCTION("""COMPUTED_VALUE"""),0.0)</f>
        <v>0</v>
      </c>
      <c r="H2769" s="5">
        <f>IFERROR(__xludf.DUMMYFUNCTION("""COMPUTED_VALUE"""),0.125)</f>
        <v>0.125</v>
      </c>
    </row>
    <row r="2770">
      <c r="A2770" t="str">
        <f>IFERROR(__xludf.DUMMYFUNCTION("""COMPUTED_VALUE"""),"Switzerland")</f>
        <v>Switzerland</v>
      </c>
      <c r="B2770" t="str">
        <f>IFERROR(__xludf.DUMMYFUNCTION("""COMPUTED_VALUE"""),"Europe")</f>
        <v>Europe</v>
      </c>
      <c r="C2770">
        <f>IFERROR(__xludf.DUMMYFUNCTION("""COMPUTED_VALUE"""),19.0)</f>
        <v>19</v>
      </c>
      <c r="D2770" t="str">
        <f>IFERROR(__xludf.DUMMYFUNCTION("""COMPUTED_VALUE"""),"Tusa")</f>
        <v>Tusa</v>
      </c>
      <c r="E2770" t="str">
        <f>IFERROR(__xludf.DUMMYFUNCTION("""COMPUTED_VALUE"""),"KAROL G, Nicki Minaj")</f>
        <v>KAROL G, Nicki Minaj</v>
      </c>
      <c r="F2770" t="str">
        <f>IFERROR(__xludf.DUMMYFUNCTION("""COMPUTED_VALUE"""),"Tusa")</f>
        <v>Tusa</v>
      </c>
      <c r="G2770">
        <f>IFERROR(__xludf.DUMMYFUNCTION("""COMPUTED_VALUE"""),0.0)</f>
        <v>0</v>
      </c>
      <c r="H2770" s="5">
        <f>IFERROR(__xludf.DUMMYFUNCTION("""COMPUTED_VALUE"""),0.13888888889050577)</f>
        <v>0.1388888889</v>
      </c>
    </row>
    <row r="2771">
      <c r="A2771" t="str">
        <f>IFERROR(__xludf.DUMMYFUNCTION("""COMPUTED_VALUE"""),"Switzerland")</f>
        <v>Switzerland</v>
      </c>
      <c r="B2771" t="str">
        <f>IFERROR(__xludf.DUMMYFUNCTION("""COMPUTED_VALUE"""),"Europe")</f>
        <v>Europe</v>
      </c>
      <c r="C2771">
        <f>IFERROR(__xludf.DUMMYFUNCTION("""COMPUTED_VALUE"""),20.0)</f>
        <v>20</v>
      </c>
      <c r="D2771" t="str">
        <f>IFERROR(__xludf.DUMMYFUNCTION("""COMPUTED_VALUE"""),"Airwaves")</f>
        <v>Airwaves</v>
      </c>
      <c r="E2771" t="str">
        <f>IFERROR(__xludf.DUMMYFUNCTION("""COMPUTED_VALUE"""),"Pashanim")</f>
        <v>Pashanim</v>
      </c>
      <c r="F2771" t="str">
        <f>IFERROR(__xludf.DUMMYFUNCTION("""COMPUTED_VALUE"""),"Airwaves")</f>
        <v>Airwaves</v>
      </c>
      <c r="G2771">
        <f>IFERROR(__xludf.DUMMYFUNCTION("""COMPUTED_VALUE"""),0.0)</f>
        <v>0</v>
      </c>
      <c r="H2771" s="5">
        <f>IFERROR(__xludf.DUMMYFUNCTION("""COMPUTED_VALUE"""),0.12361111111022183)</f>
        <v>0.1236111111</v>
      </c>
    </row>
    <row r="2772">
      <c r="A2772" t="str">
        <f>IFERROR(__xludf.DUMMYFUNCTION("""COMPUTED_VALUE"""),"Switzerland")</f>
        <v>Switzerland</v>
      </c>
      <c r="B2772" t="str">
        <f>IFERROR(__xludf.DUMMYFUNCTION("""COMPUTED_VALUE"""),"Europe")</f>
        <v>Europe</v>
      </c>
      <c r="C2772">
        <f>IFERROR(__xludf.DUMMYFUNCTION("""COMPUTED_VALUE"""),21.0)</f>
        <v>21</v>
      </c>
      <c r="D2772" t="str">
        <f>IFERROR(__xludf.DUMMYFUNCTION("""COMPUTED_VALUE"""),"FAVELA")</f>
        <v>FAVELA</v>
      </c>
      <c r="E2772" t="str">
        <f>IFERROR(__xludf.DUMMYFUNCTION("""COMPUTED_VALUE"""),"Dardan")</f>
        <v>Dardan</v>
      </c>
      <c r="F2772" t="str">
        <f>IFERROR(__xludf.DUMMYFUNCTION("""COMPUTED_VALUE"""),"FAVELA")</f>
        <v>FAVELA</v>
      </c>
      <c r="G2772">
        <f>IFERROR(__xludf.DUMMYFUNCTION("""COMPUTED_VALUE"""),1.0)</f>
        <v>1</v>
      </c>
      <c r="H2772" s="5">
        <f>IFERROR(__xludf.DUMMYFUNCTION("""COMPUTED_VALUE"""),0.11041666666642413)</f>
        <v>0.1104166667</v>
      </c>
    </row>
    <row r="2773">
      <c r="A2773" t="str">
        <f>IFERROR(__xludf.DUMMYFUNCTION("""COMPUTED_VALUE"""),"Switzerland")</f>
        <v>Switzerland</v>
      </c>
      <c r="B2773" t="str">
        <f>IFERROR(__xludf.DUMMYFUNCTION("""COMPUTED_VALUE"""),"Europe")</f>
        <v>Europe</v>
      </c>
      <c r="C2773">
        <f>IFERROR(__xludf.DUMMYFUNCTION("""COMPUTED_VALUE"""),22.0)</f>
        <v>22</v>
      </c>
      <c r="D2773" t="str">
        <f>IFERROR(__xludf.DUMMYFUNCTION("""COMPUTED_VALUE"""),"The Box")</f>
        <v>The Box</v>
      </c>
      <c r="E2773" t="str">
        <f>IFERROR(__xludf.DUMMYFUNCTION("""COMPUTED_VALUE"""),"Roddy Ricch")</f>
        <v>Roddy Ricch</v>
      </c>
      <c r="F2773" t="str">
        <f>IFERROR(__xludf.DUMMYFUNCTION("""COMPUTED_VALUE"""),"Please Excuse Me For Being Antisocial")</f>
        <v>Please Excuse Me For Being Antisocial</v>
      </c>
      <c r="G2773">
        <f>IFERROR(__xludf.DUMMYFUNCTION("""COMPUTED_VALUE"""),1.0)</f>
        <v>1</v>
      </c>
      <c r="H2773" s="5">
        <f>IFERROR(__xludf.DUMMYFUNCTION("""COMPUTED_VALUE"""),0.13611111111094942)</f>
        <v>0.1361111111</v>
      </c>
    </row>
    <row r="2774">
      <c r="A2774" t="str">
        <f>IFERROR(__xludf.DUMMYFUNCTION("""COMPUTED_VALUE"""),"Switzerland")</f>
        <v>Switzerland</v>
      </c>
      <c r="B2774" t="str">
        <f>IFERROR(__xludf.DUMMYFUNCTION("""COMPUTED_VALUE"""),"Europe")</f>
        <v>Europe</v>
      </c>
      <c r="C2774">
        <f>IFERROR(__xludf.DUMMYFUNCTION("""COMPUTED_VALUE"""),23.0)</f>
        <v>23</v>
      </c>
      <c r="D2774" t="str">
        <f>IFERROR(__xludf.DUMMYFUNCTION("""COMPUTED_VALUE"""),"Sunday Best")</f>
        <v>Sunday Best</v>
      </c>
      <c r="E2774" t="str">
        <f>IFERROR(__xludf.DUMMYFUNCTION("""COMPUTED_VALUE"""),"Surfaces")</f>
        <v>Surfaces</v>
      </c>
      <c r="F2774" t="str">
        <f>IFERROR(__xludf.DUMMYFUNCTION("""COMPUTED_VALUE"""),"Where the Light Is")</f>
        <v>Where the Light Is</v>
      </c>
      <c r="G2774">
        <f>IFERROR(__xludf.DUMMYFUNCTION("""COMPUTED_VALUE"""),0.0)</f>
        <v>0</v>
      </c>
      <c r="H2774" s="5">
        <f>IFERROR(__xludf.DUMMYFUNCTION("""COMPUTED_VALUE"""),0.10972222222335404)</f>
        <v>0.1097222222</v>
      </c>
    </row>
    <row r="2775">
      <c r="A2775" t="str">
        <f>IFERROR(__xludf.DUMMYFUNCTION("""COMPUTED_VALUE"""),"Switzerland")</f>
        <v>Switzerland</v>
      </c>
      <c r="B2775" t="str">
        <f>IFERROR(__xludf.DUMMYFUNCTION("""COMPUTED_VALUE"""),"Europe")</f>
        <v>Europe</v>
      </c>
      <c r="C2775">
        <f>IFERROR(__xludf.DUMMYFUNCTION("""COMPUTED_VALUE"""),24.0)</f>
        <v>24</v>
      </c>
      <c r="D2775" t="str">
        <f>IFERROR(__xludf.DUMMYFUNCTION("""COMPUTED_VALUE"""),"Don't Start Now")</f>
        <v>Don't Start Now</v>
      </c>
      <c r="E2775" t="str">
        <f>IFERROR(__xludf.DUMMYFUNCTION("""COMPUTED_VALUE"""),"Dua Lipa")</f>
        <v>Dua Lipa</v>
      </c>
      <c r="F2775" t="str">
        <f>IFERROR(__xludf.DUMMYFUNCTION("""COMPUTED_VALUE"""),"Future Nostalgia")</f>
        <v>Future Nostalgia</v>
      </c>
      <c r="G2775">
        <f>IFERROR(__xludf.DUMMYFUNCTION("""COMPUTED_VALUE"""),0.0)</f>
        <v>0</v>
      </c>
      <c r="H2775" s="5">
        <f>IFERROR(__xludf.DUMMYFUNCTION("""COMPUTED_VALUE"""),0.12708333333284827)</f>
        <v>0.1270833333</v>
      </c>
    </row>
    <row r="2776">
      <c r="A2776" t="str">
        <f>IFERROR(__xludf.DUMMYFUNCTION("""COMPUTED_VALUE"""),"Switzerland")</f>
        <v>Switzerland</v>
      </c>
      <c r="B2776" t="str">
        <f>IFERROR(__xludf.DUMMYFUNCTION("""COMPUTED_VALUE"""),"Europe")</f>
        <v>Europe</v>
      </c>
      <c r="C2776">
        <f>IFERROR(__xludf.DUMMYFUNCTION("""COMPUTED_VALUE"""),25.0)</f>
        <v>25</v>
      </c>
      <c r="D2776" t="str">
        <f>IFERROR(__xludf.DUMMYFUNCTION("""COMPUTED_VALUE"""),"Supalonely")</f>
        <v>Supalonely</v>
      </c>
      <c r="E2776" t="str">
        <f>IFERROR(__xludf.DUMMYFUNCTION("""COMPUTED_VALUE"""),"BENEE, Gus Dapperton")</f>
        <v>BENEE, Gus Dapperton</v>
      </c>
      <c r="F2776" t="str">
        <f>IFERROR(__xludf.DUMMYFUNCTION("""COMPUTED_VALUE"""),"STELLA &amp; STEVE")</f>
        <v>STELLA &amp; STEVE</v>
      </c>
      <c r="G2776">
        <f>IFERROR(__xludf.DUMMYFUNCTION("""COMPUTED_VALUE"""),1.0)</f>
        <v>1</v>
      </c>
      <c r="H2776" s="5">
        <f>IFERROR(__xludf.DUMMYFUNCTION("""COMPUTED_VALUE"""),0.15486111111022183)</f>
        <v>0.1548611111</v>
      </c>
    </row>
    <row r="2777">
      <c r="A2777" t="str">
        <f>IFERROR(__xludf.DUMMYFUNCTION("""COMPUTED_VALUE"""),"Switzerland")</f>
        <v>Switzerland</v>
      </c>
      <c r="B2777" t="str">
        <f>IFERROR(__xludf.DUMMYFUNCTION("""COMPUTED_VALUE"""),"Europe")</f>
        <v>Europe</v>
      </c>
      <c r="C2777">
        <f>IFERROR(__xludf.DUMMYFUNCTION("""COMPUTED_VALUE"""),26.0)</f>
        <v>26</v>
      </c>
      <c r="D2777" t="str">
        <f>IFERROR(__xludf.DUMMYFUNCTION("""COMPUTED_VALUE"""),"Stuck with U (with Justin Bieber)")</f>
        <v>Stuck with U (with Justin Bieber)</v>
      </c>
      <c r="E2777" t="str">
        <f>IFERROR(__xludf.DUMMYFUNCTION("""COMPUTED_VALUE"""),"Ariana Grande, Justin Bieber")</f>
        <v>Ariana Grande, Justin Bieber</v>
      </c>
      <c r="F2777" t="str">
        <f>IFERROR(__xludf.DUMMYFUNCTION("""COMPUTED_VALUE"""),"Stuck with U")</f>
        <v>Stuck with U</v>
      </c>
      <c r="G2777">
        <f>IFERROR(__xludf.DUMMYFUNCTION("""COMPUTED_VALUE"""),0.0)</f>
        <v>0</v>
      </c>
      <c r="H2777" s="5">
        <f>IFERROR(__xludf.DUMMYFUNCTION("""COMPUTED_VALUE"""),0.15833333333284827)</f>
        <v>0.1583333333</v>
      </c>
    </row>
    <row r="2778">
      <c r="A2778" t="str">
        <f>IFERROR(__xludf.DUMMYFUNCTION("""COMPUTED_VALUE"""),"Switzerland")</f>
        <v>Switzerland</v>
      </c>
      <c r="B2778" t="str">
        <f>IFERROR(__xludf.DUMMYFUNCTION("""COMPUTED_VALUE"""),"Europe")</f>
        <v>Europe</v>
      </c>
      <c r="C2778">
        <f>IFERROR(__xludf.DUMMYFUNCTION("""COMPUTED_VALUE"""),27.0)</f>
        <v>27</v>
      </c>
      <c r="D2778" t="str">
        <f>IFERROR(__xludf.DUMMYFUNCTION("""COMPUTED_VALUE"""),"Kings &amp; Queens")</f>
        <v>Kings &amp; Queens</v>
      </c>
      <c r="E2778" t="str">
        <f>IFERROR(__xludf.DUMMYFUNCTION("""COMPUTED_VALUE"""),"Ava Max")</f>
        <v>Ava Max</v>
      </c>
      <c r="F2778" t="str">
        <f>IFERROR(__xludf.DUMMYFUNCTION("""COMPUTED_VALUE"""),"Kings &amp; Queens")</f>
        <v>Kings &amp; Queens</v>
      </c>
      <c r="G2778">
        <f>IFERROR(__xludf.DUMMYFUNCTION("""COMPUTED_VALUE"""),0.0)</f>
        <v>0</v>
      </c>
      <c r="H2778" s="5">
        <f>IFERROR(__xludf.DUMMYFUNCTION("""COMPUTED_VALUE"""),0.1124999999992724)</f>
        <v>0.1125</v>
      </c>
    </row>
    <row r="2779">
      <c r="A2779" t="str">
        <f>IFERROR(__xludf.DUMMYFUNCTION("""COMPUTED_VALUE"""),"Switzerland")</f>
        <v>Switzerland</v>
      </c>
      <c r="B2779" t="str">
        <f>IFERROR(__xludf.DUMMYFUNCTION("""COMPUTED_VALUE"""),"Europe")</f>
        <v>Europe</v>
      </c>
      <c r="C2779">
        <f>IFERROR(__xludf.DUMMYFUNCTION("""COMPUTED_VALUE"""),28.0)</f>
        <v>28</v>
      </c>
      <c r="D2779" t="str">
        <f>IFERROR(__xludf.DUMMYFUNCTION("""COMPUTED_VALUE"""),"Emotions")</f>
        <v>Emotions</v>
      </c>
      <c r="E2779" t="str">
        <f>IFERROR(__xludf.DUMMYFUNCTION("""COMPUTED_VALUE"""),"Ufo361")</f>
        <v>Ufo361</v>
      </c>
      <c r="F2779" t="str">
        <f>IFERROR(__xludf.DUMMYFUNCTION("""COMPUTED_VALUE"""),"Rich Rich")</f>
        <v>Rich Rich</v>
      </c>
      <c r="G2779">
        <f>IFERROR(__xludf.DUMMYFUNCTION("""COMPUTED_VALUE"""),0.0)</f>
        <v>0</v>
      </c>
      <c r="H2779" s="5">
        <f>IFERROR(__xludf.DUMMYFUNCTION("""COMPUTED_VALUE"""),0.10138888888832298)</f>
        <v>0.1013888889</v>
      </c>
    </row>
    <row r="2780">
      <c r="A2780" t="str">
        <f>IFERROR(__xludf.DUMMYFUNCTION("""COMPUTED_VALUE"""),"Switzerland")</f>
        <v>Switzerland</v>
      </c>
      <c r="B2780" t="str">
        <f>IFERROR(__xludf.DUMMYFUNCTION("""COMPUTED_VALUE"""),"Europe")</f>
        <v>Europe</v>
      </c>
      <c r="C2780">
        <f>IFERROR(__xludf.DUMMYFUNCTION("""COMPUTED_VALUE"""),29.0)</f>
        <v>29</v>
      </c>
      <c r="D2780" t="str">
        <f>IFERROR(__xludf.DUMMYFUNCTION("""COMPUTED_VALUE"""),"Lose Somebody")</f>
        <v>Lose Somebody</v>
      </c>
      <c r="E2780" t="str">
        <f>IFERROR(__xludf.DUMMYFUNCTION("""COMPUTED_VALUE"""),"Kygo, OneRepublic")</f>
        <v>Kygo, OneRepublic</v>
      </c>
      <c r="F2780" t="str">
        <f>IFERROR(__xludf.DUMMYFUNCTION("""COMPUTED_VALUE"""),"Lose Somebody")</f>
        <v>Lose Somebody</v>
      </c>
      <c r="G2780">
        <f>IFERROR(__xludf.DUMMYFUNCTION("""COMPUTED_VALUE"""),0.0)</f>
        <v>0</v>
      </c>
      <c r="H2780" s="5">
        <f>IFERROR(__xludf.DUMMYFUNCTION("""COMPUTED_VALUE"""),0.1381944444437977)</f>
        <v>0.1381944444</v>
      </c>
    </row>
    <row r="2781">
      <c r="A2781" t="str">
        <f>IFERROR(__xludf.DUMMYFUNCTION("""COMPUTED_VALUE"""),"Switzerland")</f>
        <v>Switzerland</v>
      </c>
      <c r="B2781" t="str">
        <f>IFERROR(__xludf.DUMMYFUNCTION("""COMPUTED_VALUE"""),"Europe")</f>
        <v>Europe</v>
      </c>
      <c r="C2781">
        <f>IFERROR(__xludf.DUMMYFUNCTION("""COMPUTED_VALUE"""),30.0)</f>
        <v>30</v>
      </c>
      <c r="D2781" t="str">
        <f>IFERROR(__xludf.DUMMYFUNCTION("""COMPUTED_VALUE"""),"Someone You Loved")</f>
        <v>Someone You Loved</v>
      </c>
      <c r="E2781" t="str">
        <f>IFERROR(__xludf.DUMMYFUNCTION("""COMPUTED_VALUE"""),"Lewis Capaldi")</f>
        <v>Lewis Capaldi</v>
      </c>
      <c r="F2781" t="str">
        <f>IFERROR(__xludf.DUMMYFUNCTION("""COMPUTED_VALUE"""),"Divinely Uninspired To A Hellish Extent")</f>
        <v>Divinely Uninspired To A Hellish Extent</v>
      </c>
      <c r="G2781">
        <f>IFERROR(__xludf.DUMMYFUNCTION("""COMPUTED_VALUE"""),0.0)</f>
        <v>0</v>
      </c>
      <c r="H2781" s="5">
        <f>IFERROR(__xludf.DUMMYFUNCTION("""COMPUTED_VALUE"""),0.12638888888977817)</f>
        <v>0.1263888889</v>
      </c>
    </row>
    <row r="2782">
      <c r="A2782" t="str">
        <f>IFERROR(__xludf.DUMMYFUNCTION("""COMPUTED_VALUE"""),"Switzerland")</f>
        <v>Switzerland</v>
      </c>
      <c r="B2782" t="str">
        <f>IFERROR(__xludf.DUMMYFUNCTION("""COMPUTED_VALUE"""),"Europe")</f>
        <v>Europe</v>
      </c>
      <c r="C2782">
        <f>IFERROR(__xludf.DUMMYFUNCTION("""COMPUTED_VALUE"""),31.0)</f>
        <v>31</v>
      </c>
      <c r="D2782" t="str">
        <f>IFERROR(__xludf.DUMMYFUNCTION("""COMPUTED_VALUE"""),"Blueberry Faygo")</f>
        <v>Blueberry Faygo</v>
      </c>
      <c r="E2782" t="str">
        <f>IFERROR(__xludf.DUMMYFUNCTION("""COMPUTED_VALUE"""),"Lil Mosey")</f>
        <v>Lil Mosey</v>
      </c>
      <c r="F2782" t="str">
        <f>IFERROR(__xludf.DUMMYFUNCTION("""COMPUTED_VALUE"""),"Certified Hitmaker")</f>
        <v>Certified Hitmaker</v>
      </c>
      <c r="G2782">
        <f>IFERROR(__xludf.DUMMYFUNCTION("""COMPUTED_VALUE"""),1.0)</f>
        <v>1</v>
      </c>
      <c r="H2782" s="5">
        <f>IFERROR(__xludf.DUMMYFUNCTION("""COMPUTED_VALUE"""),0.1124999999992724)</f>
        <v>0.1125</v>
      </c>
    </row>
    <row r="2783">
      <c r="A2783" t="str">
        <f>IFERROR(__xludf.DUMMYFUNCTION("""COMPUTED_VALUE"""),"Switzerland")</f>
        <v>Switzerland</v>
      </c>
      <c r="B2783" t="str">
        <f>IFERROR(__xludf.DUMMYFUNCTION("""COMPUTED_VALUE"""),"Europe")</f>
        <v>Europe</v>
      </c>
      <c r="C2783">
        <f>IFERROR(__xludf.DUMMYFUNCTION("""COMPUTED_VALUE"""),32.0)</f>
        <v>32</v>
      </c>
      <c r="D2783" t="str">
        <f>IFERROR(__xludf.DUMMYFUNCTION("""COMPUTED_VALUE"""),"HIGHEST IN THE ROOM")</f>
        <v>HIGHEST IN THE ROOM</v>
      </c>
      <c r="E2783" t="str">
        <f>IFERROR(__xludf.DUMMYFUNCTION("""COMPUTED_VALUE"""),"Travis Scott")</f>
        <v>Travis Scott</v>
      </c>
      <c r="F2783" t="str">
        <f>IFERROR(__xludf.DUMMYFUNCTION("""COMPUTED_VALUE"""),"HIGHEST IN THE ROOM")</f>
        <v>HIGHEST IN THE ROOM</v>
      </c>
      <c r="G2783">
        <f>IFERROR(__xludf.DUMMYFUNCTION("""COMPUTED_VALUE"""),1.0)</f>
        <v>1</v>
      </c>
      <c r="H2783" s="5">
        <f>IFERROR(__xludf.DUMMYFUNCTION("""COMPUTED_VALUE"""),0.12152777777737356)</f>
        <v>0.1215277778</v>
      </c>
    </row>
    <row r="2784">
      <c r="A2784" t="str">
        <f>IFERROR(__xludf.DUMMYFUNCTION("""COMPUTED_VALUE"""),"Switzerland")</f>
        <v>Switzerland</v>
      </c>
      <c r="B2784" t="str">
        <f>IFERROR(__xludf.DUMMYFUNCTION("""COMPUTED_VALUE"""),"Europe")</f>
        <v>Europe</v>
      </c>
      <c r="C2784">
        <f>IFERROR(__xludf.DUMMYFUNCTION("""COMPUTED_VALUE"""),33.0)</f>
        <v>33</v>
      </c>
      <c r="D2784" t="str">
        <f>IFERROR(__xludf.DUMMYFUNCTION("""COMPUTED_VALUE"""),"Roller")</f>
        <v>Roller</v>
      </c>
      <c r="E2784" t="str">
        <f>IFERROR(__xludf.DUMMYFUNCTION("""COMPUTED_VALUE"""),"Apache 207")</f>
        <v>Apache 207</v>
      </c>
      <c r="F2784" t="str">
        <f>IFERROR(__xludf.DUMMYFUNCTION("""COMPUTED_VALUE"""),"Platte")</f>
        <v>Platte</v>
      </c>
      <c r="G2784">
        <f>IFERROR(__xludf.DUMMYFUNCTION("""COMPUTED_VALUE"""),1.0)</f>
        <v>1</v>
      </c>
      <c r="H2784" s="5">
        <f>IFERROR(__xludf.DUMMYFUNCTION("""COMPUTED_VALUE"""),0.10902777777664596)</f>
        <v>0.1090277778</v>
      </c>
    </row>
    <row r="2785">
      <c r="A2785" t="str">
        <f>IFERROR(__xludf.DUMMYFUNCTION("""COMPUTED_VALUE"""),"Switzerland")</f>
        <v>Switzerland</v>
      </c>
      <c r="B2785" t="str">
        <f>IFERROR(__xludf.DUMMYFUNCTION("""COMPUTED_VALUE"""),"Europe")</f>
        <v>Europe</v>
      </c>
      <c r="C2785">
        <f>IFERROR(__xludf.DUMMYFUNCTION("""COMPUTED_VALUE"""),34.0)</f>
        <v>34</v>
      </c>
      <c r="D2785" t="str">
        <f>IFERROR(__xludf.DUMMYFUNCTION("""COMPUTED_VALUE"""),"Modela")</f>
        <v>Modela</v>
      </c>
      <c r="E2785" t="str">
        <f>IFERROR(__xludf.DUMMYFUNCTION("""COMPUTED_VALUE"""),"Ardian Bujupi")</f>
        <v>Ardian Bujupi</v>
      </c>
      <c r="F2785" t="str">
        <f>IFERROR(__xludf.DUMMYFUNCTION("""COMPUTED_VALUE"""),"Modela")</f>
        <v>Modela</v>
      </c>
      <c r="G2785">
        <f>IFERROR(__xludf.DUMMYFUNCTION("""COMPUTED_VALUE"""),0.0)</f>
        <v>0</v>
      </c>
      <c r="H2785" s="5">
        <f>IFERROR(__xludf.DUMMYFUNCTION("""COMPUTED_VALUE"""),0.10694444444379769)</f>
        <v>0.1069444444</v>
      </c>
    </row>
    <row r="2786">
      <c r="A2786" t="str">
        <f>IFERROR(__xludf.DUMMYFUNCTION("""COMPUTED_VALUE"""),"Switzerland")</f>
        <v>Switzerland</v>
      </c>
      <c r="B2786" t="str">
        <f>IFERROR(__xludf.DUMMYFUNCTION("""COMPUTED_VALUE"""),"Europe")</f>
        <v>Europe</v>
      </c>
      <c r="C2786">
        <f>IFERROR(__xludf.DUMMYFUNCTION("""COMPUTED_VALUE"""),35.0)</f>
        <v>35</v>
      </c>
      <c r="D2786" t="str">
        <f>IFERROR(__xludf.DUMMYFUNCTION("""COMPUTED_VALUE"""),"JAUNÉ")</f>
        <v>JAUNÉ</v>
      </c>
      <c r="E2786" t="str">
        <f>IFERROR(__xludf.DUMMYFUNCTION("""COMPUTED_VALUE"""),"Booba, Zed")</f>
        <v>Booba, Zed</v>
      </c>
      <c r="F2786" t="str">
        <f>IFERROR(__xludf.DUMMYFUNCTION("""COMPUTED_VALUE"""),"JAUNÉ")</f>
        <v>JAUNÉ</v>
      </c>
      <c r="G2786">
        <f>IFERROR(__xludf.DUMMYFUNCTION("""COMPUTED_VALUE"""),1.0)</f>
        <v>1</v>
      </c>
      <c r="H2786" s="5">
        <f>IFERROR(__xludf.DUMMYFUNCTION("""COMPUTED_VALUE"""),0.14930555555474712)</f>
        <v>0.1493055556</v>
      </c>
    </row>
    <row r="2787">
      <c r="A2787" t="str">
        <f>IFERROR(__xludf.DUMMYFUNCTION("""COMPUTED_VALUE"""),"Switzerland")</f>
        <v>Switzerland</v>
      </c>
      <c r="B2787" t="str">
        <f>IFERROR(__xludf.DUMMYFUNCTION("""COMPUTED_VALUE"""),"Europe")</f>
        <v>Europe</v>
      </c>
      <c r="C2787">
        <f>IFERROR(__xludf.DUMMYFUNCTION("""COMPUTED_VALUE"""),36.0)</f>
        <v>36</v>
      </c>
      <c r="D2787" t="str">
        <f>IFERROR(__xludf.DUMMYFUNCTION("""COMPUTED_VALUE"""),"Before You Go")</f>
        <v>Before You Go</v>
      </c>
      <c r="E2787" t="str">
        <f>IFERROR(__xludf.DUMMYFUNCTION("""COMPUTED_VALUE"""),"Lewis Capaldi")</f>
        <v>Lewis Capaldi</v>
      </c>
      <c r="F2787" t="str">
        <f>IFERROR(__xludf.DUMMYFUNCTION("""COMPUTED_VALUE"""),"Divinely Uninspired To A Hellish Extent (Extended Edition)")</f>
        <v>Divinely Uninspired To A Hellish Extent (Extended Edition)</v>
      </c>
      <c r="G2787">
        <f>IFERROR(__xludf.DUMMYFUNCTION("""COMPUTED_VALUE"""),0.0)</f>
        <v>0</v>
      </c>
      <c r="H2787" s="5">
        <f>IFERROR(__xludf.DUMMYFUNCTION("""COMPUTED_VALUE"""),0.14930555555474712)</f>
        <v>0.1493055556</v>
      </c>
    </row>
    <row r="2788">
      <c r="A2788" t="str">
        <f>IFERROR(__xludf.DUMMYFUNCTION("""COMPUTED_VALUE"""),"Switzerland")</f>
        <v>Switzerland</v>
      </c>
      <c r="B2788" t="str">
        <f>IFERROR(__xludf.DUMMYFUNCTION("""COMPUTED_VALUE"""),"Europe")</f>
        <v>Europe</v>
      </c>
      <c r="C2788">
        <f>IFERROR(__xludf.DUMMYFUNCTION("""COMPUTED_VALUE"""),37.0)</f>
        <v>37</v>
      </c>
      <c r="D2788" t="str">
        <f>IFERROR(__xludf.DUMMYFUNCTION("""COMPUTED_VALUE"""),"Life Is Good (feat. Drake)")</f>
        <v>Life Is Good (feat. Drake)</v>
      </c>
      <c r="E2788" t="str">
        <f>IFERROR(__xludf.DUMMYFUNCTION("""COMPUTED_VALUE"""),"Future, Drake")</f>
        <v>Future, Drake</v>
      </c>
      <c r="F2788" t="str">
        <f>IFERROR(__xludf.DUMMYFUNCTION("""COMPUTED_VALUE"""),"High Off Life")</f>
        <v>High Off Life</v>
      </c>
      <c r="G2788">
        <f>IFERROR(__xludf.DUMMYFUNCTION("""COMPUTED_VALUE"""),1.0)</f>
        <v>1</v>
      </c>
      <c r="H2788" s="5">
        <f>IFERROR(__xludf.DUMMYFUNCTION("""COMPUTED_VALUE"""),0.16458333333503106)</f>
        <v>0.1645833333</v>
      </c>
    </row>
    <row r="2789">
      <c r="A2789" t="str">
        <f>IFERROR(__xludf.DUMMYFUNCTION("""COMPUTED_VALUE"""),"Switzerland")</f>
        <v>Switzerland</v>
      </c>
      <c r="B2789" t="str">
        <f>IFERROR(__xludf.DUMMYFUNCTION("""COMPUTED_VALUE"""),"Europe")</f>
        <v>Europe</v>
      </c>
      <c r="C2789">
        <f>IFERROR(__xludf.DUMMYFUNCTION("""COMPUTED_VALUE"""),38.0)</f>
        <v>38</v>
      </c>
      <c r="D2789" t="str">
        <f>IFERROR(__xludf.DUMMYFUNCTION("""COMPUTED_VALUE"""),"Ride It")</f>
        <v>Ride It</v>
      </c>
      <c r="E2789" t="str">
        <f>IFERROR(__xludf.DUMMYFUNCTION("""COMPUTED_VALUE"""),"Regard")</f>
        <v>Regard</v>
      </c>
      <c r="F2789" t="str">
        <f>IFERROR(__xludf.DUMMYFUNCTION("""COMPUTED_VALUE"""),"Ride It")</f>
        <v>Ride It</v>
      </c>
      <c r="G2789">
        <f>IFERROR(__xludf.DUMMYFUNCTION("""COMPUTED_VALUE"""),0.0)</f>
        <v>0</v>
      </c>
      <c r="H2789" s="5">
        <f>IFERROR(__xludf.DUMMYFUNCTION("""COMPUTED_VALUE"""),0.10902777777664596)</f>
        <v>0.1090277778</v>
      </c>
    </row>
    <row r="2790">
      <c r="A2790" t="str">
        <f>IFERROR(__xludf.DUMMYFUNCTION("""COMPUTED_VALUE"""),"Switzerland")</f>
        <v>Switzerland</v>
      </c>
      <c r="B2790" t="str">
        <f>IFERROR(__xludf.DUMMYFUNCTION("""COMPUTED_VALUE"""),"Europe")</f>
        <v>Europe</v>
      </c>
      <c r="C2790">
        <f>IFERROR(__xludf.DUMMYFUNCTION("""COMPUTED_VALUE"""),39.0)</f>
        <v>39</v>
      </c>
      <c r="D2790" t="str">
        <f>IFERROR(__xludf.DUMMYFUNCTION("""COMPUTED_VALUE"""),"Break My Heart")</f>
        <v>Break My Heart</v>
      </c>
      <c r="E2790" t="str">
        <f>IFERROR(__xludf.DUMMYFUNCTION("""COMPUTED_VALUE"""),"Dua Lipa")</f>
        <v>Dua Lipa</v>
      </c>
      <c r="F2790" t="str">
        <f>IFERROR(__xludf.DUMMYFUNCTION("""COMPUTED_VALUE"""),"Future Nostalgia")</f>
        <v>Future Nostalgia</v>
      </c>
      <c r="G2790">
        <f>IFERROR(__xludf.DUMMYFUNCTION("""COMPUTED_VALUE"""),0.0)</f>
        <v>0</v>
      </c>
      <c r="H2790" s="5">
        <f>IFERROR(__xludf.DUMMYFUNCTION("""COMPUTED_VALUE"""),0.15347222222044365)</f>
        <v>0.1534722222</v>
      </c>
    </row>
    <row r="2791">
      <c r="A2791" t="str">
        <f>IFERROR(__xludf.DUMMYFUNCTION("""COMPUTED_VALUE"""),"Switzerland")</f>
        <v>Switzerland</v>
      </c>
      <c r="B2791" t="str">
        <f>IFERROR(__xludf.DUMMYFUNCTION("""COMPUTED_VALUE"""),"Europe")</f>
        <v>Europe</v>
      </c>
      <c r="C2791">
        <f>IFERROR(__xludf.DUMMYFUNCTION("""COMPUTED_VALUE"""),40.0)</f>
        <v>40</v>
      </c>
      <c r="D2791" t="str">
        <f>IFERROR(__xludf.DUMMYFUNCTION("""COMPUTED_VALUE"""),"Falling")</f>
        <v>Falling</v>
      </c>
      <c r="E2791" t="str">
        <f>IFERROR(__xludf.DUMMYFUNCTION("""COMPUTED_VALUE"""),"Trevor Daniel")</f>
        <v>Trevor Daniel</v>
      </c>
      <c r="F2791" t="str">
        <f>IFERROR(__xludf.DUMMYFUNCTION("""COMPUTED_VALUE"""),"Nicotine")</f>
        <v>Nicotine</v>
      </c>
      <c r="G2791">
        <f>IFERROR(__xludf.DUMMYFUNCTION("""COMPUTED_VALUE"""),0.0)</f>
        <v>0</v>
      </c>
      <c r="H2791" s="5">
        <f>IFERROR(__xludf.DUMMYFUNCTION("""COMPUTED_VALUE"""),0.11041666666642413)</f>
        <v>0.1104166667</v>
      </c>
    </row>
    <row r="2792">
      <c r="A2792" t="str">
        <f>IFERROR(__xludf.DUMMYFUNCTION("""COMPUTED_VALUE"""),"Switzerland")</f>
        <v>Switzerland</v>
      </c>
      <c r="B2792" t="str">
        <f>IFERROR(__xludf.DUMMYFUNCTION("""COMPUTED_VALUE"""),"Europe")</f>
        <v>Europe</v>
      </c>
      <c r="C2792">
        <f>IFERROR(__xludf.DUMMYFUNCTION("""COMPUTED_VALUE"""),41.0)</f>
        <v>41</v>
      </c>
      <c r="D2792" t="str">
        <f>IFERROR(__xludf.DUMMYFUNCTION("""COMPUTED_VALUE"""),"WHATS POPPIN")</f>
        <v>WHATS POPPIN</v>
      </c>
      <c r="E2792" t="str">
        <f>IFERROR(__xludf.DUMMYFUNCTION("""COMPUTED_VALUE"""),"Jack Harlow")</f>
        <v>Jack Harlow</v>
      </c>
      <c r="F2792" t="str">
        <f>IFERROR(__xludf.DUMMYFUNCTION("""COMPUTED_VALUE"""),"Sweet Action")</f>
        <v>Sweet Action</v>
      </c>
      <c r="G2792">
        <f>IFERROR(__xludf.DUMMYFUNCTION("""COMPUTED_VALUE"""),1.0)</f>
        <v>1</v>
      </c>
      <c r="H2792" s="5">
        <f>IFERROR(__xludf.DUMMYFUNCTION("""COMPUTED_VALUE"""),0.09652777777955635)</f>
        <v>0.09652777778</v>
      </c>
    </row>
    <row r="2793">
      <c r="A2793" t="str">
        <f>IFERROR(__xludf.DUMMYFUNCTION("""COMPUTED_VALUE"""),"Switzerland")</f>
        <v>Switzerland</v>
      </c>
      <c r="B2793" t="str">
        <f>IFERROR(__xludf.DUMMYFUNCTION("""COMPUTED_VALUE"""),"Europe")</f>
        <v>Europe</v>
      </c>
      <c r="C2793">
        <f>IFERROR(__xludf.DUMMYFUNCTION("""COMPUTED_VALUE"""),42.0)</f>
        <v>42</v>
      </c>
      <c r="D2793" t="str">
        <f>IFERROR(__xludf.DUMMYFUNCTION("""COMPUTED_VALUE"""),"Boss Bitch")</f>
        <v>Boss Bitch</v>
      </c>
      <c r="E2793" t="str">
        <f>IFERROR(__xludf.DUMMYFUNCTION("""COMPUTED_VALUE"""),"Doja Cat")</f>
        <v>Doja Cat</v>
      </c>
      <c r="F2793" t="str">
        <f>IFERROR(__xludf.DUMMYFUNCTION("""COMPUTED_VALUE"""),"Boss Bitch")</f>
        <v>Boss Bitch</v>
      </c>
      <c r="G2793">
        <f>IFERROR(__xludf.DUMMYFUNCTION("""COMPUTED_VALUE"""),0.0)</f>
        <v>0</v>
      </c>
      <c r="H2793" s="5">
        <f>IFERROR(__xludf.DUMMYFUNCTION("""COMPUTED_VALUE"""),0.0930555555569299)</f>
        <v>0.09305555556</v>
      </c>
    </row>
    <row r="2794">
      <c r="A2794" t="str">
        <f>IFERROR(__xludf.DUMMYFUNCTION("""COMPUTED_VALUE"""),"Switzerland")</f>
        <v>Switzerland</v>
      </c>
      <c r="B2794" t="str">
        <f>IFERROR(__xludf.DUMMYFUNCTION("""COMPUTED_VALUE"""),"Europe")</f>
        <v>Europe</v>
      </c>
      <c r="C2794">
        <f>IFERROR(__xludf.DUMMYFUNCTION("""COMPUTED_VALUE"""),43.0)</f>
        <v>43</v>
      </c>
      <c r="D2794" t="str">
        <f>IFERROR(__xludf.DUMMYFUNCTION("""COMPUTED_VALUE"""),"Some Say")</f>
        <v>Some Say</v>
      </c>
      <c r="E2794" t="str">
        <f>IFERROR(__xludf.DUMMYFUNCTION("""COMPUTED_VALUE"""),"Nea")</f>
        <v>Nea</v>
      </c>
      <c r="F2794" t="str">
        <f>IFERROR(__xludf.DUMMYFUNCTION("""COMPUTED_VALUE"""),"Some Say")</f>
        <v>Some Say</v>
      </c>
      <c r="G2794">
        <f>IFERROR(__xludf.DUMMYFUNCTION("""COMPUTED_VALUE"""),0.0)</f>
        <v>0</v>
      </c>
      <c r="H2794" s="5">
        <f>IFERROR(__xludf.DUMMYFUNCTION("""COMPUTED_VALUE"""),0.12152777777737356)</f>
        <v>0.1215277778</v>
      </c>
    </row>
    <row r="2795">
      <c r="A2795" t="str">
        <f>IFERROR(__xludf.DUMMYFUNCTION("""COMPUTED_VALUE"""),"Switzerland")</f>
        <v>Switzerland</v>
      </c>
      <c r="B2795" t="str">
        <f>IFERROR(__xludf.DUMMYFUNCTION("""COMPUTED_VALUE"""),"Europe")</f>
        <v>Europe</v>
      </c>
      <c r="C2795">
        <f>IFERROR(__xludf.DUMMYFUNCTION("""COMPUTED_VALUE"""),44.0)</f>
        <v>44</v>
      </c>
      <c r="D2795" t="str">
        <f>IFERROR(__xludf.DUMMYFUNCTION("""COMPUTED_VALUE"""),"Don't Rush (feat. Headie One)")</f>
        <v>Don't Rush (feat. Headie One)</v>
      </c>
      <c r="E2795" t="str">
        <f>IFERROR(__xludf.DUMMYFUNCTION("""COMPUTED_VALUE"""),"Young T &amp; Bugsey, Headie One")</f>
        <v>Young T &amp; Bugsey, Headie One</v>
      </c>
      <c r="F2795" t="str">
        <f>IFERROR(__xludf.DUMMYFUNCTION("""COMPUTED_VALUE"""),"Plead The 5th")</f>
        <v>Plead The 5th</v>
      </c>
      <c r="G2795">
        <f>IFERROR(__xludf.DUMMYFUNCTION("""COMPUTED_VALUE"""),1.0)</f>
        <v>1</v>
      </c>
      <c r="H2795" s="5">
        <f>IFERROR(__xludf.DUMMYFUNCTION("""COMPUTED_VALUE"""),0.1437499999992724)</f>
        <v>0.14375</v>
      </c>
    </row>
    <row r="2796">
      <c r="A2796" t="str">
        <f>IFERROR(__xludf.DUMMYFUNCTION("""COMPUTED_VALUE"""),"Switzerland")</f>
        <v>Switzerland</v>
      </c>
      <c r="B2796" t="str">
        <f>IFERROR(__xludf.DUMMYFUNCTION("""COMPUTED_VALUE"""),"Europe")</f>
        <v>Europe</v>
      </c>
      <c r="C2796">
        <f>IFERROR(__xludf.DUMMYFUNCTION("""COMPUTED_VALUE"""),45.0)</f>
        <v>45</v>
      </c>
      <c r="D2796" t="str">
        <f>IFERROR(__xludf.DUMMYFUNCTION("""COMPUTED_VALUE"""),"goosebumps")</f>
        <v>goosebumps</v>
      </c>
      <c r="E2796" t="str">
        <f>IFERROR(__xludf.DUMMYFUNCTION("""COMPUTED_VALUE"""),"Travis Scott")</f>
        <v>Travis Scott</v>
      </c>
      <c r="F2796" t="str">
        <f>IFERROR(__xludf.DUMMYFUNCTION("""COMPUTED_VALUE"""),"Birds In The Trap Sing McKnight")</f>
        <v>Birds In The Trap Sing McKnight</v>
      </c>
      <c r="G2796">
        <f>IFERROR(__xludf.DUMMYFUNCTION("""COMPUTED_VALUE"""),1.0)</f>
        <v>1</v>
      </c>
      <c r="H2796" s="5">
        <f>IFERROR(__xludf.DUMMYFUNCTION("""COMPUTED_VALUE"""),0.1687500000007276)</f>
        <v>0.16875</v>
      </c>
    </row>
    <row r="2797">
      <c r="A2797" t="str">
        <f>IFERROR(__xludf.DUMMYFUNCTION("""COMPUTED_VALUE"""),"Switzerland")</f>
        <v>Switzerland</v>
      </c>
      <c r="B2797" t="str">
        <f>IFERROR(__xludf.DUMMYFUNCTION("""COMPUTED_VALUE"""),"Europe")</f>
        <v>Europe</v>
      </c>
      <c r="C2797">
        <f>IFERROR(__xludf.DUMMYFUNCTION("""COMPUTED_VALUE"""),46.0)</f>
        <v>46</v>
      </c>
      <c r="D2797" t="str">
        <f>IFERROR(__xludf.DUMMYFUNCTION("""COMPUTED_VALUE"""),"Say So")</f>
        <v>Say So</v>
      </c>
      <c r="E2797" t="str">
        <f>IFERROR(__xludf.DUMMYFUNCTION("""COMPUTED_VALUE"""),"Doja Cat")</f>
        <v>Doja Cat</v>
      </c>
      <c r="F2797" t="str">
        <f>IFERROR(__xludf.DUMMYFUNCTION("""COMPUTED_VALUE"""),"Hot Pink")</f>
        <v>Hot Pink</v>
      </c>
      <c r="G2797">
        <f>IFERROR(__xludf.DUMMYFUNCTION("""COMPUTED_VALUE"""),1.0)</f>
        <v>1</v>
      </c>
      <c r="H2797" s="5">
        <f>IFERROR(__xludf.DUMMYFUNCTION("""COMPUTED_VALUE"""),0.16458333333503106)</f>
        <v>0.1645833333</v>
      </c>
    </row>
    <row r="2798">
      <c r="A2798" t="str">
        <f>IFERROR(__xludf.DUMMYFUNCTION("""COMPUTED_VALUE"""),"Switzerland")</f>
        <v>Switzerland</v>
      </c>
      <c r="B2798" t="str">
        <f>IFERROR(__xludf.DUMMYFUNCTION("""COMPUTED_VALUE"""),"Europe")</f>
        <v>Europe</v>
      </c>
      <c r="C2798">
        <f>IFERROR(__xludf.DUMMYFUNCTION("""COMPUTED_VALUE"""),47.0)</f>
        <v>47</v>
      </c>
      <c r="D2798" t="str">
        <f>IFERROR(__xludf.DUMMYFUNCTION("""COMPUTED_VALUE"""),"Fingertips")</f>
        <v>Fingertips</v>
      </c>
      <c r="E2798" t="str">
        <f>IFERROR(__xludf.DUMMYFUNCTION("""COMPUTED_VALUE"""),"Tom Gregory")</f>
        <v>Tom Gregory</v>
      </c>
      <c r="F2798" t="str">
        <f>IFERROR(__xludf.DUMMYFUNCTION("""COMPUTED_VALUE"""),"Fingertips")</f>
        <v>Fingertips</v>
      </c>
      <c r="G2798">
        <f>IFERROR(__xludf.DUMMYFUNCTION("""COMPUTED_VALUE"""),0.0)</f>
        <v>0</v>
      </c>
      <c r="H2798" s="5">
        <f>IFERROR(__xludf.DUMMYFUNCTION("""COMPUTED_VALUE"""),0.11458333333212067)</f>
        <v>0.1145833333</v>
      </c>
    </row>
    <row r="2799">
      <c r="A2799" t="str">
        <f>IFERROR(__xludf.DUMMYFUNCTION("""COMPUTED_VALUE"""),"Switzerland")</f>
        <v>Switzerland</v>
      </c>
      <c r="B2799" t="str">
        <f>IFERROR(__xludf.DUMMYFUNCTION("""COMPUTED_VALUE"""),"Europe")</f>
        <v>Europe</v>
      </c>
      <c r="C2799">
        <f>IFERROR(__xludf.DUMMYFUNCTION("""COMPUTED_VALUE"""),48.0)</f>
        <v>48</v>
      </c>
      <c r="D2799" t="str">
        <f>IFERROR(__xludf.DUMMYFUNCTION("""COMPUTED_VALUE"""),"GEHT NICH GIBS NICH")</f>
        <v>GEHT NICH GIBS NICH</v>
      </c>
      <c r="E2799" t="str">
        <f>IFERROR(__xludf.DUMMYFUNCTION("""COMPUTED_VALUE"""),"KC Rebell, Summer Cem")</f>
        <v>KC Rebell, Summer Cem</v>
      </c>
      <c r="F2799" t="str">
        <f>IFERROR(__xludf.DUMMYFUNCTION("""COMPUTED_VALUE"""),"GEHT NICH GIBS NICH")</f>
        <v>GEHT NICH GIBS NICH</v>
      </c>
      <c r="G2799">
        <f>IFERROR(__xludf.DUMMYFUNCTION("""COMPUTED_VALUE"""),0.0)</f>
        <v>0</v>
      </c>
      <c r="H2799" s="5">
        <f>IFERROR(__xludf.DUMMYFUNCTION("""COMPUTED_VALUE"""),0.125)</f>
        <v>0.125</v>
      </c>
    </row>
    <row r="2800">
      <c r="A2800" t="str">
        <f>IFERROR(__xludf.DUMMYFUNCTION("""COMPUTED_VALUE"""),"Switzerland")</f>
        <v>Switzerland</v>
      </c>
      <c r="B2800" t="str">
        <f>IFERROR(__xludf.DUMMYFUNCTION("""COMPUTED_VALUE"""),"Europe")</f>
        <v>Europe</v>
      </c>
      <c r="C2800">
        <f>IFERROR(__xludf.DUMMYFUNCTION("""COMPUTED_VALUE"""),49.0)</f>
        <v>49</v>
      </c>
      <c r="D2800" t="str">
        <f>IFERROR(__xludf.DUMMYFUNCTION("""COMPUTED_VALUE"""),"WIEDER MAL")</f>
        <v>WIEDER MAL</v>
      </c>
      <c r="E2800" t="str">
        <f>IFERROR(__xludf.DUMMYFUNCTION("""COMPUTED_VALUE"""),"FOURTY, Monet192")</f>
        <v>FOURTY, Monet192</v>
      </c>
      <c r="F2800" t="str">
        <f>IFERROR(__xludf.DUMMYFUNCTION("""COMPUTED_VALUE"""),"WIEDER MAL")</f>
        <v>WIEDER MAL</v>
      </c>
      <c r="G2800">
        <f>IFERROR(__xludf.DUMMYFUNCTION("""COMPUTED_VALUE"""),0.0)</f>
        <v>0</v>
      </c>
      <c r="H2800" s="5">
        <f>IFERROR(__xludf.DUMMYFUNCTION("""COMPUTED_VALUE"""),0.12152777777737356)</f>
        <v>0.1215277778</v>
      </c>
    </row>
    <row r="2801">
      <c r="A2801" t="str">
        <f>IFERROR(__xludf.DUMMYFUNCTION("""COMPUTED_VALUE"""),"Switzerland")</f>
        <v>Switzerland</v>
      </c>
      <c r="B2801" t="str">
        <f>IFERROR(__xludf.DUMMYFUNCTION("""COMPUTED_VALUE"""),"Europe")</f>
        <v>Europe</v>
      </c>
      <c r="C2801">
        <f>IFERROR(__xludf.DUMMYFUNCTION("""COMPUTED_VALUE"""),50.0)</f>
        <v>50</v>
      </c>
      <c r="D2801" t="str">
        <f>IFERROR(__xludf.DUMMYFUNCTION("""COMPUTED_VALUE"""),"Maison")</f>
        <v>Maison</v>
      </c>
      <c r="E2801" t="str">
        <f>IFERROR(__xludf.DUMMYFUNCTION("""COMPUTED_VALUE"""),"Luciano")</f>
        <v>Luciano</v>
      </c>
      <c r="F2801" t="str">
        <f>IFERROR(__xludf.DUMMYFUNCTION("""COMPUTED_VALUE"""),"Maison")</f>
        <v>Maison</v>
      </c>
      <c r="G2801">
        <f>IFERROR(__xludf.DUMMYFUNCTION("""COMPUTED_VALUE"""),0.0)</f>
        <v>0</v>
      </c>
      <c r="H2801" s="5">
        <f>IFERROR(__xludf.DUMMYFUNCTION("""COMPUTED_VALUE"""),0.13402777777810115)</f>
        <v>0.1340277778</v>
      </c>
    </row>
    <row r="2802">
      <c r="A2802" t="str">
        <f>IFERROR(__xludf.DUMMYFUNCTION("""COMPUTED_VALUE"""),"Taiwan")</f>
        <v>Taiwan</v>
      </c>
      <c r="B2802" t="str">
        <f>IFERROR(__xludf.DUMMYFUNCTION("""COMPUTED_VALUE"""),"Asia")</f>
        <v>Asia</v>
      </c>
      <c r="C2802">
        <f>IFERROR(__xludf.DUMMYFUNCTION("""COMPUTED_VALUE"""),1.0)</f>
        <v>1</v>
      </c>
      <c r="D2802" t="str">
        <f>IFERROR(__xludf.DUMMYFUNCTION("""COMPUTED_VALUE"""),"Rain On Me (with Ariana Grande)")</f>
        <v>Rain On Me (with Ariana Grande)</v>
      </c>
      <c r="E2802" t="str">
        <f>IFERROR(__xludf.DUMMYFUNCTION("""COMPUTED_VALUE"""),"Lady Gaga, Ariana Grande")</f>
        <v>Lady Gaga, Ariana Grande</v>
      </c>
      <c r="F2802" t="str">
        <f>IFERROR(__xludf.DUMMYFUNCTION("""COMPUTED_VALUE"""),"Rain On Me (with Ariana Grande)")</f>
        <v>Rain On Me (with Ariana Grande)</v>
      </c>
      <c r="G2802">
        <f>IFERROR(__xludf.DUMMYFUNCTION("""COMPUTED_VALUE"""),0.0)</f>
        <v>0</v>
      </c>
      <c r="H2802" s="5">
        <f>IFERROR(__xludf.DUMMYFUNCTION("""COMPUTED_VALUE"""),0.12638888888977817)</f>
        <v>0.1263888889</v>
      </c>
    </row>
    <row r="2803">
      <c r="A2803" t="str">
        <f>IFERROR(__xludf.DUMMYFUNCTION("""COMPUTED_VALUE"""),"Taiwan")</f>
        <v>Taiwan</v>
      </c>
      <c r="B2803" t="str">
        <f>IFERROR(__xludf.DUMMYFUNCTION("""COMPUTED_VALUE"""),"Asia")</f>
        <v>Asia</v>
      </c>
      <c r="C2803">
        <f>IFERROR(__xludf.DUMMYFUNCTION("""COMPUTED_VALUE"""),2.0)</f>
        <v>2</v>
      </c>
      <c r="D2803" t="str">
        <f>IFERROR(__xludf.DUMMYFUNCTION("""COMPUTED_VALUE"""),"她沒在看我")</f>
        <v>她沒在看我</v>
      </c>
      <c r="E2803" t="str">
        <f>IFERROR(__xludf.DUMMYFUNCTION("""COMPUTED_VALUE"""),"瘦子E.SO")</f>
        <v>瘦子E.SO</v>
      </c>
      <c r="F2803" t="str">
        <f>IFERROR(__xludf.DUMMYFUNCTION("""COMPUTED_VALUE"""),"她沒在看我")</f>
        <v>她沒在看我</v>
      </c>
      <c r="G2803">
        <f>IFERROR(__xludf.DUMMYFUNCTION("""COMPUTED_VALUE"""),0.0)</f>
        <v>0</v>
      </c>
      <c r="H2803" s="5">
        <f>IFERROR(__xludf.DUMMYFUNCTION("""COMPUTED_VALUE"""),0.12361111111022183)</f>
        <v>0.1236111111</v>
      </c>
    </row>
    <row r="2804">
      <c r="A2804" t="str">
        <f>IFERROR(__xludf.DUMMYFUNCTION("""COMPUTED_VALUE"""),"Taiwan")</f>
        <v>Taiwan</v>
      </c>
      <c r="B2804" t="str">
        <f>IFERROR(__xludf.DUMMYFUNCTION("""COMPUTED_VALUE"""),"Asia")</f>
        <v>Asia</v>
      </c>
      <c r="C2804">
        <f>IFERROR(__xludf.DUMMYFUNCTION("""COMPUTED_VALUE"""),3.0)</f>
        <v>3</v>
      </c>
      <c r="D2804" t="str">
        <f>IFERROR(__xludf.DUMMYFUNCTION("""COMPUTED_VALUE"""),"想見你想見你想見你(電視劇""想見你""片尾曲)")</f>
        <v>想見你想見你想見你(電視劇"想見你"片尾曲)</v>
      </c>
      <c r="E2804" t="str">
        <f>IFERROR(__xludf.DUMMYFUNCTION("""COMPUTED_VALUE"""),"831")</f>
        <v>831</v>
      </c>
      <c r="F2804" t="str">
        <f>IFERROR(__xludf.DUMMYFUNCTION("""COMPUTED_VALUE"""),"想見你想見你想見你(電視劇""想見你""片尾曲)")</f>
        <v>想見你想見你想見你(電視劇"想見你"片尾曲)</v>
      </c>
      <c r="G2804">
        <f>IFERROR(__xludf.DUMMYFUNCTION("""COMPUTED_VALUE"""),0.0)</f>
        <v>0</v>
      </c>
      <c r="H2804" s="5">
        <f>IFERROR(__xludf.DUMMYFUNCTION("""COMPUTED_VALUE"""),0.16597222222117125)</f>
        <v>0.1659722222</v>
      </c>
    </row>
    <row r="2805">
      <c r="A2805" t="str">
        <f>IFERROR(__xludf.DUMMYFUNCTION("""COMPUTED_VALUE"""),"Taiwan")</f>
        <v>Taiwan</v>
      </c>
      <c r="B2805" t="str">
        <f>IFERROR(__xludf.DUMMYFUNCTION("""COMPUTED_VALUE"""),"Asia")</f>
        <v>Asia</v>
      </c>
      <c r="C2805">
        <f>IFERROR(__xludf.DUMMYFUNCTION("""COMPUTED_VALUE"""),4.0)</f>
        <v>4</v>
      </c>
      <c r="D2805" t="str">
        <f>IFERROR(__xludf.DUMMYFUNCTION("""COMPUTED_VALUE"""),"eight(Prod.&amp;Feat. SUGA of BTS)")</f>
        <v>eight(Prod.&amp;Feat. SUGA of BTS)</v>
      </c>
      <c r="E2805" t="str">
        <f>IFERROR(__xludf.DUMMYFUNCTION("""COMPUTED_VALUE"""),"IU, SUGA")</f>
        <v>IU, SUGA</v>
      </c>
      <c r="F2805" t="str">
        <f>IFERROR(__xludf.DUMMYFUNCTION("""COMPUTED_VALUE"""),"eight")</f>
        <v>eight</v>
      </c>
      <c r="G2805">
        <f>IFERROR(__xludf.DUMMYFUNCTION("""COMPUTED_VALUE"""),0.0)</f>
        <v>0</v>
      </c>
      <c r="H2805" s="5">
        <f>IFERROR(__xludf.DUMMYFUNCTION("""COMPUTED_VALUE"""),0.11597222222189885)</f>
        <v>0.1159722222</v>
      </c>
    </row>
    <row r="2806">
      <c r="A2806" t="str">
        <f>IFERROR(__xludf.DUMMYFUNCTION("""COMPUTED_VALUE"""),"Taiwan")</f>
        <v>Taiwan</v>
      </c>
      <c r="B2806" t="str">
        <f>IFERROR(__xludf.DUMMYFUNCTION("""COMPUTED_VALUE"""),"Asia")</f>
        <v>Asia</v>
      </c>
      <c r="C2806">
        <f>IFERROR(__xludf.DUMMYFUNCTION("""COMPUTED_VALUE"""),5.0)</f>
        <v>5</v>
      </c>
      <c r="D2806" t="str">
        <f>IFERROR(__xludf.DUMMYFUNCTION("""COMPUTED_VALUE"""),"Without You")</f>
        <v>Without You</v>
      </c>
      <c r="E2806" t="str">
        <f>IFERROR(__xludf.DUMMYFUNCTION("""COMPUTED_VALUE"""),"高爾宣 OSN")</f>
        <v>高爾宣 OSN</v>
      </c>
      <c r="F2806" t="str">
        <f>IFERROR(__xludf.DUMMYFUNCTION("""COMPUTED_VALUE"""),"#osnrap")</f>
        <v>#osnrap</v>
      </c>
      <c r="G2806">
        <f>IFERROR(__xludf.DUMMYFUNCTION("""COMPUTED_VALUE"""),0.0)</f>
        <v>0</v>
      </c>
      <c r="H2806" s="5">
        <f>IFERROR(__xludf.DUMMYFUNCTION("""COMPUTED_VALUE"""),0.12152777777737356)</f>
        <v>0.1215277778</v>
      </c>
    </row>
    <row r="2807">
      <c r="A2807" t="str">
        <f>IFERROR(__xludf.DUMMYFUNCTION("""COMPUTED_VALUE"""),"Taiwan")</f>
        <v>Taiwan</v>
      </c>
      <c r="B2807" t="str">
        <f>IFERROR(__xludf.DUMMYFUNCTION("""COMPUTED_VALUE"""),"Asia")</f>
        <v>Asia</v>
      </c>
      <c r="C2807">
        <f>IFERROR(__xludf.DUMMYFUNCTION("""COMPUTED_VALUE"""),6.0)</f>
        <v>6</v>
      </c>
      <c r="D2807" t="str">
        <f>IFERROR(__xludf.DUMMYFUNCTION("""COMPUTED_VALUE"""),"CHANGE")</f>
        <v>CHANGE</v>
      </c>
      <c r="E2807" t="str">
        <f>IFERROR(__xludf.DUMMYFUNCTION("""COMPUTED_VALUE"""),"瘦子E.SO")</f>
        <v>瘦子E.SO</v>
      </c>
      <c r="F2807" t="str">
        <f>IFERROR(__xludf.DUMMYFUNCTION("""COMPUTED_VALUE"""),"CHANGE")</f>
        <v>CHANGE</v>
      </c>
      <c r="G2807">
        <f>IFERROR(__xludf.DUMMYFUNCTION("""COMPUTED_VALUE"""),0.0)</f>
        <v>0</v>
      </c>
      <c r="H2807" s="5">
        <f>IFERROR(__xludf.DUMMYFUNCTION("""COMPUTED_VALUE"""),0.11041666666642413)</f>
        <v>0.1104166667</v>
      </c>
    </row>
    <row r="2808">
      <c r="A2808" t="str">
        <f>IFERROR(__xludf.DUMMYFUNCTION("""COMPUTED_VALUE"""),"Taiwan")</f>
        <v>Taiwan</v>
      </c>
      <c r="B2808" t="str">
        <f>IFERROR(__xludf.DUMMYFUNCTION("""COMPUTED_VALUE"""),"Asia")</f>
        <v>Asia</v>
      </c>
      <c r="C2808">
        <f>IFERROR(__xludf.DUMMYFUNCTION("""COMPUTED_VALUE"""),7.0)</f>
        <v>7</v>
      </c>
      <c r="D2808" t="str">
        <f>IFERROR(__xludf.DUMMYFUNCTION("""COMPUTED_VALUE"""),"太陽")</f>
        <v>太陽</v>
      </c>
      <c r="E2808" t="str">
        <f>IFERROR(__xludf.DUMMYFUNCTION("""COMPUTED_VALUE"""),"Pika Chiu")</f>
        <v>Pika Chiu</v>
      </c>
      <c r="F2808" t="str">
        <f>IFERROR(__xludf.DUMMYFUNCTION("""COMPUTED_VALUE"""),"邱振哲《遠行的太陽》首張創作專輯")</f>
        <v>邱振哲《遠行的太陽》首張創作專輯</v>
      </c>
      <c r="G2808">
        <f>IFERROR(__xludf.DUMMYFUNCTION("""COMPUTED_VALUE"""),0.0)</f>
        <v>0</v>
      </c>
      <c r="H2808" s="5">
        <f>IFERROR(__xludf.DUMMYFUNCTION("""COMPUTED_VALUE"""),0.1819444444445253)</f>
        <v>0.1819444444</v>
      </c>
    </row>
    <row r="2809">
      <c r="A2809" t="str">
        <f>IFERROR(__xludf.DUMMYFUNCTION("""COMPUTED_VALUE"""),"Taiwan")</f>
        <v>Taiwan</v>
      </c>
      <c r="B2809" t="str">
        <f>IFERROR(__xludf.DUMMYFUNCTION("""COMPUTED_VALUE"""),"Asia")</f>
        <v>Asia</v>
      </c>
      <c r="C2809">
        <f>IFERROR(__xludf.DUMMYFUNCTION("""COMPUTED_VALUE"""),8.0)</f>
        <v>8</v>
      </c>
      <c r="D2809" t="str">
        <f>IFERROR(__xludf.DUMMYFUNCTION("""COMPUTED_VALUE"""),"怎麼了")</f>
        <v>怎麼了</v>
      </c>
      <c r="E2809" t="str">
        <f>IFERROR(__xludf.DUMMYFUNCTION("""COMPUTED_VALUE"""),"Eric Chou")</f>
        <v>Eric Chou</v>
      </c>
      <c r="F2809" t="str">
        <f>IFERROR(__xludf.DUMMYFUNCTION("""COMPUTED_VALUE"""),"終於了解自由 (Deluxe)")</f>
        <v>終於了解自由 (Deluxe)</v>
      </c>
      <c r="G2809">
        <f>IFERROR(__xludf.DUMMYFUNCTION("""COMPUTED_VALUE"""),0.0)</f>
        <v>0</v>
      </c>
      <c r="H2809" s="5">
        <f>IFERROR(__xludf.DUMMYFUNCTION("""COMPUTED_VALUE"""),0.22291666666569654)</f>
        <v>0.2229166667</v>
      </c>
    </row>
    <row r="2810">
      <c r="A2810" t="str">
        <f>IFERROR(__xludf.DUMMYFUNCTION("""COMPUTED_VALUE"""),"Taiwan")</f>
        <v>Taiwan</v>
      </c>
      <c r="B2810" t="str">
        <f>IFERROR(__xludf.DUMMYFUNCTION("""COMPUTED_VALUE"""),"Asia")</f>
        <v>Asia</v>
      </c>
      <c r="C2810">
        <f>IFERROR(__xludf.DUMMYFUNCTION("""COMPUTED_VALUE"""),9.0)</f>
        <v>9</v>
      </c>
      <c r="D2810" t="str">
        <f>IFERROR(__xludf.DUMMYFUNCTION("""COMPUTED_VALUE"""),"Stuck with U (with Justin Bieber)")</f>
        <v>Stuck with U (with Justin Bieber)</v>
      </c>
      <c r="E2810" t="str">
        <f>IFERROR(__xludf.DUMMYFUNCTION("""COMPUTED_VALUE"""),"Ariana Grande, Justin Bieber")</f>
        <v>Ariana Grande, Justin Bieber</v>
      </c>
      <c r="F2810" t="str">
        <f>IFERROR(__xludf.DUMMYFUNCTION("""COMPUTED_VALUE"""),"Stuck with U")</f>
        <v>Stuck with U</v>
      </c>
      <c r="G2810">
        <f>IFERROR(__xludf.DUMMYFUNCTION("""COMPUTED_VALUE"""),0.0)</f>
        <v>0</v>
      </c>
      <c r="H2810" s="5">
        <f>IFERROR(__xludf.DUMMYFUNCTION("""COMPUTED_VALUE"""),0.15833333333284827)</f>
        <v>0.1583333333</v>
      </c>
    </row>
    <row r="2811">
      <c r="A2811" t="str">
        <f>IFERROR(__xludf.DUMMYFUNCTION("""COMPUTED_VALUE"""),"Taiwan")</f>
        <v>Taiwan</v>
      </c>
      <c r="B2811" t="str">
        <f>IFERROR(__xludf.DUMMYFUNCTION("""COMPUTED_VALUE"""),"Asia")</f>
        <v>Asia</v>
      </c>
      <c r="C2811">
        <f>IFERROR(__xludf.DUMMYFUNCTION("""COMPUTED_VALUE"""),10.0)</f>
        <v>10</v>
      </c>
      <c r="D2811" t="str">
        <f>IFERROR(__xludf.DUMMYFUNCTION("""COMPUTED_VALUE"""),"Be Kind (with Halsey)")</f>
        <v>Be Kind (with Halsey)</v>
      </c>
      <c r="E2811" t="str">
        <f>IFERROR(__xludf.DUMMYFUNCTION("""COMPUTED_VALUE"""),"Marshmello, Halsey")</f>
        <v>Marshmello, Halsey</v>
      </c>
      <c r="F2811" t="str">
        <f>IFERROR(__xludf.DUMMYFUNCTION("""COMPUTED_VALUE"""),"Be Kind (with Halsey)")</f>
        <v>Be Kind (with Halsey)</v>
      </c>
      <c r="G2811">
        <f>IFERROR(__xludf.DUMMYFUNCTION("""COMPUTED_VALUE"""),0.0)</f>
        <v>0</v>
      </c>
      <c r="H2811" s="5">
        <f>IFERROR(__xludf.DUMMYFUNCTION("""COMPUTED_VALUE"""),0.11944444444452529)</f>
        <v>0.1194444444</v>
      </c>
    </row>
    <row r="2812">
      <c r="A2812" t="str">
        <f>IFERROR(__xludf.DUMMYFUNCTION("""COMPUTED_VALUE"""),"Taiwan")</f>
        <v>Taiwan</v>
      </c>
      <c r="B2812" t="str">
        <f>IFERROR(__xludf.DUMMYFUNCTION("""COMPUTED_VALUE"""),"Asia")</f>
        <v>Asia</v>
      </c>
      <c r="C2812">
        <f>IFERROR(__xludf.DUMMYFUNCTION("""COMPUTED_VALUE"""),11.0)</f>
        <v>11</v>
      </c>
      <c r="D2812" t="str">
        <f>IFERROR(__xludf.DUMMYFUNCTION("""COMPUTED_VALUE"""),"天黑請閉眼 feat. 邱鋒澤")</f>
        <v>天黑請閉眼 feat. 邱鋒澤</v>
      </c>
      <c r="E2812" t="str">
        <f>IFERROR(__xludf.DUMMYFUNCTION("""COMPUTED_VALUE"""),"Nine Chen, Feng Ze")</f>
        <v>Nine Chen, Feng Ze</v>
      </c>
      <c r="F2812" t="str">
        <f>IFERROR(__xludf.DUMMYFUNCTION("""COMPUTED_VALUE"""),"過 (PASS)")</f>
        <v>過 (PASS)</v>
      </c>
      <c r="G2812">
        <f>IFERROR(__xludf.DUMMYFUNCTION("""COMPUTED_VALUE"""),0.0)</f>
        <v>0</v>
      </c>
      <c r="H2812" s="5">
        <f>IFERROR(__xludf.DUMMYFUNCTION("""COMPUTED_VALUE"""),0.19861111111094942)</f>
        <v>0.1986111111</v>
      </c>
    </row>
    <row r="2813">
      <c r="A2813" t="str">
        <f>IFERROR(__xludf.DUMMYFUNCTION("""COMPUTED_VALUE"""),"Taiwan")</f>
        <v>Taiwan</v>
      </c>
      <c r="B2813" t="str">
        <f>IFERROR(__xludf.DUMMYFUNCTION("""COMPUTED_VALUE"""),"Asia")</f>
        <v>Asia</v>
      </c>
      <c r="C2813">
        <f>IFERROR(__xludf.DUMMYFUNCTION("""COMPUTED_VALUE"""),12.0)</f>
        <v>12</v>
      </c>
      <c r="D2813" t="str">
        <f>IFERROR(__xludf.DUMMYFUNCTION("""COMPUTED_VALUE"""),"有一種悲傷 - 電影《比悲傷更悲傷的故事》主題曲")</f>
        <v>有一種悲傷 - 電影《比悲傷更悲傷的故事》主題曲</v>
      </c>
      <c r="E2813" t="str">
        <f>IFERROR(__xludf.DUMMYFUNCTION("""COMPUTED_VALUE"""),"A-Lin")</f>
        <v>A-Lin</v>
      </c>
      <c r="F2813" t="str">
        <f>IFERROR(__xludf.DUMMYFUNCTION("""COMPUTED_VALUE"""),"A-Lin原聲帶")</f>
        <v>A-Lin原聲帶</v>
      </c>
      <c r="G2813">
        <f>IFERROR(__xludf.DUMMYFUNCTION("""COMPUTED_VALUE"""),0.0)</f>
        <v>0</v>
      </c>
      <c r="H2813" s="5">
        <f>IFERROR(__xludf.DUMMYFUNCTION("""COMPUTED_VALUE"""),0.16458333333503106)</f>
        <v>0.1645833333</v>
      </c>
    </row>
    <row r="2814">
      <c r="A2814" t="str">
        <f>IFERROR(__xludf.DUMMYFUNCTION("""COMPUTED_VALUE"""),"Taiwan")</f>
        <v>Taiwan</v>
      </c>
      <c r="B2814" t="str">
        <f>IFERROR(__xludf.DUMMYFUNCTION("""COMPUTED_VALUE"""),"Asia")</f>
        <v>Asia</v>
      </c>
      <c r="C2814">
        <f>IFERROR(__xludf.DUMMYFUNCTION("""COMPUTED_VALUE"""),13.0)</f>
        <v>13</v>
      </c>
      <c r="D2814" t="str">
        <f>IFERROR(__xludf.DUMMYFUNCTION("""COMPUTED_VALUE"""),"真的傻 (電影《一吻定情》追愛版主題曲)")</f>
        <v>真的傻 (電影《一吻定情》追愛版主題曲)</v>
      </c>
      <c r="E2814" t="str">
        <f>IFERROR(__xludf.DUMMYFUNCTION("""COMPUTED_VALUE"""),"LaLa Hsu")</f>
        <v>LaLa Hsu</v>
      </c>
      <c r="F2814" t="str">
        <f>IFERROR(__xludf.DUMMYFUNCTION("""COMPUTED_VALUE"""),"真的傻 (電影《一吻定情》追愛版主題曲)")</f>
        <v>真的傻 (電影《一吻定情》追愛版主題曲)</v>
      </c>
      <c r="G2814">
        <f>IFERROR(__xludf.DUMMYFUNCTION("""COMPUTED_VALUE"""),0.0)</f>
        <v>0</v>
      </c>
      <c r="H2814" s="5">
        <f>IFERROR(__xludf.DUMMYFUNCTION("""COMPUTED_VALUE"""),0.17777777777882875)</f>
        <v>0.1777777778</v>
      </c>
    </row>
    <row r="2815">
      <c r="A2815" t="str">
        <f>IFERROR(__xludf.DUMMYFUNCTION("""COMPUTED_VALUE"""),"Taiwan")</f>
        <v>Taiwan</v>
      </c>
      <c r="B2815" t="str">
        <f>IFERROR(__xludf.DUMMYFUNCTION("""COMPUTED_VALUE"""),"Asia")</f>
        <v>Asia</v>
      </c>
      <c r="C2815">
        <f>IFERROR(__xludf.DUMMYFUNCTION("""COMPUTED_VALUE"""),14.0)</f>
        <v>14</v>
      </c>
      <c r="D2815" t="str">
        <f>IFERROR(__xludf.DUMMYFUNCTION("""COMPUTED_VALUE"""),"Intentions (feat. Quavo)")</f>
        <v>Intentions (feat. Quavo)</v>
      </c>
      <c r="E2815" t="str">
        <f>IFERROR(__xludf.DUMMYFUNCTION("""COMPUTED_VALUE"""),"Justin Bieber, Quavo")</f>
        <v>Justin Bieber, Quavo</v>
      </c>
      <c r="F2815" t="str">
        <f>IFERROR(__xludf.DUMMYFUNCTION("""COMPUTED_VALUE"""),"Changes")</f>
        <v>Changes</v>
      </c>
      <c r="G2815">
        <f>IFERROR(__xludf.DUMMYFUNCTION("""COMPUTED_VALUE"""),0.0)</f>
        <v>0</v>
      </c>
      <c r="H2815" s="5">
        <f>IFERROR(__xludf.DUMMYFUNCTION("""COMPUTED_VALUE"""),0.14722222222189885)</f>
        <v>0.1472222222</v>
      </c>
    </row>
    <row r="2816">
      <c r="A2816" t="str">
        <f>IFERROR(__xludf.DUMMYFUNCTION("""COMPUTED_VALUE"""),"Taiwan")</f>
        <v>Taiwan</v>
      </c>
      <c r="B2816" t="str">
        <f>IFERROR(__xludf.DUMMYFUNCTION("""COMPUTED_VALUE"""),"Asia")</f>
        <v>Asia</v>
      </c>
      <c r="C2816">
        <f>IFERROR(__xludf.DUMMYFUNCTION("""COMPUTED_VALUE"""),15.0)</f>
        <v>15</v>
      </c>
      <c r="D2816" t="str">
        <f>IFERROR(__xludf.DUMMYFUNCTION("""COMPUTED_VALUE"""),"Don't Start Now")</f>
        <v>Don't Start Now</v>
      </c>
      <c r="E2816" t="str">
        <f>IFERROR(__xludf.DUMMYFUNCTION("""COMPUTED_VALUE"""),"Dua Lipa")</f>
        <v>Dua Lipa</v>
      </c>
      <c r="F2816" t="str">
        <f>IFERROR(__xludf.DUMMYFUNCTION("""COMPUTED_VALUE"""),"Future Nostalgia")</f>
        <v>Future Nostalgia</v>
      </c>
      <c r="G2816">
        <f>IFERROR(__xludf.DUMMYFUNCTION("""COMPUTED_VALUE"""),0.0)</f>
        <v>0</v>
      </c>
      <c r="H2816" s="5">
        <f>IFERROR(__xludf.DUMMYFUNCTION("""COMPUTED_VALUE"""),0.12708333333284827)</f>
        <v>0.1270833333</v>
      </c>
    </row>
    <row r="2817">
      <c r="A2817" t="str">
        <f>IFERROR(__xludf.DUMMYFUNCTION("""COMPUTED_VALUE"""),"Taiwan")</f>
        <v>Taiwan</v>
      </c>
      <c r="B2817" t="str">
        <f>IFERROR(__xludf.DUMMYFUNCTION("""COMPUTED_VALUE"""),"Asia")</f>
        <v>Asia</v>
      </c>
      <c r="C2817">
        <f>IFERROR(__xludf.DUMMYFUNCTION("""COMPUTED_VALUE"""),16.0)</f>
        <v>16</v>
      </c>
      <c r="D2817" t="str">
        <f>IFERROR(__xludf.DUMMYFUNCTION("""COMPUTED_VALUE"""),"說好不哭")</f>
        <v>說好不哭</v>
      </c>
      <c r="E2817" t="str">
        <f>IFERROR(__xludf.DUMMYFUNCTION("""COMPUTED_VALUE"""),"Jay Chou, Ashin Chen")</f>
        <v>Jay Chou, Ashin Chen</v>
      </c>
      <c r="F2817" t="str">
        <f>IFERROR(__xludf.DUMMYFUNCTION("""COMPUTED_VALUE"""),"說好不哭")</f>
        <v>說好不哭</v>
      </c>
      <c r="G2817">
        <f>IFERROR(__xludf.DUMMYFUNCTION("""COMPUTED_VALUE"""),0.0)</f>
        <v>0</v>
      </c>
      <c r="H2817" s="5">
        <f>IFERROR(__xludf.DUMMYFUNCTION("""COMPUTED_VALUE"""),0.15416666666715173)</f>
        <v>0.1541666667</v>
      </c>
    </row>
    <row r="2818">
      <c r="A2818" t="str">
        <f>IFERROR(__xludf.DUMMYFUNCTION("""COMPUTED_VALUE"""),"Taiwan")</f>
        <v>Taiwan</v>
      </c>
      <c r="B2818" t="str">
        <f>IFERROR(__xludf.DUMMYFUNCTION("""COMPUTED_VALUE"""),"Asia")</f>
        <v>Asia</v>
      </c>
      <c r="C2818">
        <f>IFERROR(__xludf.DUMMYFUNCTION("""COMPUTED_VALUE"""),17.0)</f>
        <v>17</v>
      </c>
      <c r="D2818" t="str">
        <f>IFERROR(__xludf.DUMMYFUNCTION("""COMPUTED_VALUE"""),"年少有為")</f>
        <v>年少有為</v>
      </c>
      <c r="E2818" t="str">
        <f>IFERROR(__xludf.DUMMYFUNCTION("""COMPUTED_VALUE"""),"Ronghao Li")</f>
        <v>Ronghao Li</v>
      </c>
      <c r="F2818" t="str">
        <f>IFERROR(__xludf.DUMMYFUNCTION("""COMPUTED_VALUE"""),"耳朵")</f>
        <v>耳朵</v>
      </c>
      <c r="G2818">
        <f>IFERROR(__xludf.DUMMYFUNCTION("""COMPUTED_VALUE"""),0.0)</f>
        <v>0</v>
      </c>
      <c r="H2818" s="5">
        <f>IFERROR(__xludf.DUMMYFUNCTION("""COMPUTED_VALUE"""),0.1937499999985448)</f>
        <v>0.19375</v>
      </c>
    </row>
    <row r="2819">
      <c r="A2819" t="str">
        <f>IFERROR(__xludf.DUMMYFUNCTION("""COMPUTED_VALUE"""),"Taiwan")</f>
        <v>Taiwan</v>
      </c>
      <c r="B2819" t="str">
        <f>IFERROR(__xludf.DUMMYFUNCTION("""COMPUTED_VALUE"""),"Asia")</f>
        <v>Asia</v>
      </c>
      <c r="C2819">
        <f>IFERROR(__xludf.DUMMYFUNCTION("""COMPUTED_VALUE"""),18.0)</f>
        <v>18</v>
      </c>
      <c r="D2819" t="str">
        <f>IFERROR(__xludf.DUMMYFUNCTION("""COMPUTED_VALUE"""),"Break My Heart")</f>
        <v>Break My Heart</v>
      </c>
      <c r="E2819" t="str">
        <f>IFERROR(__xludf.DUMMYFUNCTION("""COMPUTED_VALUE"""),"Dua Lipa")</f>
        <v>Dua Lipa</v>
      </c>
      <c r="F2819" t="str">
        <f>IFERROR(__xludf.DUMMYFUNCTION("""COMPUTED_VALUE"""),"Future Nostalgia")</f>
        <v>Future Nostalgia</v>
      </c>
      <c r="G2819">
        <f>IFERROR(__xludf.DUMMYFUNCTION("""COMPUTED_VALUE"""),0.0)</f>
        <v>0</v>
      </c>
      <c r="H2819" s="5">
        <f>IFERROR(__xludf.DUMMYFUNCTION("""COMPUTED_VALUE"""),0.15347222222044365)</f>
        <v>0.1534722222</v>
      </c>
    </row>
    <row r="2820">
      <c r="A2820" t="str">
        <f>IFERROR(__xludf.DUMMYFUNCTION("""COMPUTED_VALUE"""),"Taiwan")</f>
        <v>Taiwan</v>
      </c>
      <c r="B2820" t="str">
        <f>IFERROR(__xludf.DUMMYFUNCTION("""COMPUTED_VALUE"""),"Asia")</f>
        <v>Asia</v>
      </c>
      <c r="C2820">
        <f>IFERROR(__xludf.DUMMYFUNCTION("""COMPUTED_VALUE"""),19.0)</f>
        <v>19</v>
      </c>
      <c r="D2820" t="str">
        <f>IFERROR(__xludf.DUMMYFUNCTION("""COMPUTED_VALUE"""),"路過人間")</f>
        <v>路過人間</v>
      </c>
      <c r="E2820" t="str">
        <f>IFERROR(__xludf.DUMMYFUNCTION("""COMPUTED_VALUE"""),"Yisa Yu")</f>
        <v>Yisa Yu</v>
      </c>
      <c r="F2820" t="str">
        <f>IFERROR(__xludf.DUMMYFUNCTION("""COMPUTED_VALUE"""),"路過人間")</f>
        <v>路過人間</v>
      </c>
      <c r="G2820">
        <f>IFERROR(__xludf.DUMMYFUNCTION("""COMPUTED_VALUE"""),0.0)</f>
        <v>0</v>
      </c>
      <c r="H2820" s="5">
        <f>IFERROR(__xludf.DUMMYFUNCTION("""COMPUTED_VALUE"""),0.17152777777664596)</f>
        <v>0.1715277778</v>
      </c>
    </row>
    <row r="2821">
      <c r="A2821" t="str">
        <f>IFERROR(__xludf.DUMMYFUNCTION("""COMPUTED_VALUE"""),"Taiwan")</f>
        <v>Taiwan</v>
      </c>
      <c r="B2821" t="str">
        <f>IFERROR(__xludf.DUMMYFUNCTION("""COMPUTED_VALUE"""),"Asia")</f>
        <v>Asia</v>
      </c>
      <c r="C2821">
        <f>IFERROR(__xludf.DUMMYFUNCTION("""COMPUTED_VALUE"""),20.0)</f>
        <v>20</v>
      </c>
      <c r="D2821" t="str">
        <f>IFERROR(__xludf.DUMMYFUNCTION("""COMPUTED_VALUE"""),"Lose Somebody")</f>
        <v>Lose Somebody</v>
      </c>
      <c r="E2821" t="str">
        <f>IFERROR(__xludf.DUMMYFUNCTION("""COMPUTED_VALUE"""),"Kygo, OneRepublic")</f>
        <v>Kygo, OneRepublic</v>
      </c>
      <c r="F2821" t="str">
        <f>IFERROR(__xludf.DUMMYFUNCTION("""COMPUTED_VALUE"""),"Lose Somebody")</f>
        <v>Lose Somebody</v>
      </c>
      <c r="G2821">
        <f>IFERROR(__xludf.DUMMYFUNCTION("""COMPUTED_VALUE"""),0.0)</f>
        <v>0</v>
      </c>
      <c r="H2821" s="5">
        <f>IFERROR(__xludf.DUMMYFUNCTION("""COMPUTED_VALUE"""),0.1381944444437977)</f>
        <v>0.1381944444</v>
      </c>
    </row>
    <row r="2822">
      <c r="A2822" t="str">
        <f>IFERROR(__xludf.DUMMYFUNCTION("""COMPUTED_VALUE"""),"Taiwan")</f>
        <v>Taiwan</v>
      </c>
      <c r="B2822" t="str">
        <f>IFERROR(__xludf.DUMMYFUNCTION("""COMPUTED_VALUE"""),"Asia")</f>
        <v>Asia</v>
      </c>
      <c r="C2822">
        <f>IFERROR(__xludf.DUMMYFUNCTION("""COMPUTED_VALUE"""),21.0)</f>
        <v>21</v>
      </c>
      <c r="D2822" t="str">
        <f>IFERROR(__xludf.DUMMYFUNCTION("""COMPUTED_VALUE"""),"Say So (feat. Nicki Minaj)")</f>
        <v>Say So (feat. Nicki Minaj)</v>
      </c>
      <c r="E2822" t="str">
        <f>IFERROR(__xludf.DUMMYFUNCTION("""COMPUTED_VALUE"""),"Doja Cat, Nicki Minaj")</f>
        <v>Doja Cat, Nicki Minaj</v>
      </c>
      <c r="F2822" t="str">
        <f>IFERROR(__xludf.DUMMYFUNCTION("""COMPUTED_VALUE"""),"Say So (feat. Nicki Minaj)")</f>
        <v>Say So (feat. Nicki Minaj)</v>
      </c>
      <c r="G2822">
        <f>IFERROR(__xludf.DUMMYFUNCTION("""COMPUTED_VALUE"""),1.0)</f>
        <v>1</v>
      </c>
      <c r="H2822" s="5">
        <f>IFERROR(__xludf.DUMMYFUNCTION("""COMPUTED_VALUE"""),0.1430555555562023)</f>
        <v>0.1430555556</v>
      </c>
    </row>
    <row r="2823">
      <c r="A2823" t="str">
        <f>IFERROR(__xludf.DUMMYFUNCTION("""COMPUTED_VALUE"""),"Taiwan")</f>
        <v>Taiwan</v>
      </c>
      <c r="B2823" t="str">
        <f>IFERROR(__xludf.DUMMYFUNCTION("""COMPUTED_VALUE"""),"Asia")</f>
        <v>Asia</v>
      </c>
      <c r="C2823">
        <f>IFERROR(__xludf.DUMMYFUNCTION("""COMPUTED_VALUE"""),22.0)</f>
        <v>22</v>
      </c>
      <c r="D2823" t="str">
        <f>IFERROR(__xludf.DUMMYFUNCTION("""COMPUTED_VALUE"""),"death bed (coffee for your head) (feat. beabadoobee)")</f>
        <v>death bed (coffee for your head) (feat. beabadoobee)</v>
      </c>
      <c r="E2823" t="str">
        <f>IFERROR(__xludf.DUMMYFUNCTION("""COMPUTED_VALUE"""),"Powfu, beabadoobee")</f>
        <v>Powfu, beabadoobee</v>
      </c>
      <c r="F2823" t="str">
        <f>IFERROR(__xludf.DUMMYFUNCTION("""COMPUTED_VALUE"""),"death bed (coffee for your head) (feat. beabadoobee)")</f>
        <v>death bed (coffee for your head) (feat. beabadoobee)</v>
      </c>
      <c r="G2823">
        <f>IFERROR(__xludf.DUMMYFUNCTION("""COMPUTED_VALUE"""),0.0)</f>
        <v>0</v>
      </c>
      <c r="H2823" s="5">
        <f>IFERROR(__xludf.DUMMYFUNCTION("""COMPUTED_VALUE"""),0.12013888888759539)</f>
        <v>0.1201388889</v>
      </c>
    </row>
    <row r="2824">
      <c r="A2824" t="str">
        <f>IFERROR(__xludf.DUMMYFUNCTION("""COMPUTED_VALUE"""),"Taiwan")</f>
        <v>Taiwan</v>
      </c>
      <c r="B2824" t="str">
        <f>IFERROR(__xludf.DUMMYFUNCTION("""COMPUTED_VALUE"""),"Asia")</f>
        <v>Asia</v>
      </c>
      <c r="C2824">
        <f>IFERROR(__xludf.DUMMYFUNCTION("""COMPUTED_VALUE"""),23.0)</f>
        <v>23</v>
      </c>
      <c r="D2824" t="str">
        <f>IFERROR(__xludf.DUMMYFUNCTION("""COMPUTED_VALUE"""),"Señorita")</f>
        <v>Señorita</v>
      </c>
      <c r="E2824" t="str">
        <f>IFERROR(__xludf.DUMMYFUNCTION("""COMPUTED_VALUE"""),"Shawn Mendes, Camila Cabello")</f>
        <v>Shawn Mendes, Camila Cabello</v>
      </c>
      <c r="F2824" t="str">
        <f>IFERROR(__xludf.DUMMYFUNCTION("""COMPUTED_VALUE"""),"Shawn Mendes (Deluxe)")</f>
        <v>Shawn Mendes (Deluxe)</v>
      </c>
      <c r="G2824">
        <f>IFERROR(__xludf.DUMMYFUNCTION("""COMPUTED_VALUE"""),0.0)</f>
        <v>0</v>
      </c>
      <c r="H2824" s="5">
        <f>IFERROR(__xludf.DUMMYFUNCTION("""COMPUTED_VALUE"""),0.13194444444525288)</f>
        <v>0.1319444444</v>
      </c>
    </row>
    <row r="2825">
      <c r="A2825" t="str">
        <f>IFERROR(__xludf.DUMMYFUNCTION("""COMPUTED_VALUE"""),"Taiwan")</f>
        <v>Taiwan</v>
      </c>
      <c r="B2825" t="str">
        <f>IFERROR(__xludf.DUMMYFUNCTION("""COMPUTED_VALUE"""),"Asia")</f>
        <v>Asia</v>
      </c>
      <c r="C2825">
        <f>IFERROR(__xludf.DUMMYFUNCTION("""COMPUTED_VALUE"""),24.0)</f>
        <v>24</v>
      </c>
      <c r="D2825" t="str">
        <f>IFERROR(__xludf.DUMMYFUNCTION("""COMPUTED_VALUE"""),"绿色")</f>
        <v>绿色</v>
      </c>
      <c r="E2825" t="str">
        <f>IFERROR(__xludf.DUMMYFUNCTION("""COMPUTED_VALUE"""),"Shirley Chen")</f>
        <v>Shirley Chen</v>
      </c>
      <c r="F2825" t="str">
        <f>IFERROR(__xludf.DUMMYFUNCTION("""COMPUTED_VALUE"""),"绿色")</f>
        <v>绿色</v>
      </c>
      <c r="G2825">
        <f>IFERROR(__xludf.DUMMYFUNCTION("""COMPUTED_VALUE"""),0.0)</f>
        <v>0</v>
      </c>
      <c r="H2825" s="5">
        <f>IFERROR(__xludf.DUMMYFUNCTION("""COMPUTED_VALUE"""),0.1868055555569299)</f>
        <v>0.1868055556</v>
      </c>
    </row>
    <row r="2826">
      <c r="A2826" t="str">
        <f>IFERROR(__xludf.DUMMYFUNCTION("""COMPUTED_VALUE"""),"Taiwan")</f>
        <v>Taiwan</v>
      </c>
      <c r="B2826" t="str">
        <f>IFERROR(__xludf.DUMMYFUNCTION("""COMPUTED_VALUE"""),"Asia")</f>
        <v>Asia</v>
      </c>
      <c r="C2826">
        <f>IFERROR(__xludf.DUMMYFUNCTION("""COMPUTED_VALUE"""),25.0)</f>
        <v>25</v>
      </c>
      <c r="D2826" t="str">
        <f>IFERROR(__xludf.DUMMYFUNCTION("""COMPUTED_VALUE"""),"Why You Gonna Lie")</f>
        <v>Why You Gonna Lie</v>
      </c>
      <c r="E2826" t="str">
        <f>IFERROR(__xludf.DUMMYFUNCTION("""COMPUTED_VALUE"""),"高爾宣 OSN")</f>
        <v>高爾宣 OSN</v>
      </c>
      <c r="F2826" t="str">
        <f>IFERROR(__xludf.DUMMYFUNCTION("""COMPUTED_VALUE"""),"#osnrap")</f>
        <v>#osnrap</v>
      </c>
      <c r="G2826">
        <f>IFERROR(__xludf.DUMMYFUNCTION("""COMPUTED_VALUE"""),0.0)</f>
        <v>0</v>
      </c>
      <c r="H2826" s="5">
        <f>IFERROR(__xludf.DUMMYFUNCTION("""COMPUTED_VALUE"""),0.12083333333430346)</f>
        <v>0.1208333333</v>
      </c>
    </row>
    <row r="2827">
      <c r="A2827" t="str">
        <f>IFERROR(__xludf.DUMMYFUNCTION("""COMPUTED_VALUE"""),"Taiwan")</f>
        <v>Taiwan</v>
      </c>
      <c r="B2827" t="str">
        <f>IFERROR(__xludf.DUMMYFUNCTION("""COMPUTED_VALUE"""),"Asia")</f>
        <v>Asia</v>
      </c>
      <c r="C2827">
        <f>IFERROR(__xludf.DUMMYFUNCTION("""COMPUTED_VALUE"""),26.0)</f>
        <v>26</v>
      </c>
      <c r="D2827" t="str">
        <f>IFERROR(__xludf.DUMMYFUNCTION("""COMPUTED_VALUE"""),"浪流連")</f>
        <v>浪流連</v>
      </c>
      <c r="E2827" t="str">
        <f>IFERROR(__xludf.DUMMYFUNCTION("""COMPUTED_VALUE"""),"EggPlantEgg")</f>
        <v>EggPlantEgg</v>
      </c>
      <c r="F2827" t="str">
        <f>IFERROR(__xludf.DUMMYFUNCTION("""COMPUTED_VALUE"""),"我們以後要結婚")</f>
        <v>我們以後要結婚</v>
      </c>
      <c r="G2827">
        <f>IFERROR(__xludf.DUMMYFUNCTION("""COMPUTED_VALUE"""),0.0)</f>
        <v>0</v>
      </c>
      <c r="H2827" s="5">
        <f>IFERROR(__xludf.DUMMYFUNCTION("""COMPUTED_VALUE"""),0.17569444444598048)</f>
        <v>0.1756944444</v>
      </c>
    </row>
    <row r="2828">
      <c r="A2828" t="str">
        <f>IFERROR(__xludf.DUMMYFUNCTION("""COMPUTED_VALUE"""),"Taiwan")</f>
        <v>Taiwan</v>
      </c>
      <c r="B2828" t="str">
        <f>IFERROR(__xludf.DUMMYFUNCTION("""COMPUTED_VALUE"""),"Asia")</f>
        <v>Asia</v>
      </c>
      <c r="C2828">
        <f>IFERROR(__xludf.DUMMYFUNCTION("""COMPUTED_VALUE"""),27.0)</f>
        <v>27</v>
      </c>
      <c r="D2828" t="str">
        <f>IFERROR(__xludf.DUMMYFUNCTION("""COMPUTED_VALUE"""),"Blinding Lights")</f>
        <v>Blinding Lights</v>
      </c>
      <c r="E2828" t="str">
        <f>IFERROR(__xludf.DUMMYFUNCTION("""COMPUTED_VALUE"""),"The Weeknd")</f>
        <v>The Weeknd</v>
      </c>
      <c r="F2828" t="str">
        <f>IFERROR(__xludf.DUMMYFUNCTION("""COMPUTED_VALUE"""),"After Hours")</f>
        <v>After Hours</v>
      </c>
      <c r="G2828">
        <f>IFERROR(__xludf.DUMMYFUNCTION("""COMPUTED_VALUE"""),0.0)</f>
        <v>0</v>
      </c>
      <c r="H2828" s="5">
        <f>IFERROR(__xludf.DUMMYFUNCTION("""COMPUTED_VALUE"""),0.13888888889050577)</f>
        <v>0.1388888889</v>
      </c>
    </row>
    <row r="2829">
      <c r="A2829" t="str">
        <f>IFERROR(__xludf.DUMMYFUNCTION("""COMPUTED_VALUE"""),"Taiwan")</f>
        <v>Taiwan</v>
      </c>
      <c r="B2829" t="str">
        <f>IFERROR(__xludf.DUMMYFUNCTION("""COMPUTED_VALUE"""),"Asia")</f>
        <v>Asia</v>
      </c>
      <c r="C2829">
        <f>IFERROR(__xludf.DUMMYFUNCTION("""COMPUTED_VALUE"""),28.0)</f>
        <v>28</v>
      </c>
      <c r="D2829" t="str">
        <f>IFERROR(__xludf.DUMMYFUNCTION("""COMPUTED_VALUE"""),"Memories")</f>
        <v>Memories</v>
      </c>
      <c r="E2829" t="str">
        <f>IFERROR(__xludf.DUMMYFUNCTION("""COMPUTED_VALUE"""),"Maroon 5")</f>
        <v>Maroon 5</v>
      </c>
      <c r="F2829" t="str">
        <f>IFERROR(__xludf.DUMMYFUNCTION("""COMPUTED_VALUE"""),"Memories")</f>
        <v>Memories</v>
      </c>
      <c r="G2829">
        <f>IFERROR(__xludf.DUMMYFUNCTION("""COMPUTED_VALUE"""),0.0)</f>
        <v>0</v>
      </c>
      <c r="H2829" s="5">
        <f>IFERROR(__xludf.DUMMYFUNCTION("""COMPUTED_VALUE"""),0.1312499999985448)</f>
        <v>0.13125</v>
      </c>
    </row>
    <row r="2830">
      <c r="A2830" t="str">
        <f>IFERROR(__xludf.DUMMYFUNCTION("""COMPUTED_VALUE"""),"Taiwan")</f>
        <v>Taiwan</v>
      </c>
      <c r="B2830" t="str">
        <f>IFERROR(__xludf.DUMMYFUNCTION("""COMPUTED_VALUE"""),"Asia")</f>
        <v>Asia</v>
      </c>
      <c r="C2830">
        <f>IFERROR(__xludf.DUMMYFUNCTION("""COMPUTED_VALUE"""),29.0)</f>
        <v>29</v>
      </c>
      <c r="D2830" t="str">
        <f>IFERROR(__xludf.DUMMYFUNCTION("""COMPUTED_VALUE"""),"句號")</f>
        <v>句號</v>
      </c>
      <c r="E2830" t="str">
        <f>IFERROR(__xludf.DUMMYFUNCTION("""COMPUTED_VALUE"""),"G.E.M.")</f>
        <v>G.E.M.</v>
      </c>
      <c r="F2830" t="str">
        <f>IFERROR(__xludf.DUMMYFUNCTION("""COMPUTED_VALUE"""),"摩天動物園")</f>
        <v>摩天動物園</v>
      </c>
      <c r="G2830">
        <f>IFERROR(__xludf.DUMMYFUNCTION("""COMPUTED_VALUE"""),0.0)</f>
        <v>0</v>
      </c>
      <c r="H2830" s="5">
        <f>IFERROR(__xludf.DUMMYFUNCTION("""COMPUTED_VALUE"""),0.16319444444525288)</f>
        <v>0.1631944444</v>
      </c>
    </row>
    <row r="2831">
      <c r="A2831" t="str">
        <f>IFERROR(__xludf.DUMMYFUNCTION("""COMPUTED_VALUE"""),"Taiwan")</f>
        <v>Taiwan</v>
      </c>
      <c r="B2831" t="str">
        <f>IFERROR(__xludf.DUMMYFUNCTION("""COMPUTED_VALUE"""),"Asia")</f>
        <v>Asia</v>
      </c>
      <c r="C2831">
        <f>IFERROR(__xludf.DUMMYFUNCTION("""COMPUTED_VALUE"""),30.0)</f>
        <v>30</v>
      </c>
      <c r="D2831" t="str">
        <f>IFERROR(__xludf.DUMMYFUNCTION("""COMPUTED_VALUE"""),"ROCKSTAR (feat. Roddy Ricch)")</f>
        <v>ROCKSTAR (feat. Roddy Ricch)</v>
      </c>
      <c r="E2831" t="str">
        <f>IFERROR(__xludf.DUMMYFUNCTION("""COMPUTED_VALUE"""),"DaBaby, Roddy Ricch")</f>
        <v>DaBaby, Roddy Ricch</v>
      </c>
      <c r="F2831" t="str">
        <f>IFERROR(__xludf.DUMMYFUNCTION("""COMPUTED_VALUE"""),"BLAME IT ON BABY")</f>
        <v>BLAME IT ON BABY</v>
      </c>
      <c r="G2831">
        <f>IFERROR(__xludf.DUMMYFUNCTION("""COMPUTED_VALUE"""),1.0)</f>
        <v>1</v>
      </c>
      <c r="H2831" s="5">
        <f>IFERROR(__xludf.DUMMYFUNCTION("""COMPUTED_VALUE"""),0.1256944444430701)</f>
        <v>0.1256944444</v>
      </c>
    </row>
    <row r="2832">
      <c r="A2832" t="str">
        <f>IFERROR(__xludf.DUMMYFUNCTION("""COMPUTED_VALUE"""),"Taiwan")</f>
        <v>Taiwan</v>
      </c>
      <c r="B2832" t="str">
        <f>IFERROR(__xludf.DUMMYFUNCTION("""COMPUTED_VALUE"""),"Asia")</f>
        <v>Asia</v>
      </c>
      <c r="C2832">
        <f>IFERROR(__xludf.DUMMYFUNCTION("""COMPUTED_VALUE"""),31.0)</f>
        <v>31</v>
      </c>
      <c r="D2832" t="str">
        <f>IFERROR(__xludf.DUMMYFUNCTION("""COMPUTED_VALUE"""),"披星戴月的想你")</f>
        <v>披星戴月的想你</v>
      </c>
      <c r="E2832" t="str">
        <f>IFERROR(__xludf.DUMMYFUNCTION("""COMPUTED_VALUE"""),"告五人")</f>
        <v>告五人</v>
      </c>
      <c r="F2832" t="str">
        <f>IFERROR(__xludf.DUMMYFUNCTION("""COMPUTED_VALUE"""),"披星戴月的想你")</f>
        <v>披星戴月的想你</v>
      </c>
      <c r="G2832">
        <f>IFERROR(__xludf.DUMMYFUNCTION("""COMPUTED_VALUE"""),0.0)</f>
        <v>0</v>
      </c>
      <c r="H2832" s="5">
        <f>IFERROR(__xludf.DUMMYFUNCTION("""COMPUTED_VALUE"""),0.24236111111167702)</f>
        <v>0.2423611111</v>
      </c>
    </row>
    <row r="2833">
      <c r="A2833" t="str">
        <f>IFERROR(__xludf.DUMMYFUNCTION("""COMPUTED_VALUE"""),"Taiwan")</f>
        <v>Taiwan</v>
      </c>
      <c r="B2833" t="str">
        <f>IFERROR(__xludf.DUMMYFUNCTION("""COMPUTED_VALUE"""),"Asia")</f>
        <v>Asia</v>
      </c>
      <c r="C2833">
        <f>IFERROR(__xludf.DUMMYFUNCTION("""COMPUTED_VALUE"""),32.0)</f>
        <v>32</v>
      </c>
      <c r="D2833" t="str">
        <f>IFERROR(__xludf.DUMMYFUNCTION("""COMPUTED_VALUE"""),"Toosie Slide")</f>
        <v>Toosie Slide</v>
      </c>
      <c r="E2833" t="str">
        <f>IFERROR(__xludf.DUMMYFUNCTION("""COMPUTED_VALUE"""),"Drake")</f>
        <v>Drake</v>
      </c>
      <c r="F2833" t="str">
        <f>IFERROR(__xludf.DUMMYFUNCTION("""COMPUTED_VALUE"""),"Dark Lane Demo Tapes")</f>
        <v>Dark Lane Demo Tapes</v>
      </c>
      <c r="G2833">
        <f>IFERROR(__xludf.DUMMYFUNCTION("""COMPUTED_VALUE"""),1.0)</f>
        <v>1</v>
      </c>
      <c r="H2833" s="5">
        <f>IFERROR(__xludf.DUMMYFUNCTION("""COMPUTED_VALUE"""),0.17152777777664596)</f>
        <v>0.1715277778</v>
      </c>
    </row>
    <row r="2834">
      <c r="A2834" t="str">
        <f>IFERROR(__xludf.DUMMYFUNCTION("""COMPUTED_VALUE"""),"Taiwan")</f>
        <v>Taiwan</v>
      </c>
      <c r="B2834" t="str">
        <f>IFERROR(__xludf.DUMMYFUNCTION("""COMPUTED_VALUE"""),"Asia")</f>
        <v>Asia</v>
      </c>
      <c r="C2834">
        <f>IFERROR(__xludf.DUMMYFUNCTION("""COMPUTED_VALUE"""),33.0)</f>
        <v>33</v>
      </c>
      <c r="D2834" t="str">
        <f>IFERROR(__xludf.DUMMYFUNCTION("""COMPUTED_VALUE"""),"Someone You Loved")</f>
        <v>Someone You Loved</v>
      </c>
      <c r="E2834" t="str">
        <f>IFERROR(__xludf.DUMMYFUNCTION("""COMPUTED_VALUE"""),"Lewis Capaldi")</f>
        <v>Lewis Capaldi</v>
      </c>
      <c r="F2834" t="str">
        <f>IFERROR(__xludf.DUMMYFUNCTION("""COMPUTED_VALUE"""),"Divinely Uninspired To A Hellish Extent")</f>
        <v>Divinely Uninspired To A Hellish Extent</v>
      </c>
      <c r="G2834">
        <f>IFERROR(__xludf.DUMMYFUNCTION("""COMPUTED_VALUE"""),0.0)</f>
        <v>0</v>
      </c>
      <c r="H2834" s="5">
        <f>IFERROR(__xludf.DUMMYFUNCTION("""COMPUTED_VALUE"""),0.12638888888977817)</f>
        <v>0.1263888889</v>
      </c>
    </row>
    <row r="2835">
      <c r="A2835" t="str">
        <f>IFERROR(__xludf.DUMMYFUNCTION("""COMPUTED_VALUE"""),"Taiwan")</f>
        <v>Taiwan</v>
      </c>
      <c r="B2835" t="str">
        <f>IFERROR(__xludf.DUMMYFUNCTION("""COMPUTED_VALUE"""),"Asia")</f>
        <v>Asia</v>
      </c>
      <c r="C2835">
        <f>IFERROR(__xludf.DUMMYFUNCTION("""COMPUTED_VALUE"""),34.0)</f>
        <v>34</v>
      </c>
      <c r="D2835" t="str">
        <f>IFERROR(__xludf.DUMMYFUNCTION("""COMPUTED_VALUE"""),"那女孩對我說")</f>
        <v>那女孩對我說</v>
      </c>
      <c r="E2835" t="str">
        <f>IFERROR(__xludf.DUMMYFUNCTION("""COMPUTED_VALUE"""),"Rachel Liang")</f>
        <v>Rachel Liang</v>
      </c>
      <c r="F2835" t="str">
        <f>IFERROR(__xludf.DUMMYFUNCTION("""COMPUTED_VALUE"""),"#2019還在聽")</f>
        <v>#2019還在聽</v>
      </c>
      <c r="G2835">
        <f>IFERROR(__xludf.DUMMYFUNCTION("""COMPUTED_VALUE"""),0.0)</f>
        <v>0</v>
      </c>
      <c r="H2835" s="5">
        <f>IFERROR(__xludf.DUMMYFUNCTION("""COMPUTED_VALUE"""),0.18611111111022183)</f>
        <v>0.1861111111</v>
      </c>
    </row>
    <row r="2836">
      <c r="A2836" t="str">
        <f>IFERROR(__xludf.DUMMYFUNCTION("""COMPUTED_VALUE"""),"Taiwan")</f>
        <v>Taiwan</v>
      </c>
      <c r="B2836" t="str">
        <f>IFERROR(__xludf.DUMMYFUNCTION("""COMPUTED_VALUE"""),"Asia")</f>
        <v>Asia</v>
      </c>
      <c r="C2836">
        <f>IFERROR(__xludf.DUMMYFUNCTION("""COMPUTED_VALUE"""),35.0)</f>
        <v>35</v>
      </c>
      <c r="D2836" t="str">
        <f>IFERROR(__xludf.DUMMYFUNCTION("""COMPUTED_VALUE"""),"Dance Monkey")</f>
        <v>Dance Monkey</v>
      </c>
      <c r="E2836" t="str">
        <f>IFERROR(__xludf.DUMMYFUNCTION("""COMPUTED_VALUE"""),"Tones And I")</f>
        <v>Tones And I</v>
      </c>
      <c r="F2836" t="str">
        <f>IFERROR(__xludf.DUMMYFUNCTION("""COMPUTED_VALUE"""),"Dance Monkey (Stripped Back) / Dance Monkey")</f>
        <v>Dance Monkey (Stripped Back) / Dance Monkey</v>
      </c>
      <c r="G2836">
        <f>IFERROR(__xludf.DUMMYFUNCTION("""COMPUTED_VALUE"""),0.0)</f>
        <v>0</v>
      </c>
      <c r="H2836" s="5">
        <f>IFERROR(__xludf.DUMMYFUNCTION("""COMPUTED_VALUE"""),0.14513888888905058)</f>
        <v>0.1451388889</v>
      </c>
    </row>
    <row r="2837">
      <c r="A2837" t="str">
        <f>IFERROR(__xludf.DUMMYFUNCTION("""COMPUTED_VALUE"""),"Taiwan")</f>
        <v>Taiwan</v>
      </c>
      <c r="B2837" t="str">
        <f>IFERROR(__xludf.DUMMYFUNCTION("""COMPUTED_VALUE"""),"Asia")</f>
        <v>Asia</v>
      </c>
      <c r="C2837">
        <f>IFERROR(__xludf.DUMMYFUNCTION("""COMPUTED_VALUE"""),36.0)</f>
        <v>36</v>
      </c>
      <c r="D2837" t="str">
        <f>IFERROR(__xludf.DUMMYFUNCTION("""COMPUTED_VALUE"""),"你的酒馆对我打了烊")</f>
        <v>你的酒馆对我打了烊</v>
      </c>
      <c r="E2837" t="str">
        <f>IFERROR(__xludf.DUMMYFUNCTION("""COMPUTED_VALUE"""),"Shirley Chen")</f>
        <v>Shirley Chen</v>
      </c>
      <c r="F2837" t="str">
        <f>IFERROR(__xludf.DUMMYFUNCTION("""COMPUTED_VALUE"""),"你的酒馆对我打了烊")</f>
        <v>你的酒馆对我打了烊</v>
      </c>
      <c r="G2837">
        <f>IFERROR(__xludf.DUMMYFUNCTION("""COMPUTED_VALUE"""),0.0)</f>
        <v>0</v>
      </c>
      <c r="H2837" s="5">
        <f>IFERROR(__xludf.DUMMYFUNCTION("""COMPUTED_VALUE"""),0.1743055555562023)</f>
        <v>0.1743055556</v>
      </c>
    </row>
    <row r="2838">
      <c r="A2838" t="str">
        <f>IFERROR(__xludf.DUMMYFUNCTION("""COMPUTED_VALUE"""),"Taiwan")</f>
        <v>Taiwan</v>
      </c>
      <c r="B2838" t="str">
        <f>IFERROR(__xludf.DUMMYFUNCTION("""COMPUTED_VALUE"""),"Asia")</f>
        <v>Asia</v>
      </c>
      <c r="C2838">
        <f>IFERROR(__xludf.DUMMYFUNCTION("""COMPUTED_VALUE"""),37.0)</f>
        <v>37</v>
      </c>
      <c r="D2838" t="str">
        <f>IFERROR(__xludf.DUMMYFUNCTION("""COMPUTED_VALUE"""),"COLORFUL")</f>
        <v>COLORFUL</v>
      </c>
      <c r="E2838" t="str">
        <f>IFERROR(__xludf.DUMMYFUNCTION("""COMPUTED_VALUE"""),"婁峻碩")</f>
        <v>婁峻碩</v>
      </c>
      <c r="F2838" t="str">
        <f>IFERROR(__xludf.DUMMYFUNCTION("""COMPUTED_VALUE"""),"BOARDING")</f>
        <v>BOARDING</v>
      </c>
      <c r="G2838">
        <f>IFERROR(__xludf.DUMMYFUNCTION("""COMPUTED_VALUE"""),0.0)</f>
        <v>0</v>
      </c>
      <c r="H2838" s="5">
        <f>IFERROR(__xludf.DUMMYFUNCTION("""COMPUTED_VALUE"""),0.1500000000014552)</f>
        <v>0.15</v>
      </c>
    </row>
    <row r="2839">
      <c r="A2839" t="str">
        <f>IFERROR(__xludf.DUMMYFUNCTION("""COMPUTED_VALUE"""),"Taiwan")</f>
        <v>Taiwan</v>
      </c>
      <c r="B2839" t="str">
        <f>IFERROR(__xludf.DUMMYFUNCTION("""COMPUTED_VALUE"""),"Asia")</f>
        <v>Asia</v>
      </c>
      <c r="C2839">
        <f>IFERROR(__xludf.DUMMYFUNCTION("""COMPUTED_VALUE"""),38.0)</f>
        <v>38</v>
      </c>
      <c r="D2839" t="str">
        <f>IFERROR(__xludf.DUMMYFUNCTION("""COMPUTED_VALUE"""),"Without You - Acoustic Version")</f>
        <v>Without You - Acoustic Version</v>
      </c>
      <c r="E2839" t="str">
        <f>IFERROR(__xludf.DUMMYFUNCTION("""COMPUTED_VALUE"""),"高爾宣 OSN, Vicky Chen")</f>
        <v>高爾宣 OSN, Vicky Chen</v>
      </c>
      <c r="F2839" t="str">
        <f>IFERROR(__xludf.DUMMYFUNCTION("""COMPUTED_VALUE"""),"#osnrap")</f>
        <v>#osnrap</v>
      </c>
      <c r="G2839">
        <f>IFERROR(__xludf.DUMMYFUNCTION("""COMPUTED_VALUE"""),0.0)</f>
        <v>0</v>
      </c>
      <c r="H2839" s="5">
        <f>IFERROR(__xludf.DUMMYFUNCTION("""COMPUTED_VALUE"""),0.14166666666642413)</f>
        <v>0.1416666667</v>
      </c>
    </row>
    <row r="2840">
      <c r="A2840" t="str">
        <f>IFERROR(__xludf.DUMMYFUNCTION("""COMPUTED_VALUE"""),"Taiwan")</f>
        <v>Taiwan</v>
      </c>
      <c r="B2840" t="str">
        <f>IFERROR(__xludf.DUMMYFUNCTION("""COMPUTED_VALUE"""),"Asia")</f>
        <v>Asia</v>
      </c>
      <c r="C2840">
        <f>IFERROR(__xludf.DUMMYFUNCTION("""COMPUTED_VALUE"""),39.0)</f>
        <v>39</v>
      </c>
      <c r="D2840" t="str">
        <f>IFERROR(__xludf.DUMMYFUNCTION("""COMPUTED_VALUE"""),"Daechwita")</f>
        <v>Daechwita</v>
      </c>
      <c r="E2840" t="str">
        <f>IFERROR(__xludf.DUMMYFUNCTION("""COMPUTED_VALUE"""),"Agust D")</f>
        <v>Agust D</v>
      </c>
      <c r="F2840" t="str">
        <f>IFERROR(__xludf.DUMMYFUNCTION("""COMPUTED_VALUE"""),"D-2")</f>
        <v>D-2</v>
      </c>
      <c r="G2840">
        <f>IFERROR(__xludf.DUMMYFUNCTION("""COMPUTED_VALUE"""),1.0)</f>
        <v>1</v>
      </c>
      <c r="H2840" s="5">
        <f>IFERROR(__xludf.DUMMYFUNCTION("""COMPUTED_VALUE"""),0.15625)</f>
        <v>0.15625</v>
      </c>
    </row>
    <row r="2841">
      <c r="A2841" t="str">
        <f>IFERROR(__xludf.DUMMYFUNCTION("""COMPUTED_VALUE"""),"Taiwan")</f>
        <v>Taiwan</v>
      </c>
      <c r="B2841" t="str">
        <f>IFERROR(__xludf.DUMMYFUNCTION("""COMPUTED_VALUE"""),"Asia")</f>
        <v>Asia</v>
      </c>
      <c r="C2841">
        <f>IFERROR(__xludf.DUMMYFUNCTION("""COMPUTED_VALUE"""),40.0)</f>
        <v>40</v>
      </c>
      <c r="D2841" t="str">
        <f>IFERROR(__xludf.DUMMYFUNCTION("""COMPUTED_VALUE"""),"倒數")</f>
        <v>倒數</v>
      </c>
      <c r="E2841" t="str">
        <f>IFERROR(__xludf.DUMMYFUNCTION("""COMPUTED_VALUE"""),"G.E.M.")</f>
        <v>G.E.M.</v>
      </c>
      <c r="F2841" t="str">
        <f>IFERROR(__xludf.DUMMYFUNCTION("""COMPUTED_VALUE"""),"倒數")</f>
        <v>倒數</v>
      </c>
      <c r="G2841">
        <f>IFERROR(__xludf.DUMMYFUNCTION("""COMPUTED_VALUE"""),0.0)</f>
        <v>0</v>
      </c>
      <c r="H2841" s="5">
        <f>IFERROR(__xludf.DUMMYFUNCTION("""COMPUTED_VALUE"""),0.15902777777955635)</f>
        <v>0.1590277778</v>
      </c>
    </row>
    <row r="2842">
      <c r="A2842" t="str">
        <f>IFERROR(__xludf.DUMMYFUNCTION("""COMPUTED_VALUE"""),"Taiwan")</f>
        <v>Taiwan</v>
      </c>
      <c r="B2842" t="str">
        <f>IFERROR(__xludf.DUMMYFUNCTION("""COMPUTED_VALUE"""),"Asia")</f>
        <v>Asia</v>
      </c>
      <c r="C2842">
        <f>IFERROR(__xludf.DUMMYFUNCTION("""COMPUTED_VALUE"""),41.0)</f>
        <v>41</v>
      </c>
      <c r="D2842" t="str">
        <f>IFERROR(__xludf.DUMMYFUNCTION("""COMPUTED_VALUE"""),"最後一次")</f>
        <v>最後一次</v>
      </c>
      <c r="E2842" t="str">
        <f>IFERROR(__xludf.DUMMYFUNCTION("""COMPUTED_VALUE"""),"高爾宣 OSN")</f>
        <v>高爾宣 OSN</v>
      </c>
      <c r="F2842" t="str">
        <f>IFERROR(__xludf.DUMMYFUNCTION("""COMPUTED_VALUE"""),"#osnrap")</f>
        <v>#osnrap</v>
      </c>
      <c r="G2842">
        <f>IFERROR(__xludf.DUMMYFUNCTION("""COMPUTED_VALUE"""),0.0)</f>
        <v>0</v>
      </c>
      <c r="H2842" s="5">
        <f>IFERROR(__xludf.DUMMYFUNCTION("""COMPUTED_VALUE"""),0.11527777777882875)</f>
        <v>0.1152777778</v>
      </c>
    </row>
    <row r="2843">
      <c r="A2843" t="str">
        <f>IFERROR(__xludf.DUMMYFUNCTION("""COMPUTED_VALUE"""),"Taiwan")</f>
        <v>Taiwan</v>
      </c>
      <c r="B2843" t="str">
        <f>IFERROR(__xludf.DUMMYFUNCTION("""COMPUTED_VALUE"""),"Asia")</f>
        <v>Asia</v>
      </c>
      <c r="C2843">
        <f>IFERROR(__xludf.DUMMYFUNCTION("""COMPUTED_VALUE"""),42.0)</f>
        <v>42</v>
      </c>
      <c r="D2843" t="str">
        <f>IFERROR(__xludf.DUMMYFUNCTION("""COMPUTED_VALUE"""),"Daisies")</f>
        <v>Daisies</v>
      </c>
      <c r="E2843" t="str">
        <f>IFERROR(__xludf.DUMMYFUNCTION("""COMPUTED_VALUE"""),"Katy Perry")</f>
        <v>Katy Perry</v>
      </c>
      <c r="F2843" t="str">
        <f>IFERROR(__xludf.DUMMYFUNCTION("""COMPUTED_VALUE"""),"Daisies")</f>
        <v>Daisies</v>
      </c>
      <c r="G2843">
        <f>IFERROR(__xludf.DUMMYFUNCTION("""COMPUTED_VALUE"""),0.0)</f>
        <v>0</v>
      </c>
      <c r="H2843" s="5">
        <f>IFERROR(__xludf.DUMMYFUNCTION("""COMPUTED_VALUE"""),0.12013888888759539)</f>
        <v>0.1201388889</v>
      </c>
    </row>
    <row r="2844">
      <c r="A2844" t="str">
        <f>IFERROR(__xludf.DUMMYFUNCTION("""COMPUTED_VALUE"""),"Taiwan")</f>
        <v>Taiwan</v>
      </c>
      <c r="B2844" t="str">
        <f>IFERROR(__xludf.DUMMYFUNCTION("""COMPUTED_VALUE"""),"Asia")</f>
        <v>Asia</v>
      </c>
      <c r="C2844">
        <f>IFERROR(__xludf.DUMMYFUNCTION("""COMPUTED_VALUE"""),43.0)</f>
        <v>43</v>
      </c>
      <c r="D2844" t="str">
        <f>IFERROR(__xludf.DUMMYFUNCTION("""COMPUTED_VALUE"""),"慢冷")</f>
        <v>慢冷</v>
      </c>
      <c r="E2844" t="str">
        <f>IFERROR(__xludf.DUMMYFUNCTION("""COMPUTED_VALUE"""),"Fish Leong")</f>
        <v>Fish Leong</v>
      </c>
      <c r="F2844" t="str">
        <f>IFERROR(__xludf.DUMMYFUNCTION("""COMPUTED_VALUE"""),"我好嗎? - 太陽如常升起")</f>
        <v>我好嗎? - 太陽如常升起</v>
      </c>
      <c r="G2844">
        <f>IFERROR(__xludf.DUMMYFUNCTION("""COMPUTED_VALUE"""),0.0)</f>
        <v>0</v>
      </c>
      <c r="H2844" s="5">
        <f>IFERROR(__xludf.DUMMYFUNCTION("""COMPUTED_VALUE"""),0.2006944444437977)</f>
        <v>0.2006944444</v>
      </c>
    </row>
    <row r="2845">
      <c r="A2845" t="str">
        <f>IFERROR(__xludf.DUMMYFUNCTION("""COMPUTED_VALUE"""),"Taiwan")</f>
        <v>Taiwan</v>
      </c>
      <c r="B2845" t="str">
        <f>IFERROR(__xludf.DUMMYFUNCTION("""COMPUTED_VALUE"""),"Asia")</f>
        <v>Asia</v>
      </c>
      <c r="C2845">
        <f>IFERROR(__xludf.DUMMYFUNCTION("""COMPUTED_VALUE"""),44.0)</f>
        <v>44</v>
      </c>
      <c r="D2845" t="str">
        <f>IFERROR(__xludf.DUMMYFUNCTION("""COMPUTED_VALUE"""),"你要的全拿走")</f>
        <v>你要的全拿走</v>
      </c>
      <c r="E2845" t="str">
        <f>IFERROR(__xludf.DUMMYFUNCTION("""COMPUTED_VALUE"""),"Tiger Hu")</f>
        <v>Tiger Hu</v>
      </c>
      <c r="F2845" t="str">
        <f>IFERROR(__xludf.DUMMYFUNCTION("""COMPUTED_VALUE"""),"覅忒好")</f>
        <v>覅忒好</v>
      </c>
      <c r="G2845">
        <f>IFERROR(__xludf.DUMMYFUNCTION("""COMPUTED_VALUE"""),0.0)</f>
        <v>0</v>
      </c>
      <c r="H2845" s="5">
        <f>IFERROR(__xludf.DUMMYFUNCTION("""COMPUTED_VALUE"""),0.20763888888905058)</f>
        <v>0.2076388889</v>
      </c>
    </row>
    <row r="2846">
      <c r="A2846" t="str">
        <f>IFERROR(__xludf.DUMMYFUNCTION("""COMPUTED_VALUE"""),"Taiwan")</f>
        <v>Taiwan</v>
      </c>
      <c r="B2846" t="str">
        <f>IFERROR(__xludf.DUMMYFUNCTION("""COMPUTED_VALUE"""),"Asia")</f>
        <v>Asia</v>
      </c>
      <c r="C2846">
        <f>IFERROR(__xludf.DUMMYFUNCTION("""COMPUTED_VALUE"""),45.0)</f>
        <v>45</v>
      </c>
      <c r="D2846" t="str">
        <f>IFERROR(__xludf.DUMMYFUNCTION("""COMPUTED_VALUE"""),"Circles")</f>
        <v>Circles</v>
      </c>
      <c r="E2846" t="str">
        <f>IFERROR(__xludf.DUMMYFUNCTION("""COMPUTED_VALUE"""),"Post Malone")</f>
        <v>Post Malone</v>
      </c>
      <c r="F2846" t="str">
        <f>IFERROR(__xludf.DUMMYFUNCTION("""COMPUTED_VALUE"""),"Hollywood's Bleeding")</f>
        <v>Hollywood's Bleeding</v>
      </c>
      <c r="G2846">
        <f>IFERROR(__xludf.DUMMYFUNCTION("""COMPUTED_VALUE"""),0.0)</f>
        <v>0</v>
      </c>
      <c r="H2846" s="5">
        <f>IFERROR(__xludf.DUMMYFUNCTION("""COMPUTED_VALUE"""),0.14930555555474712)</f>
        <v>0.1493055556</v>
      </c>
    </row>
    <row r="2847">
      <c r="A2847" t="str">
        <f>IFERROR(__xludf.DUMMYFUNCTION("""COMPUTED_VALUE"""),"Taiwan")</f>
        <v>Taiwan</v>
      </c>
      <c r="B2847" t="str">
        <f>IFERROR(__xludf.DUMMYFUNCTION("""COMPUTED_VALUE"""),"Asia")</f>
        <v>Asia</v>
      </c>
      <c r="C2847">
        <f>IFERROR(__xludf.DUMMYFUNCTION("""COMPUTED_VALUE"""),46.0)</f>
        <v>46</v>
      </c>
      <c r="D2847" t="str">
        <f>IFERROR(__xludf.DUMMYFUNCTION("""COMPUTED_VALUE"""),"嚣张")</f>
        <v>嚣张</v>
      </c>
      <c r="E2847" t="str">
        <f>IFERROR(__xludf.DUMMYFUNCTION("""COMPUTED_VALUE"""),"En")</f>
        <v>En</v>
      </c>
      <c r="F2847" t="str">
        <f>IFERROR(__xludf.DUMMYFUNCTION("""COMPUTED_VALUE"""),"嚣张")</f>
        <v>嚣张</v>
      </c>
      <c r="G2847">
        <f>IFERROR(__xludf.DUMMYFUNCTION("""COMPUTED_VALUE"""),0.0)</f>
        <v>0</v>
      </c>
      <c r="H2847" s="5">
        <f>IFERROR(__xludf.DUMMYFUNCTION("""COMPUTED_VALUE"""),0.17569444444598048)</f>
        <v>0.1756944444</v>
      </c>
    </row>
    <row r="2848">
      <c r="A2848" t="str">
        <f>IFERROR(__xludf.DUMMYFUNCTION("""COMPUTED_VALUE"""),"Taiwan")</f>
        <v>Taiwan</v>
      </c>
      <c r="B2848" t="str">
        <f>IFERROR(__xludf.DUMMYFUNCTION("""COMPUTED_VALUE"""),"Asia")</f>
        <v>Asia</v>
      </c>
      <c r="C2848">
        <f>IFERROR(__xludf.DUMMYFUNCTION("""COMPUTED_VALUE"""),47.0)</f>
        <v>47</v>
      </c>
      <c r="D2848" t="str">
        <f>IFERROR(__xludf.DUMMYFUNCTION("""COMPUTED_VALUE"""),"WANNABE")</f>
        <v>WANNABE</v>
      </c>
      <c r="E2848" t="str">
        <f>IFERROR(__xludf.DUMMYFUNCTION("""COMPUTED_VALUE"""),"ITZY")</f>
        <v>ITZY</v>
      </c>
      <c r="F2848" t="str">
        <f>IFERROR(__xludf.DUMMYFUNCTION("""COMPUTED_VALUE"""),"IT'z ME")</f>
        <v>IT'z ME</v>
      </c>
      <c r="G2848">
        <f>IFERROR(__xludf.DUMMYFUNCTION("""COMPUTED_VALUE"""),0.0)</f>
        <v>0</v>
      </c>
      <c r="H2848" s="5">
        <f>IFERROR(__xludf.DUMMYFUNCTION("""COMPUTED_VALUE"""),0.13263888888832298)</f>
        <v>0.1326388889</v>
      </c>
    </row>
    <row r="2849">
      <c r="A2849" t="str">
        <f>IFERROR(__xludf.DUMMYFUNCTION("""COMPUTED_VALUE"""),"Taiwan")</f>
        <v>Taiwan</v>
      </c>
      <c r="B2849" t="str">
        <f>IFERROR(__xludf.DUMMYFUNCTION("""COMPUTED_VALUE"""),"Asia")</f>
        <v>Asia</v>
      </c>
      <c r="C2849">
        <f>IFERROR(__xludf.DUMMYFUNCTION("""COMPUTED_VALUE"""),48.0)</f>
        <v>48</v>
      </c>
      <c r="D2849" t="str">
        <f>IFERROR(__xludf.DUMMYFUNCTION("""COMPUTED_VALUE"""),"Blueberry Faygo")</f>
        <v>Blueberry Faygo</v>
      </c>
      <c r="E2849" t="str">
        <f>IFERROR(__xludf.DUMMYFUNCTION("""COMPUTED_VALUE"""),"Lil Mosey")</f>
        <v>Lil Mosey</v>
      </c>
      <c r="F2849" t="str">
        <f>IFERROR(__xludf.DUMMYFUNCTION("""COMPUTED_VALUE"""),"Certified Hitmaker")</f>
        <v>Certified Hitmaker</v>
      </c>
      <c r="G2849">
        <f>IFERROR(__xludf.DUMMYFUNCTION("""COMPUTED_VALUE"""),1.0)</f>
        <v>1</v>
      </c>
      <c r="H2849" s="5">
        <f>IFERROR(__xludf.DUMMYFUNCTION("""COMPUTED_VALUE"""),0.1124999999992724)</f>
        <v>0.1125</v>
      </c>
    </row>
    <row r="2850">
      <c r="A2850" t="str">
        <f>IFERROR(__xludf.DUMMYFUNCTION("""COMPUTED_VALUE"""),"Taiwan")</f>
        <v>Taiwan</v>
      </c>
      <c r="B2850" t="str">
        <f>IFERROR(__xludf.DUMMYFUNCTION("""COMPUTED_VALUE"""),"Asia")</f>
        <v>Asia</v>
      </c>
      <c r="C2850">
        <f>IFERROR(__xludf.DUMMYFUNCTION("""COMPUTED_VALUE"""),49.0)</f>
        <v>49</v>
      </c>
      <c r="D2850" t="str">
        <f>IFERROR(__xludf.DUMMYFUNCTION("""COMPUTED_VALUE"""),"THE SCOTTS")</f>
        <v>THE SCOTTS</v>
      </c>
      <c r="E2850" t="str">
        <f>IFERROR(__xludf.DUMMYFUNCTION("""COMPUTED_VALUE"""),"THE SCOTTS, Travis Scott, Kid Cudi")</f>
        <v>THE SCOTTS, Travis Scott, Kid Cudi</v>
      </c>
      <c r="F2850" t="str">
        <f>IFERROR(__xludf.DUMMYFUNCTION("""COMPUTED_VALUE"""),"THE SCOTTS")</f>
        <v>THE SCOTTS</v>
      </c>
      <c r="G2850">
        <f>IFERROR(__xludf.DUMMYFUNCTION("""COMPUTED_VALUE"""),1.0)</f>
        <v>1</v>
      </c>
      <c r="H2850" s="5">
        <f>IFERROR(__xludf.DUMMYFUNCTION("""COMPUTED_VALUE"""),0.11458333333212067)</f>
        <v>0.1145833333</v>
      </c>
    </row>
    <row r="2851">
      <c r="A2851" t="str">
        <f>IFERROR(__xludf.DUMMYFUNCTION("""COMPUTED_VALUE"""),"Taiwan")</f>
        <v>Taiwan</v>
      </c>
      <c r="B2851" t="str">
        <f>IFERROR(__xludf.DUMMYFUNCTION("""COMPUTED_VALUE"""),"Asia")</f>
        <v>Asia</v>
      </c>
      <c r="C2851">
        <f>IFERROR(__xludf.DUMMYFUNCTION("""COMPUTED_VALUE"""),50.0)</f>
        <v>50</v>
      </c>
      <c r="D2851" t="str">
        <f>IFERROR(__xludf.DUMMYFUNCTION("""COMPUTED_VALUE"""),"兜圈 (偶像劇「必娶女人」片尾曲)")</f>
        <v>兜圈 (偶像劇「必娶女人」片尾曲)</v>
      </c>
      <c r="E2851" t="str">
        <f>IFERROR(__xludf.DUMMYFUNCTION("""COMPUTED_VALUE"""),"Yoga Lin")</f>
        <v>Yoga Lin</v>
      </c>
      <c r="F2851" t="str">
        <f>IFERROR(__xludf.DUMMYFUNCTION("""COMPUTED_VALUE"""),"兜圈 (偶像劇「必娶女人」片尾曲)")</f>
        <v>兜圈 (偶像劇「必娶女人」片尾曲)</v>
      </c>
      <c r="G2851">
        <f>IFERROR(__xludf.DUMMYFUNCTION("""COMPUTED_VALUE"""),0.0)</f>
        <v>0</v>
      </c>
      <c r="H2851" s="5">
        <f>IFERROR(__xludf.DUMMYFUNCTION("""COMPUTED_VALUE"""),0.17013888889050577)</f>
        <v>0.1701388889</v>
      </c>
    </row>
    <row r="2852">
      <c r="A2852" t="str">
        <f>IFERROR(__xludf.DUMMYFUNCTION("""COMPUTED_VALUE"""),"Thailand")</f>
        <v>Thailand</v>
      </c>
      <c r="B2852" t="str">
        <f>IFERROR(__xludf.DUMMYFUNCTION("""COMPUTED_VALUE"""),"Asia")</f>
        <v>Asia</v>
      </c>
      <c r="C2852">
        <f>IFERROR(__xludf.DUMMYFUNCTION("""COMPUTED_VALUE"""),1.0)</f>
        <v>1</v>
      </c>
      <c r="D2852" t="str">
        <f>IFERROR(__xludf.DUMMYFUNCTION("""COMPUTED_VALUE"""),"คิด(แต่ไม่)ถึง (Same Page?)")</f>
        <v>คิด(แต่ไม่)ถึง (Same Page?)</v>
      </c>
      <c r="E2852" t="str">
        <f>IFERROR(__xludf.DUMMYFUNCTION("""COMPUTED_VALUE"""),"Tilly Birds")</f>
        <v>Tilly Birds</v>
      </c>
      <c r="F2852" t="str">
        <f>IFERROR(__xludf.DUMMYFUNCTION("""COMPUTED_VALUE"""),"คิด(แต่ไม่)ถึง (Same Page?)")</f>
        <v>คิด(แต่ไม่)ถึง (Same Page?)</v>
      </c>
      <c r="G2852">
        <f>IFERROR(__xludf.DUMMYFUNCTION("""COMPUTED_VALUE"""),0.0)</f>
        <v>0</v>
      </c>
      <c r="H2852" s="5">
        <f>IFERROR(__xludf.DUMMYFUNCTION("""COMPUTED_VALUE"""),0.18472222222044365)</f>
        <v>0.1847222222</v>
      </c>
    </row>
    <row r="2853">
      <c r="A2853" t="str">
        <f>IFERROR(__xludf.DUMMYFUNCTION("""COMPUTED_VALUE"""),"Thailand")</f>
        <v>Thailand</v>
      </c>
      <c r="B2853" t="str">
        <f>IFERROR(__xludf.DUMMYFUNCTION("""COMPUTED_VALUE"""),"Asia")</f>
        <v>Asia</v>
      </c>
      <c r="C2853">
        <f>IFERROR(__xludf.DUMMYFUNCTION("""COMPUTED_VALUE"""),2.0)</f>
        <v>2</v>
      </c>
      <c r="D2853" t="str">
        <f>IFERROR(__xludf.DUMMYFUNCTION("""COMPUTED_VALUE"""),"วาฬเกยตื้น")</f>
        <v>วาฬเกยตื้น</v>
      </c>
      <c r="E2853" t="str">
        <f>IFERROR(__xludf.DUMMYFUNCTION("""COMPUTED_VALUE"""),"GUNGUN")</f>
        <v>GUNGUN</v>
      </c>
      <c r="F2853" t="str">
        <f>IFERROR(__xludf.DUMMYFUNCTION("""COMPUTED_VALUE"""),"วาฬเกยตื้น")</f>
        <v>วาฬเกยตื้น</v>
      </c>
      <c r="G2853">
        <f>IFERROR(__xludf.DUMMYFUNCTION("""COMPUTED_VALUE"""),0.0)</f>
        <v>0</v>
      </c>
      <c r="H2853" s="5">
        <f>IFERROR(__xludf.DUMMYFUNCTION("""COMPUTED_VALUE"""),0.1569444444430701)</f>
        <v>0.1569444444</v>
      </c>
    </row>
    <row r="2854">
      <c r="A2854" t="str">
        <f>IFERROR(__xludf.DUMMYFUNCTION("""COMPUTED_VALUE"""),"Thailand")</f>
        <v>Thailand</v>
      </c>
      <c r="B2854" t="str">
        <f>IFERROR(__xludf.DUMMYFUNCTION("""COMPUTED_VALUE"""),"Asia")</f>
        <v>Asia</v>
      </c>
      <c r="C2854">
        <f>IFERROR(__xludf.DUMMYFUNCTION("""COMPUTED_VALUE"""),3.0)</f>
        <v>3</v>
      </c>
      <c r="D2854" t="str">
        <f>IFERROR(__xludf.DUMMYFUNCTION("""COMPUTED_VALUE"""),"นิโคติน")</f>
        <v>นิโคติน</v>
      </c>
      <c r="E2854" t="str">
        <f>IFERROR(__xludf.DUMMYFUNCTION("""COMPUTED_VALUE"""),"Mirrr")</f>
        <v>Mirrr</v>
      </c>
      <c r="F2854" t="str">
        <f>IFERROR(__xludf.DUMMYFUNCTION("""COMPUTED_VALUE"""),"นิโคติน")</f>
        <v>นิโคติน</v>
      </c>
      <c r="G2854">
        <f>IFERROR(__xludf.DUMMYFUNCTION("""COMPUTED_VALUE"""),0.0)</f>
        <v>0</v>
      </c>
      <c r="H2854" s="5">
        <f>IFERROR(__xludf.DUMMYFUNCTION("""COMPUTED_VALUE"""),0.1500000000014552)</f>
        <v>0.15</v>
      </c>
    </row>
    <row r="2855">
      <c r="A2855" t="str">
        <f>IFERROR(__xludf.DUMMYFUNCTION("""COMPUTED_VALUE"""),"Thailand")</f>
        <v>Thailand</v>
      </c>
      <c r="B2855" t="str">
        <f>IFERROR(__xludf.DUMMYFUNCTION("""COMPUTED_VALUE"""),"Asia")</f>
        <v>Asia</v>
      </c>
      <c r="C2855">
        <f>IFERROR(__xludf.DUMMYFUNCTION("""COMPUTED_VALUE"""),4.0)</f>
        <v>4</v>
      </c>
      <c r="D2855" t="str">
        <f>IFERROR(__xludf.DUMMYFUNCTION("""COMPUTED_VALUE"""),"ฝนตกไหม")</f>
        <v>ฝนตกไหม</v>
      </c>
      <c r="E2855" t="str">
        <f>IFERROR(__xludf.DUMMYFUNCTION("""COMPUTED_VALUE"""),"Three Man Down")</f>
        <v>Three Man Down</v>
      </c>
      <c r="F2855" t="str">
        <f>IFERROR(__xludf.DUMMYFUNCTION("""COMPUTED_VALUE"""),"ฝนตกไหม")</f>
        <v>ฝนตกไหม</v>
      </c>
      <c r="G2855">
        <f>IFERROR(__xludf.DUMMYFUNCTION("""COMPUTED_VALUE"""),0.0)</f>
        <v>0</v>
      </c>
      <c r="H2855" s="5">
        <f>IFERROR(__xludf.DUMMYFUNCTION("""COMPUTED_VALUE"""),0.1819444444445253)</f>
        <v>0.1819444444</v>
      </c>
    </row>
    <row r="2856">
      <c r="A2856" t="str">
        <f>IFERROR(__xludf.DUMMYFUNCTION("""COMPUTED_VALUE"""),"Thailand")</f>
        <v>Thailand</v>
      </c>
      <c r="B2856" t="str">
        <f>IFERROR(__xludf.DUMMYFUNCTION("""COMPUTED_VALUE"""),"Asia")</f>
        <v>Asia</v>
      </c>
      <c r="C2856">
        <f>IFERROR(__xludf.DUMMYFUNCTION("""COMPUTED_VALUE"""),5.0)</f>
        <v>5</v>
      </c>
      <c r="D2856" t="str">
        <f>IFERROR(__xludf.DUMMYFUNCTION("""COMPUTED_VALUE"""),"Stuck with U (with Justin Bieber)")</f>
        <v>Stuck with U (with Justin Bieber)</v>
      </c>
      <c r="E2856" t="str">
        <f>IFERROR(__xludf.DUMMYFUNCTION("""COMPUTED_VALUE"""),"Ariana Grande, Justin Bieber")</f>
        <v>Ariana Grande, Justin Bieber</v>
      </c>
      <c r="F2856" t="str">
        <f>IFERROR(__xludf.DUMMYFUNCTION("""COMPUTED_VALUE"""),"Stuck with U")</f>
        <v>Stuck with U</v>
      </c>
      <c r="G2856">
        <f>IFERROR(__xludf.DUMMYFUNCTION("""COMPUTED_VALUE"""),0.0)</f>
        <v>0</v>
      </c>
      <c r="H2856" s="5">
        <f>IFERROR(__xludf.DUMMYFUNCTION("""COMPUTED_VALUE"""),0.15833333333284827)</f>
        <v>0.1583333333</v>
      </c>
    </row>
    <row r="2857">
      <c r="A2857" t="str">
        <f>IFERROR(__xludf.DUMMYFUNCTION("""COMPUTED_VALUE"""),"Thailand")</f>
        <v>Thailand</v>
      </c>
      <c r="B2857" t="str">
        <f>IFERROR(__xludf.DUMMYFUNCTION("""COMPUTED_VALUE"""),"Asia")</f>
        <v>Asia</v>
      </c>
      <c r="C2857">
        <f>IFERROR(__xludf.DUMMYFUNCTION("""COMPUTED_VALUE"""),6.0)</f>
        <v>6</v>
      </c>
      <c r="D2857" t="str">
        <f>IFERROR(__xludf.DUMMYFUNCTION("""COMPUTED_VALUE"""),"ลงใจ")</f>
        <v>ลงใจ</v>
      </c>
      <c r="E2857" t="str">
        <f>IFERROR(__xludf.DUMMYFUNCTION("""COMPUTED_VALUE"""),"BOWKYLION")</f>
        <v>BOWKYLION</v>
      </c>
      <c r="F2857" t="str">
        <f>IFERROR(__xludf.DUMMYFUNCTION("""COMPUTED_VALUE"""),"ลงใจ")</f>
        <v>ลงใจ</v>
      </c>
      <c r="G2857">
        <f>IFERROR(__xludf.DUMMYFUNCTION("""COMPUTED_VALUE"""),0.0)</f>
        <v>0</v>
      </c>
      <c r="H2857" s="5">
        <f>IFERROR(__xludf.DUMMYFUNCTION("""COMPUTED_VALUE"""),0.1500000000014552)</f>
        <v>0.15</v>
      </c>
    </row>
    <row r="2858">
      <c r="A2858" t="str">
        <f>IFERROR(__xludf.DUMMYFUNCTION("""COMPUTED_VALUE"""),"Thailand")</f>
        <v>Thailand</v>
      </c>
      <c r="B2858" t="str">
        <f>IFERROR(__xludf.DUMMYFUNCTION("""COMPUTED_VALUE"""),"Asia")</f>
        <v>Asia</v>
      </c>
      <c r="C2858">
        <f>IFERROR(__xludf.DUMMYFUNCTION("""COMPUTED_VALUE"""),7.0)</f>
        <v>7</v>
      </c>
      <c r="D2858" t="str">
        <f>IFERROR(__xludf.DUMMYFUNCTION("""COMPUTED_VALUE"""),"Rain On Me (with Ariana Grande)")</f>
        <v>Rain On Me (with Ariana Grande)</v>
      </c>
      <c r="E2858" t="str">
        <f>IFERROR(__xludf.DUMMYFUNCTION("""COMPUTED_VALUE"""),"Lady Gaga, Ariana Grande")</f>
        <v>Lady Gaga, Ariana Grande</v>
      </c>
      <c r="F2858" t="str">
        <f>IFERROR(__xludf.DUMMYFUNCTION("""COMPUTED_VALUE"""),"Rain On Me (with Ariana Grande)")</f>
        <v>Rain On Me (with Ariana Grande)</v>
      </c>
      <c r="G2858">
        <f>IFERROR(__xludf.DUMMYFUNCTION("""COMPUTED_VALUE"""),0.0)</f>
        <v>0</v>
      </c>
      <c r="H2858" s="5">
        <f>IFERROR(__xludf.DUMMYFUNCTION("""COMPUTED_VALUE"""),0.12638888888977817)</f>
        <v>0.1263888889</v>
      </c>
    </row>
    <row r="2859">
      <c r="A2859" t="str">
        <f>IFERROR(__xludf.DUMMYFUNCTION("""COMPUTED_VALUE"""),"Thailand")</f>
        <v>Thailand</v>
      </c>
      <c r="B2859" t="str">
        <f>IFERROR(__xludf.DUMMYFUNCTION("""COMPUTED_VALUE"""),"Asia")</f>
        <v>Asia</v>
      </c>
      <c r="C2859">
        <f>IFERROR(__xludf.DUMMYFUNCTION("""COMPUTED_VALUE"""),8.0)</f>
        <v>8</v>
      </c>
      <c r="D2859" t="str">
        <f>IFERROR(__xludf.DUMMYFUNCTION("""COMPUTED_VALUE"""),"ใกล้")</f>
        <v>ใกล้</v>
      </c>
      <c r="E2859" t="str">
        <f>IFERROR(__xludf.DUMMYFUNCTION("""COMPUTED_VALUE"""),"Scrubb")</f>
        <v>Scrubb</v>
      </c>
      <c r="F2859" t="str">
        <f>IFERROR(__xludf.DUMMYFUNCTION("""COMPUTED_VALUE"""),"Club")</f>
        <v>Club</v>
      </c>
      <c r="G2859">
        <f>IFERROR(__xludf.DUMMYFUNCTION("""COMPUTED_VALUE"""),0.0)</f>
        <v>0</v>
      </c>
      <c r="H2859" s="5">
        <f>IFERROR(__xludf.DUMMYFUNCTION("""COMPUTED_VALUE"""),0.17847222222189885)</f>
        <v>0.1784722222</v>
      </c>
    </row>
    <row r="2860">
      <c r="A2860" t="str">
        <f>IFERROR(__xludf.DUMMYFUNCTION("""COMPUTED_VALUE"""),"Thailand")</f>
        <v>Thailand</v>
      </c>
      <c r="B2860" t="str">
        <f>IFERROR(__xludf.DUMMYFUNCTION("""COMPUTED_VALUE"""),"Asia")</f>
        <v>Asia</v>
      </c>
      <c r="C2860">
        <f>IFERROR(__xludf.DUMMYFUNCTION("""COMPUTED_VALUE"""),9.0)</f>
        <v>9</v>
      </c>
      <c r="D2860" t="str">
        <f>IFERROR(__xludf.DUMMYFUNCTION("""COMPUTED_VALUE"""),"หรือฉันคิดไปเอง")</f>
        <v>หรือฉันคิดไปเอง</v>
      </c>
      <c r="E2860" t="str">
        <f>IFERROR(__xludf.DUMMYFUNCTION("""COMPUTED_VALUE"""),"Zommarie")</f>
        <v>Zommarie</v>
      </c>
      <c r="F2860" t="str">
        <f>IFERROR(__xludf.DUMMYFUNCTION("""COMPUTED_VALUE"""),"หรือฉันคิดไปเอง")</f>
        <v>หรือฉันคิดไปเอง</v>
      </c>
      <c r="G2860">
        <f>IFERROR(__xludf.DUMMYFUNCTION("""COMPUTED_VALUE"""),0.0)</f>
        <v>0</v>
      </c>
      <c r="H2860" s="5">
        <f>IFERROR(__xludf.DUMMYFUNCTION("""COMPUTED_VALUE"""),0.1500000000014552)</f>
        <v>0.15</v>
      </c>
    </row>
    <row r="2861">
      <c r="A2861" t="str">
        <f>IFERROR(__xludf.DUMMYFUNCTION("""COMPUTED_VALUE"""),"Thailand")</f>
        <v>Thailand</v>
      </c>
      <c r="B2861" t="str">
        <f>IFERROR(__xludf.DUMMYFUNCTION("""COMPUTED_VALUE"""),"Asia")</f>
        <v>Asia</v>
      </c>
      <c r="C2861">
        <f>IFERROR(__xludf.DUMMYFUNCTION("""COMPUTED_VALUE"""),10.0)</f>
        <v>10</v>
      </c>
      <c r="D2861" t="str">
        <f>IFERROR(__xludf.DUMMYFUNCTION("""COMPUTED_VALUE"""),"eight(Prod.&amp;Feat. SUGA of BTS)")</f>
        <v>eight(Prod.&amp;Feat. SUGA of BTS)</v>
      </c>
      <c r="E2861" t="str">
        <f>IFERROR(__xludf.DUMMYFUNCTION("""COMPUTED_VALUE"""),"IU, SUGA")</f>
        <v>IU, SUGA</v>
      </c>
      <c r="F2861" t="str">
        <f>IFERROR(__xludf.DUMMYFUNCTION("""COMPUTED_VALUE"""),"eight")</f>
        <v>eight</v>
      </c>
      <c r="G2861">
        <f>IFERROR(__xludf.DUMMYFUNCTION("""COMPUTED_VALUE"""),0.0)</f>
        <v>0</v>
      </c>
      <c r="H2861" s="5">
        <f>IFERROR(__xludf.DUMMYFUNCTION("""COMPUTED_VALUE"""),0.11597222222189885)</f>
        <v>0.1159722222</v>
      </c>
    </row>
    <row r="2862">
      <c r="A2862" t="str">
        <f>IFERROR(__xludf.DUMMYFUNCTION("""COMPUTED_VALUE"""),"Thailand")</f>
        <v>Thailand</v>
      </c>
      <c r="B2862" t="str">
        <f>IFERROR(__xludf.DUMMYFUNCTION("""COMPUTED_VALUE"""),"Asia")</f>
        <v>Asia</v>
      </c>
      <c r="C2862">
        <f>IFERROR(__xludf.DUMMYFUNCTION("""COMPUTED_VALUE"""),11.0)</f>
        <v>11</v>
      </c>
      <c r="D2862" t="str">
        <f>IFERROR(__xludf.DUMMYFUNCTION("""COMPUTED_VALUE"""),"Blueberry Faygo")</f>
        <v>Blueberry Faygo</v>
      </c>
      <c r="E2862" t="str">
        <f>IFERROR(__xludf.DUMMYFUNCTION("""COMPUTED_VALUE"""),"Lil Mosey")</f>
        <v>Lil Mosey</v>
      </c>
      <c r="F2862" t="str">
        <f>IFERROR(__xludf.DUMMYFUNCTION("""COMPUTED_VALUE"""),"Certified Hitmaker")</f>
        <v>Certified Hitmaker</v>
      </c>
      <c r="G2862">
        <f>IFERROR(__xludf.DUMMYFUNCTION("""COMPUTED_VALUE"""),1.0)</f>
        <v>1</v>
      </c>
      <c r="H2862" s="5">
        <f>IFERROR(__xludf.DUMMYFUNCTION("""COMPUTED_VALUE"""),0.1124999999992724)</f>
        <v>0.1125</v>
      </c>
    </row>
    <row r="2863">
      <c r="A2863" t="str">
        <f>IFERROR(__xludf.DUMMYFUNCTION("""COMPUTED_VALUE"""),"Thailand")</f>
        <v>Thailand</v>
      </c>
      <c r="B2863" t="str">
        <f>IFERROR(__xludf.DUMMYFUNCTION("""COMPUTED_VALUE"""),"Asia")</f>
        <v>Asia</v>
      </c>
      <c r="C2863">
        <f>IFERROR(__xludf.DUMMYFUNCTION("""COMPUTED_VALUE"""),12.0)</f>
        <v>12</v>
      </c>
      <c r="D2863" t="str">
        <f>IFERROR(__xludf.DUMMYFUNCTION("""COMPUTED_VALUE"""),"คั่นกู - เพลงประกอบซีรีส์ เพราะเราคู่กัน")</f>
        <v>คั่นกู - เพลงประกอบซีรีส์ เพราะเราคู่กัน</v>
      </c>
      <c r="E2863" t="str">
        <f>IFERROR(__xludf.DUMMYFUNCTION("""COMPUTED_VALUE"""),"ไบร์ท วชิรวิชญ์")</f>
        <v>ไบร์ท วชิรวิชญ์</v>
      </c>
      <c r="F2863" t="str">
        <f>IFERROR(__xludf.DUMMYFUNCTION("""COMPUTED_VALUE"""),"เพลงประกอบซีรีส์ เพราะเราคู่กัน")</f>
        <v>เพลงประกอบซีรีส์ เพราะเราคู่กัน</v>
      </c>
      <c r="G2863">
        <f>IFERROR(__xludf.DUMMYFUNCTION("""COMPUTED_VALUE"""),0.0)</f>
        <v>0</v>
      </c>
      <c r="H2863" s="5">
        <f>IFERROR(__xludf.DUMMYFUNCTION("""COMPUTED_VALUE"""),0.1687500000007276)</f>
        <v>0.16875</v>
      </c>
    </row>
    <row r="2864">
      <c r="A2864" t="str">
        <f>IFERROR(__xludf.DUMMYFUNCTION("""COMPUTED_VALUE"""),"Thailand")</f>
        <v>Thailand</v>
      </c>
      <c r="B2864" t="str">
        <f>IFERROR(__xludf.DUMMYFUNCTION("""COMPUTED_VALUE"""),"Asia")</f>
        <v>Asia</v>
      </c>
      <c r="C2864">
        <f>IFERROR(__xludf.DUMMYFUNCTION("""COMPUTED_VALUE"""),13.0)</f>
        <v>13</v>
      </c>
      <c r="D2864" t="str">
        <f>IFERROR(__xludf.DUMMYFUNCTION("""COMPUTED_VALUE"""),"คิดถึงแต่")</f>
        <v>คิดถึงแต่</v>
      </c>
      <c r="E2864" t="str">
        <f>IFERROR(__xludf.DUMMYFUNCTION("""COMPUTED_VALUE"""),"BOWKYLION")</f>
        <v>BOWKYLION</v>
      </c>
      <c r="F2864" t="str">
        <f>IFERROR(__xludf.DUMMYFUNCTION("""COMPUTED_VALUE"""),"คิดถึงแต่")</f>
        <v>คิดถึงแต่</v>
      </c>
      <c r="G2864">
        <f>IFERROR(__xludf.DUMMYFUNCTION("""COMPUTED_VALUE"""),0.0)</f>
        <v>0</v>
      </c>
      <c r="H2864" s="5">
        <f>IFERROR(__xludf.DUMMYFUNCTION("""COMPUTED_VALUE"""),0.12916666666569654)</f>
        <v>0.1291666667</v>
      </c>
    </row>
    <row r="2865">
      <c r="A2865" t="str">
        <f>IFERROR(__xludf.DUMMYFUNCTION("""COMPUTED_VALUE"""),"Thailand")</f>
        <v>Thailand</v>
      </c>
      <c r="B2865" t="str">
        <f>IFERROR(__xludf.DUMMYFUNCTION("""COMPUTED_VALUE"""),"Asia")</f>
        <v>Asia</v>
      </c>
      <c r="C2865">
        <f>IFERROR(__xludf.DUMMYFUNCTION("""COMPUTED_VALUE"""),14.0)</f>
        <v>14</v>
      </c>
      <c r="D2865" t="str">
        <f>IFERROR(__xludf.DUMMYFUNCTION("""COMPUTED_VALUE"""),"Best Part (feat. Daniel Caesar)")</f>
        <v>Best Part (feat. Daniel Caesar)</v>
      </c>
      <c r="E2865" t="str">
        <f>IFERROR(__xludf.DUMMYFUNCTION("""COMPUTED_VALUE"""),"H.E.R., Daniel Caesar")</f>
        <v>H.E.R., Daniel Caesar</v>
      </c>
      <c r="F2865" t="str">
        <f>IFERROR(__xludf.DUMMYFUNCTION("""COMPUTED_VALUE"""),"H.E.R.")</f>
        <v>H.E.R.</v>
      </c>
      <c r="G2865">
        <f>IFERROR(__xludf.DUMMYFUNCTION("""COMPUTED_VALUE"""),0.0)</f>
        <v>0</v>
      </c>
      <c r="H2865" s="5">
        <f>IFERROR(__xludf.DUMMYFUNCTION("""COMPUTED_VALUE"""),0.14513888888905058)</f>
        <v>0.1451388889</v>
      </c>
    </row>
    <row r="2866">
      <c r="A2866" t="str">
        <f>IFERROR(__xludf.DUMMYFUNCTION("""COMPUTED_VALUE"""),"Thailand")</f>
        <v>Thailand</v>
      </c>
      <c r="B2866" t="str">
        <f>IFERROR(__xludf.DUMMYFUNCTION("""COMPUTED_VALUE"""),"Asia")</f>
        <v>Asia</v>
      </c>
      <c r="C2866">
        <f>IFERROR(__xludf.DUMMYFUNCTION("""COMPUTED_VALUE"""),15.0)</f>
        <v>15</v>
      </c>
      <c r="D2866" t="str">
        <f>IFERROR(__xludf.DUMMYFUNCTION("""COMPUTED_VALUE"""),"คนเราจะแอบรักใครสักคนได้นานแค่ไหน")</f>
        <v>คนเราจะแอบรักใครสักคนได้นานแค่ไหน</v>
      </c>
      <c r="E2866" t="str">
        <f>IFERROR(__xludf.DUMMYFUNCTION("""COMPUTED_VALUE"""),"Rooftop, AUTTA")</f>
        <v>Rooftop, AUTTA</v>
      </c>
      <c r="F2866" t="str">
        <f>IFERROR(__xludf.DUMMYFUNCTION("""COMPUTED_VALUE"""),"คนเราจะแอบรักใครสักคนได้นานแค่ไหน")</f>
        <v>คนเราจะแอบรักใครสักคนได้นานแค่ไหน</v>
      </c>
      <c r="G2866">
        <f>IFERROR(__xludf.DUMMYFUNCTION("""COMPUTED_VALUE"""),0.0)</f>
        <v>0</v>
      </c>
      <c r="H2866" s="5">
        <f>IFERROR(__xludf.DUMMYFUNCTION("""COMPUTED_VALUE"""),0.13958333333357587)</f>
        <v>0.1395833333</v>
      </c>
    </row>
    <row r="2867">
      <c r="A2867" t="str">
        <f>IFERROR(__xludf.DUMMYFUNCTION("""COMPUTED_VALUE"""),"Thailand")</f>
        <v>Thailand</v>
      </c>
      <c r="B2867" t="str">
        <f>IFERROR(__xludf.DUMMYFUNCTION("""COMPUTED_VALUE"""),"Asia")</f>
        <v>Asia</v>
      </c>
      <c r="C2867">
        <f>IFERROR(__xludf.DUMMYFUNCTION("""COMPUTED_VALUE"""),16.0)</f>
        <v>16</v>
      </c>
      <c r="D2867" t="str">
        <f>IFERROR(__xludf.DUMMYFUNCTION("""COMPUTED_VALUE"""),"ตกลงฉันคิดไปเองใช่ไหม - เพลงประกอบซีรีส์ เพราะเราคู่กัน")</f>
        <v>ตกลงฉันคิดไปเองใช่ไหม - เพลงประกอบซีรีส์ เพราะเราคู่กัน</v>
      </c>
      <c r="E2867" t="str">
        <f>IFERROR(__xludf.DUMMYFUNCTION("""COMPUTED_VALUE"""),"ไบร์ท วชิรวิชญ์")</f>
        <v>ไบร์ท วชิรวิชญ์</v>
      </c>
      <c r="F2867" t="str">
        <f>IFERROR(__xludf.DUMMYFUNCTION("""COMPUTED_VALUE"""),"เพลงประกอบซีรีส์ เพราะเราคู่กัน")</f>
        <v>เพลงประกอบซีรีส์ เพราะเราคู่กัน</v>
      </c>
      <c r="G2867">
        <f>IFERROR(__xludf.DUMMYFUNCTION("""COMPUTED_VALUE"""),0.0)</f>
        <v>0</v>
      </c>
      <c r="H2867" s="5">
        <f>IFERROR(__xludf.DUMMYFUNCTION("""COMPUTED_VALUE"""),0.17222222222335404)</f>
        <v>0.1722222222</v>
      </c>
    </row>
    <row r="2868">
      <c r="A2868" t="str">
        <f>IFERROR(__xludf.DUMMYFUNCTION("""COMPUTED_VALUE"""),"Thailand")</f>
        <v>Thailand</v>
      </c>
      <c r="B2868" t="str">
        <f>IFERROR(__xludf.DUMMYFUNCTION("""COMPUTED_VALUE"""),"Asia")</f>
        <v>Asia</v>
      </c>
      <c r="C2868">
        <f>IFERROR(__xludf.DUMMYFUNCTION("""COMPUTED_VALUE"""),17.0)</f>
        <v>17</v>
      </c>
      <c r="D2868" t="str">
        <f>IFERROR(__xludf.DUMMYFUNCTION("""COMPUTED_VALUE"""),"death bed (coffee for your head) (feat. beabadoobee)")</f>
        <v>death bed (coffee for your head) (feat. beabadoobee)</v>
      </c>
      <c r="E2868" t="str">
        <f>IFERROR(__xludf.DUMMYFUNCTION("""COMPUTED_VALUE"""),"Powfu, beabadoobee")</f>
        <v>Powfu, beabadoobee</v>
      </c>
      <c r="F2868" t="str">
        <f>IFERROR(__xludf.DUMMYFUNCTION("""COMPUTED_VALUE"""),"death bed (coffee for your head) (feat. beabadoobee)")</f>
        <v>death bed (coffee for your head) (feat. beabadoobee)</v>
      </c>
      <c r="G2868">
        <f>IFERROR(__xludf.DUMMYFUNCTION("""COMPUTED_VALUE"""),0.0)</f>
        <v>0</v>
      </c>
      <c r="H2868" s="5">
        <f>IFERROR(__xludf.DUMMYFUNCTION("""COMPUTED_VALUE"""),0.12013888888759539)</f>
        <v>0.1201388889</v>
      </c>
    </row>
    <row r="2869">
      <c r="A2869" t="str">
        <f>IFERROR(__xludf.DUMMYFUNCTION("""COMPUTED_VALUE"""),"Thailand")</f>
        <v>Thailand</v>
      </c>
      <c r="B2869" t="str">
        <f>IFERROR(__xludf.DUMMYFUNCTION("""COMPUTED_VALUE"""),"Asia")</f>
        <v>Asia</v>
      </c>
      <c r="C2869">
        <f>IFERROR(__xludf.DUMMYFUNCTION("""COMPUTED_VALUE"""),18.0)</f>
        <v>18</v>
      </c>
      <c r="D2869" t="str">
        <f>IFERROR(__xludf.DUMMYFUNCTION("""COMPUTED_VALUE"""),"กอดในใจ")</f>
        <v>กอดในใจ</v>
      </c>
      <c r="E2869" t="str">
        <f>IFERROR(__xludf.DUMMYFUNCTION("""COMPUTED_VALUE"""),"Billkin, JAYLERR")</f>
        <v>Billkin, JAYLERR</v>
      </c>
      <c r="F2869" t="str">
        <f>IFERROR(__xludf.DUMMYFUNCTION("""COMPUTED_VALUE"""),"กอดในใจ")</f>
        <v>กอดในใจ</v>
      </c>
      <c r="G2869">
        <f>IFERROR(__xludf.DUMMYFUNCTION("""COMPUTED_VALUE"""),0.0)</f>
        <v>0</v>
      </c>
      <c r="H2869" s="5">
        <f>IFERROR(__xludf.DUMMYFUNCTION("""COMPUTED_VALUE"""),0.1506944444445253)</f>
        <v>0.1506944444</v>
      </c>
    </row>
    <row r="2870">
      <c r="A2870" t="str">
        <f>IFERROR(__xludf.DUMMYFUNCTION("""COMPUTED_VALUE"""),"Thailand")</f>
        <v>Thailand</v>
      </c>
      <c r="B2870" t="str">
        <f>IFERROR(__xludf.DUMMYFUNCTION("""COMPUTED_VALUE"""),"Asia")</f>
        <v>Asia</v>
      </c>
      <c r="C2870">
        <f>IFERROR(__xludf.DUMMYFUNCTION("""COMPUTED_VALUE"""),19.0)</f>
        <v>19</v>
      </c>
      <c r="D2870" t="str">
        <f>IFERROR(__xludf.DUMMYFUNCTION("""COMPUTED_VALUE"""),"ดี๊ดี (UNEXPECTED)")</f>
        <v>ดี๊ดี (UNEXPECTED)</v>
      </c>
      <c r="E2870" t="str">
        <f>IFERROR(__xludf.DUMMYFUNCTION("""COMPUTED_VALUE"""),"JAYLERR, PARIS")</f>
        <v>JAYLERR, PARIS</v>
      </c>
      <c r="F2870" t="str">
        <f>IFERROR(__xludf.DUMMYFUNCTION("""COMPUTED_VALUE"""),"ดี๊ดี (UNEXPECTED)")</f>
        <v>ดี๊ดี (UNEXPECTED)</v>
      </c>
      <c r="G2870">
        <f>IFERROR(__xludf.DUMMYFUNCTION("""COMPUTED_VALUE"""),0.0)</f>
        <v>0</v>
      </c>
      <c r="H2870" s="5">
        <f>IFERROR(__xludf.DUMMYFUNCTION("""COMPUTED_VALUE"""),0.13402777777810115)</f>
        <v>0.1340277778</v>
      </c>
    </row>
    <row r="2871">
      <c r="A2871" t="str">
        <f>IFERROR(__xludf.DUMMYFUNCTION("""COMPUTED_VALUE"""),"Thailand")</f>
        <v>Thailand</v>
      </c>
      <c r="B2871" t="str">
        <f>IFERROR(__xludf.DUMMYFUNCTION("""COMPUTED_VALUE"""),"Asia")</f>
        <v>Asia</v>
      </c>
      <c r="C2871">
        <f>IFERROR(__xludf.DUMMYFUNCTION("""COMPUTED_VALUE"""),20.0)</f>
        <v>20</v>
      </c>
      <c r="D2871" t="str">
        <f>IFERROR(__xludf.DUMMYFUNCTION("""COMPUTED_VALUE"""),"แอบดี (How to live without you)")</f>
        <v>แอบดี (How to live without you)</v>
      </c>
      <c r="E2871" t="str">
        <f>IFERROR(__xludf.DUMMYFUNCTION("""COMPUTED_VALUE"""),"Stamp")</f>
        <v>Stamp</v>
      </c>
      <c r="F2871" t="str">
        <f>IFERROR(__xludf.DUMMYFUNCTION("""COMPUTED_VALUE"""),"แอบดี (How to live without you)")</f>
        <v>แอบดี (How to live without you)</v>
      </c>
      <c r="G2871">
        <f>IFERROR(__xludf.DUMMYFUNCTION("""COMPUTED_VALUE"""),0.0)</f>
        <v>0</v>
      </c>
      <c r="H2871" s="5">
        <f>IFERROR(__xludf.DUMMYFUNCTION("""COMPUTED_VALUE"""),0.16736111111094942)</f>
        <v>0.1673611111</v>
      </c>
    </row>
    <row r="2872">
      <c r="A2872" t="str">
        <f>IFERROR(__xludf.DUMMYFUNCTION("""COMPUTED_VALUE"""),"Thailand")</f>
        <v>Thailand</v>
      </c>
      <c r="B2872" t="str">
        <f>IFERROR(__xludf.DUMMYFUNCTION("""COMPUTED_VALUE"""),"Asia")</f>
        <v>Asia</v>
      </c>
      <c r="C2872">
        <f>IFERROR(__xludf.DUMMYFUNCTION("""COMPUTED_VALUE"""),21.0)</f>
        <v>21</v>
      </c>
      <c r="D2872" t="str">
        <f>IFERROR(__xludf.DUMMYFUNCTION("""COMPUTED_VALUE"""),"good guys")</f>
        <v>good guys</v>
      </c>
      <c r="E2872" t="str">
        <f>IFERROR(__xludf.DUMMYFUNCTION("""COMPUTED_VALUE"""),"LANY")</f>
        <v>LANY</v>
      </c>
      <c r="F2872" t="str">
        <f>IFERROR(__xludf.DUMMYFUNCTION("""COMPUTED_VALUE"""),"good guys")</f>
        <v>good guys</v>
      </c>
      <c r="G2872">
        <f>IFERROR(__xludf.DUMMYFUNCTION("""COMPUTED_VALUE"""),0.0)</f>
        <v>0</v>
      </c>
      <c r="H2872" s="5">
        <f>IFERROR(__xludf.DUMMYFUNCTION("""COMPUTED_VALUE"""),0.1555555555569299)</f>
        <v>0.1555555556</v>
      </c>
    </row>
    <row r="2873">
      <c r="A2873" t="str">
        <f>IFERROR(__xludf.DUMMYFUNCTION("""COMPUTED_VALUE"""),"Thailand")</f>
        <v>Thailand</v>
      </c>
      <c r="B2873" t="str">
        <f>IFERROR(__xludf.DUMMYFUNCTION("""COMPUTED_VALUE"""),"Asia")</f>
        <v>Asia</v>
      </c>
      <c r="C2873">
        <f>IFERROR(__xludf.DUMMYFUNCTION("""COMPUTED_VALUE"""),22.0)</f>
        <v>22</v>
      </c>
      <c r="D2873" t="str">
        <f>IFERROR(__xludf.DUMMYFUNCTION("""COMPUTED_VALUE"""),"ทุกอย่าง")</f>
        <v>ทุกอย่าง</v>
      </c>
      <c r="E2873" t="str">
        <f>IFERROR(__xludf.DUMMYFUNCTION("""COMPUTED_VALUE"""),"Scrubb")</f>
        <v>Scrubb</v>
      </c>
      <c r="F2873" t="str">
        <f>IFERROR(__xludf.DUMMYFUNCTION("""COMPUTED_VALUE"""),"SSSSS..!")</f>
        <v>SSSSS..!</v>
      </c>
      <c r="G2873">
        <f>IFERROR(__xludf.DUMMYFUNCTION("""COMPUTED_VALUE"""),0.0)</f>
        <v>0</v>
      </c>
      <c r="H2873" s="5">
        <f>IFERROR(__xludf.DUMMYFUNCTION("""COMPUTED_VALUE"""),0.17777777777882875)</f>
        <v>0.1777777778</v>
      </c>
    </row>
    <row r="2874">
      <c r="A2874" t="str">
        <f>IFERROR(__xludf.DUMMYFUNCTION("""COMPUTED_VALUE"""),"Thailand")</f>
        <v>Thailand</v>
      </c>
      <c r="B2874" t="str">
        <f>IFERROR(__xludf.DUMMYFUNCTION("""COMPUTED_VALUE"""),"Asia")</f>
        <v>Asia</v>
      </c>
      <c r="C2874">
        <f>IFERROR(__xludf.DUMMYFUNCTION("""COMPUTED_VALUE"""),23.0)</f>
        <v>23</v>
      </c>
      <c r="D2874" t="str">
        <f>IFERROR(__xludf.DUMMYFUNCTION("""COMPUTED_VALUE"""),"เลือกคนที่เขารักเรา")</f>
        <v>เลือกคนที่เขารักเรา</v>
      </c>
      <c r="E2874" t="str">
        <f>IFERROR(__xludf.DUMMYFUNCTION("""COMPUTED_VALUE"""),"Three Man Down")</f>
        <v>Three Man Down</v>
      </c>
      <c r="F2874" t="str">
        <f>IFERROR(__xludf.DUMMYFUNCTION("""COMPUTED_VALUE"""),"เลือกคนที่เขารักเรา")</f>
        <v>เลือกคนที่เขารักเรา</v>
      </c>
      <c r="G2874">
        <f>IFERROR(__xludf.DUMMYFUNCTION("""COMPUTED_VALUE"""),0.0)</f>
        <v>0</v>
      </c>
      <c r="H2874" s="5">
        <f>IFERROR(__xludf.DUMMYFUNCTION("""COMPUTED_VALUE"""),0.15833333333284827)</f>
        <v>0.1583333333</v>
      </c>
    </row>
    <row r="2875">
      <c r="A2875" t="str">
        <f>IFERROR(__xludf.DUMMYFUNCTION("""COMPUTED_VALUE"""),"Thailand")</f>
        <v>Thailand</v>
      </c>
      <c r="B2875" t="str">
        <f>IFERROR(__xludf.DUMMYFUNCTION("""COMPUTED_VALUE"""),"Asia")</f>
        <v>Asia</v>
      </c>
      <c r="C2875">
        <f>IFERROR(__xludf.DUMMYFUNCTION("""COMPUTED_VALUE"""),24.0)</f>
        <v>24</v>
      </c>
      <c r="D2875" t="str">
        <f>IFERROR(__xludf.DUMMYFUNCTION("""COMPUTED_VALUE"""),"Intentions (feat. Quavo)")</f>
        <v>Intentions (feat. Quavo)</v>
      </c>
      <c r="E2875" t="str">
        <f>IFERROR(__xludf.DUMMYFUNCTION("""COMPUTED_VALUE"""),"Justin Bieber, Quavo")</f>
        <v>Justin Bieber, Quavo</v>
      </c>
      <c r="F2875" t="str">
        <f>IFERROR(__xludf.DUMMYFUNCTION("""COMPUTED_VALUE"""),"Changes")</f>
        <v>Changes</v>
      </c>
      <c r="G2875">
        <f>IFERROR(__xludf.DUMMYFUNCTION("""COMPUTED_VALUE"""),0.0)</f>
        <v>0</v>
      </c>
      <c r="H2875" s="5">
        <f>IFERROR(__xludf.DUMMYFUNCTION("""COMPUTED_VALUE"""),0.14722222222189885)</f>
        <v>0.1472222222</v>
      </c>
    </row>
    <row r="2876">
      <c r="A2876" t="str">
        <f>IFERROR(__xludf.DUMMYFUNCTION("""COMPUTED_VALUE"""),"Thailand")</f>
        <v>Thailand</v>
      </c>
      <c r="B2876" t="str">
        <f>IFERROR(__xludf.DUMMYFUNCTION("""COMPUTED_VALUE"""),"Asia")</f>
        <v>Asia</v>
      </c>
      <c r="C2876">
        <f>IFERROR(__xludf.DUMMYFUNCTION("""COMPUTED_VALUE"""),25.0)</f>
        <v>25</v>
      </c>
      <c r="D2876" t="str">
        <f>IFERROR(__xludf.DUMMYFUNCTION("""COMPUTED_VALUE"""),"ภาวนา")</f>
        <v>ภาวนา</v>
      </c>
      <c r="E2876" t="str">
        <f>IFERROR(__xludf.DUMMYFUNCTION("""COMPUTED_VALUE"""),"MEYOU")</f>
        <v>MEYOU</v>
      </c>
      <c r="F2876" t="str">
        <f>IFERROR(__xludf.DUMMYFUNCTION("""COMPUTED_VALUE"""),"ภาวนา")</f>
        <v>ภาวนา</v>
      </c>
      <c r="G2876">
        <f>IFERROR(__xludf.DUMMYFUNCTION("""COMPUTED_VALUE"""),0.0)</f>
        <v>0</v>
      </c>
      <c r="H2876" s="5">
        <f>IFERROR(__xludf.DUMMYFUNCTION("""COMPUTED_VALUE"""),0.11111111110949423)</f>
        <v>0.1111111111</v>
      </c>
    </row>
    <row r="2877">
      <c r="A2877" t="str">
        <f>IFERROR(__xludf.DUMMYFUNCTION("""COMPUTED_VALUE"""),"Thailand")</f>
        <v>Thailand</v>
      </c>
      <c r="B2877" t="str">
        <f>IFERROR(__xludf.DUMMYFUNCTION("""COMPUTED_VALUE"""),"Asia")</f>
        <v>Asia</v>
      </c>
      <c r="C2877">
        <f>IFERROR(__xludf.DUMMYFUNCTION("""COMPUTED_VALUE"""),26.0)</f>
        <v>26</v>
      </c>
      <c r="D2877" t="str">
        <f>IFERROR(__xludf.DUMMYFUNCTION("""COMPUTED_VALUE"""),"Daechwita")</f>
        <v>Daechwita</v>
      </c>
      <c r="E2877" t="str">
        <f>IFERROR(__xludf.DUMMYFUNCTION("""COMPUTED_VALUE"""),"Agust D")</f>
        <v>Agust D</v>
      </c>
      <c r="F2877" t="str">
        <f>IFERROR(__xludf.DUMMYFUNCTION("""COMPUTED_VALUE"""),"D-2")</f>
        <v>D-2</v>
      </c>
      <c r="G2877">
        <f>IFERROR(__xludf.DUMMYFUNCTION("""COMPUTED_VALUE"""),1.0)</f>
        <v>1</v>
      </c>
      <c r="H2877" s="5">
        <f>IFERROR(__xludf.DUMMYFUNCTION("""COMPUTED_VALUE"""),0.15625)</f>
        <v>0.15625</v>
      </c>
    </row>
    <row r="2878">
      <c r="A2878" t="str">
        <f>IFERROR(__xludf.DUMMYFUNCTION("""COMPUTED_VALUE"""),"Thailand")</f>
        <v>Thailand</v>
      </c>
      <c r="B2878" t="str">
        <f>IFERROR(__xludf.DUMMYFUNCTION("""COMPUTED_VALUE"""),"Asia")</f>
        <v>Asia</v>
      </c>
      <c r="C2878">
        <f>IFERROR(__xludf.DUMMYFUNCTION("""COMPUTED_VALUE"""),27.0)</f>
        <v>27</v>
      </c>
      <c r="D2878" t="str">
        <f>IFERROR(__xludf.DUMMYFUNCTION("""COMPUTED_VALUE"""),"รางวัลปลอบใจ")</f>
        <v>รางวัลปลอบใจ</v>
      </c>
      <c r="E2878" t="str">
        <f>IFERROR(__xludf.DUMMYFUNCTION("""COMPUTED_VALUE"""),"Zommarie, Lazyloxy")</f>
        <v>Zommarie, Lazyloxy</v>
      </c>
      <c r="F2878" t="str">
        <f>IFERROR(__xludf.DUMMYFUNCTION("""COMPUTED_VALUE"""),"รางวัลปลอบใจ")</f>
        <v>รางวัลปลอบใจ</v>
      </c>
      <c r="G2878">
        <f>IFERROR(__xludf.DUMMYFUNCTION("""COMPUTED_VALUE"""),0.0)</f>
        <v>0</v>
      </c>
      <c r="H2878" s="5">
        <f>IFERROR(__xludf.DUMMYFUNCTION("""COMPUTED_VALUE"""),0.20694444444598048)</f>
        <v>0.2069444444</v>
      </c>
    </row>
    <row r="2879">
      <c r="A2879" t="str">
        <f>IFERROR(__xludf.DUMMYFUNCTION("""COMPUTED_VALUE"""),"Thailand")</f>
        <v>Thailand</v>
      </c>
      <c r="B2879" t="str">
        <f>IFERROR(__xludf.DUMMYFUNCTION("""COMPUTED_VALUE"""),"Asia")</f>
        <v>Asia</v>
      </c>
      <c r="C2879">
        <f>IFERROR(__xludf.DUMMYFUNCTION("""COMPUTED_VALUE"""),28.0)</f>
        <v>28</v>
      </c>
      <c r="D2879" t="str">
        <f>IFERROR(__xludf.DUMMYFUNCTION("""COMPUTED_VALUE"""),"เมษา (MAYSA) feat. BLACKSHEEP")</f>
        <v>เมษา (MAYSA) feat. BLACKSHEEP</v>
      </c>
      <c r="E2879" t="str">
        <f>IFERROR(__xludf.DUMMYFUNCTION("""COMPUTED_VALUE"""),"fellow fellow")</f>
        <v>fellow fellow</v>
      </c>
      <c r="F2879" t="str">
        <f>IFERROR(__xludf.DUMMYFUNCTION("""COMPUTED_VALUE"""),"เมษา (MAYSA)")</f>
        <v>เมษา (MAYSA)</v>
      </c>
      <c r="G2879">
        <f>IFERROR(__xludf.DUMMYFUNCTION("""COMPUTED_VALUE"""),0.0)</f>
        <v>0</v>
      </c>
      <c r="H2879" s="5">
        <f>IFERROR(__xludf.DUMMYFUNCTION("""COMPUTED_VALUE"""),0.16597222222117125)</f>
        <v>0.1659722222</v>
      </c>
    </row>
    <row r="2880">
      <c r="A2880" t="str">
        <f>IFERROR(__xludf.DUMMYFUNCTION("""COMPUTED_VALUE"""),"Thailand")</f>
        <v>Thailand</v>
      </c>
      <c r="B2880" t="str">
        <f>IFERROR(__xludf.DUMMYFUNCTION("""COMPUTED_VALUE"""),"Asia")</f>
        <v>Asia</v>
      </c>
      <c r="C2880">
        <f>IFERROR(__xludf.DUMMYFUNCTION("""COMPUTED_VALUE"""),29.0)</f>
        <v>29</v>
      </c>
      <c r="D2880" t="str">
        <f>IFERROR(__xludf.DUMMYFUNCTION("""COMPUTED_VALUE"""),"ถ้าฉันเป็นเขา")</f>
        <v>ถ้าฉันเป็นเขา</v>
      </c>
      <c r="E2880" t="str">
        <f>IFERROR(__xludf.DUMMYFUNCTION("""COMPUTED_VALUE"""),"Indigo")</f>
        <v>Indigo</v>
      </c>
      <c r="F2880" t="str">
        <f>IFERROR(__xludf.DUMMYFUNCTION("""COMPUTED_VALUE"""),"ถ้าฉันเป็นเขา")</f>
        <v>ถ้าฉันเป็นเขา</v>
      </c>
      <c r="G2880">
        <f>IFERROR(__xludf.DUMMYFUNCTION("""COMPUTED_VALUE"""),0.0)</f>
        <v>0</v>
      </c>
      <c r="H2880" s="5">
        <f>IFERROR(__xludf.DUMMYFUNCTION("""COMPUTED_VALUE"""),0.16736111111094942)</f>
        <v>0.1673611111</v>
      </c>
    </row>
    <row r="2881">
      <c r="A2881" t="str">
        <f>IFERROR(__xludf.DUMMYFUNCTION("""COMPUTED_VALUE"""),"Thailand")</f>
        <v>Thailand</v>
      </c>
      <c r="B2881" t="str">
        <f>IFERROR(__xludf.DUMMYFUNCTION("""COMPUTED_VALUE"""),"Asia")</f>
        <v>Asia</v>
      </c>
      <c r="C2881">
        <f>IFERROR(__xludf.DUMMYFUNCTION("""COMPUTED_VALUE"""),30.0)</f>
        <v>30</v>
      </c>
      <c r="D2881" t="str">
        <f>IFERROR(__xludf.DUMMYFUNCTION("""COMPUTED_VALUE"""),"A Rocket to the Moon")</f>
        <v>A Rocket to the Moon</v>
      </c>
      <c r="E2881" t="str">
        <f>IFERROR(__xludf.DUMMYFUNCTION("""COMPUTED_VALUE"""),"Gavin D")</f>
        <v>Gavin D</v>
      </c>
      <c r="F2881" t="str">
        <f>IFERROR(__xludf.DUMMYFUNCTION("""COMPUTED_VALUE"""),"A Rocket to the Moon")</f>
        <v>A Rocket to the Moon</v>
      </c>
      <c r="G2881">
        <f>IFERROR(__xludf.DUMMYFUNCTION("""COMPUTED_VALUE"""),0.0)</f>
        <v>0</v>
      </c>
      <c r="H2881" s="5">
        <f>IFERROR(__xludf.DUMMYFUNCTION("""COMPUTED_VALUE"""),0.20208333333357587)</f>
        <v>0.2020833333</v>
      </c>
    </row>
    <row r="2882">
      <c r="A2882" t="str">
        <f>IFERROR(__xludf.DUMMYFUNCTION("""COMPUTED_VALUE"""),"Thailand")</f>
        <v>Thailand</v>
      </c>
      <c r="B2882" t="str">
        <f>IFERROR(__xludf.DUMMYFUNCTION("""COMPUTED_VALUE"""),"Asia")</f>
        <v>Asia</v>
      </c>
      <c r="C2882">
        <f>IFERROR(__xludf.DUMMYFUNCTION("""COMPUTED_VALUE"""),31.0)</f>
        <v>31</v>
      </c>
      <c r="D2882" t="str">
        <f>IFERROR(__xludf.DUMMYFUNCTION("""COMPUTED_VALUE"""),"ข้างเดียว")</f>
        <v>ข้างเดียว</v>
      </c>
      <c r="E2882" t="str">
        <f>IFERROR(__xludf.DUMMYFUNCTION("""COMPUTED_VALUE"""),"Chart Suchart")</f>
        <v>Chart Suchart</v>
      </c>
      <c r="F2882" t="str">
        <f>IFERROR(__xludf.DUMMYFUNCTION("""COMPUTED_VALUE"""),"ข้างเดียว")</f>
        <v>ข้างเดียว</v>
      </c>
      <c r="G2882">
        <f>IFERROR(__xludf.DUMMYFUNCTION("""COMPUTED_VALUE"""),0.0)</f>
        <v>0</v>
      </c>
      <c r="H2882" s="5">
        <f>IFERROR(__xludf.DUMMYFUNCTION("""COMPUTED_VALUE"""),0.1749999999992724)</f>
        <v>0.175</v>
      </c>
    </row>
    <row r="2883">
      <c r="A2883" t="str">
        <f>IFERROR(__xludf.DUMMYFUNCTION("""COMPUTED_VALUE"""),"Thailand")</f>
        <v>Thailand</v>
      </c>
      <c r="B2883" t="str">
        <f>IFERROR(__xludf.DUMMYFUNCTION("""COMPUTED_VALUE"""),"Asia")</f>
        <v>Asia</v>
      </c>
      <c r="C2883">
        <f>IFERROR(__xludf.DUMMYFUNCTION("""COMPUTED_VALUE"""),32.0)</f>
        <v>32</v>
      </c>
      <c r="D2883" t="str">
        <f>IFERROR(__xludf.DUMMYFUNCTION("""COMPUTED_VALUE"""),"รักได้ป่าว")</f>
        <v>รักได้ป่าว</v>
      </c>
      <c r="E2883" t="str">
        <f>IFERROR(__xludf.DUMMYFUNCTION("""COMPUTED_VALUE"""),"Gavin D, PUI, VARINZ, Nonny9, Z TRIP, MITEENNN")</f>
        <v>Gavin D, PUI, VARINZ, Nonny9, Z TRIP, MITEENNN</v>
      </c>
      <c r="F2883" t="str">
        <f>IFERROR(__xludf.DUMMYFUNCTION("""COMPUTED_VALUE"""),"รักได้ป่าว")</f>
        <v>รักได้ป่าว</v>
      </c>
      <c r="G2883">
        <f>IFERROR(__xludf.DUMMYFUNCTION("""COMPUTED_VALUE"""),0.0)</f>
        <v>0</v>
      </c>
      <c r="H2883" s="5">
        <f>IFERROR(__xludf.DUMMYFUNCTION("""COMPUTED_VALUE"""),0.1555555555569299)</f>
        <v>0.1555555556</v>
      </c>
    </row>
    <row r="2884">
      <c r="A2884" t="str">
        <f>IFERROR(__xludf.DUMMYFUNCTION("""COMPUTED_VALUE"""),"Thailand")</f>
        <v>Thailand</v>
      </c>
      <c r="B2884" t="str">
        <f>IFERROR(__xludf.DUMMYFUNCTION("""COMPUTED_VALUE"""),"Asia")</f>
        <v>Asia</v>
      </c>
      <c r="C2884">
        <f>IFERROR(__xludf.DUMMYFUNCTION("""COMPUTED_VALUE"""),33.0)</f>
        <v>33</v>
      </c>
      <c r="D2884" t="str">
        <f>IFERROR(__xludf.DUMMYFUNCTION("""COMPUTED_VALUE"""),"หวง (You're Mine)")</f>
        <v>หวง (You're Mine)</v>
      </c>
      <c r="E2884" t="str">
        <f>IFERROR(__xludf.DUMMYFUNCTION("""COMPUTED_VALUE"""),"Earth Patravee")</f>
        <v>Earth Patravee</v>
      </c>
      <c r="F2884" t="str">
        <f>IFERROR(__xludf.DUMMYFUNCTION("""COMPUTED_VALUE"""),"หวง (You're Mine)")</f>
        <v>หวง (You're Mine)</v>
      </c>
      <c r="G2884">
        <f>IFERROR(__xludf.DUMMYFUNCTION("""COMPUTED_VALUE"""),0.0)</f>
        <v>0</v>
      </c>
      <c r="H2884" s="5">
        <f>IFERROR(__xludf.DUMMYFUNCTION("""COMPUTED_VALUE"""),0.1500000000014552)</f>
        <v>0.15</v>
      </c>
    </row>
    <row r="2885">
      <c r="A2885" t="str">
        <f>IFERROR(__xludf.DUMMYFUNCTION("""COMPUTED_VALUE"""),"Thailand")</f>
        <v>Thailand</v>
      </c>
      <c r="B2885" t="str">
        <f>IFERROR(__xludf.DUMMYFUNCTION("""COMPUTED_VALUE"""),"Asia")</f>
        <v>Asia</v>
      </c>
      <c r="C2885">
        <f>IFERROR(__xludf.DUMMYFUNCTION("""COMPUTED_VALUE"""),34.0)</f>
        <v>34</v>
      </c>
      <c r="D2885" t="str">
        <f>IFERROR(__xludf.DUMMYFUNCTION("""COMPUTED_VALUE"""),"โลกอีกใบ")</f>
        <v>โลกอีกใบ</v>
      </c>
      <c r="E2885" t="str">
        <f>IFERROR(__xludf.DUMMYFUNCTION("""COMPUTED_VALUE"""),"Zommarie, Oat Pramote")</f>
        <v>Zommarie, Oat Pramote</v>
      </c>
      <c r="F2885" t="str">
        <f>IFERROR(__xludf.DUMMYFUNCTION("""COMPUTED_VALUE"""),"โลกอีกใบ")</f>
        <v>โลกอีกใบ</v>
      </c>
      <c r="G2885">
        <f>IFERROR(__xludf.DUMMYFUNCTION("""COMPUTED_VALUE"""),0.0)</f>
        <v>0</v>
      </c>
      <c r="H2885" s="5">
        <f>IFERROR(__xludf.DUMMYFUNCTION("""COMPUTED_VALUE"""),0.13680555555401952)</f>
        <v>0.1368055556</v>
      </c>
    </row>
    <row r="2886">
      <c r="A2886" t="str">
        <f>IFERROR(__xludf.DUMMYFUNCTION("""COMPUTED_VALUE"""),"Thailand")</f>
        <v>Thailand</v>
      </c>
      <c r="B2886" t="str">
        <f>IFERROR(__xludf.DUMMYFUNCTION("""COMPUTED_VALUE"""),"Asia")</f>
        <v>Asia</v>
      </c>
      <c r="C2886">
        <f>IFERROR(__xludf.DUMMYFUNCTION("""COMPUTED_VALUE"""),35.0)</f>
        <v>35</v>
      </c>
      <c r="D2886" t="str">
        <f>IFERROR(__xludf.DUMMYFUNCTION("""COMPUTED_VALUE"""),"เจ็บจนพอ")</f>
        <v>เจ็บจนพอ</v>
      </c>
      <c r="E2886" t="str">
        <f>IFERROR(__xludf.DUMMYFUNCTION("""COMPUTED_VALUE"""),"Wanyai")</f>
        <v>Wanyai</v>
      </c>
      <c r="F2886" t="str">
        <f>IFERROR(__xludf.DUMMYFUNCTION("""COMPUTED_VALUE"""),"เจ็บจนพอ")</f>
        <v>เจ็บจนพอ</v>
      </c>
      <c r="G2886">
        <f>IFERROR(__xludf.DUMMYFUNCTION("""COMPUTED_VALUE"""),0.0)</f>
        <v>0</v>
      </c>
      <c r="H2886" s="5">
        <f>IFERROR(__xludf.DUMMYFUNCTION("""COMPUTED_VALUE"""),0.19236111111240461)</f>
        <v>0.1923611111</v>
      </c>
    </row>
    <row r="2887">
      <c r="A2887" t="str">
        <f>IFERROR(__xludf.DUMMYFUNCTION("""COMPUTED_VALUE"""),"Thailand")</f>
        <v>Thailand</v>
      </c>
      <c r="B2887" t="str">
        <f>IFERROR(__xludf.DUMMYFUNCTION("""COMPUTED_VALUE"""),"Asia")</f>
        <v>Asia</v>
      </c>
      <c r="C2887">
        <f>IFERROR(__xludf.DUMMYFUNCTION("""COMPUTED_VALUE"""),36.0)</f>
        <v>36</v>
      </c>
      <c r="D2887" t="str">
        <f>IFERROR(__xludf.DUMMYFUNCTION("""COMPUTED_VALUE"""),"ทิ้งแต่เก็บ - เพลงประกอบภาพยนตร์ ฮาวทูทิ้ง..ทิ้งอย่างไร ไม่ให้เหลือเธอ")</f>
        <v>ทิ้งแต่เก็บ - เพลงประกอบภาพยนตร์ ฮาวทูทิ้ง..ทิ้งอย่างไร ไม่ให้เหลือเธอ</v>
      </c>
      <c r="E2887" t="str">
        <f>IFERROR(__xludf.DUMMYFUNCTION("""COMPUTED_VALUE"""),"The Toys")</f>
        <v>The Toys</v>
      </c>
      <c r="F2887" t="str">
        <f>IFERROR(__xludf.DUMMYFUNCTION("""COMPUTED_VALUE"""),"เพลงประกอบภาพยนตร์ ฮาวทูทิ้ง..ทิ้งอย่างไร ไม่ให้เหลือเธอ")</f>
        <v>เพลงประกอบภาพยนตร์ ฮาวทูทิ้ง..ทิ้งอย่างไร ไม่ให้เหลือเธอ</v>
      </c>
      <c r="G2887">
        <f>IFERROR(__xludf.DUMMYFUNCTION("""COMPUTED_VALUE"""),0.0)</f>
        <v>0</v>
      </c>
      <c r="H2887" s="5">
        <f>IFERROR(__xludf.DUMMYFUNCTION("""COMPUTED_VALUE"""),0.10416666666787933)</f>
        <v>0.1041666667</v>
      </c>
    </row>
    <row r="2888">
      <c r="A2888" t="str">
        <f>IFERROR(__xludf.DUMMYFUNCTION("""COMPUTED_VALUE"""),"Thailand")</f>
        <v>Thailand</v>
      </c>
      <c r="B2888" t="str">
        <f>IFERROR(__xludf.DUMMYFUNCTION("""COMPUTED_VALUE"""),"Asia")</f>
        <v>Asia</v>
      </c>
      <c r="C2888">
        <f>IFERROR(__xludf.DUMMYFUNCTION("""COMPUTED_VALUE"""),37.0)</f>
        <v>37</v>
      </c>
      <c r="D2888" t="str">
        <f>IFERROR(__xludf.DUMMYFUNCTION("""COMPUTED_VALUE"""),"ลืมว่าต้องลืม (Forgot to forget)")</f>
        <v>ลืมว่าต้องลืม (Forgot to forget)</v>
      </c>
      <c r="E2888" t="str">
        <f>IFERROR(__xludf.DUMMYFUNCTION("""COMPUTED_VALUE"""),"Getsunova")</f>
        <v>Getsunova</v>
      </c>
      <c r="F2888" t="str">
        <f>IFERROR(__xludf.DUMMYFUNCTION("""COMPUTED_VALUE"""),"ลืมว่าต้องลืม (Forgot to forget)")</f>
        <v>ลืมว่าต้องลืม (Forgot to forget)</v>
      </c>
      <c r="G2888">
        <f>IFERROR(__xludf.DUMMYFUNCTION("""COMPUTED_VALUE"""),0.0)</f>
        <v>0</v>
      </c>
      <c r="H2888" s="5">
        <f>IFERROR(__xludf.DUMMYFUNCTION("""COMPUTED_VALUE"""),0.14791666666496894)</f>
        <v>0.1479166667</v>
      </c>
    </row>
    <row r="2889">
      <c r="A2889" t="str">
        <f>IFERROR(__xludf.DUMMYFUNCTION("""COMPUTED_VALUE"""),"Thailand")</f>
        <v>Thailand</v>
      </c>
      <c r="B2889" t="str">
        <f>IFERROR(__xludf.DUMMYFUNCTION("""COMPUTED_VALUE"""),"Asia")</f>
        <v>Asia</v>
      </c>
      <c r="C2889">
        <f>IFERROR(__xludf.DUMMYFUNCTION("""COMPUTED_VALUE"""),38.0)</f>
        <v>38</v>
      </c>
      <c r="D2889" t="str">
        <f>IFERROR(__xludf.DUMMYFUNCTION("""COMPUTED_VALUE"""),"Be Kind (with Halsey)")</f>
        <v>Be Kind (with Halsey)</v>
      </c>
      <c r="E2889" t="str">
        <f>IFERROR(__xludf.DUMMYFUNCTION("""COMPUTED_VALUE"""),"Marshmello, Halsey")</f>
        <v>Marshmello, Halsey</v>
      </c>
      <c r="F2889" t="str">
        <f>IFERROR(__xludf.DUMMYFUNCTION("""COMPUTED_VALUE"""),"Be Kind (with Halsey)")</f>
        <v>Be Kind (with Halsey)</v>
      </c>
      <c r="G2889">
        <f>IFERROR(__xludf.DUMMYFUNCTION("""COMPUTED_VALUE"""),0.0)</f>
        <v>0</v>
      </c>
      <c r="H2889" s="5">
        <f>IFERROR(__xludf.DUMMYFUNCTION("""COMPUTED_VALUE"""),0.11944444444452529)</f>
        <v>0.1194444444</v>
      </c>
    </row>
    <row r="2890">
      <c r="A2890" t="str">
        <f>IFERROR(__xludf.DUMMYFUNCTION("""COMPUTED_VALUE"""),"Thailand")</f>
        <v>Thailand</v>
      </c>
      <c r="B2890" t="str">
        <f>IFERROR(__xludf.DUMMYFUNCTION("""COMPUTED_VALUE"""),"Asia")</f>
        <v>Asia</v>
      </c>
      <c r="C2890">
        <f>IFERROR(__xludf.DUMMYFUNCTION("""COMPUTED_VALUE"""),39.0)</f>
        <v>39</v>
      </c>
      <c r="D2890" t="str">
        <f>IFERROR(__xludf.DUMMYFUNCTION("""COMPUTED_VALUE"""),"Psycho")</f>
        <v>Psycho</v>
      </c>
      <c r="E2890" t="str">
        <f>IFERROR(__xludf.DUMMYFUNCTION("""COMPUTED_VALUE"""),"Red Velvet")</f>
        <v>Red Velvet</v>
      </c>
      <c r="F2890" t="str">
        <f>IFERROR(__xludf.DUMMYFUNCTION("""COMPUTED_VALUE"""),"‘The ReVe Festival’ Finale")</f>
        <v>‘The ReVe Festival’ Finale</v>
      </c>
      <c r="G2890">
        <f>IFERROR(__xludf.DUMMYFUNCTION("""COMPUTED_VALUE"""),0.0)</f>
        <v>0</v>
      </c>
      <c r="H2890" s="5">
        <f>IFERROR(__xludf.DUMMYFUNCTION("""COMPUTED_VALUE"""),0.14583333333212067)</f>
        <v>0.1458333333</v>
      </c>
    </row>
    <row r="2891">
      <c r="A2891" t="str">
        <f>IFERROR(__xludf.DUMMYFUNCTION("""COMPUTED_VALUE"""),"Thailand")</f>
        <v>Thailand</v>
      </c>
      <c r="B2891" t="str">
        <f>IFERROR(__xludf.DUMMYFUNCTION("""COMPUTED_VALUE"""),"Asia")</f>
        <v>Asia</v>
      </c>
      <c r="C2891">
        <f>IFERROR(__xludf.DUMMYFUNCTION("""COMPUTED_VALUE"""),40.0)</f>
        <v>40</v>
      </c>
      <c r="D2891" t="str">
        <f>IFERROR(__xludf.DUMMYFUNCTION("""COMPUTED_VALUE"""),"แค่นี้...พอ")</f>
        <v>แค่นี้...พอ</v>
      </c>
      <c r="E2891" t="str">
        <f>IFERROR(__xludf.DUMMYFUNCTION("""COMPUTED_VALUE"""),"The Parkinson")</f>
        <v>The Parkinson</v>
      </c>
      <c r="F2891" t="str">
        <f>IFERROR(__xludf.DUMMYFUNCTION("""COMPUTED_VALUE"""),"แรก")</f>
        <v>แรก</v>
      </c>
      <c r="G2891">
        <f>IFERROR(__xludf.DUMMYFUNCTION("""COMPUTED_VALUE"""),0.0)</f>
        <v>0</v>
      </c>
      <c r="H2891" s="5">
        <f>IFERROR(__xludf.DUMMYFUNCTION("""COMPUTED_VALUE"""),0.15902777777955635)</f>
        <v>0.1590277778</v>
      </c>
    </row>
    <row r="2892">
      <c r="A2892" t="str">
        <f>IFERROR(__xludf.DUMMYFUNCTION("""COMPUTED_VALUE"""),"Thailand")</f>
        <v>Thailand</v>
      </c>
      <c r="B2892" t="str">
        <f>IFERROR(__xludf.DUMMYFUNCTION("""COMPUTED_VALUE"""),"Asia")</f>
        <v>Asia</v>
      </c>
      <c r="C2892">
        <f>IFERROR(__xludf.DUMMYFUNCTION("""COMPUTED_VALUE"""),41.0)</f>
        <v>41</v>
      </c>
      <c r="D2892" t="str">
        <f>IFERROR(__xludf.DUMMYFUNCTION("""COMPUTED_VALUE"""),"Say So (feat. Nicki Minaj)")</f>
        <v>Say So (feat. Nicki Minaj)</v>
      </c>
      <c r="E2892" t="str">
        <f>IFERROR(__xludf.DUMMYFUNCTION("""COMPUTED_VALUE"""),"Doja Cat, Nicki Minaj")</f>
        <v>Doja Cat, Nicki Minaj</v>
      </c>
      <c r="F2892" t="str">
        <f>IFERROR(__xludf.DUMMYFUNCTION("""COMPUTED_VALUE"""),"Say So (feat. Nicki Minaj)")</f>
        <v>Say So (feat. Nicki Minaj)</v>
      </c>
      <c r="G2892">
        <f>IFERROR(__xludf.DUMMYFUNCTION("""COMPUTED_VALUE"""),1.0)</f>
        <v>1</v>
      </c>
      <c r="H2892" s="5">
        <f>IFERROR(__xludf.DUMMYFUNCTION("""COMPUTED_VALUE"""),0.1430555555562023)</f>
        <v>0.1430555556</v>
      </c>
    </row>
    <row r="2893">
      <c r="A2893" t="str">
        <f>IFERROR(__xludf.DUMMYFUNCTION("""COMPUTED_VALUE"""),"Thailand")</f>
        <v>Thailand</v>
      </c>
      <c r="B2893" t="str">
        <f>IFERROR(__xludf.DUMMYFUNCTION("""COMPUTED_VALUE"""),"Asia")</f>
        <v>Asia</v>
      </c>
      <c r="C2893">
        <f>IFERROR(__xludf.DUMMYFUNCTION("""COMPUTED_VALUE"""),42.0)</f>
        <v>42</v>
      </c>
      <c r="D2893" t="str">
        <f>IFERROR(__xludf.DUMMYFUNCTION("""COMPUTED_VALUE"""),"หัวหิน")</f>
        <v>หัวหิน</v>
      </c>
      <c r="E2893" t="str">
        <f>IFERROR(__xludf.DUMMYFUNCTION("""COMPUTED_VALUE"""),"Wanyai")</f>
        <v>Wanyai</v>
      </c>
      <c r="F2893" t="str">
        <f>IFERROR(__xludf.DUMMYFUNCTION("""COMPUTED_VALUE"""),"หัวหิน")</f>
        <v>หัวหิน</v>
      </c>
      <c r="G2893">
        <f>IFERROR(__xludf.DUMMYFUNCTION("""COMPUTED_VALUE"""),0.0)</f>
        <v>0</v>
      </c>
      <c r="H2893" s="5">
        <f>IFERROR(__xludf.DUMMYFUNCTION("""COMPUTED_VALUE"""),0.15486111111022183)</f>
        <v>0.1548611111</v>
      </c>
    </row>
    <row r="2894">
      <c r="A2894" t="str">
        <f>IFERROR(__xludf.DUMMYFUNCTION("""COMPUTED_VALUE"""),"Thailand")</f>
        <v>Thailand</v>
      </c>
      <c r="B2894" t="str">
        <f>IFERROR(__xludf.DUMMYFUNCTION("""COMPUTED_VALUE"""),"Asia")</f>
        <v>Asia</v>
      </c>
      <c r="C2894">
        <f>IFERROR(__xludf.DUMMYFUNCTION("""COMPUTED_VALUE"""),43.0)</f>
        <v>43</v>
      </c>
      <c r="D2894" t="str">
        <f>IFERROR(__xludf.DUMMYFUNCTION("""COMPUTED_VALUE"""),"Punch")</f>
        <v>Punch</v>
      </c>
      <c r="E2894" t="str">
        <f>IFERROR(__xludf.DUMMYFUNCTION("""COMPUTED_VALUE"""),"NCT 127")</f>
        <v>NCT 127</v>
      </c>
      <c r="F2894" t="str">
        <f>IFERROR(__xludf.DUMMYFUNCTION("""COMPUTED_VALUE"""),"NCT #127 Neo Zone: The Final Round - The 2nd Album Repackage")</f>
        <v>NCT #127 Neo Zone: The Final Round - The 2nd Album Repackage</v>
      </c>
      <c r="G2894">
        <f>IFERROR(__xludf.DUMMYFUNCTION("""COMPUTED_VALUE"""),0.0)</f>
        <v>0</v>
      </c>
      <c r="H2894" s="5">
        <f>IFERROR(__xludf.DUMMYFUNCTION("""COMPUTED_VALUE"""),0.14166666666642413)</f>
        <v>0.1416666667</v>
      </c>
    </row>
    <row r="2895">
      <c r="A2895" t="str">
        <f>IFERROR(__xludf.DUMMYFUNCTION("""COMPUTED_VALUE"""),"Thailand")</f>
        <v>Thailand</v>
      </c>
      <c r="B2895" t="str">
        <f>IFERROR(__xludf.DUMMYFUNCTION("""COMPUTED_VALUE"""),"Asia")</f>
        <v>Asia</v>
      </c>
      <c r="C2895">
        <f>IFERROR(__xludf.DUMMYFUNCTION("""COMPUTED_VALUE"""),44.0)</f>
        <v>44</v>
      </c>
      <c r="D2895" t="str">
        <f>IFERROR(__xludf.DUMMYFUNCTION("""COMPUTED_VALUE"""),"นี่ฉันเอง feat. KOB FLAT BOY")</f>
        <v>นี่ฉันเอง feat. KOB FLAT BOY</v>
      </c>
      <c r="E2895" t="str">
        <f>IFERROR(__xludf.DUMMYFUNCTION("""COMPUTED_VALUE"""),"Lipta, KOB FLAT BOY")</f>
        <v>Lipta, KOB FLAT BOY</v>
      </c>
      <c r="F2895" t="str">
        <f>IFERROR(__xludf.DUMMYFUNCTION("""COMPUTED_VALUE"""),"นี่ฉันเอง")</f>
        <v>นี่ฉันเอง</v>
      </c>
      <c r="G2895">
        <f>IFERROR(__xludf.DUMMYFUNCTION("""COMPUTED_VALUE"""),0.0)</f>
        <v>0</v>
      </c>
      <c r="H2895" s="5">
        <f>IFERROR(__xludf.DUMMYFUNCTION("""COMPUTED_VALUE"""),0.1687500000007276)</f>
        <v>0.16875</v>
      </c>
    </row>
    <row r="2896">
      <c r="A2896" t="str">
        <f>IFERROR(__xludf.DUMMYFUNCTION("""COMPUTED_VALUE"""),"Thailand")</f>
        <v>Thailand</v>
      </c>
      <c r="B2896" t="str">
        <f>IFERROR(__xludf.DUMMYFUNCTION("""COMPUTED_VALUE"""),"Asia")</f>
        <v>Asia</v>
      </c>
      <c r="C2896">
        <f>IFERROR(__xludf.DUMMYFUNCTION("""COMPUTED_VALUE"""),45.0)</f>
        <v>45</v>
      </c>
      <c r="D2896" t="str">
        <f>IFERROR(__xludf.DUMMYFUNCTION("""COMPUTED_VALUE"""),"Toosie Slide")</f>
        <v>Toosie Slide</v>
      </c>
      <c r="E2896" t="str">
        <f>IFERROR(__xludf.DUMMYFUNCTION("""COMPUTED_VALUE"""),"Drake")</f>
        <v>Drake</v>
      </c>
      <c r="F2896" t="str">
        <f>IFERROR(__xludf.DUMMYFUNCTION("""COMPUTED_VALUE"""),"Dark Lane Demo Tapes")</f>
        <v>Dark Lane Demo Tapes</v>
      </c>
      <c r="G2896">
        <f>IFERROR(__xludf.DUMMYFUNCTION("""COMPUTED_VALUE"""),1.0)</f>
        <v>1</v>
      </c>
      <c r="H2896" s="5">
        <f>IFERROR(__xludf.DUMMYFUNCTION("""COMPUTED_VALUE"""),0.17152777777664596)</f>
        <v>0.1715277778</v>
      </c>
    </row>
    <row r="2897">
      <c r="A2897" t="str">
        <f>IFERROR(__xludf.DUMMYFUNCTION("""COMPUTED_VALUE"""),"Thailand")</f>
        <v>Thailand</v>
      </c>
      <c r="B2897" t="str">
        <f>IFERROR(__xludf.DUMMYFUNCTION("""COMPUTED_VALUE"""),"Asia")</f>
        <v>Asia</v>
      </c>
      <c r="C2897">
        <f>IFERROR(__xludf.DUMMYFUNCTION("""COMPUTED_VALUE"""),46.0)</f>
        <v>46</v>
      </c>
      <c r="D2897" t="str">
        <f>IFERROR(__xludf.DUMMYFUNCTION("""COMPUTED_VALUE"""),"คำตอบ")</f>
        <v>คำตอบ</v>
      </c>
      <c r="E2897" t="str">
        <f>IFERROR(__xludf.DUMMYFUNCTION("""COMPUTED_VALUE"""),"Safeplanet")</f>
        <v>Safeplanet</v>
      </c>
      <c r="F2897" t="str">
        <f>IFERROR(__xludf.DUMMYFUNCTION("""COMPUTED_VALUE"""),"Safeboys")</f>
        <v>Safeboys</v>
      </c>
      <c r="G2897">
        <f>IFERROR(__xludf.DUMMYFUNCTION("""COMPUTED_VALUE"""),0.0)</f>
        <v>0</v>
      </c>
      <c r="H2897" s="5">
        <f>IFERROR(__xludf.DUMMYFUNCTION("""COMPUTED_VALUE"""),0.22152777777955635)</f>
        <v>0.2215277778</v>
      </c>
    </row>
    <row r="2898">
      <c r="A2898" t="str">
        <f>IFERROR(__xludf.DUMMYFUNCTION("""COMPUTED_VALUE"""),"Thailand")</f>
        <v>Thailand</v>
      </c>
      <c r="B2898" t="str">
        <f>IFERROR(__xludf.DUMMYFUNCTION("""COMPUTED_VALUE"""),"Asia")</f>
        <v>Asia</v>
      </c>
      <c r="C2898">
        <f>IFERROR(__xludf.DUMMYFUNCTION("""COMPUTED_VALUE"""),47.0)</f>
        <v>47</v>
      </c>
      <c r="D2898" t="str">
        <f>IFERROR(__xludf.DUMMYFUNCTION("""COMPUTED_VALUE"""),"พอเถอะ")</f>
        <v>พอเถอะ</v>
      </c>
      <c r="E2898" t="str">
        <f>IFERROR(__xludf.DUMMYFUNCTION("""COMPUTED_VALUE"""),"MEAN")</f>
        <v>MEAN</v>
      </c>
      <c r="F2898" t="str">
        <f>IFERROR(__xludf.DUMMYFUNCTION("""COMPUTED_VALUE"""),"พอเถอะ")</f>
        <v>พอเถอะ</v>
      </c>
      <c r="G2898">
        <f>IFERROR(__xludf.DUMMYFUNCTION("""COMPUTED_VALUE"""),0.0)</f>
        <v>0</v>
      </c>
      <c r="H2898" s="5">
        <f>IFERROR(__xludf.DUMMYFUNCTION("""COMPUTED_VALUE"""),0.16805555555401952)</f>
        <v>0.1680555556</v>
      </c>
    </row>
    <row r="2899">
      <c r="A2899" t="str">
        <f>IFERROR(__xludf.DUMMYFUNCTION("""COMPUTED_VALUE"""),"Thailand")</f>
        <v>Thailand</v>
      </c>
      <c r="B2899" t="str">
        <f>IFERROR(__xludf.DUMMYFUNCTION("""COMPUTED_VALUE"""),"Asia")</f>
        <v>Asia</v>
      </c>
      <c r="C2899">
        <f>IFERROR(__xludf.DUMMYFUNCTION("""COMPUTED_VALUE"""),48.0)</f>
        <v>48</v>
      </c>
      <c r="D2899" t="str">
        <f>IFERROR(__xludf.DUMMYFUNCTION("""COMPUTED_VALUE"""),"Supalonely")</f>
        <v>Supalonely</v>
      </c>
      <c r="E2899" t="str">
        <f>IFERROR(__xludf.DUMMYFUNCTION("""COMPUTED_VALUE"""),"BENEE, Gus Dapperton")</f>
        <v>BENEE, Gus Dapperton</v>
      </c>
      <c r="F2899" t="str">
        <f>IFERROR(__xludf.DUMMYFUNCTION("""COMPUTED_VALUE"""),"STELLA &amp; STEVE")</f>
        <v>STELLA &amp; STEVE</v>
      </c>
      <c r="G2899">
        <f>IFERROR(__xludf.DUMMYFUNCTION("""COMPUTED_VALUE"""),1.0)</f>
        <v>1</v>
      </c>
      <c r="H2899" s="5">
        <f>IFERROR(__xludf.DUMMYFUNCTION("""COMPUTED_VALUE"""),0.15486111111022183)</f>
        <v>0.1548611111</v>
      </c>
    </row>
    <row r="2900">
      <c r="A2900" t="str">
        <f>IFERROR(__xludf.DUMMYFUNCTION("""COMPUTED_VALUE"""),"Thailand")</f>
        <v>Thailand</v>
      </c>
      <c r="B2900" t="str">
        <f>IFERROR(__xludf.DUMMYFUNCTION("""COMPUTED_VALUE"""),"Asia")</f>
        <v>Asia</v>
      </c>
      <c r="C2900">
        <f>IFERROR(__xludf.DUMMYFUNCTION("""COMPUTED_VALUE"""),49.0)</f>
        <v>49</v>
      </c>
      <c r="D2900" t="str">
        <f>IFERROR(__xludf.DUMMYFUNCTION("""COMPUTED_VALUE"""),"Say So")</f>
        <v>Say So</v>
      </c>
      <c r="E2900" t="str">
        <f>IFERROR(__xludf.DUMMYFUNCTION("""COMPUTED_VALUE"""),"Doja Cat")</f>
        <v>Doja Cat</v>
      </c>
      <c r="F2900" t="str">
        <f>IFERROR(__xludf.DUMMYFUNCTION("""COMPUTED_VALUE"""),"Hot Pink")</f>
        <v>Hot Pink</v>
      </c>
      <c r="G2900">
        <f>IFERROR(__xludf.DUMMYFUNCTION("""COMPUTED_VALUE"""),1.0)</f>
        <v>1</v>
      </c>
      <c r="H2900" s="5">
        <f>IFERROR(__xludf.DUMMYFUNCTION("""COMPUTED_VALUE"""),0.16458333333503106)</f>
        <v>0.1645833333</v>
      </c>
    </row>
    <row r="2901">
      <c r="A2901" t="str">
        <f>IFERROR(__xludf.DUMMYFUNCTION("""COMPUTED_VALUE"""),"Thailand")</f>
        <v>Thailand</v>
      </c>
      <c r="B2901" t="str">
        <f>IFERROR(__xludf.DUMMYFUNCTION("""COMPUTED_VALUE"""),"Asia")</f>
        <v>Asia</v>
      </c>
      <c r="C2901">
        <f>IFERROR(__xludf.DUMMYFUNCTION("""COMPUTED_VALUE"""),50.0)</f>
        <v>50</v>
      </c>
      <c r="D2901" t="str">
        <f>IFERROR(__xludf.DUMMYFUNCTION("""COMPUTED_VALUE"""),"Don't Start Now")</f>
        <v>Don't Start Now</v>
      </c>
      <c r="E2901" t="str">
        <f>IFERROR(__xludf.DUMMYFUNCTION("""COMPUTED_VALUE"""),"Dua Lipa")</f>
        <v>Dua Lipa</v>
      </c>
      <c r="F2901" t="str">
        <f>IFERROR(__xludf.DUMMYFUNCTION("""COMPUTED_VALUE"""),"Future Nostalgia")</f>
        <v>Future Nostalgia</v>
      </c>
      <c r="G2901">
        <f>IFERROR(__xludf.DUMMYFUNCTION("""COMPUTED_VALUE"""),0.0)</f>
        <v>0</v>
      </c>
      <c r="H2901" s="5">
        <f>IFERROR(__xludf.DUMMYFUNCTION("""COMPUTED_VALUE"""),0.12708333333284827)</f>
        <v>0.1270833333</v>
      </c>
    </row>
    <row r="2902">
      <c r="A2902" t="str">
        <f>IFERROR(__xludf.DUMMYFUNCTION("""COMPUTED_VALUE"""),"Turkey")</f>
        <v>Turkey</v>
      </c>
      <c r="B2902" t="str">
        <f>IFERROR(__xludf.DUMMYFUNCTION("""COMPUTED_VALUE"""),"Europe")</f>
        <v>Europe</v>
      </c>
      <c r="C2902">
        <f>IFERROR(__xludf.DUMMYFUNCTION("""COMPUTED_VALUE"""),1.0)</f>
        <v>1</v>
      </c>
      <c r="D2902" t="str">
        <f>IFERROR(__xludf.DUMMYFUNCTION("""COMPUTED_VALUE"""),"Spacejump")</f>
        <v>Spacejump</v>
      </c>
      <c r="E2902" t="str">
        <f>IFERROR(__xludf.DUMMYFUNCTION("""COMPUTED_VALUE"""),"BEGE")</f>
        <v>BEGE</v>
      </c>
      <c r="F2902" t="str">
        <f>IFERROR(__xludf.DUMMYFUNCTION("""COMPUTED_VALUE"""),"Spacejump")</f>
        <v>Spacejump</v>
      </c>
      <c r="G2902">
        <f>IFERROR(__xludf.DUMMYFUNCTION("""COMPUTED_VALUE"""),0.0)</f>
        <v>0</v>
      </c>
      <c r="H2902" s="5">
        <f>IFERROR(__xludf.DUMMYFUNCTION("""COMPUTED_VALUE"""),0.08194444444598048)</f>
        <v>0.08194444445</v>
      </c>
    </row>
    <row r="2903">
      <c r="A2903" t="str">
        <f>IFERROR(__xludf.DUMMYFUNCTION("""COMPUTED_VALUE"""),"Turkey")</f>
        <v>Turkey</v>
      </c>
      <c r="B2903" t="str">
        <f>IFERROR(__xludf.DUMMYFUNCTION("""COMPUTED_VALUE"""),"Europe")</f>
        <v>Europe</v>
      </c>
      <c r="C2903">
        <f>IFERROR(__xludf.DUMMYFUNCTION("""COMPUTED_VALUE"""),2.0)</f>
        <v>2</v>
      </c>
      <c r="D2903" t="str">
        <f>IFERROR(__xludf.DUMMYFUNCTION("""COMPUTED_VALUE"""),"Her Mevsim Yazım")</f>
        <v>Her Mevsim Yazım</v>
      </c>
      <c r="E2903" t="str">
        <f>IFERROR(__xludf.DUMMYFUNCTION("""COMPUTED_VALUE"""),"Zeynep Bastık")</f>
        <v>Zeynep Bastık</v>
      </c>
      <c r="F2903" t="str">
        <f>IFERROR(__xludf.DUMMYFUNCTION("""COMPUTED_VALUE"""),"Her Mevsim Yazım")</f>
        <v>Her Mevsim Yazım</v>
      </c>
      <c r="G2903">
        <f>IFERROR(__xludf.DUMMYFUNCTION("""COMPUTED_VALUE"""),0.0)</f>
        <v>0</v>
      </c>
      <c r="H2903" s="5">
        <f>IFERROR(__xludf.DUMMYFUNCTION("""COMPUTED_VALUE"""),0.13402777777810115)</f>
        <v>0.1340277778</v>
      </c>
    </row>
    <row r="2904">
      <c r="A2904" t="str">
        <f>IFERROR(__xludf.DUMMYFUNCTION("""COMPUTED_VALUE"""),"Turkey")</f>
        <v>Turkey</v>
      </c>
      <c r="B2904" t="str">
        <f>IFERROR(__xludf.DUMMYFUNCTION("""COMPUTED_VALUE"""),"Europe")</f>
        <v>Europe</v>
      </c>
      <c r="C2904">
        <f>IFERROR(__xludf.DUMMYFUNCTION("""COMPUTED_VALUE"""),3.0)</f>
        <v>3</v>
      </c>
      <c r="D2904" t="str">
        <f>IFERROR(__xludf.DUMMYFUNCTION("""COMPUTED_VALUE"""),"Bi Sonraki Hayatımda Gel")</f>
        <v>Bi Sonraki Hayatımda Gel</v>
      </c>
      <c r="E2904" t="str">
        <f>IFERROR(__xludf.DUMMYFUNCTION("""COMPUTED_VALUE"""),"Murda, Ezhel")</f>
        <v>Murda, Ezhel</v>
      </c>
      <c r="F2904" t="str">
        <f>IFERROR(__xludf.DUMMYFUNCTION("""COMPUTED_VALUE"""),"Bi Sonraki Hayatımda Gel")</f>
        <v>Bi Sonraki Hayatımda Gel</v>
      </c>
      <c r="G2904">
        <f>IFERROR(__xludf.DUMMYFUNCTION("""COMPUTED_VALUE"""),0.0)</f>
        <v>0</v>
      </c>
      <c r="H2904" s="5">
        <f>IFERROR(__xludf.DUMMYFUNCTION("""COMPUTED_VALUE"""),0.11597222222189885)</f>
        <v>0.1159722222</v>
      </c>
    </row>
    <row r="2905">
      <c r="A2905" t="str">
        <f>IFERROR(__xludf.DUMMYFUNCTION("""COMPUTED_VALUE"""),"Turkey")</f>
        <v>Turkey</v>
      </c>
      <c r="B2905" t="str">
        <f>IFERROR(__xludf.DUMMYFUNCTION("""COMPUTED_VALUE"""),"Europe")</f>
        <v>Europe</v>
      </c>
      <c r="C2905">
        <f>IFERROR(__xludf.DUMMYFUNCTION("""COMPUTED_VALUE"""),4.0)</f>
        <v>4</v>
      </c>
      <c r="D2905" t="str">
        <f>IFERROR(__xludf.DUMMYFUNCTION("""COMPUTED_VALUE"""),"Unutulacak Dünler")</f>
        <v>Unutulacak Dünler</v>
      </c>
      <c r="E2905" t="str">
        <f>IFERROR(__xludf.DUMMYFUNCTION("""COMPUTED_VALUE"""),"Gazapizm")</f>
        <v>Gazapizm</v>
      </c>
      <c r="F2905" t="str">
        <f>IFERROR(__xludf.DUMMYFUNCTION("""COMPUTED_VALUE"""),"HİZA")</f>
        <v>HİZA</v>
      </c>
      <c r="G2905">
        <f>IFERROR(__xludf.DUMMYFUNCTION("""COMPUTED_VALUE"""),0.0)</f>
        <v>0</v>
      </c>
      <c r="H2905" s="5">
        <f>IFERROR(__xludf.DUMMYFUNCTION("""COMPUTED_VALUE"""),0.20486111110949423)</f>
        <v>0.2048611111</v>
      </c>
    </row>
    <row r="2906">
      <c r="A2906" t="str">
        <f>IFERROR(__xludf.DUMMYFUNCTION("""COMPUTED_VALUE"""),"Turkey")</f>
        <v>Turkey</v>
      </c>
      <c r="B2906" t="str">
        <f>IFERROR(__xludf.DUMMYFUNCTION("""COMPUTED_VALUE"""),"Europe")</f>
        <v>Europe</v>
      </c>
      <c r="C2906">
        <f>IFERROR(__xludf.DUMMYFUNCTION("""COMPUTED_VALUE"""),5.0)</f>
        <v>5</v>
      </c>
      <c r="D2906" t="str">
        <f>IFERROR(__xludf.DUMMYFUNCTION("""COMPUTED_VALUE"""),"Darbe")</f>
        <v>Darbe</v>
      </c>
      <c r="E2906" t="str">
        <f>IFERROR(__xludf.DUMMYFUNCTION("""COMPUTED_VALUE"""),"Emir Can İğrek, Patron")</f>
        <v>Emir Can İğrek, Patron</v>
      </c>
      <c r="F2906" t="str">
        <f>IFERROR(__xludf.DUMMYFUNCTION("""COMPUTED_VALUE"""),"Darbe")</f>
        <v>Darbe</v>
      </c>
      <c r="G2906">
        <f>IFERROR(__xludf.DUMMYFUNCTION("""COMPUTED_VALUE"""),0.0)</f>
        <v>0</v>
      </c>
      <c r="H2906" s="5">
        <f>IFERROR(__xludf.DUMMYFUNCTION("""COMPUTED_VALUE"""),0.11111111110949423)</f>
        <v>0.1111111111</v>
      </c>
    </row>
    <row r="2907">
      <c r="A2907" t="str">
        <f>IFERROR(__xludf.DUMMYFUNCTION("""COMPUTED_VALUE"""),"Turkey")</f>
        <v>Turkey</v>
      </c>
      <c r="B2907" t="str">
        <f>IFERROR(__xludf.DUMMYFUNCTION("""COMPUTED_VALUE"""),"Europe")</f>
        <v>Europe</v>
      </c>
      <c r="C2907">
        <f>IFERROR(__xludf.DUMMYFUNCTION("""COMPUTED_VALUE"""),6.0)</f>
        <v>6</v>
      </c>
      <c r="D2907" t="str">
        <f>IFERROR(__xludf.DUMMYFUNCTION("""COMPUTED_VALUE"""),"ALEV ALEV")</f>
        <v>ALEV ALEV</v>
      </c>
      <c r="E2907" t="str">
        <f>IFERROR(__xludf.DUMMYFUNCTION("""COMPUTED_VALUE"""),"Zen-G, Ati242")</f>
        <v>Zen-G, Ati242</v>
      </c>
      <c r="F2907" t="str">
        <f>IFERROR(__xludf.DUMMYFUNCTION("""COMPUTED_VALUE"""),"ALEV ALEV")</f>
        <v>ALEV ALEV</v>
      </c>
      <c r="G2907">
        <f>IFERROR(__xludf.DUMMYFUNCTION("""COMPUTED_VALUE"""),1.0)</f>
        <v>1</v>
      </c>
      <c r="H2907" s="5">
        <f>IFERROR(__xludf.DUMMYFUNCTION("""COMPUTED_VALUE"""),0.12083333333430346)</f>
        <v>0.1208333333</v>
      </c>
    </row>
    <row r="2908">
      <c r="A2908" t="str">
        <f>IFERROR(__xludf.DUMMYFUNCTION("""COMPUTED_VALUE"""),"Turkey")</f>
        <v>Turkey</v>
      </c>
      <c r="B2908" t="str">
        <f>IFERROR(__xludf.DUMMYFUNCTION("""COMPUTED_VALUE"""),"Europe")</f>
        <v>Europe</v>
      </c>
      <c r="C2908">
        <f>IFERROR(__xludf.DUMMYFUNCTION("""COMPUTED_VALUE"""),7.0)</f>
        <v>7</v>
      </c>
      <c r="D2908" t="str">
        <f>IFERROR(__xludf.DUMMYFUNCTION("""COMPUTED_VALUE"""),"Roses - Imanbek Remix")</f>
        <v>Roses - Imanbek Remix</v>
      </c>
      <c r="E2908" t="str">
        <f>IFERROR(__xludf.DUMMYFUNCTION("""COMPUTED_VALUE"""),"SAINt JHN, Imanbek")</f>
        <v>SAINt JHN, Imanbek</v>
      </c>
      <c r="F2908" t="str">
        <f>IFERROR(__xludf.DUMMYFUNCTION("""COMPUTED_VALUE"""),"Roses (Imanbek Remix)")</f>
        <v>Roses (Imanbek Remix)</v>
      </c>
      <c r="G2908">
        <f>IFERROR(__xludf.DUMMYFUNCTION("""COMPUTED_VALUE"""),1.0)</f>
        <v>1</v>
      </c>
      <c r="H2908" s="5">
        <f>IFERROR(__xludf.DUMMYFUNCTION("""COMPUTED_VALUE"""),0.12222222222044365)</f>
        <v>0.1222222222</v>
      </c>
    </row>
    <row r="2909">
      <c r="A2909" t="str">
        <f>IFERROR(__xludf.DUMMYFUNCTION("""COMPUTED_VALUE"""),"Turkey")</f>
        <v>Turkey</v>
      </c>
      <c r="B2909" t="str">
        <f>IFERROR(__xludf.DUMMYFUNCTION("""COMPUTED_VALUE"""),"Europe")</f>
        <v>Europe</v>
      </c>
      <c r="C2909">
        <f>IFERROR(__xludf.DUMMYFUNCTION("""COMPUTED_VALUE"""),8.0)</f>
        <v>8</v>
      </c>
      <c r="D2909" t="str">
        <f>IFERROR(__xludf.DUMMYFUNCTION("""COMPUTED_VALUE"""),"Sağı Solu Kes")</f>
        <v>Sağı Solu Kes</v>
      </c>
      <c r="E2909" t="str">
        <f>IFERROR(__xludf.DUMMYFUNCTION("""COMPUTED_VALUE"""),"Gazapizm")</f>
        <v>Gazapizm</v>
      </c>
      <c r="F2909" t="str">
        <f>IFERROR(__xludf.DUMMYFUNCTION("""COMPUTED_VALUE"""),"HİZA")</f>
        <v>HİZA</v>
      </c>
      <c r="G2909">
        <f>IFERROR(__xludf.DUMMYFUNCTION("""COMPUTED_VALUE"""),0.0)</f>
        <v>0</v>
      </c>
      <c r="H2909" s="5">
        <f>IFERROR(__xludf.DUMMYFUNCTION("""COMPUTED_VALUE"""),0.18333333333430346)</f>
        <v>0.1833333333</v>
      </c>
    </row>
    <row r="2910">
      <c r="A2910" t="str">
        <f>IFERROR(__xludf.DUMMYFUNCTION("""COMPUTED_VALUE"""),"Turkey")</f>
        <v>Turkey</v>
      </c>
      <c r="B2910" t="str">
        <f>IFERROR(__xludf.DUMMYFUNCTION("""COMPUTED_VALUE"""),"Europe")</f>
        <v>Europe</v>
      </c>
      <c r="C2910">
        <f>IFERROR(__xludf.DUMMYFUNCTION("""COMPUTED_VALUE"""),9.0)</f>
        <v>9</v>
      </c>
      <c r="D2910" t="str">
        <f>IFERROR(__xludf.DUMMYFUNCTION("""COMPUTED_VALUE"""),"kan sahibi")</f>
        <v>kan sahibi</v>
      </c>
      <c r="E2910" t="str">
        <f>IFERROR(__xludf.DUMMYFUNCTION("""COMPUTED_VALUE"""),"Contra")</f>
        <v>Contra</v>
      </c>
      <c r="F2910" t="str">
        <f>IFERROR(__xludf.DUMMYFUNCTION("""COMPUTED_VALUE"""),"kan sahibi")</f>
        <v>kan sahibi</v>
      </c>
      <c r="G2910">
        <f>IFERROR(__xludf.DUMMYFUNCTION("""COMPUTED_VALUE"""),1.0)</f>
        <v>1</v>
      </c>
      <c r="H2910" s="5">
        <f>IFERROR(__xludf.DUMMYFUNCTION("""COMPUTED_VALUE"""),0.12291666666715173)</f>
        <v>0.1229166667</v>
      </c>
    </row>
    <row r="2911">
      <c r="A2911" t="str">
        <f>IFERROR(__xludf.DUMMYFUNCTION("""COMPUTED_VALUE"""),"Turkey")</f>
        <v>Turkey</v>
      </c>
      <c r="B2911" t="str">
        <f>IFERROR(__xludf.DUMMYFUNCTION("""COMPUTED_VALUE"""),"Europe")</f>
        <v>Europe</v>
      </c>
      <c r="C2911">
        <f>IFERROR(__xludf.DUMMYFUNCTION("""COMPUTED_VALUE"""),10.0)</f>
        <v>10</v>
      </c>
      <c r="D2911" t="str">
        <f>IFERROR(__xludf.DUMMYFUNCTION("""COMPUTED_VALUE"""),"Sar Bu Şehri (Akustik)")</f>
        <v>Sar Bu Şehri (Akustik)</v>
      </c>
      <c r="E2911" t="str">
        <f>IFERROR(__xludf.DUMMYFUNCTION("""COMPUTED_VALUE"""),"Canozan")</f>
        <v>Canozan</v>
      </c>
      <c r="F2911" t="str">
        <f>IFERROR(__xludf.DUMMYFUNCTION("""COMPUTED_VALUE"""),"Dolunay")</f>
        <v>Dolunay</v>
      </c>
      <c r="G2911">
        <f>IFERROR(__xludf.DUMMYFUNCTION("""COMPUTED_VALUE"""),0.0)</f>
        <v>0</v>
      </c>
      <c r="H2911" s="5">
        <f>IFERROR(__xludf.DUMMYFUNCTION("""COMPUTED_VALUE"""),0.14166666666642413)</f>
        <v>0.1416666667</v>
      </c>
    </row>
    <row r="2912">
      <c r="A2912" t="str">
        <f>IFERROR(__xludf.DUMMYFUNCTION("""COMPUTED_VALUE"""),"Turkey")</f>
        <v>Turkey</v>
      </c>
      <c r="B2912" t="str">
        <f>IFERROR(__xludf.DUMMYFUNCTION("""COMPUTED_VALUE"""),"Europe")</f>
        <v>Europe</v>
      </c>
      <c r="C2912">
        <f>IFERROR(__xludf.DUMMYFUNCTION("""COMPUTED_VALUE"""),11.0)</f>
        <v>11</v>
      </c>
      <c r="D2912" t="str">
        <f>IFERROR(__xludf.DUMMYFUNCTION("""COMPUTED_VALUE"""),"ily (i love you baby) (feat. Emilee)")</f>
        <v>ily (i love you baby) (feat. Emilee)</v>
      </c>
      <c r="E2912" t="str">
        <f>IFERROR(__xludf.DUMMYFUNCTION("""COMPUTED_VALUE"""),"Surf Mesa, Emilee")</f>
        <v>Surf Mesa, Emilee</v>
      </c>
      <c r="F2912" t="str">
        <f>IFERROR(__xludf.DUMMYFUNCTION("""COMPUTED_VALUE"""),"ily (i love you baby) (feat. Emilee)")</f>
        <v>ily (i love you baby) (feat. Emilee)</v>
      </c>
      <c r="G2912">
        <f>IFERROR(__xludf.DUMMYFUNCTION("""COMPUTED_VALUE"""),0.0)</f>
        <v>0</v>
      </c>
      <c r="H2912" s="5">
        <f>IFERROR(__xludf.DUMMYFUNCTION("""COMPUTED_VALUE"""),0.12222222222044365)</f>
        <v>0.1222222222</v>
      </c>
    </row>
    <row r="2913">
      <c r="A2913" t="str">
        <f>IFERROR(__xludf.DUMMYFUNCTION("""COMPUTED_VALUE"""),"Turkey")</f>
        <v>Turkey</v>
      </c>
      <c r="B2913" t="str">
        <f>IFERROR(__xludf.DUMMYFUNCTION("""COMPUTED_VALUE"""),"Europe")</f>
        <v>Europe</v>
      </c>
      <c r="C2913">
        <f>IFERROR(__xludf.DUMMYFUNCTION("""COMPUTED_VALUE"""),12.0)</f>
        <v>12</v>
      </c>
      <c r="D2913" t="str">
        <f>IFERROR(__xludf.DUMMYFUNCTION("""COMPUTED_VALUE"""),"Görünce Dünyamın Yıkıldığını")</f>
        <v>Görünce Dünyamın Yıkıldığını</v>
      </c>
      <c r="E2913" t="str">
        <f>IFERROR(__xludf.DUMMYFUNCTION("""COMPUTED_VALUE"""),"Şanışer")</f>
        <v>Şanışer</v>
      </c>
      <c r="F2913" t="str">
        <f>IFERROR(__xludf.DUMMYFUNCTION("""COMPUTED_VALUE"""),"Görünce Dünyamın Yıkıldığını")</f>
        <v>Görünce Dünyamın Yıkıldığını</v>
      </c>
      <c r="G2913">
        <f>IFERROR(__xludf.DUMMYFUNCTION("""COMPUTED_VALUE"""),0.0)</f>
        <v>0</v>
      </c>
      <c r="H2913" s="5">
        <f>IFERROR(__xludf.DUMMYFUNCTION("""COMPUTED_VALUE"""),0.15277777777737356)</f>
        <v>0.1527777778</v>
      </c>
    </row>
    <row r="2914">
      <c r="A2914" t="str">
        <f>IFERROR(__xludf.DUMMYFUNCTION("""COMPUTED_VALUE"""),"Turkey")</f>
        <v>Turkey</v>
      </c>
      <c r="B2914" t="str">
        <f>IFERROR(__xludf.DUMMYFUNCTION("""COMPUTED_VALUE"""),"Europe")</f>
        <v>Europe</v>
      </c>
      <c r="C2914">
        <f>IFERROR(__xludf.DUMMYFUNCTION("""COMPUTED_VALUE"""),13.0)</f>
        <v>13</v>
      </c>
      <c r="D2914" t="str">
        <f>IFERROR(__xludf.DUMMYFUNCTION("""COMPUTED_VALUE"""),"Daha Mutlu Olamam")</f>
        <v>Daha Mutlu Olamam</v>
      </c>
      <c r="E2914" t="str">
        <f>IFERROR(__xludf.DUMMYFUNCTION("""COMPUTED_VALUE"""),"mor ve ötesi")</f>
        <v>mor ve ötesi</v>
      </c>
      <c r="F2914" t="str">
        <f>IFERROR(__xludf.DUMMYFUNCTION("""COMPUTED_VALUE"""),"Gül Kendine")</f>
        <v>Gül Kendine</v>
      </c>
      <c r="G2914">
        <f>IFERROR(__xludf.DUMMYFUNCTION("""COMPUTED_VALUE"""),0.0)</f>
        <v>0</v>
      </c>
      <c r="H2914" s="5">
        <f>IFERROR(__xludf.DUMMYFUNCTION("""COMPUTED_VALUE"""),0.15277777777737356)</f>
        <v>0.1527777778</v>
      </c>
    </row>
    <row r="2915">
      <c r="A2915" t="str">
        <f>IFERROR(__xludf.DUMMYFUNCTION("""COMPUTED_VALUE"""),"Turkey")</f>
        <v>Turkey</v>
      </c>
      <c r="B2915" t="str">
        <f>IFERROR(__xludf.DUMMYFUNCTION("""COMPUTED_VALUE"""),"Europe")</f>
        <v>Europe</v>
      </c>
      <c r="C2915">
        <f>IFERROR(__xludf.DUMMYFUNCTION("""COMPUTED_VALUE"""),14.0)</f>
        <v>14</v>
      </c>
      <c r="D2915" t="str">
        <f>IFERROR(__xludf.DUMMYFUNCTION("""COMPUTED_VALUE"""),"Kazılı Kuyum")</f>
        <v>Kazılı Kuyum</v>
      </c>
      <c r="E2915" t="str">
        <f>IFERROR(__xludf.DUMMYFUNCTION("""COMPUTED_VALUE"""),"Yüzyüzeyken Konuşuruz")</f>
        <v>Yüzyüzeyken Konuşuruz</v>
      </c>
      <c r="F2915" t="str">
        <f>IFERROR(__xludf.DUMMYFUNCTION("""COMPUTED_VALUE"""),"Kazılı Kuyum")</f>
        <v>Kazılı Kuyum</v>
      </c>
      <c r="G2915">
        <f>IFERROR(__xludf.DUMMYFUNCTION("""COMPUTED_VALUE"""),0.0)</f>
        <v>0</v>
      </c>
      <c r="H2915" s="5">
        <f>IFERROR(__xludf.DUMMYFUNCTION("""COMPUTED_VALUE"""),0.14444444444598048)</f>
        <v>0.1444444444</v>
      </c>
    </row>
    <row r="2916">
      <c r="A2916" t="str">
        <f>IFERROR(__xludf.DUMMYFUNCTION("""COMPUTED_VALUE"""),"Turkey")</f>
        <v>Turkey</v>
      </c>
      <c r="B2916" t="str">
        <f>IFERROR(__xludf.DUMMYFUNCTION("""COMPUTED_VALUE"""),"Europe")</f>
        <v>Europe</v>
      </c>
      <c r="C2916">
        <f>IFERROR(__xludf.DUMMYFUNCTION("""COMPUTED_VALUE"""),15.0)</f>
        <v>15</v>
      </c>
      <c r="D2916" t="str">
        <f>IFERROR(__xludf.DUMMYFUNCTION("""COMPUTED_VALUE"""),"Djadja")</f>
        <v>Djadja</v>
      </c>
      <c r="E2916" t="str">
        <f>IFERROR(__xludf.DUMMYFUNCTION("""COMPUTED_VALUE"""),"Aya Nakamura")</f>
        <v>Aya Nakamura</v>
      </c>
      <c r="F2916" t="str">
        <f>IFERROR(__xludf.DUMMYFUNCTION("""COMPUTED_VALUE"""),"NAKAMURA")</f>
        <v>NAKAMURA</v>
      </c>
      <c r="G2916">
        <f>IFERROR(__xludf.DUMMYFUNCTION("""COMPUTED_VALUE"""),0.0)</f>
        <v>0</v>
      </c>
      <c r="H2916" s="5">
        <f>IFERROR(__xludf.DUMMYFUNCTION("""COMPUTED_VALUE"""),0.11875000000145519)</f>
        <v>0.11875</v>
      </c>
    </row>
    <row r="2917">
      <c r="A2917" t="str">
        <f>IFERROR(__xludf.DUMMYFUNCTION("""COMPUTED_VALUE"""),"Turkey")</f>
        <v>Turkey</v>
      </c>
      <c r="B2917" t="str">
        <f>IFERROR(__xludf.DUMMYFUNCTION("""COMPUTED_VALUE"""),"Europe")</f>
        <v>Europe</v>
      </c>
      <c r="C2917">
        <f>IFERROR(__xludf.DUMMYFUNCTION("""COMPUTED_VALUE"""),16.0)</f>
        <v>16</v>
      </c>
      <c r="D2917" t="str">
        <f>IFERROR(__xludf.DUMMYFUNCTION("""COMPUTED_VALUE"""),"Uslanmıyor Bu")</f>
        <v>Uslanmıyor Bu</v>
      </c>
      <c r="E2917" t="str">
        <f>IFERROR(__xludf.DUMMYFUNCTION("""COMPUTED_VALUE"""),"Zeynep Bastık")</f>
        <v>Zeynep Bastık</v>
      </c>
      <c r="F2917" t="str">
        <f>IFERROR(__xludf.DUMMYFUNCTION("""COMPUTED_VALUE"""),"Uslanmıyor Bu")</f>
        <v>Uslanmıyor Bu</v>
      </c>
      <c r="G2917">
        <f>IFERROR(__xludf.DUMMYFUNCTION("""COMPUTED_VALUE"""),0.0)</f>
        <v>0</v>
      </c>
      <c r="H2917" s="5">
        <f>IFERROR(__xludf.DUMMYFUNCTION("""COMPUTED_VALUE"""),0.13402777777810115)</f>
        <v>0.1340277778</v>
      </c>
    </row>
    <row r="2918">
      <c r="A2918" t="str">
        <f>IFERROR(__xludf.DUMMYFUNCTION("""COMPUTED_VALUE"""),"Turkey")</f>
        <v>Turkey</v>
      </c>
      <c r="B2918" t="str">
        <f>IFERROR(__xludf.DUMMYFUNCTION("""COMPUTED_VALUE"""),"Europe")</f>
        <v>Europe</v>
      </c>
      <c r="C2918">
        <f>IFERROR(__xludf.DUMMYFUNCTION("""COMPUTED_VALUE"""),17.0)</f>
        <v>17</v>
      </c>
      <c r="D2918" t="str">
        <f>IFERROR(__xludf.DUMMYFUNCTION("""COMPUTED_VALUE"""),"Yağmurlar")</f>
        <v>Yağmurlar</v>
      </c>
      <c r="E2918" t="str">
        <f>IFERROR(__xludf.DUMMYFUNCTION("""COMPUTED_VALUE"""),"Anıl Piyancı, Perdenin Ardındakiler")</f>
        <v>Anıl Piyancı, Perdenin Ardındakiler</v>
      </c>
      <c r="F2918" t="str">
        <f>IFERROR(__xludf.DUMMYFUNCTION("""COMPUTED_VALUE"""),"Yağmurlar")</f>
        <v>Yağmurlar</v>
      </c>
      <c r="G2918">
        <f>IFERROR(__xludf.DUMMYFUNCTION("""COMPUTED_VALUE"""),0.0)</f>
        <v>0</v>
      </c>
      <c r="H2918" s="5">
        <f>IFERROR(__xludf.DUMMYFUNCTION("""COMPUTED_VALUE"""),0.16458333333503106)</f>
        <v>0.1645833333</v>
      </c>
    </row>
    <row r="2919">
      <c r="A2919" t="str">
        <f>IFERROR(__xludf.DUMMYFUNCTION("""COMPUTED_VALUE"""),"Turkey")</f>
        <v>Turkey</v>
      </c>
      <c r="B2919" t="str">
        <f>IFERROR(__xludf.DUMMYFUNCTION("""COMPUTED_VALUE"""),"Europe")</f>
        <v>Europe</v>
      </c>
      <c r="C2919">
        <f>IFERROR(__xludf.DUMMYFUNCTION("""COMPUTED_VALUE"""),18.0)</f>
        <v>18</v>
      </c>
      <c r="D2919" t="str">
        <f>IFERROR(__xludf.DUMMYFUNCTION("""COMPUTED_VALUE"""),"Bırakma Kendini")</f>
        <v>Bırakma Kendini</v>
      </c>
      <c r="E2919" t="str">
        <f>IFERROR(__xludf.DUMMYFUNCTION("""COMPUTED_VALUE"""),"Kaan Boşnak")</f>
        <v>Kaan Boşnak</v>
      </c>
      <c r="F2919" t="str">
        <f>IFERROR(__xludf.DUMMYFUNCTION("""COMPUTED_VALUE"""),"Bırakma Kendini")</f>
        <v>Bırakma Kendini</v>
      </c>
      <c r="G2919">
        <f>IFERROR(__xludf.DUMMYFUNCTION("""COMPUTED_VALUE"""),0.0)</f>
        <v>0</v>
      </c>
      <c r="H2919" s="5">
        <f>IFERROR(__xludf.DUMMYFUNCTION("""COMPUTED_VALUE"""),0.16666666666787933)</f>
        <v>0.1666666667</v>
      </c>
    </row>
    <row r="2920">
      <c r="A2920" t="str">
        <f>IFERROR(__xludf.DUMMYFUNCTION("""COMPUTED_VALUE"""),"Turkey")</f>
        <v>Turkey</v>
      </c>
      <c r="B2920" t="str">
        <f>IFERROR(__xludf.DUMMYFUNCTION("""COMPUTED_VALUE"""),"Europe")</f>
        <v>Europe</v>
      </c>
      <c r="C2920">
        <f>IFERROR(__xludf.DUMMYFUNCTION("""COMPUTED_VALUE"""),19.0)</f>
        <v>19</v>
      </c>
      <c r="D2920" t="str">
        <f>IFERROR(__xludf.DUMMYFUNCTION("""COMPUTED_VALUE"""),"Leila")</f>
        <v>Leila</v>
      </c>
      <c r="E2920" t="str">
        <f>IFERROR(__xludf.DUMMYFUNCTION("""COMPUTED_VALUE"""),"Reynmen")</f>
        <v>Reynmen</v>
      </c>
      <c r="F2920" t="str">
        <f>IFERROR(__xludf.DUMMYFUNCTION("""COMPUTED_VALUE"""),"RnBesk")</f>
        <v>RnBesk</v>
      </c>
      <c r="G2920">
        <f>IFERROR(__xludf.DUMMYFUNCTION("""COMPUTED_VALUE"""),0.0)</f>
        <v>0</v>
      </c>
      <c r="H2920" s="5">
        <f>IFERROR(__xludf.DUMMYFUNCTION("""COMPUTED_VALUE"""),0.11736111111167702)</f>
        <v>0.1173611111</v>
      </c>
    </row>
    <row r="2921">
      <c r="A2921" t="str">
        <f>IFERROR(__xludf.DUMMYFUNCTION("""COMPUTED_VALUE"""),"Turkey")</f>
        <v>Turkey</v>
      </c>
      <c r="B2921" t="str">
        <f>IFERROR(__xludf.DUMMYFUNCTION("""COMPUTED_VALUE"""),"Europe")</f>
        <v>Europe</v>
      </c>
      <c r="C2921">
        <f>IFERROR(__xludf.DUMMYFUNCTION("""COMPUTED_VALUE"""),20.0)</f>
        <v>20</v>
      </c>
      <c r="D2921" t="str">
        <f>IFERROR(__xludf.DUMMYFUNCTION("""COMPUTED_VALUE"""),"Boss Bitch")</f>
        <v>Boss Bitch</v>
      </c>
      <c r="E2921" t="str">
        <f>IFERROR(__xludf.DUMMYFUNCTION("""COMPUTED_VALUE"""),"Doja Cat")</f>
        <v>Doja Cat</v>
      </c>
      <c r="F2921" t="str">
        <f>IFERROR(__xludf.DUMMYFUNCTION("""COMPUTED_VALUE"""),"Boss Bitch")</f>
        <v>Boss Bitch</v>
      </c>
      <c r="G2921">
        <f>IFERROR(__xludf.DUMMYFUNCTION("""COMPUTED_VALUE"""),0.0)</f>
        <v>0</v>
      </c>
      <c r="H2921" s="5">
        <f>IFERROR(__xludf.DUMMYFUNCTION("""COMPUTED_VALUE"""),0.0930555555569299)</f>
        <v>0.09305555556</v>
      </c>
    </row>
    <row r="2922">
      <c r="A2922" t="str">
        <f>IFERROR(__xludf.DUMMYFUNCTION("""COMPUTED_VALUE"""),"Turkey")</f>
        <v>Turkey</v>
      </c>
      <c r="B2922" t="str">
        <f>IFERROR(__xludf.DUMMYFUNCTION("""COMPUTED_VALUE"""),"Europe")</f>
        <v>Europe</v>
      </c>
      <c r="C2922">
        <f>IFERROR(__xludf.DUMMYFUNCTION("""COMPUTED_VALUE"""),21.0)</f>
        <v>21</v>
      </c>
      <c r="D2922" t="str">
        <f>IFERROR(__xludf.DUMMYFUNCTION("""COMPUTED_VALUE"""),"Kalmam")</f>
        <v>Kalmam</v>
      </c>
      <c r="E2922" t="str">
        <f>IFERROR(__xludf.DUMMYFUNCTION("""COMPUTED_VALUE"""),"Ebru Yaşar")</f>
        <v>Ebru Yaşar</v>
      </c>
      <c r="F2922" t="str">
        <f>IFERROR(__xludf.DUMMYFUNCTION("""COMPUTED_VALUE"""),"Kalmam")</f>
        <v>Kalmam</v>
      </c>
      <c r="G2922">
        <f>IFERROR(__xludf.DUMMYFUNCTION("""COMPUTED_VALUE"""),0.0)</f>
        <v>0</v>
      </c>
      <c r="H2922" s="5">
        <f>IFERROR(__xludf.DUMMYFUNCTION("""COMPUTED_VALUE"""),0.14444444444598048)</f>
        <v>0.1444444444</v>
      </c>
    </row>
    <row r="2923">
      <c r="A2923" t="str">
        <f>IFERROR(__xludf.DUMMYFUNCTION("""COMPUTED_VALUE"""),"Turkey")</f>
        <v>Turkey</v>
      </c>
      <c r="B2923" t="str">
        <f>IFERROR(__xludf.DUMMYFUNCTION("""COMPUTED_VALUE"""),"Europe")</f>
        <v>Europe</v>
      </c>
      <c r="C2923">
        <f>IFERROR(__xludf.DUMMYFUNCTION("""COMPUTED_VALUE"""),22.0)</f>
        <v>22</v>
      </c>
      <c r="D2923" t="str">
        <f>IFERROR(__xludf.DUMMYFUNCTION("""COMPUTED_VALUE"""),"AYA")</f>
        <v>AYA</v>
      </c>
      <c r="E2923" t="str">
        <f>IFERROR(__xludf.DUMMYFUNCTION("""COMPUTED_VALUE"""),"Murda, Ezhel")</f>
        <v>Murda, Ezhel</v>
      </c>
      <c r="F2923" t="str">
        <f>IFERROR(__xludf.DUMMYFUNCTION("""COMPUTED_VALUE"""),"AYA")</f>
        <v>AYA</v>
      </c>
      <c r="G2923">
        <f>IFERROR(__xludf.DUMMYFUNCTION("""COMPUTED_VALUE"""),0.0)</f>
        <v>0</v>
      </c>
      <c r="H2923" s="5">
        <f>IFERROR(__xludf.DUMMYFUNCTION("""COMPUTED_VALUE"""),0.13611111111094942)</f>
        <v>0.1361111111</v>
      </c>
    </row>
    <row r="2924">
      <c r="A2924" t="str">
        <f>IFERROR(__xludf.DUMMYFUNCTION("""COMPUTED_VALUE"""),"Turkey")</f>
        <v>Turkey</v>
      </c>
      <c r="B2924" t="str">
        <f>IFERROR(__xludf.DUMMYFUNCTION("""COMPUTED_VALUE"""),"Europe")</f>
        <v>Europe</v>
      </c>
      <c r="C2924">
        <f>IFERROR(__xludf.DUMMYFUNCTION("""COMPUTED_VALUE"""),23.0)</f>
        <v>23</v>
      </c>
      <c r="D2924" t="str">
        <f>IFERROR(__xludf.DUMMYFUNCTION("""COMPUTED_VALUE"""),"Bütün Istanbul Biliyo")</f>
        <v>Bütün Istanbul Biliyo</v>
      </c>
      <c r="E2924" t="str">
        <f>IFERROR(__xludf.DUMMYFUNCTION("""COMPUTED_VALUE"""),"İkiye On Kala")</f>
        <v>İkiye On Kala</v>
      </c>
      <c r="F2924" t="str">
        <f>IFERROR(__xludf.DUMMYFUNCTION("""COMPUTED_VALUE"""),"Bütün Istanbul Biliyo")</f>
        <v>Bütün Istanbul Biliyo</v>
      </c>
      <c r="G2924">
        <f>IFERROR(__xludf.DUMMYFUNCTION("""COMPUTED_VALUE"""),0.0)</f>
        <v>0</v>
      </c>
      <c r="H2924" s="5">
        <f>IFERROR(__xludf.DUMMYFUNCTION("""COMPUTED_VALUE"""),0.10416666666787933)</f>
        <v>0.1041666667</v>
      </c>
    </row>
    <row r="2925">
      <c r="A2925" t="str">
        <f>IFERROR(__xludf.DUMMYFUNCTION("""COMPUTED_VALUE"""),"Turkey")</f>
        <v>Turkey</v>
      </c>
      <c r="B2925" t="str">
        <f>IFERROR(__xludf.DUMMYFUNCTION("""COMPUTED_VALUE"""),"Europe")</f>
        <v>Europe</v>
      </c>
      <c r="C2925">
        <f>IFERROR(__xludf.DUMMYFUNCTION("""COMPUTED_VALUE"""),24.0)</f>
        <v>24</v>
      </c>
      <c r="D2925" t="str">
        <f>IFERROR(__xludf.DUMMYFUNCTION("""COMPUTED_VALUE"""),"Sıkı Dur")</f>
        <v>Sıkı Dur</v>
      </c>
      <c r="E2925" t="str">
        <f>IFERROR(__xludf.DUMMYFUNCTION("""COMPUTED_VALUE"""),"Ben Fero, Anıl Piyancı")</f>
        <v>Ben Fero, Anıl Piyancı</v>
      </c>
      <c r="F2925" t="str">
        <f>IFERROR(__xludf.DUMMYFUNCTION("""COMPUTED_VALUE"""),"Sıkı Dur")</f>
        <v>Sıkı Dur</v>
      </c>
      <c r="G2925">
        <f>IFERROR(__xludf.DUMMYFUNCTION("""COMPUTED_VALUE"""),0.0)</f>
        <v>0</v>
      </c>
      <c r="H2925" s="5">
        <f>IFERROR(__xludf.DUMMYFUNCTION("""COMPUTED_VALUE"""),0.15972222222262644)</f>
        <v>0.1597222222</v>
      </c>
    </row>
    <row r="2926">
      <c r="A2926" t="str">
        <f>IFERROR(__xludf.DUMMYFUNCTION("""COMPUTED_VALUE"""),"Turkey")</f>
        <v>Turkey</v>
      </c>
      <c r="B2926" t="str">
        <f>IFERROR(__xludf.DUMMYFUNCTION("""COMPUTED_VALUE"""),"Europe")</f>
        <v>Europe</v>
      </c>
      <c r="C2926">
        <f>IFERROR(__xludf.DUMMYFUNCTION("""COMPUTED_VALUE"""),25.0)</f>
        <v>25</v>
      </c>
      <c r="D2926" t="str">
        <f>IFERROR(__xludf.DUMMYFUNCTION("""COMPUTED_VALUE"""),"Ben De Yoluma Giderim")</f>
        <v>Ben De Yoluma Giderim</v>
      </c>
      <c r="E2926" t="str">
        <f>IFERROR(__xludf.DUMMYFUNCTION("""COMPUTED_VALUE"""),"Sezen Aksu")</f>
        <v>Sezen Aksu</v>
      </c>
      <c r="F2926" t="str">
        <f>IFERROR(__xludf.DUMMYFUNCTION("""COMPUTED_VALUE"""),"Ben De Yoluma Giderim")</f>
        <v>Ben De Yoluma Giderim</v>
      </c>
      <c r="G2926">
        <f>IFERROR(__xludf.DUMMYFUNCTION("""COMPUTED_VALUE"""),0.0)</f>
        <v>0</v>
      </c>
      <c r="H2926" s="5">
        <f>IFERROR(__xludf.DUMMYFUNCTION("""COMPUTED_VALUE"""),0.13888888889050577)</f>
        <v>0.1388888889</v>
      </c>
    </row>
    <row r="2927">
      <c r="A2927" t="str">
        <f>IFERROR(__xludf.DUMMYFUNCTION("""COMPUTED_VALUE"""),"Turkey")</f>
        <v>Turkey</v>
      </c>
      <c r="B2927" t="str">
        <f>IFERROR(__xludf.DUMMYFUNCTION("""COMPUTED_VALUE"""),"Europe")</f>
        <v>Europe</v>
      </c>
      <c r="C2927">
        <f>IFERROR(__xludf.DUMMYFUNCTION("""COMPUTED_VALUE"""),26.0)</f>
        <v>26</v>
      </c>
      <c r="D2927" t="str">
        <f>IFERROR(__xludf.DUMMYFUNCTION("""COMPUTED_VALUE"""),"Mert KIYAK - Gel")</f>
        <v>Mert KIYAK - Gel</v>
      </c>
      <c r="E2927" t="str">
        <f>IFERROR(__xludf.DUMMYFUNCTION("""COMPUTED_VALUE"""),"Mert Kiyak, Çağrı Kaymak")</f>
        <v>Mert Kiyak, Çağrı Kaymak</v>
      </c>
      <c r="F2927" t="str">
        <f>IFERROR(__xludf.DUMMYFUNCTION("""COMPUTED_VALUE"""),"Mert KIYAK - Gel")</f>
        <v>Mert KIYAK - Gel</v>
      </c>
      <c r="G2927">
        <f>IFERROR(__xludf.DUMMYFUNCTION("""COMPUTED_VALUE"""),0.0)</f>
        <v>0</v>
      </c>
      <c r="H2927" s="5">
        <f>IFERROR(__xludf.DUMMYFUNCTION("""COMPUTED_VALUE"""),0.11944444444452529)</f>
        <v>0.1194444444</v>
      </c>
    </row>
    <row r="2928">
      <c r="A2928" t="str">
        <f>IFERROR(__xludf.DUMMYFUNCTION("""COMPUTED_VALUE"""),"Turkey")</f>
        <v>Turkey</v>
      </c>
      <c r="B2928" t="str">
        <f>IFERROR(__xludf.DUMMYFUNCTION("""COMPUTED_VALUE"""),"Europe")</f>
        <v>Europe</v>
      </c>
      <c r="C2928">
        <f>IFERROR(__xludf.DUMMYFUNCTION("""COMPUTED_VALUE"""),27.0)</f>
        <v>27</v>
      </c>
      <c r="D2928" t="str">
        <f>IFERROR(__xludf.DUMMYFUNCTION("""COMPUTED_VALUE"""),"Dance Monkey")</f>
        <v>Dance Monkey</v>
      </c>
      <c r="E2928" t="str">
        <f>IFERROR(__xludf.DUMMYFUNCTION("""COMPUTED_VALUE"""),"Tones And I")</f>
        <v>Tones And I</v>
      </c>
      <c r="F2928" t="str">
        <f>IFERROR(__xludf.DUMMYFUNCTION("""COMPUTED_VALUE"""),"Dance Monkey (Stripped Back) / Dance Monkey")</f>
        <v>Dance Monkey (Stripped Back) / Dance Monkey</v>
      </c>
      <c r="G2928">
        <f>IFERROR(__xludf.DUMMYFUNCTION("""COMPUTED_VALUE"""),0.0)</f>
        <v>0</v>
      </c>
      <c r="H2928" s="5">
        <f>IFERROR(__xludf.DUMMYFUNCTION("""COMPUTED_VALUE"""),0.14513888888905058)</f>
        <v>0.1451388889</v>
      </c>
    </row>
    <row r="2929">
      <c r="A2929" t="str">
        <f>IFERROR(__xludf.DUMMYFUNCTION("""COMPUTED_VALUE"""),"Turkey")</f>
        <v>Turkey</v>
      </c>
      <c r="B2929" t="str">
        <f>IFERROR(__xludf.DUMMYFUNCTION("""COMPUTED_VALUE"""),"Europe")</f>
        <v>Europe</v>
      </c>
      <c r="C2929">
        <f>IFERROR(__xludf.DUMMYFUNCTION("""COMPUTED_VALUE"""),28.0)</f>
        <v>28</v>
      </c>
      <c r="D2929" t="str">
        <f>IFERROR(__xludf.DUMMYFUNCTION("""COMPUTED_VALUE"""),"El-Âlem")</f>
        <v>El-Âlem</v>
      </c>
      <c r="E2929" t="str">
        <f>IFERROR(__xludf.DUMMYFUNCTION("""COMPUTED_VALUE"""),"Tuğçe Kandemir")</f>
        <v>Tuğçe Kandemir</v>
      </c>
      <c r="F2929" t="str">
        <f>IFERROR(__xludf.DUMMYFUNCTION("""COMPUTED_VALUE"""),"El-Âlem")</f>
        <v>El-Âlem</v>
      </c>
      <c r="G2929">
        <f>IFERROR(__xludf.DUMMYFUNCTION("""COMPUTED_VALUE"""),0.0)</f>
        <v>0</v>
      </c>
      <c r="H2929" s="5">
        <f>IFERROR(__xludf.DUMMYFUNCTION("""COMPUTED_VALUE"""),0.11944444444452529)</f>
        <v>0.1194444444</v>
      </c>
    </row>
    <row r="2930">
      <c r="A2930" t="str">
        <f>IFERROR(__xludf.DUMMYFUNCTION("""COMPUTED_VALUE"""),"Turkey")</f>
        <v>Turkey</v>
      </c>
      <c r="B2930" t="str">
        <f>IFERROR(__xludf.DUMMYFUNCTION("""COMPUTED_VALUE"""),"Europe")</f>
        <v>Europe</v>
      </c>
      <c r="C2930">
        <f>IFERROR(__xludf.DUMMYFUNCTION("""COMPUTED_VALUE"""),29.0)</f>
        <v>29</v>
      </c>
      <c r="D2930" t="str">
        <f>IFERROR(__xludf.DUMMYFUNCTION("""COMPUTED_VALUE"""),"Perişanım")</f>
        <v>Perişanım</v>
      </c>
      <c r="E2930" t="str">
        <f>IFERROR(__xludf.DUMMYFUNCTION("""COMPUTED_VALUE"""),"Edis")</f>
        <v>Edis</v>
      </c>
      <c r="F2930" t="str">
        <f>IFERROR(__xludf.DUMMYFUNCTION("""COMPUTED_VALUE"""),"Perişanım")</f>
        <v>Perişanım</v>
      </c>
      <c r="G2930">
        <f>IFERROR(__xludf.DUMMYFUNCTION("""COMPUTED_VALUE"""),0.0)</f>
        <v>0</v>
      </c>
      <c r="H2930" s="5">
        <f>IFERROR(__xludf.DUMMYFUNCTION("""COMPUTED_VALUE"""),0.13333333333503106)</f>
        <v>0.1333333333</v>
      </c>
    </row>
    <row r="2931">
      <c r="A2931" t="str">
        <f>IFERROR(__xludf.DUMMYFUNCTION("""COMPUTED_VALUE"""),"Turkey")</f>
        <v>Turkey</v>
      </c>
      <c r="B2931" t="str">
        <f>IFERROR(__xludf.DUMMYFUNCTION("""COMPUTED_VALUE"""),"Europe")</f>
        <v>Europe</v>
      </c>
      <c r="C2931">
        <f>IFERROR(__xludf.DUMMYFUNCTION("""COMPUTED_VALUE"""),30.0)</f>
        <v>30</v>
      </c>
      <c r="D2931" t="str">
        <f>IFERROR(__xludf.DUMMYFUNCTION("""COMPUTED_VALUE"""),"THE SCOTTS")</f>
        <v>THE SCOTTS</v>
      </c>
      <c r="E2931" t="str">
        <f>IFERROR(__xludf.DUMMYFUNCTION("""COMPUTED_VALUE"""),"THE SCOTTS, Travis Scott, Kid Cudi")</f>
        <v>THE SCOTTS, Travis Scott, Kid Cudi</v>
      </c>
      <c r="F2931" t="str">
        <f>IFERROR(__xludf.DUMMYFUNCTION("""COMPUTED_VALUE"""),"THE SCOTTS")</f>
        <v>THE SCOTTS</v>
      </c>
      <c r="G2931">
        <f>IFERROR(__xludf.DUMMYFUNCTION("""COMPUTED_VALUE"""),1.0)</f>
        <v>1</v>
      </c>
      <c r="H2931" s="5">
        <f>IFERROR(__xludf.DUMMYFUNCTION("""COMPUTED_VALUE"""),0.11458333333212067)</f>
        <v>0.1145833333</v>
      </c>
    </row>
    <row r="2932">
      <c r="A2932" t="str">
        <f>IFERROR(__xludf.DUMMYFUNCTION("""COMPUTED_VALUE"""),"Turkey")</f>
        <v>Turkey</v>
      </c>
      <c r="B2932" t="str">
        <f>IFERROR(__xludf.DUMMYFUNCTION("""COMPUTED_VALUE"""),"Europe")</f>
        <v>Europe</v>
      </c>
      <c r="C2932">
        <f>IFERROR(__xludf.DUMMYFUNCTION("""COMPUTED_VALUE"""),31.0)</f>
        <v>31</v>
      </c>
      <c r="D2932" t="str">
        <f>IFERROR(__xludf.DUMMYFUNCTION("""COMPUTED_VALUE"""),"Eskimiş Senelere")</f>
        <v>Eskimiş Senelere</v>
      </c>
      <c r="E2932" t="str">
        <f>IFERROR(__xludf.DUMMYFUNCTION("""COMPUTED_VALUE"""),"Aspova")</f>
        <v>Aspova</v>
      </c>
      <c r="F2932" t="str">
        <f>IFERROR(__xludf.DUMMYFUNCTION("""COMPUTED_VALUE"""),"Hell")</f>
        <v>Hell</v>
      </c>
      <c r="G2932">
        <f>IFERROR(__xludf.DUMMYFUNCTION("""COMPUTED_VALUE"""),0.0)</f>
        <v>0</v>
      </c>
      <c r="H2932" s="5">
        <f>IFERROR(__xludf.DUMMYFUNCTION("""COMPUTED_VALUE"""),0.13541666666787933)</f>
        <v>0.1354166667</v>
      </c>
    </row>
    <row r="2933">
      <c r="A2933" t="str">
        <f>IFERROR(__xludf.DUMMYFUNCTION("""COMPUTED_VALUE"""),"Turkey")</f>
        <v>Turkey</v>
      </c>
      <c r="B2933" t="str">
        <f>IFERROR(__xludf.DUMMYFUNCTION("""COMPUTED_VALUE"""),"Europe")</f>
        <v>Europe</v>
      </c>
      <c r="C2933">
        <f>IFERROR(__xludf.DUMMYFUNCTION("""COMPUTED_VALUE"""),32.0)</f>
        <v>32</v>
      </c>
      <c r="D2933" t="str">
        <f>IFERROR(__xludf.DUMMYFUNCTION("""COMPUTED_VALUE"""),"Neyin Nesi")</f>
        <v>Neyin Nesi</v>
      </c>
      <c r="E2933" t="str">
        <f>IFERROR(__xludf.DUMMYFUNCTION("""COMPUTED_VALUE"""),"Dolu Kadehi Ters Tut")</f>
        <v>Dolu Kadehi Ters Tut</v>
      </c>
      <c r="F2933" t="str">
        <f>IFERROR(__xludf.DUMMYFUNCTION("""COMPUTED_VALUE"""),"Neyin Nesi")</f>
        <v>Neyin Nesi</v>
      </c>
      <c r="G2933">
        <f>IFERROR(__xludf.DUMMYFUNCTION("""COMPUTED_VALUE"""),0.0)</f>
        <v>0</v>
      </c>
      <c r="H2933" s="5">
        <f>IFERROR(__xludf.DUMMYFUNCTION("""COMPUTED_VALUE"""),0.13611111111094942)</f>
        <v>0.1361111111</v>
      </c>
    </row>
    <row r="2934">
      <c r="A2934" t="str">
        <f>IFERROR(__xludf.DUMMYFUNCTION("""COMPUTED_VALUE"""),"Turkey")</f>
        <v>Turkey</v>
      </c>
      <c r="B2934" t="str">
        <f>IFERROR(__xludf.DUMMYFUNCTION("""COMPUTED_VALUE"""),"Europe")</f>
        <v>Europe</v>
      </c>
      <c r="C2934">
        <f>IFERROR(__xludf.DUMMYFUNCTION("""COMPUTED_VALUE"""),33.0)</f>
        <v>33</v>
      </c>
      <c r="D2934" t="str">
        <f>IFERROR(__xludf.DUMMYFUNCTION("""COMPUTED_VALUE"""),"Dinle Beni Bi'")</f>
        <v>Dinle Beni Bi'</v>
      </c>
      <c r="E2934" t="str">
        <f>IFERROR(__xludf.DUMMYFUNCTION("""COMPUTED_VALUE"""),"Yüzyüzeyken Konuşuruz")</f>
        <v>Yüzyüzeyken Konuşuruz</v>
      </c>
      <c r="F2934" t="str">
        <f>IFERROR(__xludf.DUMMYFUNCTION("""COMPUTED_VALUE"""),"Akustik Travma")</f>
        <v>Akustik Travma</v>
      </c>
      <c r="G2934">
        <f>IFERROR(__xludf.DUMMYFUNCTION("""COMPUTED_VALUE"""),0.0)</f>
        <v>0</v>
      </c>
      <c r="H2934" s="5">
        <f>IFERROR(__xludf.DUMMYFUNCTION("""COMPUTED_VALUE"""),0.09999999999854481)</f>
        <v>0.1</v>
      </c>
    </row>
    <row r="2935">
      <c r="A2935" t="str">
        <f>IFERROR(__xludf.DUMMYFUNCTION("""COMPUTED_VALUE"""),"Turkey")</f>
        <v>Turkey</v>
      </c>
      <c r="B2935" t="str">
        <f>IFERROR(__xludf.DUMMYFUNCTION("""COMPUTED_VALUE"""),"Europe")</f>
        <v>Europe</v>
      </c>
      <c r="C2935">
        <f>IFERROR(__xludf.DUMMYFUNCTION("""COMPUTED_VALUE"""),34.0)</f>
        <v>34</v>
      </c>
      <c r="D2935" t="str">
        <f>IFERROR(__xludf.DUMMYFUNCTION("""COMPUTED_VALUE"""),"Böyle Sever")</f>
        <v>Böyle Sever</v>
      </c>
      <c r="E2935" t="str">
        <f>IFERROR(__xludf.DUMMYFUNCTION("""COMPUTED_VALUE"""),"Kahraman Deniz")</f>
        <v>Kahraman Deniz</v>
      </c>
      <c r="F2935" t="str">
        <f>IFERROR(__xludf.DUMMYFUNCTION("""COMPUTED_VALUE"""),"19")</f>
        <v>19</v>
      </c>
      <c r="G2935">
        <f>IFERROR(__xludf.DUMMYFUNCTION("""COMPUTED_VALUE"""),0.0)</f>
        <v>0</v>
      </c>
      <c r="H2935" s="5">
        <f>IFERROR(__xludf.DUMMYFUNCTION("""COMPUTED_VALUE"""),0.1694444444437977)</f>
        <v>0.1694444444</v>
      </c>
    </row>
    <row r="2936">
      <c r="A2936" t="str">
        <f>IFERROR(__xludf.DUMMYFUNCTION("""COMPUTED_VALUE"""),"Turkey")</f>
        <v>Turkey</v>
      </c>
      <c r="B2936" t="str">
        <f>IFERROR(__xludf.DUMMYFUNCTION("""COMPUTED_VALUE"""),"Europe")</f>
        <v>Europe</v>
      </c>
      <c r="C2936">
        <f>IFERROR(__xludf.DUMMYFUNCTION("""COMPUTED_VALUE"""),35.0)</f>
        <v>35</v>
      </c>
      <c r="D2936" t="str">
        <f>IFERROR(__xludf.DUMMYFUNCTION("""COMPUTED_VALUE"""),"Tuzaklara Düştüm")</f>
        <v>Tuzaklara Düştüm</v>
      </c>
      <c r="E2936" t="str">
        <f>IFERROR(__xludf.DUMMYFUNCTION("""COMPUTED_VALUE"""),"Kahraman Deniz")</f>
        <v>Kahraman Deniz</v>
      </c>
      <c r="F2936" t="str">
        <f>IFERROR(__xludf.DUMMYFUNCTION("""COMPUTED_VALUE"""),"Tuzaklara Düştüm")</f>
        <v>Tuzaklara Düştüm</v>
      </c>
      <c r="G2936">
        <f>IFERROR(__xludf.DUMMYFUNCTION("""COMPUTED_VALUE"""),0.0)</f>
        <v>0</v>
      </c>
      <c r="H2936" s="5">
        <f>IFERROR(__xludf.DUMMYFUNCTION("""COMPUTED_VALUE"""),0.15486111111022183)</f>
        <v>0.1548611111</v>
      </c>
    </row>
    <row r="2937">
      <c r="A2937" t="str">
        <f>IFERROR(__xludf.DUMMYFUNCTION("""COMPUTED_VALUE"""),"Turkey")</f>
        <v>Turkey</v>
      </c>
      <c r="B2937" t="str">
        <f>IFERROR(__xludf.DUMMYFUNCTION("""COMPUTED_VALUE"""),"Europe")</f>
        <v>Europe</v>
      </c>
      <c r="C2937">
        <f>IFERROR(__xludf.DUMMYFUNCTION("""COMPUTED_VALUE"""),36.0)</f>
        <v>36</v>
      </c>
      <c r="D2937" t="str">
        <f>IFERROR(__xludf.DUMMYFUNCTION("""COMPUTED_VALUE"""),"The Box")</f>
        <v>The Box</v>
      </c>
      <c r="E2937" t="str">
        <f>IFERROR(__xludf.DUMMYFUNCTION("""COMPUTED_VALUE"""),"Roddy Ricch")</f>
        <v>Roddy Ricch</v>
      </c>
      <c r="F2937" t="str">
        <f>IFERROR(__xludf.DUMMYFUNCTION("""COMPUTED_VALUE"""),"Please Excuse Me For Being Antisocial")</f>
        <v>Please Excuse Me For Being Antisocial</v>
      </c>
      <c r="G2937">
        <f>IFERROR(__xludf.DUMMYFUNCTION("""COMPUTED_VALUE"""),1.0)</f>
        <v>1</v>
      </c>
      <c r="H2937" s="5">
        <f>IFERROR(__xludf.DUMMYFUNCTION("""COMPUTED_VALUE"""),0.13611111111094942)</f>
        <v>0.1361111111</v>
      </c>
    </row>
    <row r="2938">
      <c r="A2938" t="str">
        <f>IFERROR(__xludf.DUMMYFUNCTION("""COMPUTED_VALUE"""),"Turkey")</f>
        <v>Turkey</v>
      </c>
      <c r="B2938" t="str">
        <f>IFERROR(__xludf.DUMMYFUNCTION("""COMPUTED_VALUE"""),"Europe")</f>
        <v>Europe</v>
      </c>
      <c r="C2938">
        <f>IFERROR(__xludf.DUMMYFUNCTION("""COMPUTED_VALUE"""),37.0)</f>
        <v>37</v>
      </c>
      <c r="D2938" t="str">
        <f>IFERROR(__xludf.DUMMYFUNCTION("""COMPUTED_VALUE"""),"Teni Tenime")</f>
        <v>Teni Tenime</v>
      </c>
      <c r="E2938" t="str">
        <f>IFERROR(__xludf.DUMMYFUNCTION("""COMPUTED_VALUE"""),"Sena Şener")</f>
        <v>Sena Şener</v>
      </c>
      <c r="F2938" t="str">
        <f>IFERROR(__xludf.DUMMYFUNCTION("""COMPUTED_VALUE"""),"Teni Tenime")</f>
        <v>Teni Tenime</v>
      </c>
      <c r="G2938">
        <f>IFERROR(__xludf.DUMMYFUNCTION("""COMPUTED_VALUE"""),0.0)</f>
        <v>0</v>
      </c>
      <c r="H2938" s="5">
        <f>IFERROR(__xludf.DUMMYFUNCTION("""COMPUTED_VALUE"""),0.13611111111094942)</f>
        <v>0.1361111111</v>
      </c>
    </row>
    <row r="2939">
      <c r="A2939" t="str">
        <f>IFERROR(__xludf.DUMMYFUNCTION("""COMPUTED_VALUE"""),"Turkey")</f>
        <v>Turkey</v>
      </c>
      <c r="B2939" t="str">
        <f>IFERROR(__xludf.DUMMYFUNCTION("""COMPUTED_VALUE"""),"Europe")</f>
        <v>Europe</v>
      </c>
      <c r="C2939">
        <f>IFERROR(__xludf.DUMMYFUNCTION("""COMPUTED_VALUE"""),38.0)</f>
        <v>38</v>
      </c>
      <c r="D2939" t="str">
        <f>IFERROR(__xludf.DUMMYFUNCTION("""COMPUTED_VALUE"""),"Yalan")</f>
        <v>Yalan</v>
      </c>
      <c r="E2939" t="str">
        <f>IFERROR(__xludf.DUMMYFUNCTION("""COMPUTED_VALUE"""),"Aleyna Tilki")</f>
        <v>Aleyna Tilki</v>
      </c>
      <c r="F2939" t="str">
        <f>IFERROR(__xludf.DUMMYFUNCTION("""COMPUTED_VALUE"""),"Yalan")</f>
        <v>Yalan</v>
      </c>
      <c r="G2939">
        <f>IFERROR(__xludf.DUMMYFUNCTION("""COMPUTED_VALUE"""),0.0)</f>
        <v>0</v>
      </c>
      <c r="H2939" s="5">
        <f>IFERROR(__xludf.DUMMYFUNCTION("""COMPUTED_VALUE"""),0.14722222222189885)</f>
        <v>0.1472222222</v>
      </c>
    </row>
    <row r="2940">
      <c r="A2940" t="str">
        <f>IFERROR(__xludf.DUMMYFUNCTION("""COMPUTED_VALUE"""),"Turkey")</f>
        <v>Turkey</v>
      </c>
      <c r="B2940" t="str">
        <f>IFERROR(__xludf.DUMMYFUNCTION("""COMPUTED_VALUE"""),"Europe")</f>
        <v>Europe</v>
      </c>
      <c r="C2940">
        <f>IFERROR(__xludf.DUMMYFUNCTION("""COMPUTED_VALUE"""),39.0)</f>
        <v>39</v>
      </c>
      <c r="D2940" t="str">
        <f>IFERROR(__xludf.DUMMYFUNCTION("""COMPUTED_VALUE"""),"Nalan")</f>
        <v>Nalan</v>
      </c>
      <c r="E2940" t="str">
        <f>IFERROR(__xludf.DUMMYFUNCTION("""COMPUTED_VALUE"""),"Emir Can İğrek")</f>
        <v>Emir Can İğrek</v>
      </c>
      <c r="F2940" t="str">
        <f>IFERROR(__xludf.DUMMYFUNCTION("""COMPUTED_VALUE"""),"Nalan")</f>
        <v>Nalan</v>
      </c>
      <c r="G2940">
        <f>IFERROR(__xludf.DUMMYFUNCTION("""COMPUTED_VALUE"""),0.0)</f>
        <v>0</v>
      </c>
      <c r="H2940" s="5">
        <f>IFERROR(__xludf.DUMMYFUNCTION("""COMPUTED_VALUE"""),0.1381944444437977)</f>
        <v>0.1381944444</v>
      </c>
    </row>
    <row r="2941">
      <c r="A2941" t="str">
        <f>IFERROR(__xludf.DUMMYFUNCTION("""COMPUTED_VALUE"""),"Turkey")</f>
        <v>Turkey</v>
      </c>
      <c r="B2941" t="str">
        <f>IFERROR(__xludf.DUMMYFUNCTION("""COMPUTED_VALUE"""),"Europe")</f>
        <v>Europe</v>
      </c>
      <c r="C2941">
        <f>IFERROR(__xludf.DUMMYFUNCTION("""COMPUTED_VALUE"""),40.0)</f>
        <v>40</v>
      </c>
      <c r="D2941" t="str">
        <f>IFERROR(__xludf.DUMMYFUNCTION("""COMPUTED_VALUE"""),"Acının İlacı")</f>
        <v>Acının İlacı</v>
      </c>
      <c r="E2941" t="str">
        <f>IFERROR(__xludf.DUMMYFUNCTION("""COMPUTED_VALUE"""),"Adamlar")</f>
        <v>Adamlar</v>
      </c>
      <c r="F2941" t="str">
        <f>IFERROR(__xludf.DUMMYFUNCTION("""COMPUTED_VALUE"""),"Rüyalarda Buruşmuşuz")</f>
        <v>Rüyalarda Buruşmuşuz</v>
      </c>
      <c r="G2941">
        <f>IFERROR(__xludf.DUMMYFUNCTION("""COMPUTED_VALUE"""),0.0)</f>
        <v>0</v>
      </c>
      <c r="H2941" s="5">
        <f>IFERROR(__xludf.DUMMYFUNCTION("""COMPUTED_VALUE"""),0.19930555555401952)</f>
        <v>0.1993055556</v>
      </c>
    </row>
    <row r="2942">
      <c r="A2942" t="str">
        <f>IFERROR(__xludf.DUMMYFUNCTION("""COMPUTED_VALUE"""),"Turkey")</f>
        <v>Turkey</v>
      </c>
      <c r="B2942" t="str">
        <f>IFERROR(__xludf.DUMMYFUNCTION("""COMPUTED_VALUE"""),"Europe")</f>
        <v>Europe</v>
      </c>
      <c r="C2942">
        <f>IFERROR(__xludf.DUMMYFUNCTION("""COMPUTED_VALUE"""),41.0)</f>
        <v>41</v>
      </c>
      <c r="D2942" t="str">
        <f>IFERROR(__xludf.DUMMYFUNCTION("""COMPUTED_VALUE"""),"Blinding Lights")</f>
        <v>Blinding Lights</v>
      </c>
      <c r="E2942" t="str">
        <f>IFERROR(__xludf.DUMMYFUNCTION("""COMPUTED_VALUE"""),"The Weeknd")</f>
        <v>The Weeknd</v>
      </c>
      <c r="F2942" t="str">
        <f>IFERROR(__xludf.DUMMYFUNCTION("""COMPUTED_VALUE"""),"After Hours")</f>
        <v>After Hours</v>
      </c>
      <c r="G2942">
        <f>IFERROR(__xludf.DUMMYFUNCTION("""COMPUTED_VALUE"""),0.0)</f>
        <v>0</v>
      </c>
      <c r="H2942" s="5">
        <f>IFERROR(__xludf.DUMMYFUNCTION("""COMPUTED_VALUE"""),0.13888888889050577)</f>
        <v>0.1388888889</v>
      </c>
    </row>
    <row r="2943">
      <c r="A2943" t="str">
        <f>IFERROR(__xludf.DUMMYFUNCTION("""COMPUTED_VALUE"""),"Turkey")</f>
        <v>Turkey</v>
      </c>
      <c r="B2943" t="str">
        <f>IFERROR(__xludf.DUMMYFUNCTION("""COMPUTED_VALUE"""),"Europe")</f>
        <v>Europe</v>
      </c>
      <c r="C2943">
        <f>IFERROR(__xludf.DUMMYFUNCTION("""COMPUTED_VALUE"""),42.0)</f>
        <v>42</v>
      </c>
      <c r="D2943" t="str">
        <f>IFERROR(__xludf.DUMMYFUNCTION("""COMPUTED_VALUE"""),"Beni Kendinden Kurtar")</f>
        <v>Beni Kendinden Kurtar</v>
      </c>
      <c r="E2943" t="str">
        <f>IFERROR(__xludf.DUMMYFUNCTION("""COMPUTED_VALUE"""),"Perdenin Ardındakiler")</f>
        <v>Perdenin Ardındakiler</v>
      </c>
      <c r="F2943" t="str">
        <f>IFERROR(__xludf.DUMMYFUNCTION("""COMPUTED_VALUE"""),"Beni Kendinden Kurtar")</f>
        <v>Beni Kendinden Kurtar</v>
      </c>
      <c r="G2943">
        <f>IFERROR(__xludf.DUMMYFUNCTION("""COMPUTED_VALUE"""),0.0)</f>
        <v>0</v>
      </c>
      <c r="H2943" s="5">
        <f>IFERROR(__xludf.DUMMYFUNCTION("""COMPUTED_VALUE"""),0.1430555555562023)</f>
        <v>0.1430555556</v>
      </c>
    </row>
    <row r="2944">
      <c r="A2944" t="str">
        <f>IFERROR(__xludf.DUMMYFUNCTION("""COMPUTED_VALUE"""),"Turkey")</f>
        <v>Turkey</v>
      </c>
      <c r="B2944" t="str">
        <f>IFERROR(__xludf.DUMMYFUNCTION("""COMPUTED_VALUE"""),"Europe")</f>
        <v>Europe</v>
      </c>
      <c r="C2944">
        <f>IFERROR(__xludf.DUMMYFUNCTION("""COMPUTED_VALUE"""),43.0)</f>
        <v>43</v>
      </c>
      <c r="D2944" t="str">
        <f>IFERROR(__xludf.DUMMYFUNCTION("""COMPUTED_VALUE"""),"Hokkabazlar")</f>
        <v>Hokkabazlar</v>
      </c>
      <c r="E2944" t="str">
        <f>IFERROR(__xludf.DUMMYFUNCTION("""COMPUTED_VALUE"""),"Heijan, Muti")</f>
        <v>Heijan, Muti</v>
      </c>
      <c r="F2944" t="str">
        <f>IFERROR(__xludf.DUMMYFUNCTION("""COMPUTED_VALUE"""),"Hokkabazlar")</f>
        <v>Hokkabazlar</v>
      </c>
      <c r="G2944">
        <f>IFERROR(__xludf.DUMMYFUNCTION("""COMPUTED_VALUE"""),0.0)</f>
        <v>0</v>
      </c>
      <c r="H2944" s="5">
        <f>IFERROR(__xludf.DUMMYFUNCTION("""COMPUTED_VALUE"""),0.12361111111022183)</f>
        <v>0.1236111111</v>
      </c>
    </row>
    <row r="2945">
      <c r="A2945" t="str">
        <f>IFERROR(__xludf.DUMMYFUNCTION("""COMPUTED_VALUE"""),"Turkey")</f>
        <v>Turkey</v>
      </c>
      <c r="B2945" t="str">
        <f>IFERROR(__xludf.DUMMYFUNCTION("""COMPUTED_VALUE"""),"Europe")</f>
        <v>Europe</v>
      </c>
      <c r="C2945">
        <f>IFERROR(__xludf.DUMMYFUNCTION("""COMPUTED_VALUE"""),44.0)</f>
        <v>44</v>
      </c>
      <c r="D2945" t="str">
        <f>IFERROR(__xludf.DUMMYFUNCTION("""COMPUTED_VALUE"""),"İlerle")</f>
        <v>İlerle</v>
      </c>
      <c r="E2945" t="str">
        <f>IFERROR(__xludf.DUMMYFUNCTION("""COMPUTED_VALUE"""),"BEGE")</f>
        <v>BEGE</v>
      </c>
      <c r="F2945" t="str">
        <f>IFERROR(__xludf.DUMMYFUNCTION("""COMPUTED_VALUE"""),"İlerle")</f>
        <v>İlerle</v>
      </c>
      <c r="G2945">
        <f>IFERROR(__xludf.DUMMYFUNCTION("""COMPUTED_VALUE"""),1.0)</f>
        <v>1</v>
      </c>
      <c r="H2945" s="5">
        <f>IFERROR(__xludf.DUMMYFUNCTION("""COMPUTED_VALUE"""),0.1437499999992724)</f>
        <v>0.14375</v>
      </c>
    </row>
    <row r="2946">
      <c r="A2946" t="str">
        <f>IFERROR(__xludf.DUMMYFUNCTION("""COMPUTED_VALUE"""),"Turkey")</f>
        <v>Turkey</v>
      </c>
      <c r="B2946" t="str">
        <f>IFERROR(__xludf.DUMMYFUNCTION("""COMPUTED_VALUE"""),"Europe")</f>
        <v>Europe</v>
      </c>
      <c r="C2946">
        <f>IFERROR(__xludf.DUMMYFUNCTION("""COMPUTED_VALUE"""),45.0)</f>
        <v>45</v>
      </c>
      <c r="D2946" t="str">
        <f>IFERROR(__xludf.DUMMYFUNCTION("""COMPUTED_VALUE"""),"Ölsem Yeridir")</f>
        <v>Ölsem Yeridir</v>
      </c>
      <c r="E2946" t="str">
        <f>IFERROR(__xludf.DUMMYFUNCTION("""COMPUTED_VALUE"""),"Yüzyüzeyken Konuşuruz")</f>
        <v>Yüzyüzeyken Konuşuruz</v>
      </c>
      <c r="F2946" t="str">
        <f>IFERROR(__xludf.DUMMYFUNCTION("""COMPUTED_VALUE"""),"Ölsem Yeridir")</f>
        <v>Ölsem Yeridir</v>
      </c>
      <c r="G2946">
        <f>IFERROR(__xludf.DUMMYFUNCTION("""COMPUTED_VALUE"""),0.0)</f>
        <v>0</v>
      </c>
      <c r="H2946" s="5">
        <f>IFERROR(__xludf.DUMMYFUNCTION("""COMPUTED_VALUE"""),0.16111111111240461)</f>
        <v>0.1611111111</v>
      </c>
    </row>
    <row r="2947">
      <c r="A2947" t="str">
        <f>IFERROR(__xludf.DUMMYFUNCTION("""COMPUTED_VALUE"""),"Turkey")</f>
        <v>Turkey</v>
      </c>
      <c r="B2947" t="str">
        <f>IFERROR(__xludf.DUMMYFUNCTION("""COMPUTED_VALUE"""),"Europe")</f>
        <v>Europe</v>
      </c>
      <c r="C2947">
        <f>IFERROR(__xludf.DUMMYFUNCTION("""COMPUTED_VALUE"""),46.0)</f>
        <v>46</v>
      </c>
      <c r="D2947" t="str">
        <f>IFERROR(__xludf.DUMMYFUNCTION("""COMPUTED_VALUE"""),"Güneș")</f>
        <v>Güneș</v>
      </c>
      <c r="E2947" t="str">
        <f>IFERROR(__xludf.DUMMYFUNCTION("""COMPUTED_VALUE"""),"Murda, Zeynep Bastık, Idaly")</f>
        <v>Murda, Zeynep Bastık, Idaly</v>
      </c>
      <c r="F2947" t="str">
        <f>IFERROR(__xludf.DUMMYFUNCTION("""COMPUTED_VALUE"""),"DOĞA")</f>
        <v>DOĞA</v>
      </c>
      <c r="G2947">
        <f>IFERROR(__xludf.DUMMYFUNCTION("""COMPUTED_VALUE"""),0.0)</f>
        <v>0</v>
      </c>
      <c r="H2947" s="5">
        <f>IFERROR(__xludf.DUMMYFUNCTION("""COMPUTED_VALUE"""),0.11458333333212067)</f>
        <v>0.1145833333</v>
      </c>
    </row>
    <row r="2948">
      <c r="A2948" t="str">
        <f>IFERROR(__xludf.DUMMYFUNCTION("""COMPUTED_VALUE"""),"Turkey")</f>
        <v>Turkey</v>
      </c>
      <c r="B2948" t="str">
        <f>IFERROR(__xludf.DUMMYFUNCTION("""COMPUTED_VALUE"""),"Europe")</f>
        <v>Europe</v>
      </c>
      <c r="C2948">
        <f>IFERROR(__xludf.DUMMYFUNCTION("""COMPUTED_VALUE"""),47.0)</f>
        <v>47</v>
      </c>
      <c r="D2948" t="str">
        <f>IFERROR(__xludf.DUMMYFUNCTION("""COMPUTED_VALUE"""),"Pahalı")</f>
        <v>Pahalı</v>
      </c>
      <c r="E2948" t="str">
        <f>IFERROR(__xludf.DUMMYFUNCTION("""COMPUTED_VALUE"""),"Murda")</f>
        <v>Murda</v>
      </c>
      <c r="F2948" t="str">
        <f>IFERROR(__xludf.DUMMYFUNCTION("""COMPUTED_VALUE"""),"DOĞA")</f>
        <v>DOĞA</v>
      </c>
      <c r="G2948">
        <f>IFERROR(__xludf.DUMMYFUNCTION("""COMPUTED_VALUE"""),1.0)</f>
        <v>1</v>
      </c>
      <c r="H2948" s="5">
        <f>IFERROR(__xludf.DUMMYFUNCTION("""COMPUTED_VALUE"""),0.09166666666715173)</f>
        <v>0.09166666667</v>
      </c>
    </row>
    <row r="2949">
      <c r="A2949" t="str">
        <f>IFERROR(__xludf.DUMMYFUNCTION("""COMPUTED_VALUE"""),"Turkey")</f>
        <v>Turkey</v>
      </c>
      <c r="B2949" t="str">
        <f>IFERROR(__xludf.DUMMYFUNCTION("""COMPUTED_VALUE"""),"Europe")</f>
        <v>Europe</v>
      </c>
      <c r="C2949">
        <f>IFERROR(__xludf.DUMMYFUNCTION("""COMPUTED_VALUE"""),48.0)</f>
        <v>48</v>
      </c>
      <c r="D2949" t="str">
        <f>IFERROR(__xludf.DUMMYFUNCTION("""COMPUTED_VALUE"""),"Falling")</f>
        <v>Falling</v>
      </c>
      <c r="E2949" t="str">
        <f>IFERROR(__xludf.DUMMYFUNCTION("""COMPUTED_VALUE"""),"Trevor Daniel")</f>
        <v>Trevor Daniel</v>
      </c>
      <c r="F2949" t="str">
        <f>IFERROR(__xludf.DUMMYFUNCTION("""COMPUTED_VALUE"""),"Nicotine")</f>
        <v>Nicotine</v>
      </c>
      <c r="G2949">
        <f>IFERROR(__xludf.DUMMYFUNCTION("""COMPUTED_VALUE"""),0.0)</f>
        <v>0</v>
      </c>
      <c r="H2949" s="5">
        <f>IFERROR(__xludf.DUMMYFUNCTION("""COMPUTED_VALUE"""),0.11041666666642413)</f>
        <v>0.1104166667</v>
      </c>
    </row>
    <row r="2950">
      <c r="A2950" t="str">
        <f>IFERROR(__xludf.DUMMYFUNCTION("""COMPUTED_VALUE"""),"Turkey")</f>
        <v>Turkey</v>
      </c>
      <c r="B2950" t="str">
        <f>IFERROR(__xludf.DUMMYFUNCTION("""COMPUTED_VALUE"""),"Europe")</f>
        <v>Europe</v>
      </c>
      <c r="C2950">
        <f>IFERROR(__xludf.DUMMYFUNCTION("""COMPUTED_VALUE"""),49.0)</f>
        <v>49</v>
      </c>
      <c r="D2950" t="str">
        <f>IFERROR(__xludf.DUMMYFUNCTION("""COMPUTED_VALUE"""),"Rain On Me (with Ariana Grande)")</f>
        <v>Rain On Me (with Ariana Grande)</v>
      </c>
      <c r="E2950" t="str">
        <f>IFERROR(__xludf.DUMMYFUNCTION("""COMPUTED_VALUE"""),"Lady Gaga, Ariana Grande")</f>
        <v>Lady Gaga, Ariana Grande</v>
      </c>
      <c r="F2950" t="str">
        <f>IFERROR(__xludf.DUMMYFUNCTION("""COMPUTED_VALUE"""),"Rain On Me (with Ariana Grande)")</f>
        <v>Rain On Me (with Ariana Grande)</v>
      </c>
      <c r="G2950">
        <f>IFERROR(__xludf.DUMMYFUNCTION("""COMPUTED_VALUE"""),0.0)</f>
        <v>0</v>
      </c>
      <c r="H2950" s="5">
        <f>IFERROR(__xludf.DUMMYFUNCTION("""COMPUTED_VALUE"""),0.12638888888977817)</f>
        <v>0.1263888889</v>
      </c>
    </row>
    <row r="2951">
      <c r="A2951" t="str">
        <f>IFERROR(__xludf.DUMMYFUNCTION("""COMPUTED_VALUE"""),"Turkey")</f>
        <v>Turkey</v>
      </c>
      <c r="B2951" t="str">
        <f>IFERROR(__xludf.DUMMYFUNCTION("""COMPUTED_VALUE"""),"Europe")</f>
        <v>Europe</v>
      </c>
      <c r="C2951">
        <f>IFERROR(__xludf.DUMMYFUNCTION("""COMPUTED_VALUE"""),50.0)</f>
        <v>50</v>
      </c>
      <c r="D2951" t="str">
        <f>IFERROR(__xludf.DUMMYFUNCTION("""COMPUTED_VALUE"""),"Güzel Kızlar Patron Dinler")</f>
        <v>Güzel Kızlar Patron Dinler</v>
      </c>
      <c r="E2951" t="str">
        <f>IFERROR(__xludf.DUMMYFUNCTION("""COMPUTED_VALUE"""),"Patron")</f>
        <v>Patron</v>
      </c>
      <c r="F2951" t="str">
        <f>IFERROR(__xludf.DUMMYFUNCTION("""COMPUTED_VALUE"""),"Sosyo Pat")</f>
        <v>Sosyo Pat</v>
      </c>
      <c r="G2951">
        <f>IFERROR(__xludf.DUMMYFUNCTION("""COMPUTED_VALUE"""),0.0)</f>
        <v>0</v>
      </c>
      <c r="H2951" s="5">
        <f>IFERROR(__xludf.DUMMYFUNCTION("""COMPUTED_VALUE"""),0.12152777777737356)</f>
        <v>0.1215277778</v>
      </c>
    </row>
    <row r="2952">
      <c r="A2952" t="str">
        <f>IFERROR(__xludf.DUMMYFUNCTION("""COMPUTED_VALUE"""),"United Kingdom")</f>
        <v>United Kingdom</v>
      </c>
      <c r="B2952" t="str">
        <f>IFERROR(__xludf.DUMMYFUNCTION("""COMPUTED_VALUE"""),"Europe")</f>
        <v>Europe</v>
      </c>
      <c r="C2952">
        <f>IFERROR(__xludf.DUMMYFUNCTION("""COMPUTED_VALUE"""),1.0)</f>
        <v>1</v>
      </c>
      <c r="D2952" t="str">
        <f>IFERROR(__xludf.DUMMYFUNCTION("""COMPUTED_VALUE"""),"ROCKSTAR (feat. Roddy Ricch)")</f>
        <v>ROCKSTAR (feat. Roddy Ricch)</v>
      </c>
      <c r="E2952" t="str">
        <f>IFERROR(__xludf.DUMMYFUNCTION("""COMPUTED_VALUE"""),"DaBaby, Roddy Ricch")</f>
        <v>DaBaby, Roddy Ricch</v>
      </c>
      <c r="F2952" t="str">
        <f>IFERROR(__xludf.DUMMYFUNCTION("""COMPUTED_VALUE"""),"BLAME IT ON BABY")</f>
        <v>BLAME IT ON BABY</v>
      </c>
      <c r="G2952">
        <f>IFERROR(__xludf.DUMMYFUNCTION("""COMPUTED_VALUE"""),1.0)</f>
        <v>1</v>
      </c>
      <c r="H2952" s="5">
        <f>IFERROR(__xludf.DUMMYFUNCTION("""COMPUTED_VALUE"""),0.1256944444430701)</f>
        <v>0.1256944444</v>
      </c>
    </row>
    <row r="2953">
      <c r="A2953" t="str">
        <f>IFERROR(__xludf.DUMMYFUNCTION("""COMPUTED_VALUE"""),"United Kingdom")</f>
        <v>United Kingdom</v>
      </c>
      <c r="B2953" t="str">
        <f>IFERROR(__xludf.DUMMYFUNCTION("""COMPUTED_VALUE"""),"Europe")</f>
        <v>Europe</v>
      </c>
      <c r="C2953">
        <f>IFERROR(__xludf.DUMMYFUNCTION("""COMPUTED_VALUE"""),2.0)</f>
        <v>2</v>
      </c>
      <c r="D2953" t="str">
        <f>IFERROR(__xludf.DUMMYFUNCTION("""COMPUTED_VALUE"""),"Rain On Me (with Ariana Grande)")</f>
        <v>Rain On Me (with Ariana Grande)</v>
      </c>
      <c r="E2953" t="str">
        <f>IFERROR(__xludf.DUMMYFUNCTION("""COMPUTED_VALUE"""),"Lady Gaga, Ariana Grande")</f>
        <v>Lady Gaga, Ariana Grande</v>
      </c>
      <c r="F2953" t="str">
        <f>IFERROR(__xludf.DUMMYFUNCTION("""COMPUTED_VALUE"""),"Rain On Me (with Ariana Grande)")</f>
        <v>Rain On Me (with Ariana Grande)</v>
      </c>
      <c r="G2953">
        <f>IFERROR(__xludf.DUMMYFUNCTION("""COMPUTED_VALUE"""),0.0)</f>
        <v>0</v>
      </c>
      <c r="H2953" s="5">
        <f>IFERROR(__xludf.DUMMYFUNCTION("""COMPUTED_VALUE"""),0.12638888888977817)</f>
        <v>0.1263888889</v>
      </c>
    </row>
    <row r="2954">
      <c r="A2954" t="str">
        <f>IFERROR(__xludf.DUMMYFUNCTION("""COMPUTED_VALUE"""),"United Kingdom")</f>
        <v>United Kingdom</v>
      </c>
      <c r="B2954" t="str">
        <f>IFERROR(__xludf.DUMMYFUNCTION("""COMPUTED_VALUE"""),"Europe")</f>
        <v>Europe</v>
      </c>
      <c r="C2954">
        <f>IFERROR(__xludf.DUMMYFUNCTION("""COMPUTED_VALUE"""),3.0)</f>
        <v>3</v>
      </c>
      <c r="D2954" t="str">
        <f>IFERROR(__xludf.DUMMYFUNCTION("""COMPUTED_VALUE"""),"Blinding Lights")</f>
        <v>Blinding Lights</v>
      </c>
      <c r="E2954" t="str">
        <f>IFERROR(__xludf.DUMMYFUNCTION("""COMPUTED_VALUE"""),"The Weeknd")</f>
        <v>The Weeknd</v>
      </c>
      <c r="F2954" t="str">
        <f>IFERROR(__xludf.DUMMYFUNCTION("""COMPUTED_VALUE"""),"After Hours")</f>
        <v>After Hours</v>
      </c>
      <c r="G2954">
        <f>IFERROR(__xludf.DUMMYFUNCTION("""COMPUTED_VALUE"""),0.0)</f>
        <v>0</v>
      </c>
      <c r="H2954" s="5">
        <f>IFERROR(__xludf.DUMMYFUNCTION("""COMPUTED_VALUE"""),0.13888888889050577)</f>
        <v>0.1388888889</v>
      </c>
    </row>
    <row r="2955">
      <c r="A2955" t="str">
        <f>IFERROR(__xludf.DUMMYFUNCTION("""COMPUTED_VALUE"""),"United Kingdom")</f>
        <v>United Kingdom</v>
      </c>
      <c r="B2955" t="str">
        <f>IFERROR(__xludf.DUMMYFUNCTION("""COMPUTED_VALUE"""),"Europe")</f>
        <v>Europe</v>
      </c>
      <c r="C2955">
        <f>IFERROR(__xludf.DUMMYFUNCTION("""COMPUTED_VALUE"""),4.0)</f>
        <v>4</v>
      </c>
      <c r="D2955" t="str">
        <f>IFERROR(__xludf.DUMMYFUNCTION("""COMPUTED_VALUE"""),"Toosie Slide")</f>
        <v>Toosie Slide</v>
      </c>
      <c r="E2955" t="str">
        <f>IFERROR(__xludf.DUMMYFUNCTION("""COMPUTED_VALUE"""),"Drake")</f>
        <v>Drake</v>
      </c>
      <c r="F2955" t="str">
        <f>IFERROR(__xludf.DUMMYFUNCTION("""COMPUTED_VALUE"""),"Dark Lane Demo Tapes")</f>
        <v>Dark Lane Demo Tapes</v>
      </c>
      <c r="G2955">
        <f>IFERROR(__xludf.DUMMYFUNCTION("""COMPUTED_VALUE"""),1.0)</f>
        <v>1</v>
      </c>
      <c r="H2955" s="5">
        <f>IFERROR(__xludf.DUMMYFUNCTION("""COMPUTED_VALUE"""),0.17152777777664596)</f>
        <v>0.1715277778</v>
      </c>
    </row>
    <row r="2956">
      <c r="A2956" t="str">
        <f>IFERROR(__xludf.DUMMYFUNCTION("""COMPUTED_VALUE"""),"United Kingdom")</f>
        <v>United Kingdom</v>
      </c>
      <c r="B2956" t="str">
        <f>IFERROR(__xludf.DUMMYFUNCTION("""COMPUTED_VALUE"""),"Europe")</f>
        <v>Europe</v>
      </c>
      <c r="C2956">
        <f>IFERROR(__xludf.DUMMYFUNCTION("""COMPUTED_VALUE"""),5.0)</f>
        <v>5</v>
      </c>
      <c r="D2956" t="str">
        <f>IFERROR(__xludf.DUMMYFUNCTION("""COMPUTED_VALUE"""),"Roses - Imanbek Remix")</f>
        <v>Roses - Imanbek Remix</v>
      </c>
      <c r="E2956" t="str">
        <f>IFERROR(__xludf.DUMMYFUNCTION("""COMPUTED_VALUE"""),"SAINt JHN, Imanbek")</f>
        <v>SAINt JHN, Imanbek</v>
      </c>
      <c r="F2956" t="str">
        <f>IFERROR(__xludf.DUMMYFUNCTION("""COMPUTED_VALUE"""),"Roses (Imanbek Remix)")</f>
        <v>Roses (Imanbek Remix)</v>
      </c>
      <c r="G2956">
        <f>IFERROR(__xludf.DUMMYFUNCTION("""COMPUTED_VALUE"""),1.0)</f>
        <v>1</v>
      </c>
      <c r="H2956" s="5">
        <f>IFERROR(__xludf.DUMMYFUNCTION("""COMPUTED_VALUE"""),0.12222222222044365)</f>
        <v>0.1222222222</v>
      </c>
    </row>
    <row r="2957">
      <c r="A2957" t="str">
        <f>IFERROR(__xludf.DUMMYFUNCTION("""COMPUTED_VALUE"""),"United Kingdom")</f>
        <v>United Kingdom</v>
      </c>
      <c r="B2957" t="str">
        <f>IFERROR(__xludf.DUMMYFUNCTION("""COMPUTED_VALUE"""),"Europe")</f>
        <v>Europe</v>
      </c>
      <c r="C2957">
        <f>IFERROR(__xludf.DUMMYFUNCTION("""COMPUTED_VALUE"""),6.0)</f>
        <v>6</v>
      </c>
      <c r="D2957" t="str">
        <f>IFERROR(__xludf.DUMMYFUNCTION("""COMPUTED_VALUE"""),"Rover (feat. DTG)")</f>
        <v>Rover (feat. DTG)</v>
      </c>
      <c r="E2957" t="str">
        <f>IFERROR(__xludf.DUMMYFUNCTION("""COMPUTED_VALUE"""),"S1mba, DTG")</f>
        <v>S1mba, DTG</v>
      </c>
      <c r="F2957" t="str">
        <f>IFERROR(__xludf.DUMMYFUNCTION("""COMPUTED_VALUE"""),"Rover (feat. DTG)")</f>
        <v>Rover (feat. DTG)</v>
      </c>
      <c r="G2957">
        <f>IFERROR(__xludf.DUMMYFUNCTION("""COMPUTED_VALUE"""),1.0)</f>
        <v>1</v>
      </c>
      <c r="H2957" s="5">
        <f>IFERROR(__xludf.DUMMYFUNCTION("""COMPUTED_VALUE"""),0.11597222222189885)</f>
        <v>0.1159722222</v>
      </c>
    </row>
    <row r="2958">
      <c r="A2958" t="str">
        <f>IFERROR(__xludf.DUMMYFUNCTION("""COMPUTED_VALUE"""),"United Kingdom")</f>
        <v>United Kingdom</v>
      </c>
      <c r="B2958" t="str">
        <f>IFERROR(__xludf.DUMMYFUNCTION("""COMPUTED_VALUE"""),"Europe")</f>
        <v>Europe</v>
      </c>
      <c r="C2958">
        <f>IFERROR(__xludf.DUMMYFUNCTION("""COMPUTED_VALUE"""),7.0)</f>
        <v>7</v>
      </c>
      <c r="D2958" t="str">
        <f>IFERROR(__xludf.DUMMYFUNCTION("""COMPUTED_VALUE"""),"death bed (coffee for your head) (feat. beabadoobee)")</f>
        <v>death bed (coffee for your head) (feat. beabadoobee)</v>
      </c>
      <c r="E2958" t="str">
        <f>IFERROR(__xludf.DUMMYFUNCTION("""COMPUTED_VALUE"""),"Powfu, beabadoobee")</f>
        <v>Powfu, beabadoobee</v>
      </c>
      <c r="F2958" t="str">
        <f>IFERROR(__xludf.DUMMYFUNCTION("""COMPUTED_VALUE"""),"death bed (coffee for your head) (feat. beabadoobee)")</f>
        <v>death bed (coffee for your head) (feat. beabadoobee)</v>
      </c>
      <c r="G2958">
        <f>IFERROR(__xludf.DUMMYFUNCTION("""COMPUTED_VALUE"""),0.0)</f>
        <v>0</v>
      </c>
      <c r="H2958" s="5">
        <f>IFERROR(__xludf.DUMMYFUNCTION("""COMPUTED_VALUE"""),0.12013888888759539)</f>
        <v>0.1201388889</v>
      </c>
    </row>
    <row r="2959">
      <c r="A2959" t="str">
        <f>IFERROR(__xludf.DUMMYFUNCTION("""COMPUTED_VALUE"""),"United Kingdom")</f>
        <v>United Kingdom</v>
      </c>
      <c r="B2959" t="str">
        <f>IFERROR(__xludf.DUMMYFUNCTION("""COMPUTED_VALUE"""),"Europe")</f>
        <v>Europe</v>
      </c>
      <c r="C2959">
        <f>IFERROR(__xludf.DUMMYFUNCTION("""COMPUTED_VALUE"""),8.0)</f>
        <v>8</v>
      </c>
      <c r="D2959" t="str">
        <f>IFERROR(__xludf.DUMMYFUNCTION("""COMPUTED_VALUE"""),"Houdini (feat. Swarmz &amp; Tion Wayne)")</f>
        <v>Houdini (feat. Swarmz &amp; Tion Wayne)</v>
      </c>
      <c r="E2959" t="str">
        <f>IFERROR(__xludf.DUMMYFUNCTION("""COMPUTED_VALUE"""),"KSI, Tion Wayne, Swarmz")</f>
        <v>KSI, Tion Wayne, Swarmz</v>
      </c>
      <c r="F2959" t="str">
        <f>IFERROR(__xludf.DUMMYFUNCTION("""COMPUTED_VALUE"""),"Dissimulation")</f>
        <v>Dissimulation</v>
      </c>
      <c r="G2959">
        <f>IFERROR(__xludf.DUMMYFUNCTION("""COMPUTED_VALUE"""),1.0)</f>
        <v>1</v>
      </c>
      <c r="H2959" s="5">
        <f>IFERROR(__xludf.DUMMYFUNCTION("""COMPUTED_VALUE"""),0.11666666666496894)</f>
        <v>0.1166666667</v>
      </c>
    </row>
    <row r="2960">
      <c r="A2960" t="str">
        <f>IFERROR(__xludf.DUMMYFUNCTION("""COMPUTED_VALUE"""),"United Kingdom")</f>
        <v>United Kingdom</v>
      </c>
      <c r="B2960" t="str">
        <f>IFERROR(__xludf.DUMMYFUNCTION("""COMPUTED_VALUE"""),"Europe")</f>
        <v>Europe</v>
      </c>
      <c r="C2960">
        <f>IFERROR(__xludf.DUMMYFUNCTION("""COMPUTED_VALUE"""),9.0)</f>
        <v>9</v>
      </c>
      <c r="D2960" t="str">
        <f>IFERROR(__xludf.DUMMYFUNCTION("""COMPUTED_VALUE"""),"Blueberry Faygo")</f>
        <v>Blueberry Faygo</v>
      </c>
      <c r="E2960" t="str">
        <f>IFERROR(__xludf.DUMMYFUNCTION("""COMPUTED_VALUE"""),"Lil Mosey")</f>
        <v>Lil Mosey</v>
      </c>
      <c r="F2960" t="str">
        <f>IFERROR(__xludf.DUMMYFUNCTION("""COMPUTED_VALUE"""),"Certified Hitmaker")</f>
        <v>Certified Hitmaker</v>
      </c>
      <c r="G2960">
        <f>IFERROR(__xludf.DUMMYFUNCTION("""COMPUTED_VALUE"""),1.0)</f>
        <v>1</v>
      </c>
      <c r="H2960" s="5">
        <f>IFERROR(__xludf.DUMMYFUNCTION("""COMPUTED_VALUE"""),0.1124999999992724)</f>
        <v>0.1125</v>
      </c>
    </row>
    <row r="2961">
      <c r="A2961" t="str">
        <f>IFERROR(__xludf.DUMMYFUNCTION("""COMPUTED_VALUE"""),"United Kingdom")</f>
        <v>United Kingdom</v>
      </c>
      <c r="B2961" t="str">
        <f>IFERROR(__xludf.DUMMYFUNCTION("""COMPUTED_VALUE"""),"Europe")</f>
        <v>Europe</v>
      </c>
      <c r="C2961">
        <f>IFERROR(__xludf.DUMMYFUNCTION("""COMPUTED_VALUE"""),10.0)</f>
        <v>10</v>
      </c>
      <c r="D2961" t="str">
        <f>IFERROR(__xludf.DUMMYFUNCTION("""COMPUTED_VALUE"""),"Dinner Guest (feat. MoStack)")</f>
        <v>Dinner Guest (feat. MoStack)</v>
      </c>
      <c r="E2961" t="str">
        <f>IFERROR(__xludf.DUMMYFUNCTION("""COMPUTED_VALUE"""),"AJ Tracey, MoStack")</f>
        <v>AJ Tracey, MoStack</v>
      </c>
      <c r="F2961" t="str">
        <f>IFERROR(__xludf.DUMMYFUNCTION("""COMPUTED_VALUE"""),"Dinner Guest (feat. MoStack)")</f>
        <v>Dinner Guest (feat. MoStack)</v>
      </c>
      <c r="G2961">
        <f>IFERROR(__xludf.DUMMYFUNCTION("""COMPUTED_VALUE"""),1.0)</f>
        <v>1</v>
      </c>
      <c r="H2961" s="5">
        <f>IFERROR(__xludf.DUMMYFUNCTION("""COMPUTED_VALUE"""),0.1375000000007276)</f>
        <v>0.1375</v>
      </c>
    </row>
    <row r="2962">
      <c r="A2962" t="str">
        <f>IFERROR(__xludf.DUMMYFUNCTION("""COMPUTED_VALUE"""),"United Kingdom")</f>
        <v>United Kingdom</v>
      </c>
      <c r="B2962" t="str">
        <f>IFERROR(__xludf.DUMMYFUNCTION("""COMPUTED_VALUE"""),"Europe")</f>
        <v>Europe</v>
      </c>
      <c r="C2962">
        <f>IFERROR(__xludf.DUMMYFUNCTION("""COMPUTED_VALUE"""),11.0)</f>
        <v>11</v>
      </c>
      <c r="D2962" t="str">
        <f>IFERROR(__xludf.DUMMYFUNCTION("""COMPUTED_VALUE"""),"Break My Heart")</f>
        <v>Break My Heart</v>
      </c>
      <c r="E2962" t="str">
        <f>IFERROR(__xludf.DUMMYFUNCTION("""COMPUTED_VALUE"""),"Dua Lipa")</f>
        <v>Dua Lipa</v>
      </c>
      <c r="F2962" t="str">
        <f>IFERROR(__xludf.DUMMYFUNCTION("""COMPUTED_VALUE"""),"Future Nostalgia")</f>
        <v>Future Nostalgia</v>
      </c>
      <c r="G2962">
        <f>IFERROR(__xludf.DUMMYFUNCTION("""COMPUTED_VALUE"""),0.0)</f>
        <v>0</v>
      </c>
      <c r="H2962" s="5">
        <f>IFERROR(__xludf.DUMMYFUNCTION("""COMPUTED_VALUE"""),0.15347222222044365)</f>
        <v>0.1534722222</v>
      </c>
    </row>
    <row r="2963">
      <c r="A2963" t="str">
        <f>IFERROR(__xludf.DUMMYFUNCTION("""COMPUTED_VALUE"""),"United Kingdom")</f>
        <v>United Kingdom</v>
      </c>
      <c r="B2963" t="str">
        <f>IFERROR(__xludf.DUMMYFUNCTION("""COMPUTED_VALUE"""),"Europe")</f>
        <v>Europe</v>
      </c>
      <c r="C2963">
        <f>IFERROR(__xludf.DUMMYFUNCTION("""COMPUTED_VALUE"""),12.0)</f>
        <v>12</v>
      </c>
      <c r="D2963" t="str">
        <f>IFERROR(__xludf.DUMMYFUNCTION("""COMPUTED_VALUE"""),"Stuck with U (with Justin Bieber)")</f>
        <v>Stuck with U (with Justin Bieber)</v>
      </c>
      <c r="E2963" t="str">
        <f>IFERROR(__xludf.DUMMYFUNCTION("""COMPUTED_VALUE"""),"Ariana Grande, Justin Bieber")</f>
        <v>Ariana Grande, Justin Bieber</v>
      </c>
      <c r="F2963" t="str">
        <f>IFERROR(__xludf.DUMMYFUNCTION("""COMPUTED_VALUE"""),"Stuck with U")</f>
        <v>Stuck with U</v>
      </c>
      <c r="G2963">
        <f>IFERROR(__xludf.DUMMYFUNCTION("""COMPUTED_VALUE"""),0.0)</f>
        <v>0</v>
      </c>
      <c r="H2963" s="5">
        <f>IFERROR(__xludf.DUMMYFUNCTION("""COMPUTED_VALUE"""),0.15833333333284827)</f>
        <v>0.1583333333</v>
      </c>
    </row>
    <row r="2964">
      <c r="A2964" t="str">
        <f>IFERROR(__xludf.DUMMYFUNCTION("""COMPUTED_VALUE"""),"United Kingdom")</f>
        <v>United Kingdom</v>
      </c>
      <c r="B2964" t="str">
        <f>IFERROR(__xludf.DUMMYFUNCTION("""COMPUTED_VALUE"""),"Europe")</f>
        <v>Europe</v>
      </c>
      <c r="C2964">
        <f>IFERROR(__xludf.DUMMYFUNCTION("""COMPUTED_VALUE"""),13.0)</f>
        <v>13</v>
      </c>
      <c r="D2964" t="str">
        <f>IFERROR(__xludf.DUMMYFUNCTION("""COMPUTED_VALUE"""),"Rain")</f>
        <v>Rain</v>
      </c>
      <c r="E2964" t="str">
        <f>IFERROR(__xludf.DUMMYFUNCTION("""COMPUTED_VALUE"""),"Aitch, AJ Tracey, Tay Keith")</f>
        <v>Aitch, AJ Tracey, Tay Keith</v>
      </c>
      <c r="F2964" t="str">
        <f>IFERROR(__xludf.DUMMYFUNCTION("""COMPUTED_VALUE"""),"Rain")</f>
        <v>Rain</v>
      </c>
      <c r="G2964">
        <f>IFERROR(__xludf.DUMMYFUNCTION("""COMPUTED_VALUE"""),1.0)</f>
        <v>1</v>
      </c>
      <c r="H2964" s="5">
        <f>IFERROR(__xludf.DUMMYFUNCTION("""COMPUTED_VALUE"""),0.12708333333284827)</f>
        <v>0.1270833333</v>
      </c>
    </row>
    <row r="2965">
      <c r="A2965" t="str">
        <f>IFERROR(__xludf.DUMMYFUNCTION("""COMPUTED_VALUE"""),"United Kingdom")</f>
        <v>United Kingdom</v>
      </c>
      <c r="B2965" t="str">
        <f>IFERROR(__xludf.DUMMYFUNCTION("""COMPUTED_VALUE"""),"Europe")</f>
        <v>Europe</v>
      </c>
      <c r="C2965">
        <f>IFERROR(__xludf.DUMMYFUNCTION("""COMPUTED_VALUE"""),14.0)</f>
        <v>14</v>
      </c>
      <c r="D2965" t="str">
        <f>IFERROR(__xludf.DUMMYFUNCTION("""COMPUTED_VALUE"""),"Killa Killa (feat. Aiyana Lee)")</f>
        <v>Killa Killa (feat. Aiyana Lee)</v>
      </c>
      <c r="E2965" t="str">
        <f>IFERROR(__xludf.DUMMYFUNCTION("""COMPUTED_VALUE"""),"KSI, Aiyana-Lee")</f>
        <v>KSI, Aiyana-Lee</v>
      </c>
      <c r="F2965" t="str">
        <f>IFERROR(__xludf.DUMMYFUNCTION("""COMPUTED_VALUE"""),"Dissimulation")</f>
        <v>Dissimulation</v>
      </c>
      <c r="G2965">
        <f>IFERROR(__xludf.DUMMYFUNCTION("""COMPUTED_VALUE"""),1.0)</f>
        <v>1</v>
      </c>
      <c r="H2965" s="5">
        <f>IFERROR(__xludf.DUMMYFUNCTION("""COMPUTED_VALUE"""),0.10486111111094942)</f>
        <v>0.1048611111</v>
      </c>
    </row>
    <row r="2966">
      <c r="A2966" t="str">
        <f>IFERROR(__xludf.DUMMYFUNCTION("""COMPUTED_VALUE"""),"United Kingdom")</f>
        <v>United Kingdom</v>
      </c>
      <c r="B2966" t="str">
        <f>IFERROR(__xludf.DUMMYFUNCTION("""COMPUTED_VALUE"""),"Europe")</f>
        <v>Europe</v>
      </c>
      <c r="C2966">
        <f>IFERROR(__xludf.DUMMYFUNCTION("""COMPUTED_VALUE"""),15.0)</f>
        <v>15</v>
      </c>
      <c r="D2966" t="str">
        <f>IFERROR(__xludf.DUMMYFUNCTION("""COMPUTED_VALUE"""),"Flowers (feat. Jaykae)")</f>
        <v>Flowers (feat. Jaykae)</v>
      </c>
      <c r="E2966" t="str">
        <f>IFERROR(__xludf.DUMMYFUNCTION("""COMPUTED_VALUE"""),"Nathan Dawe, Jaykae")</f>
        <v>Nathan Dawe, Jaykae</v>
      </c>
      <c r="F2966" t="str">
        <f>IFERROR(__xludf.DUMMYFUNCTION("""COMPUTED_VALUE"""),"Flowers (feat. Jaykae)")</f>
        <v>Flowers (feat. Jaykae)</v>
      </c>
      <c r="G2966">
        <f>IFERROR(__xludf.DUMMYFUNCTION("""COMPUTED_VALUE"""),0.0)</f>
        <v>0</v>
      </c>
      <c r="H2966" s="5">
        <f>IFERROR(__xludf.DUMMYFUNCTION("""COMPUTED_VALUE"""),0.13680555555401952)</f>
        <v>0.1368055556</v>
      </c>
    </row>
    <row r="2967">
      <c r="A2967" t="str">
        <f>IFERROR(__xludf.DUMMYFUNCTION("""COMPUTED_VALUE"""),"United Kingdom")</f>
        <v>United Kingdom</v>
      </c>
      <c r="B2967" t="str">
        <f>IFERROR(__xludf.DUMMYFUNCTION("""COMPUTED_VALUE"""),"Europe")</f>
        <v>Europe</v>
      </c>
      <c r="C2967">
        <f>IFERROR(__xludf.DUMMYFUNCTION("""COMPUTED_VALUE"""),16.0)</f>
        <v>16</v>
      </c>
      <c r="D2967" t="str">
        <f>IFERROR(__xludf.DUMMYFUNCTION("""COMPUTED_VALUE"""),"Lonely")</f>
        <v>Lonely</v>
      </c>
      <c r="E2967" t="str">
        <f>IFERROR(__xludf.DUMMYFUNCTION("""COMPUTED_VALUE"""),"Joel Corry")</f>
        <v>Joel Corry</v>
      </c>
      <c r="F2967" t="str">
        <f>IFERROR(__xludf.DUMMYFUNCTION("""COMPUTED_VALUE"""),"Lonely")</f>
        <v>Lonely</v>
      </c>
      <c r="G2967">
        <f>IFERROR(__xludf.DUMMYFUNCTION("""COMPUTED_VALUE"""),0.0)</f>
        <v>0</v>
      </c>
      <c r="H2967" s="5">
        <f>IFERROR(__xludf.DUMMYFUNCTION("""COMPUTED_VALUE"""),0.13194444444525288)</f>
        <v>0.1319444444</v>
      </c>
    </row>
    <row r="2968">
      <c r="A2968" t="str">
        <f>IFERROR(__xludf.DUMMYFUNCTION("""COMPUTED_VALUE"""),"United Kingdom")</f>
        <v>United Kingdom</v>
      </c>
      <c r="B2968" t="str">
        <f>IFERROR(__xludf.DUMMYFUNCTION("""COMPUTED_VALUE"""),"Europe")</f>
        <v>Europe</v>
      </c>
      <c r="C2968">
        <f>IFERROR(__xludf.DUMMYFUNCTION("""COMPUTED_VALUE"""),17.0)</f>
        <v>17</v>
      </c>
      <c r="D2968" t="str">
        <f>IFERROR(__xludf.DUMMYFUNCTION("""COMPUTED_VALUE"""),"Cap (feat. Offset)")</f>
        <v>Cap (feat. Offset)</v>
      </c>
      <c r="E2968" t="str">
        <f>IFERROR(__xludf.DUMMYFUNCTION("""COMPUTED_VALUE"""),"KSI, Offset")</f>
        <v>KSI, Offset</v>
      </c>
      <c r="F2968" t="str">
        <f>IFERROR(__xludf.DUMMYFUNCTION("""COMPUTED_VALUE"""),"Dissimulation")</f>
        <v>Dissimulation</v>
      </c>
      <c r="G2968">
        <f>IFERROR(__xludf.DUMMYFUNCTION("""COMPUTED_VALUE"""),1.0)</f>
        <v>1</v>
      </c>
      <c r="H2968" s="5">
        <f>IFERROR(__xludf.DUMMYFUNCTION("""COMPUTED_VALUE"""),0.13263888888832298)</f>
        <v>0.1326388889</v>
      </c>
    </row>
    <row r="2969">
      <c r="A2969" t="str">
        <f>IFERROR(__xludf.DUMMYFUNCTION("""COMPUTED_VALUE"""),"United Kingdom")</f>
        <v>United Kingdom</v>
      </c>
      <c r="B2969" t="str">
        <f>IFERROR(__xludf.DUMMYFUNCTION("""COMPUTED_VALUE"""),"Europe")</f>
        <v>Europe</v>
      </c>
      <c r="C2969">
        <f>IFERROR(__xludf.DUMMYFUNCTION("""COMPUTED_VALUE"""),18.0)</f>
        <v>18</v>
      </c>
      <c r="D2969" t="str">
        <f>IFERROR(__xludf.DUMMYFUNCTION("""COMPUTED_VALUE"""),"Watermelon Sugar")</f>
        <v>Watermelon Sugar</v>
      </c>
      <c r="E2969" t="str">
        <f>IFERROR(__xludf.DUMMYFUNCTION("""COMPUTED_VALUE"""),"Harry Styles")</f>
        <v>Harry Styles</v>
      </c>
      <c r="F2969" t="str">
        <f>IFERROR(__xludf.DUMMYFUNCTION("""COMPUTED_VALUE"""),"Fine Line")</f>
        <v>Fine Line</v>
      </c>
      <c r="G2969">
        <f>IFERROR(__xludf.DUMMYFUNCTION("""COMPUTED_VALUE"""),0.0)</f>
        <v>0</v>
      </c>
      <c r="H2969" s="5">
        <f>IFERROR(__xludf.DUMMYFUNCTION("""COMPUTED_VALUE"""),0.12083333333430346)</f>
        <v>0.1208333333</v>
      </c>
    </row>
    <row r="2970">
      <c r="A2970" t="str">
        <f>IFERROR(__xludf.DUMMYFUNCTION("""COMPUTED_VALUE"""),"United Kingdom")</f>
        <v>United Kingdom</v>
      </c>
      <c r="B2970" t="str">
        <f>IFERROR(__xludf.DUMMYFUNCTION("""COMPUTED_VALUE"""),"Europe")</f>
        <v>Europe</v>
      </c>
      <c r="C2970">
        <f>IFERROR(__xludf.DUMMYFUNCTION("""COMPUTED_VALUE"""),19.0)</f>
        <v>19</v>
      </c>
      <c r="D2970" t="str">
        <f>IFERROR(__xludf.DUMMYFUNCTION("""COMPUTED_VALUE"""),"Don't Start Now")</f>
        <v>Don't Start Now</v>
      </c>
      <c r="E2970" t="str">
        <f>IFERROR(__xludf.DUMMYFUNCTION("""COMPUTED_VALUE"""),"Dua Lipa")</f>
        <v>Dua Lipa</v>
      </c>
      <c r="F2970" t="str">
        <f>IFERROR(__xludf.DUMMYFUNCTION("""COMPUTED_VALUE"""),"Future Nostalgia")</f>
        <v>Future Nostalgia</v>
      </c>
      <c r="G2970">
        <f>IFERROR(__xludf.DUMMYFUNCTION("""COMPUTED_VALUE"""),0.0)</f>
        <v>0</v>
      </c>
      <c r="H2970" s="5">
        <f>IFERROR(__xludf.DUMMYFUNCTION("""COMPUTED_VALUE"""),0.12708333333284827)</f>
        <v>0.1270833333</v>
      </c>
    </row>
    <row r="2971">
      <c r="A2971" t="str">
        <f>IFERROR(__xludf.DUMMYFUNCTION("""COMPUTED_VALUE"""),"United Kingdom")</f>
        <v>United Kingdom</v>
      </c>
      <c r="B2971" t="str">
        <f>IFERROR(__xludf.DUMMYFUNCTION("""COMPUTED_VALUE"""),"Europe")</f>
        <v>Europe</v>
      </c>
      <c r="C2971">
        <f>IFERROR(__xludf.DUMMYFUNCTION("""COMPUTED_VALUE"""),20.0)</f>
        <v>20</v>
      </c>
      <c r="D2971" t="str">
        <f>IFERROR(__xludf.DUMMYFUNCTION("""COMPUTED_VALUE"""),"Dance Monkey")</f>
        <v>Dance Monkey</v>
      </c>
      <c r="E2971" t="str">
        <f>IFERROR(__xludf.DUMMYFUNCTION("""COMPUTED_VALUE"""),"Tones And I")</f>
        <v>Tones And I</v>
      </c>
      <c r="F2971" t="str">
        <f>IFERROR(__xludf.DUMMYFUNCTION("""COMPUTED_VALUE"""),"Dance Monkey (Stripped Back) / Dance Monkey")</f>
        <v>Dance Monkey (Stripped Back) / Dance Monkey</v>
      </c>
      <c r="G2971">
        <f>IFERROR(__xludf.DUMMYFUNCTION("""COMPUTED_VALUE"""),0.0)</f>
        <v>0</v>
      </c>
      <c r="H2971" s="5">
        <f>IFERROR(__xludf.DUMMYFUNCTION("""COMPUTED_VALUE"""),0.14513888888905058)</f>
        <v>0.1451388889</v>
      </c>
    </row>
    <row r="2972">
      <c r="A2972" t="str">
        <f>IFERROR(__xludf.DUMMYFUNCTION("""COMPUTED_VALUE"""),"United Kingdom")</f>
        <v>United Kingdom</v>
      </c>
      <c r="B2972" t="str">
        <f>IFERROR(__xludf.DUMMYFUNCTION("""COMPUTED_VALUE"""),"Europe")</f>
        <v>Europe</v>
      </c>
      <c r="C2972">
        <f>IFERROR(__xludf.DUMMYFUNCTION("""COMPUTED_VALUE"""),21.0)</f>
        <v>21</v>
      </c>
      <c r="D2972" t="str">
        <f>IFERROR(__xludf.DUMMYFUNCTION("""COMPUTED_VALUE"""),"THE SCOTTS")</f>
        <v>THE SCOTTS</v>
      </c>
      <c r="E2972" t="str">
        <f>IFERROR(__xludf.DUMMYFUNCTION("""COMPUTED_VALUE"""),"THE SCOTTS, Travis Scott, Kid Cudi")</f>
        <v>THE SCOTTS, Travis Scott, Kid Cudi</v>
      </c>
      <c r="F2972" t="str">
        <f>IFERROR(__xludf.DUMMYFUNCTION("""COMPUTED_VALUE"""),"THE SCOTTS")</f>
        <v>THE SCOTTS</v>
      </c>
      <c r="G2972">
        <f>IFERROR(__xludf.DUMMYFUNCTION("""COMPUTED_VALUE"""),1.0)</f>
        <v>1</v>
      </c>
      <c r="H2972" s="5">
        <f>IFERROR(__xludf.DUMMYFUNCTION("""COMPUTED_VALUE"""),0.11458333333212067)</f>
        <v>0.1145833333</v>
      </c>
    </row>
    <row r="2973">
      <c r="A2973" t="str">
        <f>IFERROR(__xludf.DUMMYFUNCTION("""COMPUTED_VALUE"""),"United Kingdom")</f>
        <v>United Kingdom</v>
      </c>
      <c r="B2973" t="str">
        <f>IFERROR(__xludf.DUMMYFUNCTION("""COMPUTED_VALUE"""),"Europe")</f>
        <v>Europe</v>
      </c>
      <c r="C2973">
        <f>IFERROR(__xludf.DUMMYFUNCTION("""COMPUTED_VALUE"""),22.0)</f>
        <v>22</v>
      </c>
      <c r="D2973" t="str">
        <f>IFERROR(__xludf.DUMMYFUNCTION("""COMPUTED_VALUE"""),"Savage Remix (feat. Beyoncé)")</f>
        <v>Savage Remix (feat. Beyoncé)</v>
      </c>
      <c r="E2973" t="str">
        <f>IFERROR(__xludf.DUMMYFUNCTION("""COMPUTED_VALUE"""),"Megan Thee Stallion, Beyoncé")</f>
        <v>Megan Thee Stallion, Beyoncé</v>
      </c>
      <c r="F2973" t="str">
        <f>IFERROR(__xludf.DUMMYFUNCTION("""COMPUTED_VALUE"""),"Savage Remix (feat. Beyoncé)")</f>
        <v>Savage Remix (feat. Beyoncé)</v>
      </c>
      <c r="G2973">
        <f>IFERROR(__xludf.DUMMYFUNCTION("""COMPUTED_VALUE"""),1.0)</f>
        <v>1</v>
      </c>
      <c r="H2973" s="5">
        <f>IFERROR(__xludf.DUMMYFUNCTION("""COMPUTED_VALUE"""),0.16805555555401952)</f>
        <v>0.1680555556</v>
      </c>
    </row>
    <row r="2974">
      <c r="A2974" t="str">
        <f>IFERROR(__xludf.DUMMYFUNCTION("""COMPUTED_VALUE"""),"United Kingdom")</f>
        <v>United Kingdom</v>
      </c>
      <c r="B2974" t="str">
        <f>IFERROR(__xludf.DUMMYFUNCTION("""COMPUTED_VALUE"""),"Europe")</f>
        <v>Europe</v>
      </c>
      <c r="C2974">
        <f>IFERROR(__xludf.DUMMYFUNCTION("""COMPUTED_VALUE"""),23.0)</f>
        <v>23</v>
      </c>
      <c r="D2974" t="str">
        <f>IFERROR(__xludf.DUMMYFUNCTION("""COMPUTED_VALUE"""),"GOOBA")</f>
        <v>GOOBA</v>
      </c>
      <c r="E2974" t="str">
        <f>IFERROR(__xludf.DUMMYFUNCTION("""COMPUTED_VALUE"""),"6ix9ine")</f>
        <v>6ix9ine</v>
      </c>
      <c r="F2974" t="str">
        <f>IFERROR(__xludf.DUMMYFUNCTION("""COMPUTED_VALUE"""),"GOOBA")</f>
        <v>GOOBA</v>
      </c>
      <c r="G2974">
        <f>IFERROR(__xludf.DUMMYFUNCTION("""COMPUTED_VALUE"""),1.0)</f>
        <v>1</v>
      </c>
      <c r="H2974" s="5">
        <f>IFERROR(__xludf.DUMMYFUNCTION("""COMPUTED_VALUE"""),0.09166666666715173)</f>
        <v>0.09166666667</v>
      </c>
    </row>
    <row r="2975">
      <c r="A2975" t="str">
        <f>IFERROR(__xludf.DUMMYFUNCTION("""COMPUTED_VALUE"""),"United Kingdom")</f>
        <v>United Kingdom</v>
      </c>
      <c r="B2975" t="str">
        <f>IFERROR(__xludf.DUMMYFUNCTION("""COMPUTED_VALUE"""),"Europe")</f>
        <v>Europe</v>
      </c>
      <c r="C2975">
        <f>IFERROR(__xludf.DUMMYFUNCTION("""COMPUTED_VALUE"""),24.0)</f>
        <v>24</v>
      </c>
      <c r="D2975" t="str">
        <f>IFERROR(__xludf.DUMMYFUNCTION("""COMPUTED_VALUE"""),"The Box")</f>
        <v>The Box</v>
      </c>
      <c r="E2975" t="str">
        <f>IFERROR(__xludf.DUMMYFUNCTION("""COMPUTED_VALUE"""),"Roddy Ricch")</f>
        <v>Roddy Ricch</v>
      </c>
      <c r="F2975" t="str">
        <f>IFERROR(__xludf.DUMMYFUNCTION("""COMPUTED_VALUE"""),"Please Excuse Me For Being Antisocial")</f>
        <v>Please Excuse Me For Being Antisocial</v>
      </c>
      <c r="G2975">
        <f>IFERROR(__xludf.DUMMYFUNCTION("""COMPUTED_VALUE"""),1.0)</f>
        <v>1</v>
      </c>
      <c r="H2975" s="5">
        <f>IFERROR(__xludf.DUMMYFUNCTION("""COMPUTED_VALUE"""),0.13611111111094942)</f>
        <v>0.1361111111</v>
      </c>
    </row>
    <row r="2976">
      <c r="A2976" t="str">
        <f>IFERROR(__xludf.DUMMYFUNCTION("""COMPUTED_VALUE"""),"United Kingdom")</f>
        <v>United Kingdom</v>
      </c>
      <c r="B2976" t="str">
        <f>IFERROR(__xludf.DUMMYFUNCTION("""COMPUTED_VALUE"""),"Europe")</f>
        <v>Europe</v>
      </c>
      <c r="C2976">
        <f>IFERROR(__xludf.DUMMYFUNCTION("""COMPUTED_VALUE"""),25.0)</f>
        <v>25</v>
      </c>
      <c r="D2976" t="str">
        <f>IFERROR(__xludf.DUMMYFUNCTION("""COMPUTED_VALUE"""),"Breaking Me")</f>
        <v>Breaking Me</v>
      </c>
      <c r="E2976" t="str">
        <f>IFERROR(__xludf.DUMMYFUNCTION("""COMPUTED_VALUE"""),"Topic, A7S")</f>
        <v>Topic, A7S</v>
      </c>
      <c r="F2976" t="str">
        <f>IFERROR(__xludf.DUMMYFUNCTION("""COMPUTED_VALUE"""),"Breaking Me")</f>
        <v>Breaking Me</v>
      </c>
      <c r="G2976">
        <f>IFERROR(__xludf.DUMMYFUNCTION("""COMPUTED_VALUE"""),0.0)</f>
        <v>0</v>
      </c>
      <c r="H2976" s="5">
        <f>IFERROR(__xludf.DUMMYFUNCTION("""COMPUTED_VALUE"""),0.11527777777882875)</f>
        <v>0.1152777778</v>
      </c>
    </row>
    <row r="2977">
      <c r="A2977" t="str">
        <f>IFERROR(__xludf.DUMMYFUNCTION("""COMPUTED_VALUE"""),"United Kingdom")</f>
        <v>United Kingdom</v>
      </c>
      <c r="B2977" t="str">
        <f>IFERROR(__xludf.DUMMYFUNCTION("""COMPUTED_VALUE"""),"Europe")</f>
        <v>Europe</v>
      </c>
      <c r="C2977">
        <f>IFERROR(__xludf.DUMMYFUNCTION("""COMPUTED_VALUE"""),26.0)</f>
        <v>26</v>
      </c>
      <c r="D2977" t="str">
        <f>IFERROR(__xludf.DUMMYFUNCTION("""COMPUTED_VALUE"""),"Say So (feat. Nicki Minaj)")</f>
        <v>Say So (feat. Nicki Minaj)</v>
      </c>
      <c r="E2977" t="str">
        <f>IFERROR(__xludf.DUMMYFUNCTION("""COMPUTED_VALUE"""),"Doja Cat, Nicki Minaj")</f>
        <v>Doja Cat, Nicki Minaj</v>
      </c>
      <c r="F2977" t="str">
        <f>IFERROR(__xludf.DUMMYFUNCTION("""COMPUTED_VALUE"""),"Say So (feat. Nicki Minaj)")</f>
        <v>Say So (feat. Nicki Minaj)</v>
      </c>
      <c r="G2977">
        <f>IFERROR(__xludf.DUMMYFUNCTION("""COMPUTED_VALUE"""),1.0)</f>
        <v>1</v>
      </c>
      <c r="H2977" s="5">
        <f>IFERROR(__xludf.DUMMYFUNCTION("""COMPUTED_VALUE"""),0.1430555555562023)</f>
        <v>0.1430555556</v>
      </c>
    </row>
    <row r="2978">
      <c r="A2978" t="str">
        <f>IFERROR(__xludf.DUMMYFUNCTION("""COMPUTED_VALUE"""),"United Kingdom")</f>
        <v>United Kingdom</v>
      </c>
      <c r="B2978" t="str">
        <f>IFERROR(__xludf.DUMMYFUNCTION("""COMPUTED_VALUE"""),"Europe")</f>
        <v>Europe</v>
      </c>
      <c r="C2978">
        <f>IFERROR(__xludf.DUMMYFUNCTION("""COMPUTED_VALUE"""),27.0)</f>
        <v>27</v>
      </c>
      <c r="D2978" t="str">
        <f>IFERROR(__xludf.DUMMYFUNCTION("""COMPUTED_VALUE"""),"Someone You Loved")</f>
        <v>Someone You Loved</v>
      </c>
      <c r="E2978" t="str">
        <f>IFERROR(__xludf.DUMMYFUNCTION("""COMPUTED_VALUE"""),"Lewis Capaldi")</f>
        <v>Lewis Capaldi</v>
      </c>
      <c r="F2978" t="str">
        <f>IFERROR(__xludf.DUMMYFUNCTION("""COMPUTED_VALUE"""),"Divinely Uninspired To A Hellish Extent")</f>
        <v>Divinely Uninspired To A Hellish Extent</v>
      </c>
      <c r="G2978">
        <f>IFERROR(__xludf.DUMMYFUNCTION("""COMPUTED_VALUE"""),0.0)</f>
        <v>0</v>
      </c>
      <c r="H2978" s="5">
        <f>IFERROR(__xludf.DUMMYFUNCTION("""COMPUTED_VALUE"""),0.12638888888977817)</f>
        <v>0.1263888889</v>
      </c>
    </row>
    <row r="2979">
      <c r="A2979" t="str">
        <f>IFERROR(__xludf.DUMMYFUNCTION("""COMPUTED_VALUE"""),"United Kingdom")</f>
        <v>United Kingdom</v>
      </c>
      <c r="B2979" t="str">
        <f>IFERROR(__xludf.DUMMYFUNCTION("""COMPUTED_VALUE"""),"Europe")</f>
        <v>Europe</v>
      </c>
      <c r="C2979">
        <f>IFERROR(__xludf.DUMMYFUNCTION("""COMPUTED_VALUE"""),28.0)</f>
        <v>28</v>
      </c>
      <c r="D2979" t="str">
        <f>IFERROR(__xludf.DUMMYFUNCTION("""COMPUTED_VALUE"""),"Bad Lil Vibe (feat. Jeremih)")</f>
        <v>Bad Lil Vibe (feat. Jeremih)</v>
      </c>
      <c r="E2979" t="str">
        <f>IFERROR(__xludf.DUMMYFUNCTION("""COMPUTED_VALUE"""),"KSI, Jeremih")</f>
        <v>KSI, Jeremih</v>
      </c>
      <c r="F2979" t="str">
        <f>IFERROR(__xludf.DUMMYFUNCTION("""COMPUTED_VALUE"""),"Dissimulation")</f>
        <v>Dissimulation</v>
      </c>
      <c r="G2979">
        <f>IFERROR(__xludf.DUMMYFUNCTION("""COMPUTED_VALUE"""),1.0)</f>
        <v>1</v>
      </c>
      <c r="H2979" s="5">
        <f>IFERROR(__xludf.DUMMYFUNCTION("""COMPUTED_VALUE"""),0.09513888888977817)</f>
        <v>0.09513888889</v>
      </c>
    </row>
    <row r="2980">
      <c r="A2980" t="str">
        <f>IFERROR(__xludf.DUMMYFUNCTION("""COMPUTED_VALUE"""),"United Kingdom")</f>
        <v>United Kingdom</v>
      </c>
      <c r="B2980" t="str">
        <f>IFERROR(__xludf.DUMMYFUNCTION("""COMPUTED_VALUE"""),"Europe")</f>
        <v>Europe</v>
      </c>
      <c r="C2980">
        <f>IFERROR(__xludf.DUMMYFUNCTION("""COMPUTED_VALUE"""),29.0)</f>
        <v>29</v>
      </c>
      <c r="D2980" t="str">
        <f>IFERROR(__xludf.DUMMYFUNCTION("""COMPUTED_VALUE"""),"Supalonely")</f>
        <v>Supalonely</v>
      </c>
      <c r="E2980" t="str">
        <f>IFERROR(__xludf.DUMMYFUNCTION("""COMPUTED_VALUE"""),"BENEE, Gus Dapperton")</f>
        <v>BENEE, Gus Dapperton</v>
      </c>
      <c r="F2980" t="str">
        <f>IFERROR(__xludf.DUMMYFUNCTION("""COMPUTED_VALUE"""),"STELLA &amp; STEVE")</f>
        <v>STELLA &amp; STEVE</v>
      </c>
      <c r="G2980">
        <f>IFERROR(__xludf.DUMMYFUNCTION("""COMPUTED_VALUE"""),1.0)</f>
        <v>1</v>
      </c>
      <c r="H2980" s="5">
        <f>IFERROR(__xludf.DUMMYFUNCTION("""COMPUTED_VALUE"""),0.15486111111022183)</f>
        <v>0.1548611111</v>
      </c>
    </row>
    <row r="2981">
      <c r="A2981" t="str">
        <f>IFERROR(__xludf.DUMMYFUNCTION("""COMPUTED_VALUE"""),"United Kingdom")</f>
        <v>United Kingdom</v>
      </c>
      <c r="B2981" t="str">
        <f>IFERROR(__xludf.DUMMYFUNCTION("""COMPUTED_VALUE"""),"Europe")</f>
        <v>Europe</v>
      </c>
      <c r="C2981">
        <f>IFERROR(__xludf.DUMMYFUNCTION("""COMPUTED_VALUE"""),30.0)</f>
        <v>30</v>
      </c>
      <c r="D2981" t="str">
        <f>IFERROR(__xludf.DUMMYFUNCTION("""COMPUTED_VALUE"""),"Millions")</f>
        <v>Millions</v>
      </c>
      <c r="E2981" t="str">
        <f>IFERROR(__xludf.DUMMYFUNCTION("""COMPUTED_VALUE"""),"KSI")</f>
        <v>KSI</v>
      </c>
      <c r="F2981" t="str">
        <f>IFERROR(__xludf.DUMMYFUNCTION("""COMPUTED_VALUE"""),"Dissimulation")</f>
        <v>Dissimulation</v>
      </c>
      <c r="G2981">
        <f>IFERROR(__xludf.DUMMYFUNCTION("""COMPUTED_VALUE"""),1.0)</f>
        <v>1</v>
      </c>
      <c r="H2981" s="5">
        <f>IFERROR(__xludf.DUMMYFUNCTION("""COMPUTED_VALUE"""),0.13402777777810115)</f>
        <v>0.1340277778</v>
      </c>
    </row>
    <row r="2982">
      <c r="A2982" t="str">
        <f>IFERROR(__xludf.DUMMYFUNCTION("""COMPUTED_VALUE"""),"United Kingdom")</f>
        <v>United Kingdom</v>
      </c>
      <c r="B2982" t="str">
        <f>IFERROR(__xludf.DUMMYFUNCTION("""COMPUTED_VALUE"""),"Europe")</f>
        <v>Europe</v>
      </c>
      <c r="C2982">
        <f>IFERROR(__xludf.DUMMYFUNCTION("""COMPUTED_VALUE"""),31.0)</f>
        <v>31</v>
      </c>
      <c r="D2982" t="str">
        <f>IFERROR(__xludf.DUMMYFUNCTION("""COMPUTED_VALUE"""),"Don’t Need Love (with GRACEY)")</f>
        <v>Don’t Need Love (with GRACEY)</v>
      </c>
      <c r="E2982" t="str">
        <f>IFERROR(__xludf.DUMMYFUNCTION("""COMPUTED_VALUE"""),"220 KID, GRACEY")</f>
        <v>220 KID, GRACEY</v>
      </c>
      <c r="F2982" t="str">
        <f>IFERROR(__xludf.DUMMYFUNCTION("""COMPUTED_VALUE"""),"Don't Need Love")</f>
        <v>Don't Need Love</v>
      </c>
      <c r="G2982">
        <f>IFERROR(__xludf.DUMMYFUNCTION("""COMPUTED_VALUE"""),0.0)</f>
        <v>0</v>
      </c>
      <c r="H2982" s="5">
        <f>IFERROR(__xludf.DUMMYFUNCTION("""COMPUTED_VALUE"""),0.13541666666787933)</f>
        <v>0.1354166667</v>
      </c>
    </row>
    <row r="2983">
      <c r="A2983" t="str">
        <f>IFERROR(__xludf.DUMMYFUNCTION("""COMPUTED_VALUE"""),"United Kingdom")</f>
        <v>United Kingdom</v>
      </c>
      <c r="B2983" t="str">
        <f>IFERROR(__xludf.DUMMYFUNCTION("""COMPUTED_VALUE"""),"Europe")</f>
        <v>Europe</v>
      </c>
      <c r="C2983">
        <f>IFERROR(__xludf.DUMMYFUNCTION("""COMPUTED_VALUE"""),32.0)</f>
        <v>32</v>
      </c>
      <c r="D2983" t="str">
        <f>IFERROR(__xludf.DUMMYFUNCTION("""COMPUTED_VALUE"""),"Say So")</f>
        <v>Say So</v>
      </c>
      <c r="E2983" t="str">
        <f>IFERROR(__xludf.DUMMYFUNCTION("""COMPUTED_VALUE"""),"Doja Cat")</f>
        <v>Doja Cat</v>
      </c>
      <c r="F2983" t="str">
        <f>IFERROR(__xludf.DUMMYFUNCTION("""COMPUTED_VALUE"""),"Hot Pink")</f>
        <v>Hot Pink</v>
      </c>
      <c r="G2983">
        <f>IFERROR(__xludf.DUMMYFUNCTION("""COMPUTED_VALUE"""),1.0)</f>
        <v>1</v>
      </c>
      <c r="H2983" s="5">
        <f>IFERROR(__xludf.DUMMYFUNCTION("""COMPUTED_VALUE"""),0.16458333333503106)</f>
        <v>0.1645833333</v>
      </c>
    </row>
    <row r="2984">
      <c r="A2984" t="str">
        <f>IFERROR(__xludf.DUMMYFUNCTION("""COMPUTED_VALUE"""),"United Kingdom")</f>
        <v>United Kingdom</v>
      </c>
      <c r="B2984" t="str">
        <f>IFERROR(__xludf.DUMMYFUNCTION("""COMPUTED_VALUE"""),"Europe")</f>
        <v>Europe</v>
      </c>
      <c r="C2984">
        <f>IFERROR(__xludf.DUMMYFUNCTION("""COMPUTED_VALUE"""),33.0)</f>
        <v>33</v>
      </c>
      <c r="D2984" t="str">
        <f>IFERROR(__xludf.DUMMYFUNCTION("""COMPUTED_VALUE"""),"What You Been On")</f>
        <v>What You Been On</v>
      </c>
      <c r="E2984" t="str">
        <f>IFERROR(__xludf.DUMMYFUNCTION("""COMPUTED_VALUE"""),"KSI")</f>
        <v>KSI</v>
      </c>
      <c r="F2984" t="str">
        <f>IFERROR(__xludf.DUMMYFUNCTION("""COMPUTED_VALUE"""),"Dissimulation")</f>
        <v>Dissimulation</v>
      </c>
      <c r="G2984">
        <f>IFERROR(__xludf.DUMMYFUNCTION("""COMPUTED_VALUE"""),1.0)</f>
        <v>1</v>
      </c>
      <c r="H2984" s="5">
        <f>IFERROR(__xludf.DUMMYFUNCTION("""COMPUTED_VALUE"""),0.08263888888905058)</f>
        <v>0.08263888889</v>
      </c>
    </row>
    <row r="2985">
      <c r="A2985" t="str">
        <f>IFERROR(__xludf.DUMMYFUNCTION("""COMPUTED_VALUE"""),"United Kingdom")</f>
        <v>United Kingdom</v>
      </c>
      <c r="B2985" t="str">
        <f>IFERROR(__xludf.DUMMYFUNCTION("""COMPUTED_VALUE"""),"Europe")</f>
        <v>Europe</v>
      </c>
      <c r="C2985">
        <f>IFERROR(__xludf.DUMMYFUNCTION("""COMPUTED_VALUE"""),34.0)</f>
        <v>34</v>
      </c>
      <c r="D2985" t="str">
        <f>IFERROR(__xludf.DUMMYFUNCTION("""COMPUTED_VALUE"""),"Domain")</f>
        <v>Domain</v>
      </c>
      <c r="E2985" t="str">
        <f>IFERROR(__xludf.DUMMYFUNCTION("""COMPUTED_VALUE"""),"KSI")</f>
        <v>KSI</v>
      </c>
      <c r="F2985" t="str">
        <f>IFERROR(__xludf.DUMMYFUNCTION("""COMPUTED_VALUE"""),"Dissimulation")</f>
        <v>Dissimulation</v>
      </c>
      <c r="G2985">
        <f>IFERROR(__xludf.DUMMYFUNCTION("""COMPUTED_VALUE"""),1.0)</f>
        <v>1</v>
      </c>
      <c r="H2985" s="5">
        <f>IFERROR(__xludf.DUMMYFUNCTION("""COMPUTED_VALUE"""),0.125)</f>
        <v>0.125</v>
      </c>
    </row>
    <row r="2986">
      <c r="A2986" t="str">
        <f>IFERROR(__xludf.DUMMYFUNCTION("""COMPUTED_VALUE"""),"United Kingdom")</f>
        <v>United Kingdom</v>
      </c>
      <c r="B2986" t="str">
        <f>IFERROR(__xludf.DUMMYFUNCTION("""COMPUTED_VALUE"""),"Europe")</f>
        <v>Europe</v>
      </c>
      <c r="C2986">
        <f>IFERROR(__xludf.DUMMYFUNCTION("""COMPUTED_VALUE"""),35.0)</f>
        <v>35</v>
      </c>
      <c r="D2986" t="str">
        <f>IFERROR(__xludf.DUMMYFUNCTION("""COMPUTED_VALUE"""),"Adore You")</f>
        <v>Adore You</v>
      </c>
      <c r="E2986" t="str">
        <f>IFERROR(__xludf.DUMMYFUNCTION("""COMPUTED_VALUE"""),"Harry Styles")</f>
        <v>Harry Styles</v>
      </c>
      <c r="F2986" t="str">
        <f>IFERROR(__xludf.DUMMYFUNCTION("""COMPUTED_VALUE"""),"Fine Line")</f>
        <v>Fine Line</v>
      </c>
      <c r="G2986">
        <f>IFERROR(__xludf.DUMMYFUNCTION("""COMPUTED_VALUE"""),0.0)</f>
        <v>0</v>
      </c>
      <c r="H2986" s="5">
        <f>IFERROR(__xludf.DUMMYFUNCTION("""COMPUTED_VALUE"""),0.1437499999992724)</f>
        <v>0.14375</v>
      </c>
    </row>
    <row r="2987">
      <c r="A2987" t="str">
        <f>IFERROR(__xludf.DUMMYFUNCTION("""COMPUTED_VALUE"""),"United Kingdom")</f>
        <v>United Kingdom</v>
      </c>
      <c r="B2987" t="str">
        <f>IFERROR(__xludf.DUMMYFUNCTION("""COMPUTED_VALUE"""),"Europe")</f>
        <v>Europe</v>
      </c>
      <c r="C2987">
        <f>IFERROR(__xludf.DUMMYFUNCTION("""COMPUTED_VALUE"""),36.0)</f>
        <v>36</v>
      </c>
      <c r="D2987" t="str">
        <f>IFERROR(__xludf.DUMMYFUNCTION("""COMPUTED_VALUE"""),"If the World Was Ending - feat. Julia Michaels")</f>
        <v>If the World Was Ending - feat. Julia Michaels</v>
      </c>
      <c r="E2987" t="str">
        <f>IFERROR(__xludf.DUMMYFUNCTION("""COMPUTED_VALUE"""),"JP Saxe, Julia Michaels")</f>
        <v>JP Saxe, Julia Michaels</v>
      </c>
      <c r="F2987" t="str">
        <f>IFERROR(__xludf.DUMMYFUNCTION("""COMPUTED_VALUE"""),"If the World Was Ending (feat. Julia Michaels)")</f>
        <v>If the World Was Ending (feat. Julia Michaels)</v>
      </c>
      <c r="G2987">
        <f>IFERROR(__xludf.DUMMYFUNCTION("""COMPUTED_VALUE"""),0.0)</f>
        <v>0</v>
      </c>
      <c r="H2987" s="5">
        <f>IFERROR(__xludf.DUMMYFUNCTION("""COMPUTED_VALUE"""),0.14444444444598048)</f>
        <v>0.1444444444</v>
      </c>
    </row>
    <row r="2988">
      <c r="A2988" t="str">
        <f>IFERROR(__xludf.DUMMYFUNCTION("""COMPUTED_VALUE"""),"United Kingdom")</f>
        <v>United Kingdom</v>
      </c>
      <c r="B2988" t="str">
        <f>IFERROR(__xludf.DUMMYFUNCTION("""COMPUTED_VALUE"""),"Europe")</f>
        <v>Europe</v>
      </c>
      <c r="C2988">
        <f>IFERROR(__xludf.DUMMYFUNCTION("""COMPUTED_VALUE"""),37.0)</f>
        <v>37</v>
      </c>
      <c r="D2988" t="str">
        <f>IFERROR(__xludf.DUMMYFUNCTION("""COMPUTED_VALUE"""),"Party Girl")</f>
        <v>Party Girl</v>
      </c>
      <c r="E2988" t="str">
        <f>IFERROR(__xludf.DUMMYFUNCTION("""COMPUTED_VALUE"""),"StaySolidRocky")</f>
        <v>StaySolidRocky</v>
      </c>
      <c r="F2988" t="str">
        <f>IFERROR(__xludf.DUMMYFUNCTION("""COMPUTED_VALUE"""),"Party Girl")</f>
        <v>Party Girl</v>
      </c>
      <c r="G2988">
        <f>IFERROR(__xludf.DUMMYFUNCTION("""COMPUTED_VALUE"""),0.0)</f>
        <v>0</v>
      </c>
      <c r="H2988" s="5">
        <f>IFERROR(__xludf.DUMMYFUNCTION("""COMPUTED_VALUE"""),0.10208333333503106)</f>
        <v>0.1020833333</v>
      </c>
    </row>
    <row r="2989">
      <c r="A2989" t="str">
        <f>IFERROR(__xludf.DUMMYFUNCTION("""COMPUTED_VALUE"""),"United Kingdom")</f>
        <v>United Kingdom</v>
      </c>
      <c r="B2989" t="str">
        <f>IFERROR(__xludf.DUMMYFUNCTION("""COMPUTED_VALUE"""),"Europe")</f>
        <v>Europe</v>
      </c>
      <c r="C2989">
        <f>IFERROR(__xludf.DUMMYFUNCTION("""COMPUTED_VALUE"""),38.0)</f>
        <v>38</v>
      </c>
      <c r="D2989" t="str">
        <f>IFERROR(__xludf.DUMMYFUNCTION("""COMPUTED_VALUE"""),"Physical")</f>
        <v>Physical</v>
      </c>
      <c r="E2989" t="str">
        <f>IFERROR(__xludf.DUMMYFUNCTION("""COMPUTED_VALUE"""),"Dua Lipa")</f>
        <v>Dua Lipa</v>
      </c>
      <c r="F2989" t="str">
        <f>IFERROR(__xludf.DUMMYFUNCTION("""COMPUTED_VALUE"""),"Future Nostalgia")</f>
        <v>Future Nostalgia</v>
      </c>
      <c r="G2989">
        <f>IFERROR(__xludf.DUMMYFUNCTION("""COMPUTED_VALUE"""),0.0)</f>
        <v>0</v>
      </c>
      <c r="H2989" s="5">
        <f>IFERROR(__xludf.DUMMYFUNCTION("""COMPUTED_VALUE"""),0.13402777777810115)</f>
        <v>0.1340277778</v>
      </c>
    </row>
    <row r="2990">
      <c r="A2990" t="str">
        <f>IFERROR(__xludf.DUMMYFUNCTION("""COMPUTED_VALUE"""),"United Kingdom")</f>
        <v>United Kingdom</v>
      </c>
      <c r="B2990" t="str">
        <f>IFERROR(__xludf.DUMMYFUNCTION("""COMPUTED_VALUE"""),"Europe")</f>
        <v>Europe</v>
      </c>
      <c r="C2990">
        <f>IFERROR(__xludf.DUMMYFUNCTION("""COMPUTED_VALUE"""),39.0)</f>
        <v>39</v>
      </c>
      <c r="D2990" t="str">
        <f>IFERROR(__xludf.DUMMYFUNCTION("""COMPUTED_VALUE"""),"Before You Go")</f>
        <v>Before You Go</v>
      </c>
      <c r="E2990" t="str">
        <f>IFERROR(__xludf.DUMMYFUNCTION("""COMPUTED_VALUE"""),"Lewis Capaldi")</f>
        <v>Lewis Capaldi</v>
      </c>
      <c r="F2990" t="str">
        <f>IFERROR(__xludf.DUMMYFUNCTION("""COMPUTED_VALUE"""),"Divinely Uninspired To A Hellish Extent (Extended Edition)")</f>
        <v>Divinely Uninspired To A Hellish Extent (Extended Edition)</v>
      </c>
      <c r="G2990">
        <f>IFERROR(__xludf.DUMMYFUNCTION("""COMPUTED_VALUE"""),0.0)</f>
        <v>0</v>
      </c>
      <c r="H2990" s="5">
        <f>IFERROR(__xludf.DUMMYFUNCTION("""COMPUTED_VALUE"""),0.14930555555474712)</f>
        <v>0.1493055556</v>
      </c>
    </row>
    <row r="2991">
      <c r="A2991" t="str">
        <f>IFERROR(__xludf.DUMMYFUNCTION("""COMPUTED_VALUE"""),"United Kingdom")</f>
        <v>United Kingdom</v>
      </c>
      <c r="B2991" t="str">
        <f>IFERROR(__xludf.DUMMYFUNCTION("""COMPUTED_VALUE"""),"Europe")</f>
        <v>Europe</v>
      </c>
      <c r="C2991">
        <f>IFERROR(__xludf.DUMMYFUNCTION("""COMPUTED_VALUE"""),40.0)</f>
        <v>40</v>
      </c>
      <c r="D2991" t="str">
        <f>IFERROR(__xludf.DUMMYFUNCTION("""COMPUTED_VALUE"""),"Down Like That (feat. Rick Ross, Lil Baby &amp; S-X)")</f>
        <v>Down Like That (feat. Rick Ross, Lil Baby &amp; S-X)</v>
      </c>
      <c r="E2991" t="str">
        <f>IFERROR(__xludf.DUMMYFUNCTION("""COMPUTED_VALUE"""),"KSI, S-X, Rick Ross, Lil Baby")</f>
        <v>KSI, S-X, Rick Ross, Lil Baby</v>
      </c>
      <c r="F2991" t="str">
        <f>IFERROR(__xludf.DUMMYFUNCTION("""COMPUTED_VALUE"""),"Dissimulation")</f>
        <v>Dissimulation</v>
      </c>
      <c r="G2991">
        <f>IFERROR(__xludf.DUMMYFUNCTION("""COMPUTED_VALUE"""),1.0)</f>
        <v>1</v>
      </c>
      <c r="H2991" s="5">
        <f>IFERROR(__xludf.DUMMYFUNCTION("""COMPUTED_VALUE"""),0.12152777777737356)</f>
        <v>0.1215277778</v>
      </c>
    </row>
    <row r="2992">
      <c r="A2992" t="str">
        <f>IFERROR(__xludf.DUMMYFUNCTION("""COMPUTED_VALUE"""),"United Kingdom")</f>
        <v>United Kingdom</v>
      </c>
      <c r="B2992" t="str">
        <f>IFERROR(__xludf.DUMMYFUNCTION("""COMPUTED_VALUE"""),"Europe")</f>
        <v>Europe</v>
      </c>
      <c r="C2992">
        <f>IFERROR(__xludf.DUMMYFUNCTION("""COMPUTED_VALUE"""),41.0)</f>
        <v>41</v>
      </c>
      <c r="D2992" t="str">
        <f>IFERROR(__xludf.DUMMYFUNCTION("""COMPUTED_VALUE"""),"Tequila - Jax Jones &amp; Martin Solveig Present Europa")</f>
        <v>Tequila - Jax Jones &amp; Martin Solveig Present Europa</v>
      </c>
      <c r="E2992" t="str">
        <f>IFERROR(__xludf.DUMMYFUNCTION("""COMPUTED_VALUE"""),"Jax Jones, Martin Solveig, RAYE, Europa")</f>
        <v>Jax Jones, Martin Solveig, RAYE, Europa</v>
      </c>
      <c r="F2992" t="str">
        <f>IFERROR(__xludf.DUMMYFUNCTION("""COMPUTED_VALUE"""),"Snacks (Supersize)")</f>
        <v>Snacks (Supersize)</v>
      </c>
      <c r="G2992">
        <f>IFERROR(__xludf.DUMMYFUNCTION("""COMPUTED_VALUE"""),1.0)</f>
        <v>1</v>
      </c>
      <c r="H2992" s="5">
        <f>IFERROR(__xludf.DUMMYFUNCTION("""COMPUTED_VALUE"""),0.14583333333212067)</f>
        <v>0.1458333333</v>
      </c>
    </row>
    <row r="2993">
      <c r="A2993" t="str">
        <f>IFERROR(__xludf.DUMMYFUNCTION("""COMPUTED_VALUE"""),"United Kingdom")</f>
        <v>United Kingdom</v>
      </c>
      <c r="B2993" t="str">
        <f>IFERROR(__xludf.DUMMYFUNCTION("""COMPUTED_VALUE"""),"Europe")</f>
        <v>Europe</v>
      </c>
      <c r="C2993">
        <f>IFERROR(__xludf.DUMMYFUNCTION("""COMPUTED_VALUE"""),42.0)</f>
        <v>42</v>
      </c>
      <c r="D2993" t="str">
        <f>IFERROR(__xludf.DUMMYFUNCTION("""COMPUTED_VALUE"""),"goosebumps")</f>
        <v>goosebumps</v>
      </c>
      <c r="E2993" t="str">
        <f>IFERROR(__xludf.DUMMYFUNCTION("""COMPUTED_VALUE"""),"Travis Scott")</f>
        <v>Travis Scott</v>
      </c>
      <c r="F2993" t="str">
        <f>IFERROR(__xludf.DUMMYFUNCTION("""COMPUTED_VALUE"""),"Birds In The Trap Sing McKnight")</f>
        <v>Birds In The Trap Sing McKnight</v>
      </c>
      <c r="G2993">
        <f>IFERROR(__xludf.DUMMYFUNCTION("""COMPUTED_VALUE"""),1.0)</f>
        <v>1</v>
      </c>
      <c r="H2993" s="5">
        <f>IFERROR(__xludf.DUMMYFUNCTION("""COMPUTED_VALUE"""),0.1687500000007276)</f>
        <v>0.16875</v>
      </c>
    </row>
    <row r="2994">
      <c r="A2994" t="str">
        <f>IFERROR(__xludf.DUMMYFUNCTION("""COMPUTED_VALUE"""),"United Kingdom")</f>
        <v>United Kingdom</v>
      </c>
      <c r="B2994" t="str">
        <f>IFERROR(__xludf.DUMMYFUNCTION("""COMPUTED_VALUE"""),"Europe")</f>
        <v>Europe</v>
      </c>
      <c r="C2994">
        <f>IFERROR(__xludf.DUMMYFUNCTION("""COMPUTED_VALUE"""),43.0)</f>
        <v>43</v>
      </c>
      <c r="D2994" t="str">
        <f>IFERROR(__xludf.DUMMYFUNCTION("""COMPUTED_VALUE"""),"Undefeated")</f>
        <v>Undefeated</v>
      </c>
      <c r="E2994" t="str">
        <f>IFERROR(__xludf.DUMMYFUNCTION("""COMPUTED_VALUE"""),"KSI")</f>
        <v>KSI</v>
      </c>
      <c r="F2994" t="str">
        <f>IFERROR(__xludf.DUMMYFUNCTION("""COMPUTED_VALUE"""),"Dissimulation")</f>
        <v>Dissimulation</v>
      </c>
      <c r="G2994">
        <f>IFERROR(__xludf.DUMMYFUNCTION("""COMPUTED_VALUE"""),1.0)</f>
        <v>1</v>
      </c>
      <c r="H2994" s="5">
        <f>IFERROR(__xludf.DUMMYFUNCTION("""COMPUTED_VALUE"""),0.12152777777737356)</f>
        <v>0.1215277778</v>
      </c>
    </row>
    <row r="2995">
      <c r="A2995" t="str">
        <f>IFERROR(__xludf.DUMMYFUNCTION("""COMPUTED_VALUE"""),"United Kingdom")</f>
        <v>United Kingdom</v>
      </c>
      <c r="B2995" t="str">
        <f>IFERROR(__xludf.DUMMYFUNCTION("""COMPUTED_VALUE"""),"Europe")</f>
        <v>Europe</v>
      </c>
      <c r="C2995">
        <f>IFERROR(__xludf.DUMMYFUNCTION("""COMPUTED_VALUE"""),44.0)</f>
        <v>44</v>
      </c>
      <c r="D2995" t="str">
        <f>IFERROR(__xludf.DUMMYFUNCTION("""COMPUTED_VALUE"""),"Intentions (feat. Quavo)")</f>
        <v>Intentions (feat. Quavo)</v>
      </c>
      <c r="E2995" t="str">
        <f>IFERROR(__xludf.DUMMYFUNCTION("""COMPUTED_VALUE"""),"Justin Bieber, Quavo")</f>
        <v>Justin Bieber, Quavo</v>
      </c>
      <c r="F2995" t="str">
        <f>IFERROR(__xludf.DUMMYFUNCTION("""COMPUTED_VALUE"""),"Changes")</f>
        <v>Changes</v>
      </c>
      <c r="G2995">
        <f>IFERROR(__xludf.DUMMYFUNCTION("""COMPUTED_VALUE"""),0.0)</f>
        <v>0</v>
      </c>
      <c r="H2995" s="5">
        <f>IFERROR(__xludf.DUMMYFUNCTION("""COMPUTED_VALUE"""),0.14722222222189885)</f>
        <v>0.1472222222</v>
      </c>
    </row>
    <row r="2996">
      <c r="A2996" t="str">
        <f>IFERROR(__xludf.DUMMYFUNCTION("""COMPUTED_VALUE"""),"United Kingdom")</f>
        <v>United Kingdom</v>
      </c>
      <c r="B2996" t="str">
        <f>IFERROR(__xludf.DUMMYFUNCTION("""COMPUTED_VALUE"""),"Europe")</f>
        <v>Europe</v>
      </c>
      <c r="C2996">
        <f>IFERROR(__xludf.DUMMYFUNCTION("""COMPUTED_VALUE"""),45.0)</f>
        <v>45</v>
      </c>
      <c r="D2996" t="str">
        <f>IFERROR(__xludf.DUMMYFUNCTION("""COMPUTED_VALUE"""),"This City")</f>
        <v>This City</v>
      </c>
      <c r="E2996" t="str">
        <f>IFERROR(__xludf.DUMMYFUNCTION("""COMPUTED_VALUE"""),"Sam Fischer")</f>
        <v>Sam Fischer</v>
      </c>
      <c r="F2996" t="str">
        <f>IFERROR(__xludf.DUMMYFUNCTION("""COMPUTED_VALUE"""),"This City")</f>
        <v>This City</v>
      </c>
      <c r="G2996">
        <f>IFERROR(__xludf.DUMMYFUNCTION("""COMPUTED_VALUE"""),0.0)</f>
        <v>0</v>
      </c>
      <c r="H2996" s="5">
        <f>IFERROR(__xludf.DUMMYFUNCTION("""COMPUTED_VALUE"""),0.13472222222117125)</f>
        <v>0.1347222222</v>
      </c>
    </row>
    <row r="2997">
      <c r="A2997" t="str">
        <f>IFERROR(__xludf.DUMMYFUNCTION("""COMPUTED_VALUE"""),"United Kingdom")</f>
        <v>United Kingdom</v>
      </c>
      <c r="B2997" t="str">
        <f>IFERROR(__xludf.DUMMYFUNCTION("""COMPUTED_VALUE"""),"Europe")</f>
        <v>Europe</v>
      </c>
      <c r="C2997">
        <f>IFERROR(__xludf.DUMMYFUNCTION("""COMPUTED_VALUE"""),46.0)</f>
        <v>46</v>
      </c>
      <c r="D2997" t="str">
        <f>IFERROR(__xludf.DUMMYFUNCTION("""COMPUTED_VALUE"""),"Life Is Good (feat. Drake)")</f>
        <v>Life Is Good (feat. Drake)</v>
      </c>
      <c r="E2997" t="str">
        <f>IFERROR(__xludf.DUMMYFUNCTION("""COMPUTED_VALUE"""),"Future, Drake")</f>
        <v>Future, Drake</v>
      </c>
      <c r="F2997" t="str">
        <f>IFERROR(__xludf.DUMMYFUNCTION("""COMPUTED_VALUE"""),"High Off Life")</f>
        <v>High Off Life</v>
      </c>
      <c r="G2997">
        <f>IFERROR(__xludf.DUMMYFUNCTION("""COMPUTED_VALUE"""),1.0)</f>
        <v>1</v>
      </c>
      <c r="H2997" s="5">
        <f>IFERROR(__xludf.DUMMYFUNCTION("""COMPUTED_VALUE"""),0.16458333333503106)</f>
        <v>0.1645833333</v>
      </c>
    </row>
    <row r="2998">
      <c r="A2998" t="str">
        <f>IFERROR(__xludf.DUMMYFUNCTION("""COMPUTED_VALUE"""),"United Kingdom")</f>
        <v>United Kingdom</v>
      </c>
      <c r="B2998" t="str">
        <f>IFERROR(__xludf.DUMMYFUNCTION("""COMPUTED_VALUE"""),"Europe")</f>
        <v>Europe</v>
      </c>
      <c r="C2998">
        <f>IFERROR(__xludf.DUMMYFUNCTION("""COMPUTED_VALUE"""),47.0)</f>
        <v>47</v>
      </c>
      <c r="D2998" t="str">
        <f>IFERROR(__xludf.DUMMYFUNCTION("""COMPUTED_VALUE"""),"Break Up Song")</f>
        <v>Break Up Song</v>
      </c>
      <c r="E2998" t="str">
        <f>IFERROR(__xludf.DUMMYFUNCTION("""COMPUTED_VALUE"""),"Little Mix")</f>
        <v>Little Mix</v>
      </c>
      <c r="F2998" t="str">
        <f>IFERROR(__xludf.DUMMYFUNCTION("""COMPUTED_VALUE"""),"Break Up Song")</f>
        <v>Break Up Song</v>
      </c>
      <c r="G2998">
        <f>IFERROR(__xludf.DUMMYFUNCTION("""COMPUTED_VALUE"""),0.0)</f>
        <v>0</v>
      </c>
      <c r="H2998" s="5">
        <f>IFERROR(__xludf.DUMMYFUNCTION("""COMPUTED_VALUE"""),0.13888888889050577)</f>
        <v>0.1388888889</v>
      </c>
    </row>
    <row r="2999">
      <c r="A2999" t="str">
        <f>IFERROR(__xludf.DUMMYFUNCTION("""COMPUTED_VALUE"""),"United Kingdom")</f>
        <v>United Kingdom</v>
      </c>
      <c r="B2999" t="str">
        <f>IFERROR(__xludf.DUMMYFUNCTION("""COMPUTED_VALUE"""),"Europe")</f>
        <v>Europe</v>
      </c>
      <c r="C2999">
        <f>IFERROR(__xludf.DUMMYFUNCTION("""COMPUTED_VALUE"""),48.0)</f>
        <v>48</v>
      </c>
      <c r="D2999" t="str">
        <f>IFERROR(__xludf.DUMMYFUNCTION("""COMPUTED_VALUE"""),"Boss Bitch")</f>
        <v>Boss Bitch</v>
      </c>
      <c r="E2999" t="str">
        <f>IFERROR(__xludf.DUMMYFUNCTION("""COMPUTED_VALUE"""),"Doja Cat")</f>
        <v>Doja Cat</v>
      </c>
      <c r="F2999" t="str">
        <f>IFERROR(__xludf.DUMMYFUNCTION("""COMPUTED_VALUE"""),"Boss Bitch")</f>
        <v>Boss Bitch</v>
      </c>
      <c r="G2999">
        <f>IFERROR(__xludf.DUMMYFUNCTION("""COMPUTED_VALUE"""),0.0)</f>
        <v>0</v>
      </c>
      <c r="H2999" s="5">
        <f>IFERROR(__xludf.DUMMYFUNCTION("""COMPUTED_VALUE"""),0.0930555555569299)</f>
        <v>0.09305555556</v>
      </c>
    </row>
    <row r="3000">
      <c r="A3000" t="str">
        <f>IFERROR(__xludf.DUMMYFUNCTION("""COMPUTED_VALUE"""),"United Kingdom")</f>
        <v>United Kingdom</v>
      </c>
      <c r="B3000" t="str">
        <f>IFERROR(__xludf.DUMMYFUNCTION("""COMPUTED_VALUE"""),"Europe")</f>
        <v>Europe</v>
      </c>
      <c r="C3000">
        <f>IFERROR(__xludf.DUMMYFUNCTION("""COMPUTED_VALUE"""),49.0)</f>
        <v>49</v>
      </c>
      <c r="D3000" t="str">
        <f>IFERROR(__xludf.DUMMYFUNCTION("""COMPUTED_VALUE"""),"In Your Eyes")</f>
        <v>In Your Eyes</v>
      </c>
      <c r="E3000" t="str">
        <f>IFERROR(__xludf.DUMMYFUNCTION("""COMPUTED_VALUE"""),"The Weeknd")</f>
        <v>The Weeknd</v>
      </c>
      <c r="F3000" t="str">
        <f>IFERROR(__xludf.DUMMYFUNCTION("""COMPUTED_VALUE"""),"After Hours")</f>
        <v>After Hours</v>
      </c>
      <c r="G3000">
        <f>IFERROR(__xludf.DUMMYFUNCTION("""COMPUTED_VALUE"""),1.0)</f>
        <v>1</v>
      </c>
      <c r="H3000" s="5">
        <f>IFERROR(__xludf.DUMMYFUNCTION("""COMPUTED_VALUE"""),0.16458333333503106)</f>
        <v>0.1645833333</v>
      </c>
    </row>
    <row r="3001">
      <c r="A3001" t="str">
        <f>IFERROR(__xludf.DUMMYFUNCTION("""COMPUTED_VALUE"""),"United Kingdom")</f>
        <v>United Kingdom</v>
      </c>
      <c r="B3001" t="str">
        <f>IFERROR(__xludf.DUMMYFUNCTION("""COMPUTED_VALUE"""),"Europe")</f>
        <v>Europe</v>
      </c>
      <c r="C3001">
        <f>IFERROR(__xludf.DUMMYFUNCTION("""COMPUTED_VALUE"""),50.0)</f>
        <v>50</v>
      </c>
      <c r="D3001" t="str">
        <f>IFERROR(__xludf.DUMMYFUNCTION("""COMPUTED_VALUE"""),"Poppin (feat. Lil Pump &amp; Smokepurpp)")</f>
        <v>Poppin (feat. Lil Pump &amp; Smokepurpp)</v>
      </c>
      <c r="E3001" t="str">
        <f>IFERROR(__xludf.DUMMYFUNCTION("""COMPUTED_VALUE"""),"KSI, Lil Pump, Smokepurpp")</f>
        <v>KSI, Lil Pump, Smokepurpp</v>
      </c>
      <c r="F3001" t="str">
        <f>IFERROR(__xludf.DUMMYFUNCTION("""COMPUTED_VALUE"""),"Dissimulation")</f>
        <v>Dissimulation</v>
      </c>
      <c r="G3001">
        <f>IFERROR(__xludf.DUMMYFUNCTION("""COMPUTED_VALUE"""),1.0)</f>
        <v>1</v>
      </c>
      <c r="H3001" s="5">
        <f>IFERROR(__xludf.DUMMYFUNCTION("""COMPUTED_VALUE"""),0.14791666666496894)</f>
        <v>0.1479166667</v>
      </c>
    </row>
    <row r="3002">
      <c r="A3002" t="str">
        <f>IFERROR(__xludf.DUMMYFUNCTION("""COMPUTED_VALUE"""),"United States")</f>
        <v>United States</v>
      </c>
      <c r="B3002" t="str">
        <f>IFERROR(__xludf.DUMMYFUNCTION("""COMPUTED_VALUE"""),"North America")</f>
        <v>North America</v>
      </c>
      <c r="C3002">
        <f>IFERROR(__xludf.DUMMYFUNCTION("""COMPUTED_VALUE"""),1.0)</f>
        <v>1</v>
      </c>
      <c r="D3002" t="str">
        <f>IFERROR(__xludf.DUMMYFUNCTION("""COMPUTED_VALUE"""),"ROCKSTAR (feat. Roddy Ricch)")</f>
        <v>ROCKSTAR (feat. Roddy Ricch)</v>
      </c>
      <c r="E3002" t="str">
        <f>IFERROR(__xludf.DUMMYFUNCTION("""COMPUTED_VALUE"""),"DaBaby, Roddy Ricch")</f>
        <v>DaBaby, Roddy Ricch</v>
      </c>
      <c r="F3002" t="str">
        <f>IFERROR(__xludf.DUMMYFUNCTION("""COMPUTED_VALUE"""),"BLAME IT ON BABY")</f>
        <v>BLAME IT ON BABY</v>
      </c>
      <c r="G3002">
        <f>IFERROR(__xludf.DUMMYFUNCTION("""COMPUTED_VALUE"""),1.0)</f>
        <v>1</v>
      </c>
      <c r="H3002" s="5">
        <f>IFERROR(__xludf.DUMMYFUNCTION("""COMPUTED_VALUE"""),0.1256944444430701)</f>
        <v>0.1256944444</v>
      </c>
    </row>
    <row r="3003">
      <c r="A3003" t="str">
        <f>IFERROR(__xludf.DUMMYFUNCTION("""COMPUTED_VALUE"""),"United States")</f>
        <v>United States</v>
      </c>
      <c r="B3003" t="str">
        <f>IFERROR(__xludf.DUMMYFUNCTION("""COMPUTED_VALUE"""),"North America")</f>
        <v>North America</v>
      </c>
      <c r="C3003">
        <f>IFERROR(__xludf.DUMMYFUNCTION("""COMPUTED_VALUE"""),2.0)</f>
        <v>2</v>
      </c>
      <c r="D3003" t="str">
        <f>IFERROR(__xludf.DUMMYFUNCTION("""COMPUTED_VALUE"""),"Rain On Me (with Ariana Grande)")</f>
        <v>Rain On Me (with Ariana Grande)</v>
      </c>
      <c r="E3003" t="str">
        <f>IFERROR(__xludf.DUMMYFUNCTION("""COMPUTED_VALUE"""),"Lady Gaga, Ariana Grande")</f>
        <v>Lady Gaga, Ariana Grande</v>
      </c>
      <c r="F3003" t="str">
        <f>IFERROR(__xludf.DUMMYFUNCTION("""COMPUTED_VALUE"""),"Rain On Me (with Ariana Grande)")</f>
        <v>Rain On Me (with Ariana Grande)</v>
      </c>
      <c r="G3003">
        <f>IFERROR(__xludf.DUMMYFUNCTION("""COMPUTED_VALUE"""),0.0)</f>
        <v>0</v>
      </c>
      <c r="H3003" s="5">
        <f>IFERROR(__xludf.DUMMYFUNCTION("""COMPUTED_VALUE"""),0.12638888888977817)</f>
        <v>0.1263888889</v>
      </c>
    </row>
    <row r="3004">
      <c r="A3004" t="str">
        <f>IFERROR(__xludf.DUMMYFUNCTION("""COMPUTED_VALUE"""),"United States")</f>
        <v>United States</v>
      </c>
      <c r="B3004" t="str">
        <f>IFERROR(__xludf.DUMMYFUNCTION("""COMPUTED_VALUE"""),"North America")</f>
        <v>North America</v>
      </c>
      <c r="C3004">
        <f>IFERROR(__xludf.DUMMYFUNCTION("""COMPUTED_VALUE"""),3.0)</f>
        <v>3</v>
      </c>
      <c r="D3004" t="str">
        <f>IFERROR(__xludf.DUMMYFUNCTION("""COMPUTED_VALUE"""),"THE SCOTTS")</f>
        <v>THE SCOTTS</v>
      </c>
      <c r="E3004" t="str">
        <f>IFERROR(__xludf.DUMMYFUNCTION("""COMPUTED_VALUE"""),"THE SCOTTS, Travis Scott, Kid Cudi")</f>
        <v>THE SCOTTS, Travis Scott, Kid Cudi</v>
      </c>
      <c r="F3004" t="str">
        <f>IFERROR(__xludf.DUMMYFUNCTION("""COMPUTED_VALUE"""),"THE SCOTTS")</f>
        <v>THE SCOTTS</v>
      </c>
      <c r="G3004">
        <f>IFERROR(__xludf.DUMMYFUNCTION("""COMPUTED_VALUE"""),1.0)</f>
        <v>1</v>
      </c>
      <c r="H3004" s="5">
        <f>IFERROR(__xludf.DUMMYFUNCTION("""COMPUTED_VALUE"""),0.11458333333212067)</f>
        <v>0.1145833333</v>
      </c>
    </row>
    <row r="3005">
      <c r="A3005" t="str">
        <f>IFERROR(__xludf.DUMMYFUNCTION("""COMPUTED_VALUE"""),"United States")</f>
        <v>United States</v>
      </c>
      <c r="B3005" t="str">
        <f>IFERROR(__xludf.DUMMYFUNCTION("""COMPUTED_VALUE"""),"North America")</f>
        <v>North America</v>
      </c>
      <c r="C3005">
        <f>IFERROR(__xludf.DUMMYFUNCTION("""COMPUTED_VALUE"""),4.0)</f>
        <v>4</v>
      </c>
      <c r="D3005" t="str">
        <f>IFERROR(__xludf.DUMMYFUNCTION("""COMPUTED_VALUE"""),"Blinding Lights")</f>
        <v>Blinding Lights</v>
      </c>
      <c r="E3005" t="str">
        <f>IFERROR(__xludf.DUMMYFUNCTION("""COMPUTED_VALUE"""),"The Weeknd")</f>
        <v>The Weeknd</v>
      </c>
      <c r="F3005" t="str">
        <f>IFERROR(__xludf.DUMMYFUNCTION("""COMPUTED_VALUE"""),"After Hours")</f>
        <v>After Hours</v>
      </c>
      <c r="G3005">
        <f>IFERROR(__xludf.DUMMYFUNCTION("""COMPUTED_VALUE"""),0.0)</f>
        <v>0</v>
      </c>
      <c r="H3005" s="5">
        <f>IFERROR(__xludf.DUMMYFUNCTION("""COMPUTED_VALUE"""),0.13888888889050577)</f>
        <v>0.1388888889</v>
      </c>
    </row>
    <row r="3006">
      <c r="A3006" t="str">
        <f>IFERROR(__xludf.DUMMYFUNCTION("""COMPUTED_VALUE"""),"United States")</f>
        <v>United States</v>
      </c>
      <c r="B3006" t="str">
        <f>IFERROR(__xludf.DUMMYFUNCTION("""COMPUTED_VALUE"""),"North America")</f>
        <v>North America</v>
      </c>
      <c r="C3006">
        <f>IFERROR(__xludf.DUMMYFUNCTION("""COMPUTED_VALUE"""),5.0)</f>
        <v>5</v>
      </c>
      <c r="D3006" t="str">
        <f>IFERROR(__xludf.DUMMYFUNCTION("""COMPUTED_VALUE"""),"Blueberry Faygo")</f>
        <v>Blueberry Faygo</v>
      </c>
      <c r="E3006" t="str">
        <f>IFERROR(__xludf.DUMMYFUNCTION("""COMPUTED_VALUE"""),"Lil Mosey")</f>
        <v>Lil Mosey</v>
      </c>
      <c r="F3006" t="str">
        <f>IFERROR(__xludf.DUMMYFUNCTION("""COMPUTED_VALUE"""),"Certified Hitmaker")</f>
        <v>Certified Hitmaker</v>
      </c>
      <c r="G3006">
        <f>IFERROR(__xludf.DUMMYFUNCTION("""COMPUTED_VALUE"""),1.0)</f>
        <v>1</v>
      </c>
      <c r="H3006" s="5">
        <f>IFERROR(__xludf.DUMMYFUNCTION("""COMPUTED_VALUE"""),0.1124999999992724)</f>
        <v>0.1125</v>
      </c>
    </row>
    <row r="3007">
      <c r="A3007" t="str">
        <f>IFERROR(__xludf.DUMMYFUNCTION("""COMPUTED_VALUE"""),"United States")</f>
        <v>United States</v>
      </c>
      <c r="B3007" t="str">
        <f>IFERROR(__xludf.DUMMYFUNCTION("""COMPUTED_VALUE"""),"North America")</f>
        <v>North America</v>
      </c>
      <c r="C3007">
        <f>IFERROR(__xludf.DUMMYFUNCTION("""COMPUTED_VALUE"""),6.0)</f>
        <v>6</v>
      </c>
      <c r="D3007" t="str">
        <f>IFERROR(__xludf.DUMMYFUNCTION("""COMPUTED_VALUE"""),"Toosie Slide")</f>
        <v>Toosie Slide</v>
      </c>
      <c r="E3007" t="str">
        <f>IFERROR(__xludf.DUMMYFUNCTION("""COMPUTED_VALUE"""),"Drake")</f>
        <v>Drake</v>
      </c>
      <c r="F3007" t="str">
        <f>IFERROR(__xludf.DUMMYFUNCTION("""COMPUTED_VALUE"""),"Dark Lane Demo Tapes")</f>
        <v>Dark Lane Demo Tapes</v>
      </c>
      <c r="G3007">
        <f>IFERROR(__xludf.DUMMYFUNCTION("""COMPUTED_VALUE"""),1.0)</f>
        <v>1</v>
      </c>
      <c r="H3007" s="5">
        <f>IFERROR(__xludf.DUMMYFUNCTION("""COMPUTED_VALUE"""),0.17152777777664596)</f>
        <v>0.1715277778</v>
      </c>
    </row>
    <row r="3008">
      <c r="A3008" t="str">
        <f>IFERROR(__xludf.DUMMYFUNCTION("""COMPUTED_VALUE"""),"United States")</f>
        <v>United States</v>
      </c>
      <c r="B3008" t="str">
        <f>IFERROR(__xludf.DUMMYFUNCTION("""COMPUTED_VALUE"""),"North America")</f>
        <v>North America</v>
      </c>
      <c r="C3008">
        <f>IFERROR(__xludf.DUMMYFUNCTION("""COMPUTED_VALUE"""),7.0)</f>
        <v>7</v>
      </c>
      <c r="D3008" t="str">
        <f>IFERROR(__xludf.DUMMYFUNCTION("""COMPUTED_VALUE"""),"The Box")</f>
        <v>The Box</v>
      </c>
      <c r="E3008" t="str">
        <f>IFERROR(__xludf.DUMMYFUNCTION("""COMPUTED_VALUE"""),"Roddy Ricch")</f>
        <v>Roddy Ricch</v>
      </c>
      <c r="F3008" t="str">
        <f>IFERROR(__xludf.DUMMYFUNCTION("""COMPUTED_VALUE"""),"Please Excuse Me For Being Antisocial")</f>
        <v>Please Excuse Me For Being Antisocial</v>
      </c>
      <c r="G3008">
        <f>IFERROR(__xludf.DUMMYFUNCTION("""COMPUTED_VALUE"""),1.0)</f>
        <v>1</v>
      </c>
      <c r="H3008" s="5">
        <f>IFERROR(__xludf.DUMMYFUNCTION("""COMPUTED_VALUE"""),0.13611111111094942)</f>
        <v>0.1361111111</v>
      </c>
    </row>
    <row r="3009">
      <c r="A3009" t="str">
        <f>IFERROR(__xludf.DUMMYFUNCTION("""COMPUTED_VALUE"""),"United States")</f>
        <v>United States</v>
      </c>
      <c r="B3009" t="str">
        <f>IFERROR(__xludf.DUMMYFUNCTION("""COMPUTED_VALUE"""),"North America")</f>
        <v>North America</v>
      </c>
      <c r="C3009">
        <f>IFERROR(__xludf.DUMMYFUNCTION("""COMPUTED_VALUE"""),8.0)</f>
        <v>8</v>
      </c>
      <c r="D3009" t="str">
        <f>IFERROR(__xludf.DUMMYFUNCTION("""COMPUTED_VALUE"""),"Party Girl")</f>
        <v>Party Girl</v>
      </c>
      <c r="E3009" t="str">
        <f>IFERROR(__xludf.DUMMYFUNCTION("""COMPUTED_VALUE"""),"StaySolidRocky")</f>
        <v>StaySolidRocky</v>
      </c>
      <c r="F3009" t="str">
        <f>IFERROR(__xludf.DUMMYFUNCTION("""COMPUTED_VALUE"""),"Party Girl")</f>
        <v>Party Girl</v>
      </c>
      <c r="G3009">
        <f>IFERROR(__xludf.DUMMYFUNCTION("""COMPUTED_VALUE"""),0.0)</f>
        <v>0</v>
      </c>
      <c r="H3009" s="5">
        <f>IFERROR(__xludf.DUMMYFUNCTION("""COMPUTED_VALUE"""),0.10208333333503106)</f>
        <v>0.1020833333</v>
      </c>
    </row>
    <row r="3010">
      <c r="A3010" t="str">
        <f>IFERROR(__xludf.DUMMYFUNCTION("""COMPUTED_VALUE"""),"United States")</f>
        <v>United States</v>
      </c>
      <c r="B3010" t="str">
        <f>IFERROR(__xludf.DUMMYFUNCTION("""COMPUTED_VALUE"""),"North America")</f>
        <v>North America</v>
      </c>
      <c r="C3010">
        <f>IFERROR(__xludf.DUMMYFUNCTION("""COMPUTED_VALUE"""),9.0)</f>
        <v>9</v>
      </c>
      <c r="D3010" t="str">
        <f>IFERROR(__xludf.DUMMYFUNCTION("""COMPUTED_VALUE"""),"Roses - Imanbek Remix")</f>
        <v>Roses - Imanbek Remix</v>
      </c>
      <c r="E3010" t="str">
        <f>IFERROR(__xludf.DUMMYFUNCTION("""COMPUTED_VALUE"""),"SAINt JHN, Imanbek")</f>
        <v>SAINt JHN, Imanbek</v>
      </c>
      <c r="F3010" t="str">
        <f>IFERROR(__xludf.DUMMYFUNCTION("""COMPUTED_VALUE"""),"Roses (Imanbek Remix)")</f>
        <v>Roses (Imanbek Remix)</v>
      </c>
      <c r="G3010">
        <f>IFERROR(__xludf.DUMMYFUNCTION("""COMPUTED_VALUE"""),1.0)</f>
        <v>1</v>
      </c>
      <c r="H3010" s="5">
        <f>IFERROR(__xludf.DUMMYFUNCTION("""COMPUTED_VALUE"""),0.12222222222044365)</f>
        <v>0.1222222222</v>
      </c>
    </row>
    <row r="3011">
      <c r="A3011" t="str">
        <f>IFERROR(__xludf.DUMMYFUNCTION("""COMPUTED_VALUE"""),"United States")</f>
        <v>United States</v>
      </c>
      <c r="B3011" t="str">
        <f>IFERROR(__xludf.DUMMYFUNCTION("""COMPUTED_VALUE"""),"North America")</f>
        <v>North America</v>
      </c>
      <c r="C3011">
        <f>IFERROR(__xludf.DUMMYFUNCTION("""COMPUTED_VALUE"""),10.0)</f>
        <v>10</v>
      </c>
      <c r="D3011" t="str">
        <f>IFERROR(__xludf.DUMMYFUNCTION("""COMPUTED_VALUE"""),"Savage Remix (feat. Beyoncé)")</f>
        <v>Savage Remix (feat. Beyoncé)</v>
      </c>
      <c r="E3011" t="str">
        <f>IFERROR(__xludf.DUMMYFUNCTION("""COMPUTED_VALUE"""),"Megan Thee Stallion, Beyoncé")</f>
        <v>Megan Thee Stallion, Beyoncé</v>
      </c>
      <c r="F3011" t="str">
        <f>IFERROR(__xludf.DUMMYFUNCTION("""COMPUTED_VALUE"""),"Savage Remix (feat. Beyoncé)")</f>
        <v>Savage Remix (feat. Beyoncé)</v>
      </c>
      <c r="G3011">
        <f>IFERROR(__xludf.DUMMYFUNCTION("""COMPUTED_VALUE"""),1.0)</f>
        <v>1</v>
      </c>
      <c r="H3011" s="5">
        <f>IFERROR(__xludf.DUMMYFUNCTION("""COMPUTED_VALUE"""),0.16805555555401952)</f>
        <v>0.1680555556</v>
      </c>
    </row>
    <row r="3012">
      <c r="A3012" t="str">
        <f>IFERROR(__xludf.DUMMYFUNCTION("""COMPUTED_VALUE"""),"United States")</f>
        <v>United States</v>
      </c>
      <c r="B3012" t="str">
        <f>IFERROR(__xludf.DUMMYFUNCTION("""COMPUTED_VALUE"""),"North America")</f>
        <v>North America</v>
      </c>
      <c r="C3012">
        <f>IFERROR(__xludf.DUMMYFUNCTION("""COMPUTED_VALUE"""),11.0)</f>
        <v>11</v>
      </c>
      <c r="D3012" t="str">
        <f>IFERROR(__xludf.DUMMYFUNCTION("""COMPUTED_VALUE"""),"WHATS POPPIN")</f>
        <v>WHATS POPPIN</v>
      </c>
      <c r="E3012" t="str">
        <f>IFERROR(__xludf.DUMMYFUNCTION("""COMPUTED_VALUE"""),"Jack Harlow")</f>
        <v>Jack Harlow</v>
      </c>
      <c r="F3012" t="str">
        <f>IFERROR(__xludf.DUMMYFUNCTION("""COMPUTED_VALUE"""),"Sweet Action")</f>
        <v>Sweet Action</v>
      </c>
      <c r="G3012">
        <f>IFERROR(__xludf.DUMMYFUNCTION("""COMPUTED_VALUE"""),1.0)</f>
        <v>1</v>
      </c>
      <c r="H3012" s="5">
        <f>IFERROR(__xludf.DUMMYFUNCTION("""COMPUTED_VALUE"""),0.09652777777955635)</f>
        <v>0.09652777778</v>
      </c>
    </row>
    <row r="3013">
      <c r="A3013" t="str">
        <f>IFERROR(__xludf.DUMMYFUNCTION("""COMPUTED_VALUE"""),"United States")</f>
        <v>United States</v>
      </c>
      <c r="B3013" t="str">
        <f>IFERROR(__xludf.DUMMYFUNCTION("""COMPUTED_VALUE"""),"North America")</f>
        <v>North America</v>
      </c>
      <c r="C3013">
        <f>IFERROR(__xludf.DUMMYFUNCTION("""COMPUTED_VALUE"""),12.0)</f>
        <v>12</v>
      </c>
      <c r="D3013" t="str">
        <f>IFERROR(__xludf.DUMMYFUNCTION("""COMPUTED_VALUE"""),"COOLER THAN A BITCH (feat. Roddy Ricch)")</f>
        <v>COOLER THAN A BITCH (feat. Roddy Ricch)</v>
      </c>
      <c r="E3013" t="str">
        <f>IFERROR(__xludf.DUMMYFUNCTION("""COMPUTED_VALUE"""),"Gunna, Roddy Ricch")</f>
        <v>Gunna, Roddy Ricch</v>
      </c>
      <c r="F3013" t="str">
        <f>IFERROR(__xludf.DUMMYFUNCTION("""COMPUTED_VALUE"""),"WUNNA")</f>
        <v>WUNNA</v>
      </c>
      <c r="G3013">
        <f>IFERROR(__xludf.DUMMYFUNCTION("""COMPUTED_VALUE"""),1.0)</f>
        <v>1</v>
      </c>
      <c r="H3013" s="5">
        <f>IFERROR(__xludf.DUMMYFUNCTION("""COMPUTED_VALUE"""),0.13680555555401952)</f>
        <v>0.1368055556</v>
      </c>
    </row>
    <row r="3014">
      <c r="A3014" t="str">
        <f>IFERROR(__xludf.DUMMYFUNCTION("""COMPUTED_VALUE"""),"United States")</f>
        <v>United States</v>
      </c>
      <c r="B3014" t="str">
        <f>IFERROR(__xludf.DUMMYFUNCTION("""COMPUTED_VALUE"""),"North America")</f>
        <v>North America</v>
      </c>
      <c r="C3014">
        <f>IFERROR(__xludf.DUMMYFUNCTION("""COMPUTED_VALUE"""),13.0)</f>
        <v>13</v>
      </c>
      <c r="D3014" t="str">
        <f>IFERROR(__xludf.DUMMYFUNCTION("""COMPUTED_VALUE"""),"GOOBA")</f>
        <v>GOOBA</v>
      </c>
      <c r="E3014" t="str">
        <f>IFERROR(__xludf.DUMMYFUNCTION("""COMPUTED_VALUE"""),"6ix9ine")</f>
        <v>6ix9ine</v>
      </c>
      <c r="F3014" t="str">
        <f>IFERROR(__xludf.DUMMYFUNCTION("""COMPUTED_VALUE"""),"GOOBA")</f>
        <v>GOOBA</v>
      </c>
      <c r="G3014">
        <f>IFERROR(__xludf.DUMMYFUNCTION("""COMPUTED_VALUE"""),1.0)</f>
        <v>1</v>
      </c>
      <c r="H3014" s="5">
        <f>IFERROR(__xludf.DUMMYFUNCTION("""COMPUTED_VALUE"""),0.09166666666715173)</f>
        <v>0.09166666667</v>
      </c>
    </row>
    <row r="3015">
      <c r="A3015" t="str">
        <f>IFERROR(__xludf.DUMMYFUNCTION("""COMPUTED_VALUE"""),"United States")</f>
        <v>United States</v>
      </c>
      <c r="B3015" t="str">
        <f>IFERROR(__xludf.DUMMYFUNCTION("""COMPUTED_VALUE"""),"North America")</f>
        <v>North America</v>
      </c>
      <c r="C3015">
        <f>IFERROR(__xludf.DUMMYFUNCTION("""COMPUTED_VALUE"""),14.0)</f>
        <v>14</v>
      </c>
      <c r="D3015" t="str">
        <f>IFERROR(__xludf.DUMMYFUNCTION("""COMPUTED_VALUE"""),"DOLLAZ ON MY HEAD (feat. Young Thug)")</f>
        <v>DOLLAZ ON MY HEAD (feat. Young Thug)</v>
      </c>
      <c r="E3015" t="str">
        <f>IFERROR(__xludf.DUMMYFUNCTION("""COMPUTED_VALUE"""),"Gunna, Young Thug")</f>
        <v>Gunna, Young Thug</v>
      </c>
      <c r="F3015" t="str">
        <f>IFERROR(__xludf.DUMMYFUNCTION("""COMPUTED_VALUE"""),"WUNNA")</f>
        <v>WUNNA</v>
      </c>
      <c r="G3015">
        <f>IFERROR(__xludf.DUMMYFUNCTION("""COMPUTED_VALUE"""),1.0)</f>
        <v>1</v>
      </c>
      <c r="H3015" s="5">
        <f>IFERROR(__xludf.DUMMYFUNCTION("""COMPUTED_VALUE"""),0.13680555555401952)</f>
        <v>0.1368055556</v>
      </c>
    </row>
    <row r="3016">
      <c r="A3016" t="str">
        <f>IFERROR(__xludf.DUMMYFUNCTION("""COMPUTED_VALUE"""),"United States")</f>
        <v>United States</v>
      </c>
      <c r="B3016" t="str">
        <f>IFERROR(__xludf.DUMMYFUNCTION("""COMPUTED_VALUE"""),"North America")</f>
        <v>North America</v>
      </c>
      <c r="C3016">
        <f>IFERROR(__xludf.DUMMYFUNCTION("""COMPUTED_VALUE"""),15.0)</f>
        <v>15</v>
      </c>
      <c r="D3016" t="str">
        <f>IFERROR(__xludf.DUMMYFUNCTION("""COMPUTED_VALUE"""),"After Party")</f>
        <v>After Party</v>
      </c>
      <c r="E3016" t="str">
        <f>IFERROR(__xludf.DUMMYFUNCTION("""COMPUTED_VALUE"""),"Don Toliver")</f>
        <v>Don Toliver</v>
      </c>
      <c r="F3016" t="str">
        <f>IFERROR(__xludf.DUMMYFUNCTION("""COMPUTED_VALUE"""),"Heaven Or Hell")</f>
        <v>Heaven Or Hell</v>
      </c>
      <c r="G3016">
        <f>IFERROR(__xludf.DUMMYFUNCTION("""COMPUTED_VALUE"""),1.0)</f>
        <v>1</v>
      </c>
      <c r="H3016" s="5">
        <f>IFERROR(__xludf.DUMMYFUNCTION("""COMPUTED_VALUE"""),0.11597222222189885)</f>
        <v>0.1159722222</v>
      </c>
    </row>
    <row r="3017">
      <c r="A3017" t="str">
        <f>IFERROR(__xludf.DUMMYFUNCTION("""COMPUTED_VALUE"""),"United States")</f>
        <v>United States</v>
      </c>
      <c r="B3017" t="str">
        <f>IFERROR(__xludf.DUMMYFUNCTION("""COMPUTED_VALUE"""),"North America")</f>
        <v>North America</v>
      </c>
      <c r="C3017">
        <f>IFERROR(__xludf.DUMMYFUNCTION("""COMPUTED_VALUE"""),16.0)</f>
        <v>16</v>
      </c>
      <c r="D3017" t="str">
        <f>IFERROR(__xludf.DUMMYFUNCTION("""COMPUTED_VALUE"""),"Stuck with U (with Justin Bieber)")</f>
        <v>Stuck with U (with Justin Bieber)</v>
      </c>
      <c r="E3017" t="str">
        <f>IFERROR(__xludf.DUMMYFUNCTION("""COMPUTED_VALUE"""),"Ariana Grande, Justin Bieber")</f>
        <v>Ariana Grande, Justin Bieber</v>
      </c>
      <c r="F3017" t="str">
        <f>IFERROR(__xludf.DUMMYFUNCTION("""COMPUTED_VALUE"""),"Stuck with U")</f>
        <v>Stuck with U</v>
      </c>
      <c r="G3017">
        <f>IFERROR(__xludf.DUMMYFUNCTION("""COMPUTED_VALUE"""),0.0)</f>
        <v>0</v>
      </c>
      <c r="H3017" s="5">
        <f>IFERROR(__xludf.DUMMYFUNCTION("""COMPUTED_VALUE"""),0.15833333333284827)</f>
        <v>0.1583333333</v>
      </c>
    </row>
    <row r="3018">
      <c r="A3018" t="str">
        <f>IFERROR(__xludf.DUMMYFUNCTION("""COMPUTED_VALUE"""),"United States")</f>
        <v>United States</v>
      </c>
      <c r="B3018" t="str">
        <f>IFERROR(__xludf.DUMMYFUNCTION("""COMPUTED_VALUE"""),"North America")</f>
        <v>North America</v>
      </c>
      <c r="C3018">
        <f>IFERROR(__xludf.DUMMYFUNCTION("""COMPUTED_VALUE"""),17.0)</f>
        <v>17</v>
      </c>
      <c r="D3018" t="str">
        <f>IFERROR(__xludf.DUMMYFUNCTION("""COMPUTED_VALUE"""),"Life Is Good (feat. Drake)")</f>
        <v>Life Is Good (feat. Drake)</v>
      </c>
      <c r="E3018" t="str">
        <f>IFERROR(__xludf.DUMMYFUNCTION("""COMPUTED_VALUE"""),"Future, Drake")</f>
        <v>Future, Drake</v>
      </c>
      <c r="F3018" t="str">
        <f>IFERROR(__xludf.DUMMYFUNCTION("""COMPUTED_VALUE"""),"High Off Life")</f>
        <v>High Off Life</v>
      </c>
      <c r="G3018">
        <f>IFERROR(__xludf.DUMMYFUNCTION("""COMPUTED_VALUE"""),1.0)</f>
        <v>1</v>
      </c>
      <c r="H3018" s="5">
        <f>IFERROR(__xludf.DUMMYFUNCTION("""COMPUTED_VALUE"""),0.16458333333503106)</f>
        <v>0.1645833333</v>
      </c>
    </row>
    <row r="3019">
      <c r="A3019" t="str">
        <f>IFERROR(__xludf.DUMMYFUNCTION("""COMPUTED_VALUE"""),"United States")</f>
        <v>United States</v>
      </c>
      <c r="B3019" t="str">
        <f>IFERROR(__xludf.DUMMYFUNCTION("""COMPUTED_VALUE"""),"North America")</f>
        <v>North America</v>
      </c>
      <c r="C3019">
        <f>IFERROR(__xludf.DUMMYFUNCTION("""COMPUTED_VALUE"""),18.0)</f>
        <v>18</v>
      </c>
      <c r="D3019" t="str">
        <f>IFERROR(__xludf.DUMMYFUNCTION("""COMPUTED_VALUE"""),"Walk Em Down (feat. Roddy Ricch)")</f>
        <v>Walk Em Down (feat. Roddy Ricch)</v>
      </c>
      <c r="E3019" t="str">
        <f>IFERROR(__xludf.DUMMYFUNCTION("""COMPUTED_VALUE"""),"NLE Choppa, Roddy Ricch")</f>
        <v>NLE Choppa, Roddy Ricch</v>
      </c>
      <c r="F3019" t="str">
        <f>IFERROR(__xludf.DUMMYFUNCTION("""COMPUTED_VALUE"""),"Walk Em Down (feat. Roddy Ricch)")</f>
        <v>Walk Em Down (feat. Roddy Ricch)</v>
      </c>
      <c r="G3019">
        <f>IFERROR(__xludf.DUMMYFUNCTION("""COMPUTED_VALUE"""),1.0)</f>
        <v>1</v>
      </c>
      <c r="H3019" s="5">
        <f>IFERROR(__xludf.DUMMYFUNCTION("""COMPUTED_VALUE"""),0.12013888888759539)</f>
        <v>0.1201388889</v>
      </c>
    </row>
    <row r="3020">
      <c r="A3020" t="str">
        <f>IFERROR(__xludf.DUMMYFUNCTION("""COMPUTED_VALUE"""),"United States")</f>
        <v>United States</v>
      </c>
      <c r="B3020" t="str">
        <f>IFERROR(__xludf.DUMMYFUNCTION("""COMPUTED_VALUE"""),"North America")</f>
        <v>North America</v>
      </c>
      <c r="C3020">
        <f>IFERROR(__xludf.DUMMYFUNCTION("""COMPUTED_VALUE"""),19.0)</f>
        <v>19</v>
      </c>
      <c r="D3020" t="str">
        <f>IFERROR(__xludf.DUMMYFUNCTION("""COMPUTED_VALUE"""),"Righteous")</f>
        <v>Righteous</v>
      </c>
      <c r="E3020" t="str">
        <f>IFERROR(__xludf.DUMMYFUNCTION("""COMPUTED_VALUE"""),"Juice WRLD")</f>
        <v>Juice WRLD</v>
      </c>
      <c r="F3020" t="str">
        <f>IFERROR(__xludf.DUMMYFUNCTION("""COMPUTED_VALUE"""),"Righteous")</f>
        <v>Righteous</v>
      </c>
      <c r="G3020">
        <f>IFERROR(__xludf.DUMMYFUNCTION("""COMPUTED_VALUE"""),1.0)</f>
        <v>1</v>
      </c>
      <c r="H3020" s="5">
        <f>IFERROR(__xludf.DUMMYFUNCTION("""COMPUTED_VALUE"""),0.1687500000007276)</f>
        <v>0.16875</v>
      </c>
    </row>
    <row r="3021">
      <c r="A3021" t="str">
        <f>IFERROR(__xludf.DUMMYFUNCTION("""COMPUTED_VALUE"""),"United States")</f>
        <v>United States</v>
      </c>
      <c r="B3021" t="str">
        <f>IFERROR(__xludf.DUMMYFUNCTION("""COMPUTED_VALUE"""),"North America")</f>
        <v>North America</v>
      </c>
      <c r="C3021">
        <f>IFERROR(__xludf.DUMMYFUNCTION("""COMPUTED_VALUE"""),20.0)</f>
        <v>20</v>
      </c>
      <c r="D3021" t="str">
        <f>IFERROR(__xludf.DUMMYFUNCTION("""COMPUTED_VALUE"""),"death bed (coffee for your head) (feat. beabadoobee)")</f>
        <v>death bed (coffee for your head) (feat. beabadoobee)</v>
      </c>
      <c r="E3021" t="str">
        <f>IFERROR(__xludf.DUMMYFUNCTION("""COMPUTED_VALUE"""),"Powfu, beabadoobee")</f>
        <v>Powfu, beabadoobee</v>
      </c>
      <c r="F3021" t="str">
        <f>IFERROR(__xludf.DUMMYFUNCTION("""COMPUTED_VALUE"""),"death bed (coffee for your head) (feat. beabadoobee)")</f>
        <v>death bed (coffee for your head) (feat. beabadoobee)</v>
      </c>
      <c r="G3021">
        <f>IFERROR(__xludf.DUMMYFUNCTION("""COMPUTED_VALUE"""),0.0)</f>
        <v>0</v>
      </c>
      <c r="H3021" s="5">
        <f>IFERROR(__xludf.DUMMYFUNCTION("""COMPUTED_VALUE"""),0.12013888888759539)</f>
        <v>0.1201388889</v>
      </c>
    </row>
    <row r="3022">
      <c r="A3022" t="str">
        <f>IFERROR(__xludf.DUMMYFUNCTION("""COMPUTED_VALUE"""),"United States")</f>
        <v>United States</v>
      </c>
      <c r="B3022" t="str">
        <f>IFERROR(__xludf.DUMMYFUNCTION("""COMPUTED_VALUE"""),"North America")</f>
        <v>North America</v>
      </c>
      <c r="C3022">
        <f>IFERROR(__xludf.DUMMYFUNCTION("""COMPUTED_VALUE"""),21.0)</f>
        <v>21</v>
      </c>
      <c r="D3022" t="str">
        <f>IFERROR(__xludf.DUMMYFUNCTION("""COMPUTED_VALUE"""),"Sunday Best")</f>
        <v>Sunday Best</v>
      </c>
      <c r="E3022" t="str">
        <f>IFERROR(__xludf.DUMMYFUNCTION("""COMPUTED_VALUE"""),"Surfaces")</f>
        <v>Surfaces</v>
      </c>
      <c r="F3022" t="str">
        <f>IFERROR(__xludf.DUMMYFUNCTION("""COMPUTED_VALUE"""),"Where the Light Is")</f>
        <v>Where the Light Is</v>
      </c>
      <c r="G3022">
        <f>IFERROR(__xludf.DUMMYFUNCTION("""COMPUTED_VALUE"""),0.0)</f>
        <v>0</v>
      </c>
      <c r="H3022" s="5">
        <f>IFERROR(__xludf.DUMMYFUNCTION("""COMPUTED_VALUE"""),0.10972222222335404)</f>
        <v>0.1097222222</v>
      </c>
    </row>
    <row r="3023">
      <c r="A3023" t="str">
        <f>IFERROR(__xludf.DUMMYFUNCTION("""COMPUTED_VALUE"""),"United States")</f>
        <v>United States</v>
      </c>
      <c r="B3023" t="str">
        <f>IFERROR(__xludf.DUMMYFUNCTION("""COMPUTED_VALUE"""),"North America")</f>
        <v>North America</v>
      </c>
      <c r="C3023">
        <f>IFERROR(__xludf.DUMMYFUNCTION("""COMPUTED_VALUE"""),22.0)</f>
        <v>22</v>
      </c>
      <c r="D3023" t="str">
        <f>IFERROR(__xludf.DUMMYFUNCTION("""COMPUTED_VALUE"""),"Say So (feat. Nicki Minaj)")</f>
        <v>Say So (feat. Nicki Minaj)</v>
      </c>
      <c r="E3023" t="str">
        <f>IFERROR(__xludf.DUMMYFUNCTION("""COMPUTED_VALUE"""),"Doja Cat, Nicki Minaj")</f>
        <v>Doja Cat, Nicki Minaj</v>
      </c>
      <c r="F3023" t="str">
        <f>IFERROR(__xludf.DUMMYFUNCTION("""COMPUTED_VALUE"""),"Say So (feat. Nicki Minaj)")</f>
        <v>Say So (feat. Nicki Minaj)</v>
      </c>
      <c r="G3023">
        <f>IFERROR(__xludf.DUMMYFUNCTION("""COMPUTED_VALUE"""),1.0)</f>
        <v>1</v>
      </c>
      <c r="H3023" s="5">
        <f>IFERROR(__xludf.DUMMYFUNCTION("""COMPUTED_VALUE"""),0.1430555555562023)</f>
        <v>0.1430555556</v>
      </c>
    </row>
    <row r="3024">
      <c r="A3024" t="str">
        <f>IFERROR(__xludf.DUMMYFUNCTION("""COMPUTED_VALUE"""),"United States")</f>
        <v>United States</v>
      </c>
      <c r="B3024" t="str">
        <f>IFERROR(__xludf.DUMMYFUNCTION("""COMPUTED_VALUE"""),"North America")</f>
        <v>North America</v>
      </c>
      <c r="C3024">
        <f>IFERROR(__xludf.DUMMYFUNCTION("""COMPUTED_VALUE"""),23.0)</f>
        <v>23</v>
      </c>
      <c r="D3024" t="str">
        <f>IFERROR(__xludf.DUMMYFUNCTION("""COMPUTED_VALUE"""),"Flex (feat. Juice WRLD)")</f>
        <v>Flex (feat. Juice WRLD)</v>
      </c>
      <c r="E3024" t="str">
        <f>IFERROR(__xludf.DUMMYFUNCTION("""COMPUTED_VALUE"""),"Polo G, Juice WRLD")</f>
        <v>Polo G, Juice WRLD</v>
      </c>
      <c r="F3024" t="str">
        <f>IFERROR(__xludf.DUMMYFUNCTION("""COMPUTED_VALUE"""),"THE GOAT")</f>
        <v>THE GOAT</v>
      </c>
      <c r="G3024">
        <f>IFERROR(__xludf.DUMMYFUNCTION("""COMPUTED_VALUE"""),1.0)</f>
        <v>1</v>
      </c>
      <c r="H3024" s="5">
        <f>IFERROR(__xludf.DUMMYFUNCTION("""COMPUTED_VALUE"""),0.11319444444598048)</f>
        <v>0.1131944444</v>
      </c>
    </row>
    <row r="3025">
      <c r="A3025" t="str">
        <f>IFERROR(__xludf.DUMMYFUNCTION("""COMPUTED_VALUE"""),"United States")</f>
        <v>United States</v>
      </c>
      <c r="B3025" t="str">
        <f>IFERROR(__xludf.DUMMYFUNCTION("""COMPUTED_VALUE"""),"North America")</f>
        <v>North America</v>
      </c>
      <c r="C3025">
        <f>IFERROR(__xludf.DUMMYFUNCTION("""COMPUTED_VALUE"""),24.0)</f>
        <v>24</v>
      </c>
      <c r="D3025" t="str">
        <f>IFERROR(__xludf.DUMMYFUNCTION("""COMPUTED_VALUE"""),"Circles")</f>
        <v>Circles</v>
      </c>
      <c r="E3025" t="str">
        <f>IFERROR(__xludf.DUMMYFUNCTION("""COMPUTED_VALUE"""),"Post Malone")</f>
        <v>Post Malone</v>
      </c>
      <c r="F3025" t="str">
        <f>IFERROR(__xludf.DUMMYFUNCTION("""COMPUTED_VALUE"""),"Hollywood's Bleeding")</f>
        <v>Hollywood's Bleeding</v>
      </c>
      <c r="G3025">
        <f>IFERROR(__xludf.DUMMYFUNCTION("""COMPUTED_VALUE"""),0.0)</f>
        <v>0</v>
      </c>
      <c r="H3025" s="5">
        <f>IFERROR(__xludf.DUMMYFUNCTION("""COMPUTED_VALUE"""),0.14930555555474712)</f>
        <v>0.1493055556</v>
      </c>
    </row>
    <row r="3026">
      <c r="A3026" t="str">
        <f>IFERROR(__xludf.DUMMYFUNCTION("""COMPUTED_VALUE"""),"United States")</f>
        <v>United States</v>
      </c>
      <c r="B3026" t="str">
        <f>IFERROR(__xludf.DUMMYFUNCTION("""COMPUTED_VALUE"""),"North America")</f>
        <v>North America</v>
      </c>
      <c r="C3026">
        <f>IFERROR(__xludf.DUMMYFUNCTION("""COMPUTED_VALUE"""),25.0)</f>
        <v>25</v>
      </c>
      <c r="D3026" t="str">
        <f>IFERROR(__xludf.DUMMYFUNCTION("""COMPUTED_VALUE"""),"Intentions (feat. Quavo)")</f>
        <v>Intentions (feat. Quavo)</v>
      </c>
      <c r="E3026" t="str">
        <f>IFERROR(__xludf.DUMMYFUNCTION("""COMPUTED_VALUE"""),"Justin Bieber, Quavo")</f>
        <v>Justin Bieber, Quavo</v>
      </c>
      <c r="F3026" t="str">
        <f>IFERROR(__xludf.DUMMYFUNCTION("""COMPUTED_VALUE"""),"Changes")</f>
        <v>Changes</v>
      </c>
      <c r="G3026">
        <f>IFERROR(__xludf.DUMMYFUNCTION("""COMPUTED_VALUE"""),0.0)</f>
        <v>0</v>
      </c>
      <c r="H3026" s="5">
        <f>IFERROR(__xludf.DUMMYFUNCTION("""COMPUTED_VALUE"""),0.14722222222189885)</f>
        <v>0.1472222222</v>
      </c>
    </row>
    <row r="3027">
      <c r="A3027" t="str">
        <f>IFERROR(__xludf.DUMMYFUNCTION("""COMPUTED_VALUE"""),"United States")</f>
        <v>United States</v>
      </c>
      <c r="B3027" t="str">
        <f>IFERROR(__xludf.DUMMYFUNCTION("""COMPUTED_VALUE"""),"North America")</f>
        <v>North America</v>
      </c>
      <c r="C3027">
        <f>IFERROR(__xludf.DUMMYFUNCTION("""COMPUTED_VALUE"""),26.0)</f>
        <v>26</v>
      </c>
      <c r="D3027" t="str">
        <f>IFERROR(__xludf.DUMMYFUNCTION("""COMPUTED_VALUE"""),"Don't Start Now")</f>
        <v>Don't Start Now</v>
      </c>
      <c r="E3027" t="str">
        <f>IFERROR(__xludf.DUMMYFUNCTION("""COMPUTED_VALUE"""),"Dua Lipa")</f>
        <v>Dua Lipa</v>
      </c>
      <c r="F3027" t="str">
        <f>IFERROR(__xludf.DUMMYFUNCTION("""COMPUTED_VALUE"""),"Future Nostalgia")</f>
        <v>Future Nostalgia</v>
      </c>
      <c r="G3027">
        <f>IFERROR(__xludf.DUMMYFUNCTION("""COMPUTED_VALUE"""),0.0)</f>
        <v>0</v>
      </c>
      <c r="H3027" s="5">
        <f>IFERROR(__xludf.DUMMYFUNCTION("""COMPUTED_VALUE"""),0.12708333333284827)</f>
        <v>0.1270833333</v>
      </c>
    </row>
    <row r="3028">
      <c r="A3028" t="str">
        <f>IFERROR(__xludf.DUMMYFUNCTION("""COMPUTED_VALUE"""),"United States")</f>
        <v>United States</v>
      </c>
      <c r="B3028" t="str">
        <f>IFERROR(__xludf.DUMMYFUNCTION("""COMPUTED_VALUE"""),"North America")</f>
        <v>North America</v>
      </c>
      <c r="C3028">
        <f>IFERROR(__xludf.DUMMYFUNCTION("""COMPUTED_VALUE"""),27.0)</f>
        <v>27</v>
      </c>
      <c r="D3028" t="str">
        <f>IFERROR(__xludf.DUMMYFUNCTION("""COMPUTED_VALUE"""),"In Your Eyes")</f>
        <v>In Your Eyes</v>
      </c>
      <c r="E3028" t="str">
        <f>IFERROR(__xludf.DUMMYFUNCTION("""COMPUTED_VALUE"""),"The Weeknd")</f>
        <v>The Weeknd</v>
      </c>
      <c r="F3028" t="str">
        <f>IFERROR(__xludf.DUMMYFUNCTION("""COMPUTED_VALUE"""),"After Hours")</f>
        <v>After Hours</v>
      </c>
      <c r="G3028">
        <f>IFERROR(__xludf.DUMMYFUNCTION("""COMPUTED_VALUE"""),1.0)</f>
        <v>1</v>
      </c>
      <c r="H3028" s="5">
        <f>IFERROR(__xludf.DUMMYFUNCTION("""COMPUTED_VALUE"""),0.16458333333503106)</f>
        <v>0.1645833333</v>
      </c>
    </row>
    <row r="3029">
      <c r="A3029" t="str">
        <f>IFERROR(__xludf.DUMMYFUNCTION("""COMPUTED_VALUE"""),"United States")</f>
        <v>United States</v>
      </c>
      <c r="B3029" t="str">
        <f>IFERROR(__xludf.DUMMYFUNCTION("""COMPUTED_VALUE"""),"North America")</f>
        <v>North America</v>
      </c>
      <c r="C3029">
        <f>IFERROR(__xludf.DUMMYFUNCTION("""COMPUTED_VALUE"""),28.0)</f>
        <v>28</v>
      </c>
      <c r="D3029" t="str">
        <f>IFERROR(__xludf.DUMMYFUNCTION("""COMPUTED_VALUE"""),"Watermelon Sugar")</f>
        <v>Watermelon Sugar</v>
      </c>
      <c r="E3029" t="str">
        <f>IFERROR(__xludf.DUMMYFUNCTION("""COMPUTED_VALUE"""),"Harry Styles")</f>
        <v>Harry Styles</v>
      </c>
      <c r="F3029" t="str">
        <f>IFERROR(__xludf.DUMMYFUNCTION("""COMPUTED_VALUE"""),"Fine Line")</f>
        <v>Fine Line</v>
      </c>
      <c r="G3029">
        <f>IFERROR(__xludf.DUMMYFUNCTION("""COMPUTED_VALUE"""),0.0)</f>
        <v>0</v>
      </c>
      <c r="H3029" s="5">
        <f>IFERROR(__xludf.DUMMYFUNCTION("""COMPUTED_VALUE"""),0.12083333333430346)</f>
        <v>0.1208333333</v>
      </c>
    </row>
    <row r="3030">
      <c r="A3030" t="str">
        <f>IFERROR(__xludf.DUMMYFUNCTION("""COMPUTED_VALUE"""),"United States")</f>
        <v>United States</v>
      </c>
      <c r="B3030" t="str">
        <f>IFERROR(__xludf.DUMMYFUNCTION("""COMPUTED_VALUE"""),"North America")</f>
        <v>North America</v>
      </c>
      <c r="C3030">
        <f>IFERROR(__xludf.DUMMYFUNCTION("""COMPUTED_VALUE"""),29.0)</f>
        <v>29</v>
      </c>
      <c r="D3030" t="str">
        <f>IFERROR(__xludf.DUMMYFUNCTION("""COMPUTED_VALUE"""),"Chicago Freestyle (feat. Giveon)")</f>
        <v>Chicago Freestyle (feat. Giveon)</v>
      </c>
      <c r="E3030" t="str">
        <f>IFERROR(__xludf.DUMMYFUNCTION("""COMPUTED_VALUE"""),"Drake, Giveon")</f>
        <v>Drake, Giveon</v>
      </c>
      <c r="F3030" t="str">
        <f>IFERROR(__xludf.DUMMYFUNCTION("""COMPUTED_VALUE"""),"Dark Lane Demo Tapes")</f>
        <v>Dark Lane Demo Tapes</v>
      </c>
      <c r="G3030">
        <f>IFERROR(__xludf.DUMMYFUNCTION("""COMPUTED_VALUE"""),1.0)</f>
        <v>1</v>
      </c>
      <c r="H3030" s="5">
        <f>IFERROR(__xludf.DUMMYFUNCTION("""COMPUTED_VALUE"""),0.15277777777737356)</f>
        <v>0.1527777778</v>
      </c>
    </row>
    <row r="3031">
      <c r="A3031" t="str">
        <f>IFERROR(__xludf.DUMMYFUNCTION("""COMPUTED_VALUE"""),"United States")</f>
        <v>United States</v>
      </c>
      <c r="B3031" t="str">
        <f>IFERROR(__xludf.DUMMYFUNCTION("""COMPUTED_VALUE"""),"North America")</f>
        <v>North America</v>
      </c>
      <c r="C3031">
        <f>IFERROR(__xludf.DUMMYFUNCTION("""COMPUTED_VALUE"""),30.0)</f>
        <v>30</v>
      </c>
      <c r="D3031" t="str">
        <f>IFERROR(__xludf.DUMMYFUNCTION("""COMPUTED_VALUE"""),"WUNNA")</f>
        <v>WUNNA</v>
      </c>
      <c r="E3031" t="str">
        <f>IFERROR(__xludf.DUMMYFUNCTION("""COMPUTED_VALUE"""),"Gunna")</f>
        <v>Gunna</v>
      </c>
      <c r="F3031" t="str">
        <f>IFERROR(__xludf.DUMMYFUNCTION("""COMPUTED_VALUE"""),"WUNNA")</f>
        <v>WUNNA</v>
      </c>
      <c r="G3031">
        <f>IFERROR(__xludf.DUMMYFUNCTION("""COMPUTED_VALUE"""),1.0)</f>
        <v>1</v>
      </c>
      <c r="H3031" s="5">
        <f>IFERROR(__xludf.DUMMYFUNCTION("""COMPUTED_VALUE"""),0.10972222222335404)</f>
        <v>0.1097222222</v>
      </c>
    </row>
    <row r="3032">
      <c r="A3032" t="str">
        <f>IFERROR(__xludf.DUMMYFUNCTION("""COMPUTED_VALUE"""),"United States")</f>
        <v>United States</v>
      </c>
      <c r="B3032" t="str">
        <f>IFERROR(__xludf.DUMMYFUNCTION("""COMPUTED_VALUE"""),"North America")</f>
        <v>North America</v>
      </c>
      <c r="C3032">
        <f>IFERROR(__xludf.DUMMYFUNCTION("""COMPUTED_VALUE"""),31.0)</f>
        <v>31</v>
      </c>
      <c r="D3032" t="str">
        <f>IFERROR(__xludf.DUMMYFUNCTION("""COMPUTED_VALUE"""),"ROXANNE")</f>
        <v>ROXANNE</v>
      </c>
      <c r="E3032" t="str">
        <f>IFERROR(__xludf.DUMMYFUNCTION("""COMPUTED_VALUE"""),"Arizona Zervas")</f>
        <v>Arizona Zervas</v>
      </c>
      <c r="F3032" t="str">
        <f>IFERROR(__xludf.DUMMYFUNCTION("""COMPUTED_VALUE"""),"ROXANNE")</f>
        <v>ROXANNE</v>
      </c>
      <c r="G3032">
        <f>IFERROR(__xludf.DUMMYFUNCTION("""COMPUTED_VALUE"""),1.0)</f>
        <v>1</v>
      </c>
      <c r="H3032" s="5">
        <f>IFERROR(__xludf.DUMMYFUNCTION("""COMPUTED_VALUE"""),0.11319444444598048)</f>
        <v>0.1131944444</v>
      </c>
    </row>
    <row r="3033">
      <c r="A3033" t="str">
        <f>IFERROR(__xludf.DUMMYFUNCTION("""COMPUTED_VALUE"""),"United States")</f>
        <v>United States</v>
      </c>
      <c r="B3033" t="str">
        <f>IFERROR(__xludf.DUMMYFUNCTION("""COMPUTED_VALUE"""),"North America")</f>
        <v>North America</v>
      </c>
      <c r="C3033">
        <f>IFERROR(__xludf.DUMMYFUNCTION("""COMPUTED_VALUE"""),32.0)</f>
        <v>32</v>
      </c>
      <c r="D3033" t="str">
        <f>IFERROR(__xludf.DUMMYFUNCTION("""COMPUTED_VALUE"""),"Supalonely")</f>
        <v>Supalonely</v>
      </c>
      <c r="E3033" t="str">
        <f>IFERROR(__xludf.DUMMYFUNCTION("""COMPUTED_VALUE"""),"BENEE, Gus Dapperton")</f>
        <v>BENEE, Gus Dapperton</v>
      </c>
      <c r="F3033" t="str">
        <f>IFERROR(__xludf.DUMMYFUNCTION("""COMPUTED_VALUE"""),"STELLA &amp; STEVE")</f>
        <v>STELLA &amp; STEVE</v>
      </c>
      <c r="G3033">
        <f>IFERROR(__xludf.DUMMYFUNCTION("""COMPUTED_VALUE"""),1.0)</f>
        <v>1</v>
      </c>
      <c r="H3033" s="5">
        <f>IFERROR(__xludf.DUMMYFUNCTION("""COMPUTED_VALUE"""),0.15486111111022183)</f>
        <v>0.1548611111</v>
      </c>
    </row>
    <row r="3034">
      <c r="A3034" t="str">
        <f>IFERROR(__xludf.DUMMYFUNCTION("""COMPUTED_VALUE"""),"United States")</f>
        <v>United States</v>
      </c>
      <c r="B3034" t="str">
        <f>IFERROR(__xludf.DUMMYFUNCTION("""COMPUTED_VALUE"""),"North America")</f>
        <v>North America</v>
      </c>
      <c r="C3034">
        <f>IFERROR(__xludf.DUMMYFUNCTION("""COMPUTED_VALUE"""),33.0)</f>
        <v>33</v>
      </c>
      <c r="D3034" t="str">
        <f>IFERROR(__xludf.DUMMYFUNCTION("""COMPUTED_VALUE"""),"Say So")</f>
        <v>Say So</v>
      </c>
      <c r="E3034" t="str">
        <f>IFERROR(__xludf.DUMMYFUNCTION("""COMPUTED_VALUE"""),"Doja Cat")</f>
        <v>Doja Cat</v>
      </c>
      <c r="F3034" t="str">
        <f>IFERROR(__xludf.DUMMYFUNCTION("""COMPUTED_VALUE"""),"Hot Pink")</f>
        <v>Hot Pink</v>
      </c>
      <c r="G3034">
        <f>IFERROR(__xludf.DUMMYFUNCTION("""COMPUTED_VALUE"""),1.0)</f>
        <v>1</v>
      </c>
      <c r="H3034" s="5">
        <f>IFERROR(__xludf.DUMMYFUNCTION("""COMPUTED_VALUE"""),0.16458333333503106)</f>
        <v>0.1645833333</v>
      </c>
    </row>
    <row r="3035">
      <c r="A3035" t="str">
        <f>IFERROR(__xludf.DUMMYFUNCTION("""COMPUTED_VALUE"""),"United States")</f>
        <v>United States</v>
      </c>
      <c r="B3035" t="str">
        <f>IFERROR(__xludf.DUMMYFUNCTION("""COMPUTED_VALUE"""),"North America")</f>
        <v>North America</v>
      </c>
      <c r="C3035">
        <f>IFERROR(__xludf.DUMMYFUNCTION("""COMPUTED_VALUE"""),34.0)</f>
        <v>34</v>
      </c>
      <c r="D3035" t="str">
        <f>IFERROR(__xludf.DUMMYFUNCTION("""COMPUTED_VALUE"""),"Falling")</f>
        <v>Falling</v>
      </c>
      <c r="E3035" t="str">
        <f>IFERROR(__xludf.DUMMYFUNCTION("""COMPUTED_VALUE"""),"Trevor Daniel")</f>
        <v>Trevor Daniel</v>
      </c>
      <c r="F3035" t="str">
        <f>IFERROR(__xludf.DUMMYFUNCTION("""COMPUTED_VALUE"""),"Nicotine")</f>
        <v>Nicotine</v>
      </c>
      <c r="G3035">
        <f>IFERROR(__xludf.DUMMYFUNCTION("""COMPUTED_VALUE"""),0.0)</f>
        <v>0</v>
      </c>
      <c r="H3035" s="5">
        <f>IFERROR(__xludf.DUMMYFUNCTION("""COMPUTED_VALUE"""),0.11041666666642413)</f>
        <v>0.1104166667</v>
      </c>
    </row>
    <row r="3036">
      <c r="A3036" t="str">
        <f>IFERROR(__xludf.DUMMYFUNCTION("""COMPUTED_VALUE"""),"United States")</f>
        <v>United States</v>
      </c>
      <c r="B3036" t="str">
        <f>IFERROR(__xludf.DUMMYFUNCTION("""COMPUTED_VALUE"""),"North America")</f>
        <v>North America</v>
      </c>
      <c r="C3036">
        <f>IFERROR(__xludf.DUMMYFUNCTION("""COMPUTED_VALUE"""),35.0)</f>
        <v>35</v>
      </c>
      <c r="D3036" t="str">
        <f>IFERROR(__xludf.DUMMYFUNCTION("""COMPUTED_VALUE"""),"goosebumps")</f>
        <v>goosebumps</v>
      </c>
      <c r="E3036" t="str">
        <f>IFERROR(__xludf.DUMMYFUNCTION("""COMPUTED_VALUE"""),"Travis Scott")</f>
        <v>Travis Scott</v>
      </c>
      <c r="F3036" t="str">
        <f>IFERROR(__xludf.DUMMYFUNCTION("""COMPUTED_VALUE"""),"Birds In The Trap Sing McKnight")</f>
        <v>Birds In The Trap Sing McKnight</v>
      </c>
      <c r="G3036">
        <f>IFERROR(__xludf.DUMMYFUNCTION("""COMPUTED_VALUE"""),1.0)</f>
        <v>1</v>
      </c>
      <c r="H3036" s="5">
        <f>IFERROR(__xludf.DUMMYFUNCTION("""COMPUTED_VALUE"""),0.1687500000007276)</f>
        <v>0.16875</v>
      </c>
    </row>
    <row r="3037">
      <c r="A3037" t="str">
        <f>IFERROR(__xludf.DUMMYFUNCTION("""COMPUTED_VALUE"""),"United States")</f>
        <v>United States</v>
      </c>
      <c r="B3037" t="str">
        <f>IFERROR(__xludf.DUMMYFUNCTION("""COMPUTED_VALUE"""),"North America")</f>
        <v>North America</v>
      </c>
      <c r="C3037">
        <f>IFERROR(__xludf.DUMMYFUNCTION("""COMPUTED_VALUE"""),36.0)</f>
        <v>36</v>
      </c>
      <c r="D3037" t="str">
        <f>IFERROR(__xludf.DUMMYFUNCTION("""COMPUTED_VALUE"""),"Be Kind (with Halsey)")</f>
        <v>Be Kind (with Halsey)</v>
      </c>
      <c r="E3037" t="str">
        <f>IFERROR(__xludf.DUMMYFUNCTION("""COMPUTED_VALUE"""),"Marshmello, Halsey")</f>
        <v>Marshmello, Halsey</v>
      </c>
      <c r="F3037" t="str">
        <f>IFERROR(__xludf.DUMMYFUNCTION("""COMPUTED_VALUE"""),"Be Kind (with Halsey)")</f>
        <v>Be Kind (with Halsey)</v>
      </c>
      <c r="G3037">
        <f>IFERROR(__xludf.DUMMYFUNCTION("""COMPUTED_VALUE"""),0.0)</f>
        <v>0</v>
      </c>
      <c r="H3037" s="5">
        <f>IFERROR(__xludf.DUMMYFUNCTION("""COMPUTED_VALUE"""),0.11944444444452529)</f>
        <v>0.1194444444</v>
      </c>
    </row>
    <row r="3038">
      <c r="A3038" t="str">
        <f>IFERROR(__xludf.DUMMYFUNCTION("""COMPUTED_VALUE"""),"United States")</f>
        <v>United States</v>
      </c>
      <c r="B3038" t="str">
        <f>IFERROR(__xludf.DUMMYFUNCTION("""COMPUTED_VALUE"""),"North America")</f>
        <v>North America</v>
      </c>
      <c r="C3038">
        <f>IFERROR(__xludf.DUMMYFUNCTION("""COMPUTED_VALUE"""),37.0)</f>
        <v>37</v>
      </c>
      <c r="D3038" t="str">
        <f>IFERROR(__xludf.DUMMYFUNCTION("""COMPUTED_VALUE"""),"Sunflower - Spider-Man: Into the Spider-Verse")</f>
        <v>Sunflower - Spider-Man: Into the Spider-Verse</v>
      </c>
      <c r="E3038" t="str">
        <f>IFERROR(__xludf.DUMMYFUNCTION("""COMPUTED_VALUE"""),"Post Malone, Swae Lee")</f>
        <v>Post Malone, Swae Lee</v>
      </c>
      <c r="F3038" t="str">
        <f>IFERROR(__xludf.DUMMYFUNCTION("""COMPUTED_VALUE"""),"Hollywood's Bleeding")</f>
        <v>Hollywood's Bleeding</v>
      </c>
      <c r="G3038">
        <f>IFERROR(__xludf.DUMMYFUNCTION("""COMPUTED_VALUE"""),0.0)</f>
        <v>0</v>
      </c>
      <c r="H3038" s="5">
        <f>IFERROR(__xludf.DUMMYFUNCTION("""COMPUTED_VALUE"""),0.10902777777664596)</f>
        <v>0.1090277778</v>
      </c>
    </row>
    <row r="3039">
      <c r="A3039" t="str">
        <f>IFERROR(__xludf.DUMMYFUNCTION("""COMPUTED_VALUE"""),"United States")</f>
        <v>United States</v>
      </c>
      <c r="B3039" t="str">
        <f>IFERROR(__xludf.DUMMYFUNCTION("""COMPUTED_VALUE"""),"North America")</f>
        <v>North America</v>
      </c>
      <c r="C3039">
        <f>IFERROR(__xludf.DUMMYFUNCTION("""COMPUTED_VALUE"""),38.0)</f>
        <v>38</v>
      </c>
      <c r="D3039" t="str">
        <f>IFERROR(__xludf.DUMMYFUNCTION("""COMPUTED_VALUE"""),"HIGHEST IN THE ROOM")</f>
        <v>HIGHEST IN THE ROOM</v>
      </c>
      <c r="E3039" t="str">
        <f>IFERROR(__xludf.DUMMYFUNCTION("""COMPUTED_VALUE"""),"Travis Scott")</f>
        <v>Travis Scott</v>
      </c>
      <c r="F3039" t="str">
        <f>IFERROR(__xludf.DUMMYFUNCTION("""COMPUTED_VALUE"""),"HIGHEST IN THE ROOM")</f>
        <v>HIGHEST IN THE ROOM</v>
      </c>
      <c r="G3039">
        <f>IFERROR(__xludf.DUMMYFUNCTION("""COMPUTED_VALUE"""),1.0)</f>
        <v>1</v>
      </c>
      <c r="H3039" s="5">
        <f>IFERROR(__xludf.DUMMYFUNCTION("""COMPUTED_VALUE"""),0.12152777777737356)</f>
        <v>0.1215277778</v>
      </c>
    </row>
    <row r="3040">
      <c r="A3040" t="str">
        <f>IFERROR(__xludf.DUMMYFUNCTION("""COMPUTED_VALUE"""),"United States")</f>
        <v>United States</v>
      </c>
      <c r="B3040" t="str">
        <f>IFERROR(__xludf.DUMMYFUNCTION("""COMPUTED_VALUE"""),"North America")</f>
        <v>North America</v>
      </c>
      <c r="C3040">
        <f>IFERROR(__xludf.DUMMYFUNCTION("""COMPUTED_VALUE"""),39.0)</f>
        <v>39</v>
      </c>
      <c r="D3040" t="str">
        <f>IFERROR(__xludf.DUMMYFUNCTION("""COMPUTED_VALUE"""),"Break My Heart")</f>
        <v>Break My Heart</v>
      </c>
      <c r="E3040" t="str">
        <f>IFERROR(__xludf.DUMMYFUNCTION("""COMPUTED_VALUE"""),"Dua Lipa")</f>
        <v>Dua Lipa</v>
      </c>
      <c r="F3040" t="str">
        <f>IFERROR(__xludf.DUMMYFUNCTION("""COMPUTED_VALUE"""),"Future Nostalgia")</f>
        <v>Future Nostalgia</v>
      </c>
      <c r="G3040">
        <f>IFERROR(__xludf.DUMMYFUNCTION("""COMPUTED_VALUE"""),0.0)</f>
        <v>0</v>
      </c>
      <c r="H3040" s="5">
        <f>IFERROR(__xludf.DUMMYFUNCTION("""COMPUTED_VALUE"""),0.15347222222044365)</f>
        <v>0.1534722222</v>
      </c>
    </row>
    <row r="3041">
      <c r="A3041" t="str">
        <f>IFERROR(__xludf.DUMMYFUNCTION("""COMPUTED_VALUE"""),"United States")</f>
        <v>United States</v>
      </c>
      <c r="B3041" t="str">
        <f>IFERROR(__xludf.DUMMYFUNCTION("""COMPUTED_VALUE"""),"North America")</f>
        <v>North America</v>
      </c>
      <c r="C3041">
        <f>IFERROR(__xludf.DUMMYFUNCTION("""COMPUTED_VALUE"""),40.0)</f>
        <v>40</v>
      </c>
      <c r="D3041" t="str">
        <f>IFERROR(__xludf.DUMMYFUNCTION("""COMPUTED_VALUE"""),"Adore You")</f>
        <v>Adore You</v>
      </c>
      <c r="E3041" t="str">
        <f>IFERROR(__xludf.DUMMYFUNCTION("""COMPUTED_VALUE"""),"Harry Styles")</f>
        <v>Harry Styles</v>
      </c>
      <c r="F3041" t="str">
        <f>IFERROR(__xludf.DUMMYFUNCTION("""COMPUTED_VALUE"""),"Fine Line")</f>
        <v>Fine Line</v>
      </c>
      <c r="G3041">
        <f>IFERROR(__xludf.DUMMYFUNCTION("""COMPUTED_VALUE"""),0.0)</f>
        <v>0</v>
      </c>
      <c r="H3041" s="5">
        <f>IFERROR(__xludf.DUMMYFUNCTION("""COMPUTED_VALUE"""),0.1437499999992724)</f>
        <v>0.14375</v>
      </c>
    </row>
    <row r="3042">
      <c r="A3042" t="str">
        <f>IFERROR(__xludf.DUMMYFUNCTION("""COMPUTED_VALUE"""),"United States")</f>
        <v>United States</v>
      </c>
      <c r="B3042" t="str">
        <f>IFERROR(__xludf.DUMMYFUNCTION("""COMPUTED_VALUE"""),"North America")</f>
        <v>North America</v>
      </c>
      <c r="C3042">
        <f>IFERROR(__xludf.DUMMYFUNCTION("""COMPUTED_VALUE"""),41.0)</f>
        <v>41</v>
      </c>
      <c r="D3042" t="str">
        <f>IFERROR(__xludf.DUMMYFUNCTION("""COMPUTED_VALUE"""),"SICKO MODE")</f>
        <v>SICKO MODE</v>
      </c>
      <c r="E3042" t="str">
        <f>IFERROR(__xludf.DUMMYFUNCTION("""COMPUTED_VALUE"""),"Travis Scott")</f>
        <v>Travis Scott</v>
      </c>
      <c r="F3042" t="str">
        <f>IFERROR(__xludf.DUMMYFUNCTION("""COMPUTED_VALUE"""),"ASTROWORLD")</f>
        <v>ASTROWORLD</v>
      </c>
      <c r="G3042">
        <f>IFERROR(__xludf.DUMMYFUNCTION("""COMPUTED_VALUE"""),1.0)</f>
        <v>1</v>
      </c>
      <c r="H3042" s="5">
        <f>IFERROR(__xludf.DUMMYFUNCTION("""COMPUTED_VALUE"""),0.21666666666715173)</f>
        <v>0.2166666667</v>
      </c>
    </row>
    <row r="3043">
      <c r="A3043" t="str">
        <f>IFERROR(__xludf.DUMMYFUNCTION("""COMPUTED_VALUE"""),"United States")</f>
        <v>United States</v>
      </c>
      <c r="B3043" t="str">
        <f>IFERROR(__xludf.DUMMYFUNCTION("""COMPUTED_VALUE"""),"North America")</f>
        <v>North America</v>
      </c>
      <c r="C3043">
        <f>IFERROR(__xludf.DUMMYFUNCTION("""COMPUTED_VALUE"""),42.0)</f>
        <v>42</v>
      </c>
      <c r="D3043" t="str">
        <f>IFERROR(__xludf.DUMMYFUNCTION("""COMPUTED_VALUE"""),"TOP FLOOR (feat. Travis Scott)")</f>
        <v>TOP FLOOR (feat. Travis Scott)</v>
      </c>
      <c r="E3043" t="str">
        <f>IFERROR(__xludf.DUMMYFUNCTION("""COMPUTED_VALUE"""),"Gunna, Travis Scott")</f>
        <v>Gunna, Travis Scott</v>
      </c>
      <c r="F3043" t="str">
        <f>IFERROR(__xludf.DUMMYFUNCTION("""COMPUTED_VALUE"""),"WUNNA")</f>
        <v>WUNNA</v>
      </c>
      <c r="G3043">
        <f>IFERROR(__xludf.DUMMYFUNCTION("""COMPUTED_VALUE"""),1.0)</f>
        <v>1</v>
      </c>
      <c r="H3043" s="5">
        <f>IFERROR(__xludf.DUMMYFUNCTION("""COMPUTED_VALUE"""),0.11736111111167702)</f>
        <v>0.1173611111</v>
      </c>
    </row>
    <row r="3044">
      <c r="A3044" t="str">
        <f>IFERROR(__xludf.DUMMYFUNCTION("""COMPUTED_VALUE"""),"United States")</f>
        <v>United States</v>
      </c>
      <c r="B3044" t="str">
        <f>IFERROR(__xludf.DUMMYFUNCTION("""COMPUTED_VALUE"""),"North America")</f>
        <v>North America</v>
      </c>
      <c r="C3044">
        <f>IFERROR(__xludf.DUMMYFUNCTION("""COMPUTED_VALUE"""),43.0)</f>
        <v>43</v>
      </c>
      <c r="D3044" t="str">
        <f>IFERROR(__xludf.DUMMYFUNCTION("""COMPUTED_VALUE"""),"Turks (with Gunna &amp; ft. Travis Scott)")</f>
        <v>Turks (with Gunna &amp; ft. Travis Scott)</v>
      </c>
      <c r="E3044" t="str">
        <f>IFERROR(__xludf.DUMMYFUNCTION("""COMPUTED_VALUE"""),"NAV, Gunna, Travis Scott")</f>
        <v>NAV, Gunna, Travis Scott</v>
      </c>
      <c r="F3044" t="str">
        <f>IFERROR(__xludf.DUMMYFUNCTION("""COMPUTED_VALUE"""),"Good Intentions")</f>
        <v>Good Intentions</v>
      </c>
      <c r="G3044">
        <f>IFERROR(__xludf.DUMMYFUNCTION("""COMPUTED_VALUE"""),1.0)</f>
        <v>1</v>
      </c>
      <c r="H3044" s="5">
        <f>IFERROR(__xludf.DUMMYFUNCTION("""COMPUTED_VALUE"""),0.11180555555620231)</f>
        <v>0.1118055556</v>
      </c>
    </row>
    <row r="3045">
      <c r="A3045" t="str">
        <f>IFERROR(__xludf.DUMMYFUNCTION("""COMPUTED_VALUE"""),"United States")</f>
        <v>United States</v>
      </c>
      <c r="B3045" t="str">
        <f>IFERROR(__xludf.DUMMYFUNCTION("""COMPUTED_VALUE"""),"North America")</f>
        <v>North America</v>
      </c>
      <c r="C3045">
        <f>IFERROR(__xludf.DUMMYFUNCTION("""COMPUTED_VALUE"""),44.0)</f>
        <v>44</v>
      </c>
      <c r="D3045" t="str">
        <f>IFERROR(__xludf.DUMMYFUNCTION("""COMPUTED_VALUE"""),"Play Date")</f>
        <v>Play Date</v>
      </c>
      <c r="E3045" t="str">
        <f>IFERROR(__xludf.DUMMYFUNCTION("""COMPUTED_VALUE"""),"Melanie Martinez")</f>
        <v>Melanie Martinez</v>
      </c>
      <c r="F3045" t="str">
        <f>IFERROR(__xludf.DUMMYFUNCTION("""COMPUTED_VALUE"""),"Cry Baby (Deluxe Edition)")</f>
        <v>Cry Baby (Deluxe Edition)</v>
      </c>
      <c r="G3045">
        <f>IFERROR(__xludf.DUMMYFUNCTION("""COMPUTED_VALUE"""),1.0)</f>
        <v>1</v>
      </c>
      <c r="H3045" s="5">
        <f>IFERROR(__xludf.DUMMYFUNCTION("""COMPUTED_VALUE"""),0.1243055555569299)</f>
        <v>0.1243055556</v>
      </c>
    </row>
    <row r="3046">
      <c r="A3046" t="str">
        <f>IFERROR(__xludf.DUMMYFUNCTION("""COMPUTED_VALUE"""),"United States")</f>
        <v>United States</v>
      </c>
      <c r="B3046" t="str">
        <f>IFERROR(__xludf.DUMMYFUNCTION("""COMPUTED_VALUE"""),"North America")</f>
        <v>North America</v>
      </c>
      <c r="C3046">
        <f>IFERROR(__xludf.DUMMYFUNCTION("""COMPUTED_VALUE"""),45.0)</f>
        <v>45</v>
      </c>
      <c r="D3046" t="str">
        <f>IFERROR(__xludf.DUMMYFUNCTION("""COMPUTED_VALUE"""),"Ballin' (with Roddy Ricch)")</f>
        <v>Ballin' (with Roddy Ricch)</v>
      </c>
      <c r="E3046" t="str">
        <f>IFERROR(__xludf.DUMMYFUNCTION("""COMPUTED_VALUE"""),"Mustard, Roddy Ricch")</f>
        <v>Mustard, Roddy Ricch</v>
      </c>
      <c r="F3046" t="str">
        <f>IFERROR(__xludf.DUMMYFUNCTION("""COMPUTED_VALUE"""),"Perfect Ten")</f>
        <v>Perfect Ten</v>
      </c>
      <c r="G3046">
        <f>IFERROR(__xludf.DUMMYFUNCTION("""COMPUTED_VALUE"""),1.0)</f>
        <v>1</v>
      </c>
      <c r="H3046" s="5">
        <f>IFERROR(__xludf.DUMMYFUNCTION("""COMPUTED_VALUE"""),0.125)</f>
        <v>0.125</v>
      </c>
    </row>
    <row r="3047">
      <c r="A3047" t="str">
        <f>IFERROR(__xludf.DUMMYFUNCTION("""COMPUTED_VALUE"""),"United States")</f>
        <v>United States</v>
      </c>
      <c r="B3047" t="str">
        <f>IFERROR(__xludf.DUMMYFUNCTION("""COMPUTED_VALUE"""),"North America")</f>
        <v>North America</v>
      </c>
      <c r="C3047">
        <f>IFERROR(__xludf.DUMMYFUNCTION("""COMPUTED_VALUE"""),46.0)</f>
        <v>46</v>
      </c>
      <c r="D3047" t="str">
        <f>IFERROR(__xludf.DUMMYFUNCTION("""COMPUTED_VALUE"""),"ily (i love you baby) (feat. Emilee)")</f>
        <v>ily (i love you baby) (feat. Emilee)</v>
      </c>
      <c r="E3047" t="str">
        <f>IFERROR(__xludf.DUMMYFUNCTION("""COMPUTED_VALUE"""),"Surf Mesa, Emilee")</f>
        <v>Surf Mesa, Emilee</v>
      </c>
      <c r="F3047" t="str">
        <f>IFERROR(__xludf.DUMMYFUNCTION("""COMPUTED_VALUE"""),"ily (i love you baby) (feat. Emilee)")</f>
        <v>ily (i love you baby) (feat. Emilee)</v>
      </c>
      <c r="G3047">
        <f>IFERROR(__xludf.DUMMYFUNCTION("""COMPUTED_VALUE"""),0.0)</f>
        <v>0</v>
      </c>
      <c r="H3047" s="5">
        <f>IFERROR(__xludf.DUMMYFUNCTION("""COMPUTED_VALUE"""),0.12222222222044365)</f>
        <v>0.1222222222</v>
      </c>
    </row>
    <row r="3048">
      <c r="A3048" t="str">
        <f>IFERROR(__xludf.DUMMYFUNCTION("""COMPUTED_VALUE"""),"United States")</f>
        <v>United States</v>
      </c>
      <c r="B3048" t="str">
        <f>IFERROR(__xludf.DUMMYFUNCTION("""COMPUTED_VALUE"""),"North America")</f>
        <v>North America</v>
      </c>
      <c r="C3048">
        <f>IFERROR(__xludf.DUMMYFUNCTION("""COMPUTED_VALUE"""),47.0)</f>
        <v>47</v>
      </c>
      <c r="D3048" t="str">
        <f>IFERROR(__xludf.DUMMYFUNCTION("""COMPUTED_VALUE"""),"Solitaires (feat. Travis Scott)")</f>
        <v>Solitaires (feat. Travis Scott)</v>
      </c>
      <c r="E3048" t="str">
        <f>IFERROR(__xludf.DUMMYFUNCTION("""COMPUTED_VALUE"""),"Future, Travis Scott")</f>
        <v>Future, Travis Scott</v>
      </c>
      <c r="F3048" t="str">
        <f>IFERROR(__xludf.DUMMYFUNCTION("""COMPUTED_VALUE"""),"High Off Life")</f>
        <v>High Off Life</v>
      </c>
      <c r="G3048">
        <f>IFERROR(__xludf.DUMMYFUNCTION("""COMPUTED_VALUE"""),1.0)</f>
        <v>1</v>
      </c>
      <c r="H3048" s="5">
        <f>IFERROR(__xludf.DUMMYFUNCTION("""COMPUTED_VALUE"""),0.14236111110949423)</f>
        <v>0.1423611111</v>
      </c>
    </row>
    <row r="3049">
      <c r="A3049" t="str">
        <f>IFERROR(__xludf.DUMMYFUNCTION("""COMPUTED_VALUE"""),"United States")</f>
        <v>United States</v>
      </c>
      <c r="B3049" t="str">
        <f>IFERROR(__xludf.DUMMYFUNCTION("""COMPUTED_VALUE"""),"North America")</f>
        <v>North America</v>
      </c>
      <c r="C3049">
        <f>IFERROR(__xludf.DUMMYFUNCTION("""COMPUTED_VALUE"""),48.0)</f>
        <v>48</v>
      </c>
      <c r="D3049" t="str">
        <f>IFERROR(__xludf.DUMMYFUNCTION("""COMPUTED_VALUE"""),"hot girl bummer")</f>
        <v>hot girl bummer</v>
      </c>
      <c r="E3049" t="str">
        <f>IFERROR(__xludf.DUMMYFUNCTION("""COMPUTED_VALUE"""),"blackbear")</f>
        <v>blackbear</v>
      </c>
      <c r="F3049" t="str">
        <f>IFERROR(__xludf.DUMMYFUNCTION("""COMPUTED_VALUE"""),"hot girl bummer")</f>
        <v>hot girl bummer</v>
      </c>
      <c r="G3049">
        <f>IFERROR(__xludf.DUMMYFUNCTION("""COMPUTED_VALUE"""),1.0)</f>
        <v>1</v>
      </c>
      <c r="H3049" s="5">
        <f>IFERROR(__xludf.DUMMYFUNCTION("""COMPUTED_VALUE"""),0.12847222222262644)</f>
        <v>0.1284722222</v>
      </c>
    </row>
    <row r="3050">
      <c r="A3050" t="str">
        <f>IFERROR(__xludf.DUMMYFUNCTION("""COMPUTED_VALUE"""),"United States")</f>
        <v>United States</v>
      </c>
      <c r="B3050" t="str">
        <f>IFERROR(__xludf.DUMMYFUNCTION("""COMPUTED_VALUE"""),"North America")</f>
        <v>North America</v>
      </c>
      <c r="C3050">
        <f>IFERROR(__xludf.DUMMYFUNCTION("""COMPUTED_VALUE"""),49.0)</f>
        <v>49</v>
      </c>
      <c r="D3050" t="str">
        <f>IFERROR(__xludf.DUMMYFUNCTION("""COMPUTED_VALUE"""),"High Fashion (feat. Mustard)")</f>
        <v>High Fashion (feat. Mustard)</v>
      </c>
      <c r="E3050" t="str">
        <f>IFERROR(__xludf.DUMMYFUNCTION("""COMPUTED_VALUE"""),"Roddy Ricch, Mustard")</f>
        <v>Roddy Ricch, Mustard</v>
      </c>
      <c r="F3050" t="str">
        <f>IFERROR(__xludf.DUMMYFUNCTION("""COMPUTED_VALUE"""),"Please Excuse Me For Being Antisocial")</f>
        <v>Please Excuse Me For Being Antisocial</v>
      </c>
      <c r="G3050">
        <f>IFERROR(__xludf.DUMMYFUNCTION("""COMPUTED_VALUE"""),1.0)</f>
        <v>1</v>
      </c>
      <c r="H3050" s="5">
        <f>IFERROR(__xludf.DUMMYFUNCTION("""COMPUTED_VALUE"""),0.15277777777737356)</f>
        <v>0.1527777778</v>
      </c>
    </row>
    <row r="3051">
      <c r="A3051" t="str">
        <f>IFERROR(__xludf.DUMMYFUNCTION("""COMPUTED_VALUE"""),"United States")</f>
        <v>United States</v>
      </c>
      <c r="B3051" t="str">
        <f>IFERROR(__xludf.DUMMYFUNCTION("""COMPUTED_VALUE"""),"North America")</f>
        <v>North America</v>
      </c>
      <c r="C3051">
        <f>IFERROR(__xludf.DUMMYFUNCTION("""COMPUTED_VALUE"""),50.0)</f>
        <v>50</v>
      </c>
      <c r="D3051" t="str">
        <f>IFERROR(__xludf.DUMMYFUNCTION("""COMPUTED_VALUE"""),"Myron")</f>
        <v>Myron</v>
      </c>
      <c r="E3051" t="str">
        <f>IFERROR(__xludf.DUMMYFUNCTION("""COMPUTED_VALUE"""),"Lil Uzi Vert")</f>
        <v>Lil Uzi Vert</v>
      </c>
      <c r="F3051" t="str">
        <f>IFERROR(__xludf.DUMMYFUNCTION("""COMPUTED_VALUE"""),"Eternal Atake (Deluxe) - LUV vs. The World 2")</f>
        <v>Eternal Atake (Deluxe) - LUV vs. The World 2</v>
      </c>
      <c r="G3051">
        <f>IFERROR(__xludf.DUMMYFUNCTION("""COMPUTED_VALUE"""),1.0)</f>
        <v>1</v>
      </c>
      <c r="H3051" s="5">
        <f>IFERROR(__xludf.DUMMYFUNCTION("""COMPUTED_VALUE"""),0.1555555555569299)</f>
        <v>0.1555555556</v>
      </c>
    </row>
    <row r="3052">
      <c r="A3052" t="str">
        <f>IFERROR(__xludf.DUMMYFUNCTION("""COMPUTED_VALUE"""),"Uruguay")</f>
        <v>Uruguay</v>
      </c>
      <c r="B3052" t="str">
        <f>IFERROR(__xludf.DUMMYFUNCTION("""COMPUTED_VALUE"""),"South America")</f>
        <v>South America</v>
      </c>
      <c r="C3052">
        <f>IFERROR(__xludf.DUMMYFUNCTION("""COMPUTED_VALUE"""),1.0)</f>
        <v>1</v>
      </c>
      <c r="D3052" t="str">
        <f>IFERROR(__xludf.DUMMYFUNCTION("""COMPUTED_VALUE"""),"Favorito")</f>
        <v>Favorito</v>
      </c>
      <c r="E3052" t="str">
        <f>IFERROR(__xludf.DUMMYFUNCTION("""COMPUTED_VALUE"""),"Camilo")</f>
        <v>Camilo</v>
      </c>
      <c r="F3052" t="str">
        <f>IFERROR(__xludf.DUMMYFUNCTION("""COMPUTED_VALUE"""),"Por Primera Vez")</f>
        <v>Por Primera Vez</v>
      </c>
      <c r="G3052">
        <f>IFERROR(__xludf.DUMMYFUNCTION("""COMPUTED_VALUE"""),0.0)</f>
        <v>0</v>
      </c>
      <c r="H3052" s="5">
        <f>IFERROR(__xludf.DUMMYFUNCTION("""COMPUTED_VALUE"""),0.14513888888905058)</f>
        <v>0.1451388889</v>
      </c>
    </row>
    <row r="3053">
      <c r="A3053" t="str">
        <f>IFERROR(__xludf.DUMMYFUNCTION("""COMPUTED_VALUE"""),"Uruguay")</f>
        <v>Uruguay</v>
      </c>
      <c r="B3053" t="str">
        <f>IFERROR(__xludf.DUMMYFUNCTION("""COMPUTED_VALUE"""),"South America")</f>
        <v>South America</v>
      </c>
      <c r="C3053">
        <f>IFERROR(__xludf.DUMMYFUNCTION("""COMPUTED_VALUE"""),2.0)</f>
        <v>2</v>
      </c>
      <c r="D3053" t="str">
        <f>IFERROR(__xludf.DUMMYFUNCTION("""COMPUTED_VALUE"""),"PORFA")</f>
        <v>PORFA</v>
      </c>
      <c r="E3053" t="str">
        <f>IFERROR(__xludf.DUMMYFUNCTION("""COMPUTED_VALUE"""),"Feid, Justin Quiles")</f>
        <v>Feid, Justin Quiles</v>
      </c>
      <c r="F3053" t="str">
        <f>IFERROR(__xludf.DUMMYFUNCTION("""COMPUTED_VALUE"""),"FERXXO (VOL 1: M.O.R)")</f>
        <v>FERXXO (VOL 1: M.O.R)</v>
      </c>
      <c r="G3053">
        <f>IFERROR(__xludf.DUMMYFUNCTION("""COMPUTED_VALUE"""),0.0)</f>
        <v>0</v>
      </c>
      <c r="H3053" s="5">
        <f>IFERROR(__xludf.DUMMYFUNCTION("""COMPUTED_VALUE"""),0.16111111111240461)</f>
        <v>0.1611111111</v>
      </c>
    </row>
    <row r="3054">
      <c r="A3054" t="str">
        <f>IFERROR(__xludf.DUMMYFUNCTION("""COMPUTED_VALUE"""),"Uruguay")</f>
        <v>Uruguay</v>
      </c>
      <c r="B3054" t="str">
        <f>IFERROR(__xludf.DUMMYFUNCTION("""COMPUTED_VALUE"""),"South America")</f>
        <v>South America</v>
      </c>
      <c r="C3054">
        <f>IFERROR(__xludf.DUMMYFUNCTION("""COMPUTED_VALUE"""),3.0)</f>
        <v>3</v>
      </c>
      <c r="D3054" t="str">
        <f>IFERROR(__xludf.DUMMYFUNCTION("""COMPUTED_VALUE"""),"Yo Perreo Sola")</f>
        <v>Yo Perreo Sola</v>
      </c>
      <c r="E3054" t="str">
        <f>IFERROR(__xludf.DUMMYFUNCTION("""COMPUTED_VALUE"""),"Bad Bunny")</f>
        <v>Bad Bunny</v>
      </c>
      <c r="F3054" t="str">
        <f>IFERROR(__xludf.DUMMYFUNCTION("""COMPUTED_VALUE"""),"YHLQMDLG")</f>
        <v>YHLQMDLG</v>
      </c>
      <c r="G3054">
        <f>IFERROR(__xludf.DUMMYFUNCTION("""COMPUTED_VALUE"""),0.0)</f>
        <v>0</v>
      </c>
      <c r="H3054" s="5">
        <f>IFERROR(__xludf.DUMMYFUNCTION("""COMPUTED_VALUE"""),0.11944444444452529)</f>
        <v>0.1194444444</v>
      </c>
    </row>
    <row r="3055">
      <c r="A3055" t="str">
        <f>IFERROR(__xludf.DUMMYFUNCTION("""COMPUTED_VALUE"""),"Uruguay")</f>
        <v>Uruguay</v>
      </c>
      <c r="B3055" t="str">
        <f>IFERROR(__xludf.DUMMYFUNCTION("""COMPUTED_VALUE"""),"South America")</f>
        <v>South America</v>
      </c>
      <c r="C3055">
        <f>IFERROR(__xludf.DUMMYFUNCTION("""COMPUTED_VALUE"""),4.0)</f>
        <v>4</v>
      </c>
      <c r="D3055" t="str">
        <f>IFERROR(__xludf.DUMMYFUNCTION("""COMPUTED_VALUE"""),"Rojo")</f>
        <v>Rojo</v>
      </c>
      <c r="E3055" t="str">
        <f>IFERROR(__xludf.DUMMYFUNCTION("""COMPUTED_VALUE"""),"J Balvin")</f>
        <v>J Balvin</v>
      </c>
      <c r="F3055" t="str">
        <f>IFERROR(__xludf.DUMMYFUNCTION("""COMPUTED_VALUE"""),"Colores")</f>
        <v>Colores</v>
      </c>
      <c r="G3055">
        <f>IFERROR(__xludf.DUMMYFUNCTION("""COMPUTED_VALUE"""),0.0)</f>
        <v>0</v>
      </c>
      <c r="H3055" s="5">
        <f>IFERROR(__xludf.DUMMYFUNCTION("""COMPUTED_VALUE"""),0.10416666666787933)</f>
        <v>0.1041666667</v>
      </c>
    </row>
    <row r="3056">
      <c r="A3056" t="str">
        <f>IFERROR(__xludf.DUMMYFUNCTION("""COMPUTED_VALUE"""),"Uruguay")</f>
        <v>Uruguay</v>
      </c>
      <c r="B3056" t="str">
        <f>IFERROR(__xludf.DUMMYFUNCTION("""COMPUTED_VALUE"""),"South America")</f>
        <v>South America</v>
      </c>
      <c r="C3056">
        <f>IFERROR(__xludf.DUMMYFUNCTION("""COMPUTED_VALUE"""),5.0)</f>
        <v>5</v>
      </c>
      <c r="D3056" t="str">
        <f>IFERROR(__xludf.DUMMYFUNCTION("""COMPUTED_VALUE"""),"Elegí (feat. Dímelo Flow)")</f>
        <v>Elegí (feat. Dímelo Flow)</v>
      </c>
      <c r="E3056" t="str">
        <f>IFERROR(__xludf.DUMMYFUNCTION("""COMPUTED_VALUE"""),"Rauw Alejandro, Dalex, Lenny Tavárez, Dímelo Flow")</f>
        <v>Rauw Alejandro, Dalex, Lenny Tavárez, Dímelo Flow</v>
      </c>
      <c r="F3056" t="str">
        <f>IFERROR(__xludf.DUMMYFUNCTION("""COMPUTED_VALUE"""),"Elegí (feat. Dímelo Flow)")</f>
        <v>Elegí (feat. Dímelo Flow)</v>
      </c>
      <c r="G3056">
        <f>IFERROR(__xludf.DUMMYFUNCTION("""COMPUTED_VALUE"""),0.0)</f>
        <v>0</v>
      </c>
      <c r="H3056" s="5">
        <f>IFERROR(__xludf.DUMMYFUNCTION("""COMPUTED_VALUE"""),0.13680555555401952)</f>
        <v>0.1368055556</v>
      </c>
    </row>
    <row r="3057">
      <c r="A3057" t="str">
        <f>IFERROR(__xludf.DUMMYFUNCTION("""COMPUTED_VALUE"""),"Uruguay")</f>
        <v>Uruguay</v>
      </c>
      <c r="B3057" t="str">
        <f>IFERROR(__xludf.DUMMYFUNCTION("""COMPUTED_VALUE"""),"South America")</f>
        <v>South America</v>
      </c>
      <c r="C3057">
        <f>IFERROR(__xludf.DUMMYFUNCTION("""COMPUTED_VALUE"""),6.0)</f>
        <v>6</v>
      </c>
      <c r="D3057" t="str">
        <f>IFERROR(__xludf.DUMMYFUNCTION("""COMPUTED_VALUE"""),"Colocao")</f>
        <v>Colocao</v>
      </c>
      <c r="E3057" t="str">
        <f>IFERROR(__xludf.DUMMYFUNCTION("""COMPUTED_VALUE"""),"Nicki Nicole")</f>
        <v>Nicki Nicole</v>
      </c>
      <c r="F3057" t="str">
        <f>IFERROR(__xludf.DUMMYFUNCTION("""COMPUTED_VALUE"""),"Colocao")</f>
        <v>Colocao</v>
      </c>
      <c r="G3057">
        <f>IFERROR(__xludf.DUMMYFUNCTION("""COMPUTED_VALUE"""),1.0)</f>
        <v>1</v>
      </c>
      <c r="H3057" s="5">
        <f>IFERROR(__xludf.DUMMYFUNCTION("""COMPUTED_VALUE"""),0.1243055555569299)</f>
        <v>0.1243055556</v>
      </c>
    </row>
    <row r="3058">
      <c r="A3058" t="str">
        <f>IFERROR(__xludf.DUMMYFUNCTION("""COMPUTED_VALUE"""),"Uruguay")</f>
        <v>Uruguay</v>
      </c>
      <c r="B3058" t="str">
        <f>IFERROR(__xludf.DUMMYFUNCTION("""COMPUTED_VALUE"""),"South America")</f>
        <v>South America</v>
      </c>
      <c r="C3058">
        <f>IFERROR(__xludf.DUMMYFUNCTION("""COMPUTED_VALUE"""),7.0)</f>
        <v>7</v>
      </c>
      <c r="D3058" t="str">
        <f>IFERROR(__xludf.DUMMYFUNCTION("""COMPUTED_VALUE"""),"Safaera")</f>
        <v>Safaera</v>
      </c>
      <c r="E3058" t="str">
        <f>IFERROR(__xludf.DUMMYFUNCTION("""COMPUTED_VALUE"""),"Bad Bunny, Jowell &amp; Randy, Nengo Flow")</f>
        <v>Bad Bunny, Jowell &amp; Randy, Nengo Flow</v>
      </c>
      <c r="F3058" t="str">
        <f>IFERROR(__xludf.DUMMYFUNCTION("""COMPUTED_VALUE"""),"YHLQMDLG")</f>
        <v>YHLQMDLG</v>
      </c>
      <c r="G3058">
        <f>IFERROR(__xludf.DUMMYFUNCTION("""COMPUTED_VALUE"""),1.0)</f>
        <v>1</v>
      </c>
      <c r="H3058" s="5">
        <f>IFERROR(__xludf.DUMMYFUNCTION("""COMPUTED_VALUE"""),0.20486111110949423)</f>
        <v>0.2048611111</v>
      </c>
    </row>
    <row r="3059">
      <c r="A3059" t="str">
        <f>IFERROR(__xludf.DUMMYFUNCTION("""COMPUTED_VALUE"""),"Uruguay")</f>
        <v>Uruguay</v>
      </c>
      <c r="B3059" t="str">
        <f>IFERROR(__xludf.DUMMYFUNCTION("""COMPUTED_VALUE"""),"South America")</f>
        <v>South America</v>
      </c>
      <c r="C3059">
        <f>IFERROR(__xludf.DUMMYFUNCTION("""COMPUTED_VALUE"""),8.0)</f>
        <v>8</v>
      </c>
      <c r="D3059" t="str">
        <f>IFERROR(__xludf.DUMMYFUNCTION("""COMPUTED_VALUE"""),"Tattoo")</f>
        <v>Tattoo</v>
      </c>
      <c r="E3059" t="str">
        <f>IFERROR(__xludf.DUMMYFUNCTION("""COMPUTED_VALUE"""),"Rauw Alejandro")</f>
        <v>Rauw Alejandro</v>
      </c>
      <c r="F3059" t="str">
        <f>IFERROR(__xludf.DUMMYFUNCTION("""COMPUTED_VALUE"""),"Tattoo")</f>
        <v>Tattoo</v>
      </c>
      <c r="G3059">
        <f>IFERROR(__xludf.DUMMYFUNCTION("""COMPUTED_VALUE"""),0.0)</f>
        <v>0</v>
      </c>
      <c r="H3059" s="5">
        <f>IFERROR(__xludf.DUMMYFUNCTION("""COMPUTED_VALUE"""),0.14027777777664596)</f>
        <v>0.1402777778</v>
      </c>
    </row>
    <row r="3060">
      <c r="A3060" t="str">
        <f>IFERROR(__xludf.DUMMYFUNCTION("""COMPUTED_VALUE"""),"Uruguay")</f>
        <v>Uruguay</v>
      </c>
      <c r="B3060" t="str">
        <f>IFERROR(__xludf.DUMMYFUNCTION("""COMPUTED_VALUE"""),"South America")</f>
        <v>South America</v>
      </c>
      <c r="C3060">
        <f>IFERROR(__xludf.DUMMYFUNCTION("""COMPUTED_VALUE"""),9.0)</f>
        <v>9</v>
      </c>
      <c r="D3060" t="str">
        <f>IFERROR(__xludf.DUMMYFUNCTION("""COMPUTED_VALUE"""),"La Jeepeta - Remix")</f>
        <v>La Jeepeta - Remix</v>
      </c>
      <c r="E3060" t="str">
        <f>IFERROR(__xludf.DUMMYFUNCTION("""COMPUTED_VALUE"""),"Nio Garcia, Anuel AA, Myke Towers, Brray, Juanka")</f>
        <v>Nio Garcia, Anuel AA, Myke Towers, Brray, Juanka</v>
      </c>
      <c r="F3060" t="str">
        <f>IFERROR(__xludf.DUMMYFUNCTION("""COMPUTED_VALUE"""),"La Jeepeta (Remix)")</f>
        <v>La Jeepeta (Remix)</v>
      </c>
      <c r="G3060">
        <f>IFERROR(__xludf.DUMMYFUNCTION("""COMPUTED_VALUE"""),1.0)</f>
        <v>1</v>
      </c>
      <c r="H3060" s="5">
        <f>IFERROR(__xludf.DUMMYFUNCTION("""COMPUTED_VALUE"""),0.23958333333212067)</f>
        <v>0.2395833333</v>
      </c>
    </row>
    <row r="3061">
      <c r="A3061" t="str">
        <f>IFERROR(__xludf.DUMMYFUNCTION("""COMPUTED_VALUE"""),"Uruguay")</f>
        <v>Uruguay</v>
      </c>
      <c r="B3061" t="str">
        <f>IFERROR(__xludf.DUMMYFUNCTION("""COMPUTED_VALUE"""),"South America")</f>
        <v>South America</v>
      </c>
      <c r="C3061">
        <f>IFERROR(__xludf.DUMMYFUNCTION("""COMPUTED_VALUE"""),10.0)</f>
        <v>10</v>
      </c>
      <c r="D3061" t="str">
        <f>IFERROR(__xludf.DUMMYFUNCTION("""COMPUTED_VALUE"""),"Relación")</f>
        <v>Relación</v>
      </c>
      <c r="E3061" t="str">
        <f>IFERROR(__xludf.DUMMYFUNCTION("""COMPUTED_VALUE"""),"Sech")</f>
        <v>Sech</v>
      </c>
      <c r="F3061" t="str">
        <f>IFERROR(__xludf.DUMMYFUNCTION("""COMPUTED_VALUE"""),"1 of 1")</f>
        <v>1 of 1</v>
      </c>
      <c r="G3061">
        <f>IFERROR(__xludf.DUMMYFUNCTION("""COMPUTED_VALUE"""),0.0)</f>
        <v>0</v>
      </c>
      <c r="H3061" s="5">
        <f>IFERROR(__xludf.DUMMYFUNCTION("""COMPUTED_VALUE"""),0.12777777777955635)</f>
        <v>0.1277777778</v>
      </c>
    </row>
    <row r="3062">
      <c r="A3062" t="str">
        <f>IFERROR(__xludf.DUMMYFUNCTION("""COMPUTED_VALUE"""),"Uruguay")</f>
        <v>Uruguay</v>
      </c>
      <c r="B3062" t="str">
        <f>IFERROR(__xludf.DUMMYFUNCTION("""COMPUTED_VALUE"""),"South America")</f>
        <v>South America</v>
      </c>
      <c r="C3062">
        <f>IFERROR(__xludf.DUMMYFUNCTION("""COMPUTED_VALUE"""),11.0)</f>
        <v>11</v>
      </c>
      <c r="D3062" t="str">
        <f>IFERROR(__xludf.DUMMYFUNCTION("""COMPUTED_VALUE"""),"Por Primera Vez")</f>
        <v>Por Primera Vez</v>
      </c>
      <c r="E3062" t="str">
        <f>IFERROR(__xludf.DUMMYFUNCTION("""COMPUTED_VALUE"""),"Camilo, Evaluna Montaner")</f>
        <v>Camilo, Evaluna Montaner</v>
      </c>
      <c r="F3062" t="str">
        <f>IFERROR(__xludf.DUMMYFUNCTION("""COMPUTED_VALUE"""),"Por Primera Vez")</f>
        <v>Por Primera Vez</v>
      </c>
      <c r="G3062">
        <f>IFERROR(__xludf.DUMMYFUNCTION("""COMPUTED_VALUE"""),0.0)</f>
        <v>0</v>
      </c>
      <c r="H3062" s="5">
        <f>IFERROR(__xludf.DUMMYFUNCTION("""COMPUTED_VALUE"""),0.12638888888977817)</f>
        <v>0.1263888889</v>
      </c>
    </row>
    <row r="3063">
      <c r="A3063" t="str">
        <f>IFERROR(__xludf.DUMMYFUNCTION("""COMPUTED_VALUE"""),"Uruguay")</f>
        <v>Uruguay</v>
      </c>
      <c r="B3063" t="str">
        <f>IFERROR(__xludf.DUMMYFUNCTION("""COMPUTED_VALUE"""),"South America")</f>
        <v>South America</v>
      </c>
      <c r="C3063">
        <f>IFERROR(__xludf.DUMMYFUNCTION("""COMPUTED_VALUE"""),12.0)</f>
        <v>12</v>
      </c>
      <c r="D3063" t="str">
        <f>IFERROR(__xludf.DUMMYFUNCTION("""COMPUTED_VALUE"""),"Tusa")</f>
        <v>Tusa</v>
      </c>
      <c r="E3063" t="str">
        <f>IFERROR(__xludf.DUMMYFUNCTION("""COMPUTED_VALUE"""),"KAROL G, Nicki Minaj")</f>
        <v>KAROL G, Nicki Minaj</v>
      </c>
      <c r="F3063" t="str">
        <f>IFERROR(__xludf.DUMMYFUNCTION("""COMPUTED_VALUE"""),"Tusa")</f>
        <v>Tusa</v>
      </c>
      <c r="G3063">
        <f>IFERROR(__xludf.DUMMYFUNCTION("""COMPUTED_VALUE"""),0.0)</f>
        <v>0</v>
      </c>
      <c r="H3063" s="5">
        <f>IFERROR(__xludf.DUMMYFUNCTION("""COMPUTED_VALUE"""),0.13888888889050577)</f>
        <v>0.1388888889</v>
      </c>
    </row>
    <row r="3064">
      <c r="A3064" t="str">
        <f>IFERROR(__xludf.DUMMYFUNCTION("""COMPUTED_VALUE"""),"Uruguay")</f>
        <v>Uruguay</v>
      </c>
      <c r="B3064" t="str">
        <f>IFERROR(__xludf.DUMMYFUNCTION("""COMPUTED_VALUE"""),"South America")</f>
        <v>South America</v>
      </c>
      <c r="C3064">
        <f>IFERROR(__xludf.DUMMYFUNCTION("""COMPUTED_VALUE"""),13.0)</f>
        <v>13</v>
      </c>
      <c r="D3064" t="str">
        <f>IFERROR(__xludf.DUMMYFUNCTION("""COMPUTED_VALUE"""),"Inolvidable")</f>
        <v>Inolvidable</v>
      </c>
      <c r="E3064" t="str">
        <f>IFERROR(__xludf.DUMMYFUNCTION("""COMPUTED_VALUE"""),"Ovy On The Drums, Beéle")</f>
        <v>Ovy On The Drums, Beéle</v>
      </c>
      <c r="F3064" t="str">
        <f>IFERROR(__xludf.DUMMYFUNCTION("""COMPUTED_VALUE"""),"Inolvidable")</f>
        <v>Inolvidable</v>
      </c>
      <c r="G3064">
        <f>IFERROR(__xludf.DUMMYFUNCTION("""COMPUTED_VALUE"""),0.0)</f>
        <v>0</v>
      </c>
      <c r="H3064" s="5">
        <f>IFERROR(__xludf.DUMMYFUNCTION("""COMPUTED_VALUE"""),0.15625)</f>
        <v>0.15625</v>
      </c>
    </row>
    <row r="3065">
      <c r="A3065" t="str">
        <f>IFERROR(__xludf.DUMMYFUNCTION("""COMPUTED_VALUE"""),"Uruguay")</f>
        <v>Uruguay</v>
      </c>
      <c r="B3065" t="str">
        <f>IFERROR(__xludf.DUMMYFUNCTION("""COMPUTED_VALUE"""),"South America")</f>
        <v>South America</v>
      </c>
      <c r="C3065">
        <f>IFERROR(__xludf.DUMMYFUNCTION("""COMPUTED_VALUE"""),14.0)</f>
        <v>14</v>
      </c>
      <c r="D3065" t="str">
        <f>IFERROR(__xludf.DUMMYFUNCTION("""COMPUTED_VALUE"""),"C.R.O: Bzrp Music Session, Vol. 29")</f>
        <v>C.R.O: Bzrp Music Session, Vol. 29</v>
      </c>
      <c r="E3065" t="str">
        <f>IFERROR(__xludf.DUMMYFUNCTION("""COMPUTED_VALUE"""),"Bizarrap, C.R.O")</f>
        <v>Bizarrap, C.R.O</v>
      </c>
      <c r="F3065" t="str">
        <f>IFERROR(__xludf.DUMMYFUNCTION("""COMPUTED_VALUE"""),"C.R.O: Bzrp Music Session, Vol. 29")</f>
        <v>C.R.O: Bzrp Music Session, Vol. 29</v>
      </c>
      <c r="G3065">
        <f>IFERROR(__xludf.DUMMYFUNCTION("""COMPUTED_VALUE"""),0.0)</f>
        <v>0</v>
      </c>
      <c r="H3065" s="5">
        <f>IFERROR(__xludf.DUMMYFUNCTION("""COMPUTED_VALUE"""),0.10138888888832298)</f>
        <v>0.1013888889</v>
      </c>
    </row>
    <row r="3066">
      <c r="A3066" t="str">
        <f>IFERROR(__xludf.DUMMYFUNCTION("""COMPUTED_VALUE"""),"Uruguay")</f>
        <v>Uruguay</v>
      </c>
      <c r="B3066" t="str">
        <f>IFERROR(__xludf.DUMMYFUNCTION("""COMPUTED_VALUE"""),"South America")</f>
        <v>South America</v>
      </c>
      <c r="C3066">
        <f>IFERROR(__xludf.DUMMYFUNCTION("""COMPUTED_VALUE"""),15.0)</f>
        <v>15</v>
      </c>
      <c r="D3066" t="str">
        <f>IFERROR(__xludf.DUMMYFUNCTION("""COMPUTED_VALUE"""),"Diosa")</f>
        <v>Diosa</v>
      </c>
      <c r="E3066" t="str">
        <f>IFERROR(__xludf.DUMMYFUNCTION("""COMPUTED_VALUE"""),"Myke Towers")</f>
        <v>Myke Towers</v>
      </c>
      <c r="F3066" t="str">
        <f>IFERROR(__xludf.DUMMYFUNCTION("""COMPUTED_VALUE"""),"Easy Money Baby")</f>
        <v>Easy Money Baby</v>
      </c>
      <c r="G3066">
        <f>IFERROR(__xludf.DUMMYFUNCTION("""COMPUTED_VALUE"""),1.0)</f>
        <v>1</v>
      </c>
      <c r="H3066" s="5">
        <f>IFERROR(__xludf.DUMMYFUNCTION("""COMPUTED_VALUE"""),0.14861111111167702)</f>
        <v>0.1486111111</v>
      </c>
    </row>
    <row r="3067">
      <c r="A3067" t="str">
        <f>IFERROR(__xludf.DUMMYFUNCTION("""COMPUTED_VALUE"""),"Uruguay")</f>
        <v>Uruguay</v>
      </c>
      <c r="B3067" t="str">
        <f>IFERROR(__xludf.DUMMYFUNCTION("""COMPUTED_VALUE"""),"South America")</f>
        <v>South America</v>
      </c>
      <c r="C3067">
        <f>IFERROR(__xludf.DUMMYFUNCTION("""COMPUTED_VALUE"""),16.0)</f>
        <v>16</v>
      </c>
      <c r="D3067" t="str">
        <f>IFERROR(__xludf.DUMMYFUNCTION("""COMPUTED_VALUE"""),"Hola - Remix")</f>
        <v>Hola - Remix</v>
      </c>
      <c r="E3067" t="str">
        <f>IFERROR(__xludf.DUMMYFUNCTION("""COMPUTED_VALUE"""),"Dalex, Lenny Tavárez, Chencho Corleone, Juhn, Dímelo Flow")</f>
        <v>Dalex, Lenny Tavárez, Chencho Corleone, Juhn, Dímelo Flow</v>
      </c>
      <c r="F3067" t="str">
        <f>IFERROR(__xludf.DUMMYFUNCTION("""COMPUTED_VALUE"""),"Hola (Remix)")</f>
        <v>Hola (Remix)</v>
      </c>
      <c r="G3067">
        <f>IFERROR(__xludf.DUMMYFUNCTION("""COMPUTED_VALUE"""),0.0)</f>
        <v>0</v>
      </c>
      <c r="H3067" s="5">
        <f>IFERROR(__xludf.DUMMYFUNCTION("""COMPUTED_VALUE"""),0.17291666666642413)</f>
        <v>0.1729166667</v>
      </c>
    </row>
    <row r="3068">
      <c r="A3068" t="str">
        <f>IFERROR(__xludf.DUMMYFUNCTION("""COMPUTED_VALUE"""),"Uruguay")</f>
        <v>Uruguay</v>
      </c>
      <c r="B3068" t="str">
        <f>IFERROR(__xludf.DUMMYFUNCTION("""COMPUTED_VALUE"""),"South America")</f>
        <v>South America</v>
      </c>
      <c r="C3068">
        <f>IFERROR(__xludf.DUMMYFUNCTION("""COMPUTED_VALUE"""),17.0)</f>
        <v>17</v>
      </c>
      <c r="D3068" t="str">
        <f>IFERROR(__xludf.DUMMYFUNCTION("""COMPUTED_VALUE"""),"Locura")</f>
        <v>Locura</v>
      </c>
      <c r="E3068" t="str">
        <f>IFERROR(__xludf.DUMMYFUNCTION("""COMPUTED_VALUE"""),"Cali Y El Dandee, Sebastian Yatra")</f>
        <v>Cali Y El Dandee, Sebastian Yatra</v>
      </c>
      <c r="F3068" t="str">
        <f>IFERROR(__xludf.DUMMYFUNCTION("""COMPUTED_VALUE"""),"Colegio")</f>
        <v>Colegio</v>
      </c>
      <c r="G3068">
        <f>IFERROR(__xludf.DUMMYFUNCTION("""COMPUTED_VALUE"""),0.0)</f>
        <v>0</v>
      </c>
      <c r="H3068" s="5">
        <f>IFERROR(__xludf.DUMMYFUNCTION("""COMPUTED_VALUE"""),0.14513888888905058)</f>
        <v>0.1451388889</v>
      </c>
    </row>
    <row r="3069">
      <c r="A3069" t="str">
        <f>IFERROR(__xludf.DUMMYFUNCTION("""COMPUTED_VALUE"""),"Uruguay")</f>
        <v>Uruguay</v>
      </c>
      <c r="B3069" t="str">
        <f>IFERROR(__xludf.DUMMYFUNCTION("""COMPUTED_VALUE"""),"South America")</f>
        <v>South America</v>
      </c>
      <c r="C3069">
        <f>IFERROR(__xludf.DUMMYFUNCTION("""COMPUTED_VALUE"""),18.0)</f>
        <v>18</v>
      </c>
      <c r="D3069" t="str">
        <f>IFERROR(__xludf.DUMMYFUNCTION("""COMPUTED_VALUE"""),"Morado")</f>
        <v>Morado</v>
      </c>
      <c r="E3069" t="str">
        <f>IFERROR(__xludf.DUMMYFUNCTION("""COMPUTED_VALUE"""),"J Balvin")</f>
        <v>J Balvin</v>
      </c>
      <c r="F3069" t="str">
        <f>IFERROR(__xludf.DUMMYFUNCTION("""COMPUTED_VALUE"""),"Colores")</f>
        <v>Colores</v>
      </c>
      <c r="G3069">
        <f>IFERROR(__xludf.DUMMYFUNCTION("""COMPUTED_VALUE"""),0.0)</f>
        <v>0</v>
      </c>
      <c r="H3069" s="5">
        <f>IFERROR(__xludf.DUMMYFUNCTION("""COMPUTED_VALUE"""),0.13888888889050577)</f>
        <v>0.1388888889</v>
      </c>
    </row>
    <row r="3070">
      <c r="A3070" t="str">
        <f>IFERROR(__xludf.DUMMYFUNCTION("""COMPUTED_VALUE"""),"Uruguay")</f>
        <v>Uruguay</v>
      </c>
      <c r="B3070" t="str">
        <f>IFERROR(__xludf.DUMMYFUNCTION("""COMPUTED_VALUE"""),"South America")</f>
        <v>South America</v>
      </c>
      <c r="C3070">
        <f>IFERROR(__xludf.DUMMYFUNCTION("""COMPUTED_VALUE"""),19.0)</f>
        <v>19</v>
      </c>
      <c r="D3070" t="str">
        <f>IFERROR(__xludf.DUMMYFUNCTION("""COMPUTED_VALUE"""),"Amarillo")</f>
        <v>Amarillo</v>
      </c>
      <c r="E3070" t="str">
        <f>IFERROR(__xludf.DUMMYFUNCTION("""COMPUTED_VALUE"""),"J Balvin")</f>
        <v>J Balvin</v>
      </c>
      <c r="F3070" t="str">
        <f>IFERROR(__xludf.DUMMYFUNCTION("""COMPUTED_VALUE"""),"Colores")</f>
        <v>Colores</v>
      </c>
      <c r="G3070">
        <f>IFERROR(__xludf.DUMMYFUNCTION("""COMPUTED_VALUE"""),0.0)</f>
        <v>0</v>
      </c>
      <c r="H3070" s="5">
        <f>IFERROR(__xludf.DUMMYFUNCTION("""COMPUTED_VALUE"""),0.10902777777664596)</f>
        <v>0.1090277778</v>
      </c>
    </row>
    <row r="3071">
      <c r="A3071" t="str">
        <f>IFERROR(__xludf.DUMMYFUNCTION("""COMPUTED_VALUE"""),"Uruguay")</f>
        <v>Uruguay</v>
      </c>
      <c r="B3071" t="str">
        <f>IFERROR(__xludf.DUMMYFUNCTION("""COMPUTED_VALUE"""),"South America")</f>
        <v>South America</v>
      </c>
      <c r="C3071">
        <f>IFERROR(__xludf.DUMMYFUNCTION("""COMPUTED_VALUE"""),20.0)</f>
        <v>20</v>
      </c>
      <c r="D3071" t="str">
        <f>IFERROR(__xludf.DUMMYFUNCTION("""COMPUTED_VALUE"""),"Fantasias")</f>
        <v>Fantasias</v>
      </c>
      <c r="E3071" t="str">
        <f>IFERROR(__xludf.DUMMYFUNCTION("""COMPUTED_VALUE"""),"Rauw Alejandro, Farruko")</f>
        <v>Rauw Alejandro, Farruko</v>
      </c>
      <c r="F3071" t="str">
        <f>IFERROR(__xludf.DUMMYFUNCTION("""COMPUTED_VALUE"""),"Fantasias")</f>
        <v>Fantasias</v>
      </c>
      <c r="G3071">
        <f>IFERROR(__xludf.DUMMYFUNCTION("""COMPUTED_VALUE"""),0.0)</f>
        <v>0</v>
      </c>
      <c r="H3071" s="5">
        <f>IFERROR(__xludf.DUMMYFUNCTION("""COMPUTED_VALUE"""),0.1381944444437977)</f>
        <v>0.1381944444</v>
      </c>
    </row>
    <row r="3072">
      <c r="A3072" t="str">
        <f>IFERROR(__xludf.DUMMYFUNCTION("""COMPUTED_VALUE"""),"Uruguay")</f>
        <v>Uruguay</v>
      </c>
      <c r="B3072" t="str">
        <f>IFERROR(__xludf.DUMMYFUNCTION("""COMPUTED_VALUE"""),"South America")</f>
        <v>South America</v>
      </c>
      <c r="C3072">
        <f>IFERROR(__xludf.DUMMYFUNCTION("""COMPUTED_VALUE"""),21.0)</f>
        <v>21</v>
      </c>
      <c r="D3072" t="str">
        <f>IFERROR(__xludf.DUMMYFUNCTION("""COMPUTED_VALUE"""),"La Difícil")</f>
        <v>La Difícil</v>
      </c>
      <c r="E3072" t="str">
        <f>IFERROR(__xludf.DUMMYFUNCTION("""COMPUTED_VALUE"""),"Bad Bunny")</f>
        <v>Bad Bunny</v>
      </c>
      <c r="F3072" t="str">
        <f>IFERROR(__xludf.DUMMYFUNCTION("""COMPUTED_VALUE"""),"YHLQMDLG")</f>
        <v>YHLQMDLG</v>
      </c>
      <c r="G3072">
        <f>IFERROR(__xludf.DUMMYFUNCTION("""COMPUTED_VALUE"""),1.0)</f>
        <v>1</v>
      </c>
      <c r="H3072" s="5">
        <f>IFERROR(__xludf.DUMMYFUNCTION("""COMPUTED_VALUE"""),0.11319444444598048)</f>
        <v>0.1131944444</v>
      </c>
    </row>
    <row r="3073">
      <c r="A3073" t="str">
        <f>IFERROR(__xludf.DUMMYFUNCTION("""COMPUTED_VALUE"""),"Uruguay")</f>
        <v>Uruguay</v>
      </c>
      <c r="B3073" t="str">
        <f>IFERROR(__xludf.DUMMYFUNCTION("""COMPUTED_VALUE"""),"South America")</f>
        <v>South America</v>
      </c>
      <c r="C3073">
        <f>IFERROR(__xludf.DUMMYFUNCTION("""COMPUTED_VALUE"""),22.0)</f>
        <v>22</v>
      </c>
      <c r="D3073" t="str">
        <f>IFERROR(__xludf.DUMMYFUNCTION("""COMPUTED_VALUE"""),"Si Me Dices Que Sí")</f>
        <v>Si Me Dices Que Sí</v>
      </c>
      <c r="E3073" t="str">
        <f>IFERROR(__xludf.DUMMYFUNCTION("""COMPUTED_VALUE"""),"Reik, Farruko, Camilo")</f>
        <v>Reik, Farruko, Camilo</v>
      </c>
      <c r="F3073" t="str">
        <f>IFERROR(__xludf.DUMMYFUNCTION("""COMPUTED_VALUE"""),"Si Me Dices Que Sí")</f>
        <v>Si Me Dices Que Sí</v>
      </c>
      <c r="G3073">
        <f>IFERROR(__xludf.DUMMYFUNCTION("""COMPUTED_VALUE"""),0.0)</f>
        <v>0</v>
      </c>
      <c r="H3073" s="5">
        <f>IFERROR(__xludf.DUMMYFUNCTION("""COMPUTED_VALUE"""),0.14652777777882875)</f>
        <v>0.1465277778</v>
      </c>
    </row>
    <row r="3074">
      <c r="A3074" t="str">
        <f>IFERROR(__xludf.DUMMYFUNCTION("""COMPUTED_VALUE"""),"Uruguay")</f>
        <v>Uruguay</v>
      </c>
      <c r="B3074" t="str">
        <f>IFERROR(__xludf.DUMMYFUNCTION("""COMPUTED_VALUE"""),"South America")</f>
        <v>South America</v>
      </c>
      <c r="C3074">
        <f>IFERROR(__xludf.DUMMYFUNCTION("""COMPUTED_VALUE"""),23.0)</f>
        <v>23</v>
      </c>
      <c r="D3074" t="str">
        <f>IFERROR(__xludf.DUMMYFUNCTION("""COMPUTED_VALUE"""),"El Efecto - Remix")</f>
        <v>El Efecto - Remix</v>
      </c>
      <c r="E3074" t="str">
        <f>IFERROR(__xludf.DUMMYFUNCTION("""COMPUTED_VALUE"""),"Rauw Alejandro, Chencho Corleone, KEVVO, Bryant Myers, Lyanno, Dalex")</f>
        <v>Rauw Alejandro, Chencho Corleone, KEVVO, Bryant Myers, Lyanno, Dalex</v>
      </c>
      <c r="F3074" t="str">
        <f>IFERROR(__xludf.DUMMYFUNCTION("""COMPUTED_VALUE"""),"El Efecto (Remix)")</f>
        <v>El Efecto (Remix)</v>
      </c>
      <c r="G3074">
        <f>IFERROR(__xludf.DUMMYFUNCTION("""COMPUTED_VALUE"""),1.0)</f>
        <v>1</v>
      </c>
      <c r="H3074" s="5">
        <f>IFERROR(__xludf.DUMMYFUNCTION("""COMPUTED_VALUE"""),0.2006944444437977)</f>
        <v>0.2006944444</v>
      </c>
    </row>
    <row r="3075">
      <c r="A3075" t="str">
        <f>IFERROR(__xludf.DUMMYFUNCTION("""COMPUTED_VALUE"""),"Uruguay")</f>
        <v>Uruguay</v>
      </c>
      <c r="B3075" t="str">
        <f>IFERROR(__xludf.DUMMYFUNCTION("""COMPUTED_VALUE"""),"South America")</f>
        <v>South America</v>
      </c>
      <c r="C3075">
        <f>IFERROR(__xludf.DUMMYFUNCTION("""COMPUTED_VALUE"""),24.0)</f>
        <v>24</v>
      </c>
      <c r="D3075" t="str">
        <f>IFERROR(__xludf.DUMMYFUNCTION("""COMPUTED_VALUE"""),"Dance Monkey")</f>
        <v>Dance Monkey</v>
      </c>
      <c r="E3075" t="str">
        <f>IFERROR(__xludf.DUMMYFUNCTION("""COMPUTED_VALUE"""),"Tones And I")</f>
        <v>Tones And I</v>
      </c>
      <c r="F3075" t="str">
        <f>IFERROR(__xludf.DUMMYFUNCTION("""COMPUTED_VALUE"""),"Dance Monkey (Stripped Back) / Dance Monkey")</f>
        <v>Dance Monkey (Stripped Back) / Dance Monkey</v>
      </c>
      <c r="G3075">
        <f>IFERROR(__xludf.DUMMYFUNCTION("""COMPUTED_VALUE"""),0.0)</f>
        <v>0</v>
      </c>
      <c r="H3075" s="5">
        <f>IFERROR(__xludf.DUMMYFUNCTION("""COMPUTED_VALUE"""),0.14513888888905058)</f>
        <v>0.1451388889</v>
      </c>
    </row>
    <row r="3076">
      <c r="A3076" t="str">
        <f>IFERROR(__xludf.DUMMYFUNCTION("""COMPUTED_VALUE"""),"Uruguay")</f>
        <v>Uruguay</v>
      </c>
      <c r="B3076" t="str">
        <f>IFERROR(__xludf.DUMMYFUNCTION("""COMPUTED_VALUE"""),"South America")</f>
        <v>South America</v>
      </c>
      <c r="C3076">
        <f>IFERROR(__xludf.DUMMYFUNCTION("""COMPUTED_VALUE"""),25.0)</f>
        <v>25</v>
      </c>
      <c r="D3076" t="str">
        <f>IFERROR(__xludf.DUMMYFUNCTION("""COMPUTED_VALUE"""),"Sigues Con El")</f>
        <v>Sigues Con El</v>
      </c>
      <c r="E3076" t="str">
        <f>IFERROR(__xludf.DUMMYFUNCTION("""COMPUTED_VALUE"""),"Dímelo Flow, Arcangel, Sech")</f>
        <v>Dímelo Flow, Arcangel, Sech</v>
      </c>
      <c r="F3076" t="str">
        <f>IFERROR(__xludf.DUMMYFUNCTION("""COMPUTED_VALUE"""),"Sigues Con El")</f>
        <v>Sigues Con El</v>
      </c>
      <c r="G3076">
        <f>IFERROR(__xludf.DUMMYFUNCTION("""COMPUTED_VALUE"""),0.0)</f>
        <v>0</v>
      </c>
      <c r="H3076" s="5">
        <f>IFERROR(__xludf.DUMMYFUNCTION("""COMPUTED_VALUE"""),0.1569444444430701)</f>
        <v>0.1569444444</v>
      </c>
    </row>
    <row r="3077">
      <c r="A3077" t="str">
        <f>IFERROR(__xludf.DUMMYFUNCTION("""COMPUTED_VALUE"""),"Uruguay")</f>
        <v>Uruguay</v>
      </c>
      <c r="B3077" t="str">
        <f>IFERROR(__xludf.DUMMYFUNCTION("""COMPUTED_VALUE"""),"South America")</f>
        <v>South America</v>
      </c>
      <c r="C3077">
        <f>IFERROR(__xludf.DUMMYFUNCTION("""COMPUTED_VALUE"""),26.0)</f>
        <v>26</v>
      </c>
      <c r="D3077" t="str">
        <f>IFERROR(__xludf.DUMMYFUNCTION("""COMPUTED_VALUE"""),"Rain On Me (with Ariana Grande)")</f>
        <v>Rain On Me (with Ariana Grande)</v>
      </c>
      <c r="E3077" t="str">
        <f>IFERROR(__xludf.DUMMYFUNCTION("""COMPUTED_VALUE"""),"Lady Gaga, Ariana Grande")</f>
        <v>Lady Gaga, Ariana Grande</v>
      </c>
      <c r="F3077" t="str">
        <f>IFERROR(__xludf.DUMMYFUNCTION("""COMPUTED_VALUE"""),"Rain On Me (with Ariana Grande)")</f>
        <v>Rain On Me (with Ariana Grande)</v>
      </c>
      <c r="G3077">
        <f>IFERROR(__xludf.DUMMYFUNCTION("""COMPUTED_VALUE"""),0.0)</f>
        <v>0</v>
      </c>
      <c r="H3077" s="5">
        <f>IFERROR(__xludf.DUMMYFUNCTION("""COMPUTED_VALUE"""),0.12638888888977817)</f>
        <v>0.1263888889</v>
      </c>
    </row>
    <row r="3078">
      <c r="A3078" t="str">
        <f>IFERROR(__xludf.DUMMYFUNCTION("""COMPUTED_VALUE"""),"Uruguay")</f>
        <v>Uruguay</v>
      </c>
      <c r="B3078" t="str">
        <f>IFERROR(__xludf.DUMMYFUNCTION("""COMPUTED_VALUE"""),"South America")</f>
        <v>South America</v>
      </c>
      <c r="C3078">
        <f>IFERROR(__xludf.DUMMYFUNCTION("""COMPUTED_VALUE"""),27.0)</f>
        <v>27</v>
      </c>
      <c r="D3078" t="str">
        <f>IFERROR(__xludf.DUMMYFUNCTION("""COMPUTED_VALUE"""),"Tak Tiki Tak")</f>
        <v>Tak Tiki Tak</v>
      </c>
      <c r="E3078" t="str">
        <f>IFERROR(__xludf.DUMMYFUNCTION("""COMPUTED_VALUE"""),"Harry Nach")</f>
        <v>Harry Nach</v>
      </c>
      <c r="F3078" t="str">
        <f>IFERROR(__xludf.DUMMYFUNCTION("""COMPUTED_VALUE"""),"Tak Tiki Tak")</f>
        <v>Tak Tiki Tak</v>
      </c>
      <c r="G3078">
        <f>IFERROR(__xludf.DUMMYFUNCTION("""COMPUTED_VALUE"""),1.0)</f>
        <v>1</v>
      </c>
      <c r="H3078" s="5">
        <f>IFERROR(__xludf.DUMMYFUNCTION("""COMPUTED_VALUE"""),0.14722222222189885)</f>
        <v>0.1472222222</v>
      </c>
    </row>
    <row r="3079">
      <c r="A3079" t="str">
        <f>IFERROR(__xludf.DUMMYFUNCTION("""COMPUTED_VALUE"""),"Uruguay")</f>
        <v>Uruguay</v>
      </c>
      <c r="B3079" t="str">
        <f>IFERROR(__xludf.DUMMYFUNCTION("""COMPUTED_VALUE"""),"South America")</f>
        <v>South America</v>
      </c>
      <c r="C3079">
        <f>IFERROR(__xludf.DUMMYFUNCTION("""COMPUTED_VALUE"""),28.0)</f>
        <v>28</v>
      </c>
      <c r="D3079" t="str">
        <f>IFERROR(__xludf.DUMMYFUNCTION("""COMPUTED_VALUE"""),"Tutu")</f>
        <v>Tutu</v>
      </c>
      <c r="E3079" t="str">
        <f>IFERROR(__xludf.DUMMYFUNCTION("""COMPUTED_VALUE"""),"Camilo, Pedro Capó")</f>
        <v>Camilo, Pedro Capó</v>
      </c>
      <c r="F3079" t="str">
        <f>IFERROR(__xludf.DUMMYFUNCTION("""COMPUTED_VALUE"""),"Por Primera Vez")</f>
        <v>Por Primera Vez</v>
      </c>
      <c r="G3079">
        <f>IFERROR(__xludf.DUMMYFUNCTION("""COMPUTED_VALUE"""),0.0)</f>
        <v>0</v>
      </c>
      <c r="H3079" s="5">
        <f>IFERROR(__xludf.DUMMYFUNCTION("""COMPUTED_VALUE"""),0.1243055555569299)</f>
        <v>0.1243055556</v>
      </c>
    </row>
    <row r="3080">
      <c r="A3080" t="str">
        <f>IFERROR(__xludf.DUMMYFUNCTION("""COMPUTED_VALUE"""),"Uruguay")</f>
        <v>Uruguay</v>
      </c>
      <c r="B3080" t="str">
        <f>IFERROR(__xludf.DUMMYFUNCTION("""COMPUTED_VALUE"""),"South America")</f>
        <v>South America</v>
      </c>
      <c r="C3080">
        <f>IFERROR(__xludf.DUMMYFUNCTION("""COMPUTED_VALUE"""),29.0)</f>
        <v>29</v>
      </c>
      <c r="D3080" t="str">
        <f>IFERROR(__xludf.DUMMYFUNCTION("""COMPUTED_VALUE"""),"Ignorantes")</f>
        <v>Ignorantes</v>
      </c>
      <c r="E3080" t="str">
        <f>IFERROR(__xludf.DUMMYFUNCTION("""COMPUTED_VALUE"""),"Bad Bunny, Sech")</f>
        <v>Bad Bunny, Sech</v>
      </c>
      <c r="F3080" t="str">
        <f>IFERROR(__xludf.DUMMYFUNCTION("""COMPUTED_VALUE"""),"YHLQMDLG")</f>
        <v>YHLQMDLG</v>
      </c>
      <c r="G3080">
        <f>IFERROR(__xludf.DUMMYFUNCTION("""COMPUTED_VALUE"""),1.0)</f>
        <v>1</v>
      </c>
      <c r="H3080" s="5">
        <f>IFERROR(__xludf.DUMMYFUNCTION("""COMPUTED_VALUE"""),0.14583333333212067)</f>
        <v>0.1458333333</v>
      </c>
    </row>
    <row r="3081">
      <c r="A3081" t="str">
        <f>IFERROR(__xludf.DUMMYFUNCTION("""COMPUTED_VALUE"""),"Uruguay")</f>
        <v>Uruguay</v>
      </c>
      <c r="B3081" t="str">
        <f>IFERROR(__xludf.DUMMYFUNCTION("""COMPUTED_VALUE"""),"South America")</f>
        <v>South America</v>
      </c>
      <c r="C3081">
        <f>IFERROR(__xludf.DUMMYFUNCTION("""COMPUTED_VALUE"""),30.0)</f>
        <v>30</v>
      </c>
      <c r="D3081" t="str">
        <f>IFERROR(__xludf.DUMMYFUNCTION("""COMPUTED_VALUE"""),"Muévelo")</f>
        <v>Muévelo</v>
      </c>
      <c r="E3081" t="str">
        <f>IFERROR(__xludf.DUMMYFUNCTION("""COMPUTED_VALUE"""),"Nicky Jam, Daddy Yankee")</f>
        <v>Nicky Jam, Daddy Yankee</v>
      </c>
      <c r="F3081" t="str">
        <f>IFERROR(__xludf.DUMMYFUNCTION("""COMPUTED_VALUE"""),"Muévelo")</f>
        <v>Muévelo</v>
      </c>
      <c r="G3081">
        <f>IFERROR(__xludf.DUMMYFUNCTION("""COMPUTED_VALUE"""),0.0)</f>
        <v>0</v>
      </c>
      <c r="H3081" s="5">
        <f>IFERROR(__xludf.DUMMYFUNCTION("""COMPUTED_VALUE"""),0.13472222222117125)</f>
        <v>0.1347222222</v>
      </c>
    </row>
    <row r="3082">
      <c r="A3082" t="str">
        <f>IFERROR(__xludf.DUMMYFUNCTION("""COMPUTED_VALUE"""),"Uruguay")</f>
        <v>Uruguay</v>
      </c>
      <c r="B3082" t="str">
        <f>IFERROR(__xludf.DUMMYFUNCTION("""COMPUTED_VALUE"""),"South America")</f>
        <v>South America</v>
      </c>
      <c r="C3082">
        <f>IFERROR(__xludf.DUMMYFUNCTION("""COMPUTED_VALUE"""),31.0)</f>
        <v>31</v>
      </c>
      <c r="D3082" t="str">
        <f>IFERROR(__xludf.DUMMYFUNCTION("""COMPUTED_VALUE"""),"Loco")</f>
        <v>Loco</v>
      </c>
      <c r="E3082" t="str">
        <f>IFERROR(__xludf.DUMMYFUNCTION("""COMPUTED_VALUE"""),"Beéle")</f>
        <v>Beéle</v>
      </c>
      <c r="F3082" t="str">
        <f>IFERROR(__xludf.DUMMYFUNCTION("""COMPUTED_VALUE"""),"Loco")</f>
        <v>Loco</v>
      </c>
      <c r="G3082">
        <f>IFERROR(__xludf.DUMMYFUNCTION("""COMPUTED_VALUE"""),0.0)</f>
        <v>0</v>
      </c>
      <c r="H3082" s="5">
        <f>IFERROR(__xludf.DUMMYFUNCTION("""COMPUTED_VALUE"""),0.14166666666642413)</f>
        <v>0.1416666667</v>
      </c>
    </row>
    <row r="3083">
      <c r="A3083" t="str">
        <f>IFERROR(__xludf.DUMMYFUNCTION("""COMPUTED_VALUE"""),"Uruguay")</f>
        <v>Uruguay</v>
      </c>
      <c r="B3083" t="str">
        <f>IFERROR(__xludf.DUMMYFUNCTION("""COMPUTED_VALUE"""),"South America")</f>
        <v>South America</v>
      </c>
      <c r="C3083">
        <f>IFERROR(__xludf.DUMMYFUNCTION("""COMPUTED_VALUE"""),32.0)</f>
        <v>32</v>
      </c>
      <c r="D3083" t="str">
        <f>IFERROR(__xludf.DUMMYFUNCTION("""COMPUTED_VALUE"""),"Follow")</f>
        <v>Follow</v>
      </c>
      <c r="E3083" t="str">
        <f>IFERROR(__xludf.DUMMYFUNCTION("""COMPUTED_VALUE"""),"KAROL G, Anuel AA")</f>
        <v>KAROL G, Anuel AA</v>
      </c>
      <c r="F3083" t="str">
        <f>IFERROR(__xludf.DUMMYFUNCTION("""COMPUTED_VALUE"""),"Follow")</f>
        <v>Follow</v>
      </c>
      <c r="G3083">
        <f>IFERROR(__xludf.DUMMYFUNCTION("""COMPUTED_VALUE"""),0.0)</f>
        <v>0</v>
      </c>
      <c r="H3083" s="5">
        <f>IFERROR(__xludf.DUMMYFUNCTION("""COMPUTED_VALUE"""),0.14097222222335404)</f>
        <v>0.1409722222</v>
      </c>
    </row>
    <row r="3084">
      <c r="A3084" t="str">
        <f>IFERROR(__xludf.DUMMYFUNCTION("""COMPUTED_VALUE"""),"Uruguay")</f>
        <v>Uruguay</v>
      </c>
      <c r="B3084" t="str">
        <f>IFERROR(__xludf.DUMMYFUNCTION("""COMPUTED_VALUE"""),"South America")</f>
        <v>South America</v>
      </c>
      <c r="C3084">
        <f>IFERROR(__xludf.DUMMYFUNCTION("""COMPUTED_VALUE"""),33.0)</f>
        <v>33</v>
      </c>
      <c r="D3084" t="str">
        <f>IFERROR(__xludf.DUMMYFUNCTION("""COMPUTED_VALUE"""),"Bellaquita - Remix")</f>
        <v>Bellaquita - Remix</v>
      </c>
      <c r="E3084" t="str">
        <f>IFERROR(__xludf.DUMMYFUNCTION("""COMPUTED_VALUE"""),"Dalex, Lenny Tavárez, Anitta, Natti Natasha, Farruko, Justin Quiles")</f>
        <v>Dalex, Lenny Tavárez, Anitta, Natti Natasha, Farruko, Justin Quiles</v>
      </c>
      <c r="F3084" t="str">
        <f>IFERROR(__xludf.DUMMYFUNCTION("""COMPUTED_VALUE"""),"Modo Avión")</f>
        <v>Modo Avión</v>
      </c>
      <c r="G3084">
        <f>IFERROR(__xludf.DUMMYFUNCTION("""COMPUTED_VALUE"""),1.0)</f>
        <v>1</v>
      </c>
      <c r="H3084" s="5">
        <f>IFERROR(__xludf.DUMMYFUNCTION("""COMPUTED_VALUE"""),0.21111111111167702)</f>
        <v>0.2111111111</v>
      </c>
    </row>
    <row r="3085">
      <c r="A3085" t="str">
        <f>IFERROR(__xludf.DUMMYFUNCTION("""COMPUTED_VALUE"""),"Uruguay")</f>
        <v>Uruguay</v>
      </c>
      <c r="B3085" t="str">
        <f>IFERROR(__xludf.DUMMYFUNCTION("""COMPUTED_VALUE"""),"South America")</f>
        <v>South America</v>
      </c>
      <c r="C3085">
        <f>IFERROR(__xludf.DUMMYFUNCTION("""COMPUTED_VALUE"""),34.0)</f>
        <v>34</v>
      </c>
      <c r="D3085" t="str">
        <f>IFERROR(__xludf.DUMMYFUNCTION("""COMPUTED_VALUE"""),"Loco - Remix")</f>
        <v>Loco - Remix</v>
      </c>
      <c r="E3085" t="str">
        <f>IFERROR(__xludf.DUMMYFUNCTION("""COMPUTED_VALUE"""),"Farruko, Beéle, Natti Natasha, Manuel Turizo")</f>
        <v>Farruko, Beéle, Natti Natasha, Manuel Turizo</v>
      </c>
      <c r="F3085" t="str">
        <f>IFERROR(__xludf.DUMMYFUNCTION("""COMPUTED_VALUE"""),"Loco (Remix)")</f>
        <v>Loco (Remix)</v>
      </c>
      <c r="G3085">
        <f>IFERROR(__xludf.DUMMYFUNCTION("""COMPUTED_VALUE"""),0.0)</f>
        <v>0</v>
      </c>
      <c r="H3085" s="5">
        <f>IFERROR(__xludf.DUMMYFUNCTION("""COMPUTED_VALUE"""),0.17222222222335404)</f>
        <v>0.1722222222</v>
      </c>
    </row>
    <row r="3086">
      <c r="A3086" t="str">
        <f>IFERROR(__xludf.DUMMYFUNCTION("""COMPUTED_VALUE"""),"Uruguay")</f>
        <v>Uruguay</v>
      </c>
      <c r="B3086" t="str">
        <f>IFERROR(__xludf.DUMMYFUNCTION("""COMPUTED_VALUE"""),"South America")</f>
        <v>South America</v>
      </c>
      <c r="C3086">
        <f>IFERROR(__xludf.DUMMYFUNCTION("""COMPUTED_VALUE"""),35.0)</f>
        <v>35</v>
      </c>
      <c r="D3086" t="str">
        <f>IFERROR(__xludf.DUMMYFUNCTION("""COMPUTED_VALUE"""),"Ya No Más")</f>
        <v>Ya No Más</v>
      </c>
      <c r="E3086" t="str">
        <f>IFERROR(__xludf.DUMMYFUNCTION("""COMPUTED_VALUE"""),"Fer Palacio, DJ Alex, Santiago Saez")</f>
        <v>Fer Palacio, DJ Alex, Santiago Saez</v>
      </c>
      <c r="F3086" t="str">
        <f>IFERROR(__xludf.DUMMYFUNCTION("""COMPUTED_VALUE"""),"Ya No Más")</f>
        <v>Ya No Más</v>
      </c>
      <c r="G3086">
        <f>IFERROR(__xludf.DUMMYFUNCTION("""COMPUTED_VALUE"""),0.0)</f>
        <v>0</v>
      </c>
      <c r="H3086" s="5">
        <f>IFERROR(__xludf.DUMMYFUNCTION("""COMPUTED_VALUE"""),0.10972222222335404)</f>
        <v>0.1097222222</v>
      </c>
    </row>
    <row r="3087">
      <c r="A3087" t="str">
        <f>IFERROR(__xludf.DUMMYFUNCTION("""COMPUTED_VALUE"""),"Uruguay")</f>
        <v>Uruguay</v>
      </c>
      <c r="B3087" t="str">
        <f>IFERROR(__xludf.DUMMYFUNCTION("""COMPUTED_VALUE"""),"South America")</f>
        <v>South America</v>
      </c>
      <c r="C3087">
        <f>IFERROR(__xludf.DUMMYFUNCTION("""COMPUTED_VALUE"""),36.0)</f>
        <v>36</v>
      </c>
      <c r="D3087" t="str">
        <f>IFERROR(__xludf.DUMMYFUNCTION("""COMPUTED_VALUE"""),"Roses - Imanbek Remix")</f>
        <v>Roses - Imanbek Remix</v>
      </c>
      <c r="E3087" t="str">
        <f>IFERROR(__xludf.DUMMYFUNCTION("""COMPUTED_VALUE"""),"SAINt JHN, Imanbek")</f>
        <v>SAINt JHN, Imanbek</v>
      </c>
      <c r="F3087" t="str">
        <f>IFERROR(__xludf.DUMMYFUNCTION("""COMPUTED_VALUE"""),"Roses (Imanbek Remix)")</f>
        <v>Roses (Imanbek Remix)</v>
      </c>
      <c r="G3087">
        <f>IFERROR(__xludf.DUMMYFUNCTION("""COMPUTED_VALUE"""),1.0)</f>
        <v>1</v>
      </c>
      <c r="H3087" s="5">
        <f>IFERROR(__xludf.DUMMYFUNCTION("""COMPUTED_VALUE"""),0.12222222222044365)</f>
        <v>0.1222222222</v>
      </c>
    </row>
    <row r="3088">
      <c r="A3088" t="str">
        <f>IFERROR(__xludf.DUMMYFUNCTION("""COMPUTED_VALUE"""),"Uruguay")</f>
        <v>Uruguay</v>
      </c>
      <c r="B3088" t="str">
        <f>IFERROR(__xludf.DUMMYFUNCTION("""COMPUTED_VALUE"""),"South America")</f>
        <v>South America</v>
      </c>
      <c r="C3088">
        <f>IFERROR(__xludf.DUMMYFUNCTION("""COMPUTED_VALUE"""),37.0)</f>
        <v>37</v>
      </c>
      <c r="D3088" t="str">
        <f>IFERROR(__xludf.DUMMYFUNCTION("""COMPUTED_VALUE"""),"La Pared 360")</f>
        <v>La Pared 360</v>
      </c>
      <c r="E3088" t="str">
        <f>IFERROR(__xludf.DUMMYFUNCTION("""COMPUTED_VALUE"""),"Lenny Tavárez, Justin Quiles")</f>
        <v>Lenny Tavárez, Justin Quiles</v>
      </c>
      <c r="F3088" t="str">
        <f>IFERROR(__xludf.DUMMYFUNCTION("""COMPUTED_VALUE"""),"La Pared 360")</f>
        <v>La Pared 360</v>
      </c>
      <c r="G3088">
        <f>IFERROR(__xludf.DUMMYFUNCTION("""COMPUTED_VALUE"""),1.0)</f>
        <v>1</v>
      </c>
      <c r="H3088" s="5">
        <f>IFERROR(__xludf.DUMMYFUNCTION("""COMPUTED_VALUE"""),0.10694444444379769)</f>
        <v>0.1069444444</v>
      </c>
    </row>
    <row r="3089">
      <c r="A3089" t="str">
        <f>IFERROR(__xludf.DUMMYFUNCTION("""COMPUTED_VALUE"""),"Uruguay")</f>
        <v>Uruguay</v>
      </c>
      <c r="B3089" t="str">
        <f>IFERROR(__xludf.DUMMYFUNCTION("""COMPUTED_VALUE"""),"South America")</f>
        <v>South America</v>
      </c>
      <c r="C3089">
        <f>IFERROR(__xludf.DUMMYFUNCTION("""COMPUTED_VALUE"""),38.0)</f>
        <v>38</v>
      </c>
      <c r="D3089" t="str">
        <f>IFERROR(__xludf.DUMMYFUNCTION("""COMPUTED_VALUE"""),"Mejor")</f>
        <v>Mejor</v>
      </c>
      <c r="E3089" t="str">
        <f>IFERROR(__xludf.DUMMYFUNCTION("""COMPUTED_VALUE"""),"Dalex, Sech")</f>
        <v>Dalex, Sech</v>
      </c>
      <c r="F3089" t="str">
        <f>IFERROR(__xludf.DUMMYFUNCTION("""COMPUTED_VALUE"""),"Modo Avión")</f>
        <v>Modo Avión</v>
      </c>
      <c r="G3089">
        <f>IFERROR(__xludf.DUMMYFUNCTION("""COMPUTED_VALUE"""),1.0)</f>
        <v>1</v>
      </c>
      <c r="H3089" s="5">
        <f>IFERROR(__xludf.DUMMYFUNCTION("""COMPUTED_VALUE"""),0.13958333333357587)</f>
        <v>0.1395833333</v>
      </c>
    </row>
    <row r="3090">
      <c r="A3090" t="str">
        <f>IFERROR(__xludf.DUMMYFUNCTION("""COMPUTED_VALUE"""),"Uruguay")</f>
        <v>Uruguay</v>
      </c>
      <c r="B3090" t="str">
        <f>IFERROR(__xludf.DUMMYFUNCTION("""COMPUTED_VALUE"""),"South America")</f>
        <v>South America</v>
      </c>
      <c r="C3090">
        <f>IFERROR(__xludf.DUMMYFUNCTION("""COMPUTED_VALUE"""),39.0)</f>
        <v>39</v>
      </c>
      <c r="D3090" t="str">
        <f>IFERROR(__xludf.DUMMYFUNCTION("""COMPUTED_VALUE"""),"Bajo La Mesa")</f>
        <v>Bajo La Mesa</v>
      </c>
      <c r="E3090" t="str">
        <f>IFERROR(__xludf.DUMMYFUNCTION("""COMPUTED_VALUE"""),"Morat, Sebastian Yatra")</f>
        <v>Morat, Sebastian Yatra</v>
      </c>
      <c r="F3090" t="str">
        <f>IFERROR(__xludf.DUMMYFUNCTION("""COMPUTED_VALUE"""),"Bajo La Mesa")</f>
        <v>Bajo La Mesa</v>
      </c>
      <c r="G3090">
        <f>IFERROR(__xludf.DUMMYFUNCTION("""COMPUTED_VALUE"""),0.0)</f>
        <v>0</v>
      </c>
      <c r="H3090" s="5">
        <f>IFERROR(__xludf.DUMMYFUNCTION("""COMPUTED_VALUE"""),0.10902777777664596)</f>
        <v>0.1090277778</v>
      </c>
    </row>
    <row r="3091">
      <c r="A3091" t="str">
        <f>IFERROR(__xludf.DUMMYFUNCTION("""COMPUTED_VALUE"""),"Uruguay")</f>
        <v>Uruguay</v>
      </c>
      <c r="B3091" t="str">
        <f>IFERROR(__xludf.DUMMYFUNCTION("""COMPUTED_VALUE"""),"South America")</f>
        <v>South America</v>
      </c>
      <c r="C3091">
        <f>IFERROR(__xludf.DUMMYFUNCTION("""COMPUTED_VALUE"""),40.0)</f>
        <v>40</v>
      </c>
      <c r="D3091" t="str">
        <f>IFERROR(__xludf.DUMMYFUNCTION("""COMPUTED_VALUE"""),"Keii")</f>
        <v>Keii</v>
      </c>
      <c r="E3091" t="str">
        <f>IFERROR(__xludf.DUMMYFUNCTION("""COMPUTED_VALUE"""),"Anuel AA")</f>
        <v>Anuel AA</v>
      </c>
      <c r="F3091" t="str">
        <f>IFERROR(__xludf.DUMMYFUNCTION("""COMPUTED_VALUE"""),"Keii")</f>
        <v>Keii</v>
      </c>
      <c r="G3091">
        <f>IFERROR(__xludf.DUMMYFUNCTION("""COMPUTED_VALUE"""),0.0)</f>
        <v>0</v>
      </c>
      <c r="H3091" s="5">
        <f>IFERROR(__xludf.DUMMYFUNCTION("""COMPUTED_VALUE"""),0.14583333333212067)</f>
        <v>0.1458333333</v>
      </c>
    </row>
    <row r="3092">
      <c r="A3092" t="str">
        <f>IFERROR(__xludf.DUMMYFUNCTION("""COMPUTED_VALUE"""),"Uruguay")</f>
        <v>Uruguay</v>
      </c>
      <c r="B3092" t="str">
        <f>IFERROR(__xludf.DUMMYFUNCTION("""COMPUTED_VALUE"""),"South America")</f>
        <v>South America</v>
      </c>
      <c r="C3092">
        <f>IFERROR(__xludf.DUMMYFUNCTION("""COMPUTED_VALUE"""),41.0)</f>
        <v>41</v>
      </c>
      <c r="D3092" t="str">
        <f>IFERROR(__xludf.DUMMYFUNCTION("""COMPUTED_VALUE"""),"La Cama - Remix")</f>
        <v>La Cama - Remix</v>
      </c>
      <c r="E3092" t="str">
        <f>IFERROR(__xludf.DUMMYFUNCTION("""COMPUTED_VALUE"""),"Lunay, Myke Towers, Ozuna, Chencho Corleone, Rauw Alejandro")</f>
        <v>Lunay, Myke Towers, Ozuna, Chencho Corleone, Rauw Alejandro</v>
      </c>
      <c r="F3092" t="str">
        <f>IFERROR(__xludf.DUMMYFUNCTION("""COMPUTED_VALUE"""),"La Cama (Remix)")</f>
        <v>La Cama (Remix)</v>
      </c>
      <c r="G3092">
        <f>IFERROR(__xludf.DUMMYFUNCTION("""COMPUTED_VALUE"""),0.0)</f>
        <v>0</v>
      </c>
      <c r="H3092" s="5">
        <f>IFERROR(__xludf.DUMMYFUNCTION("""COMPUTED_VALUE"""),0.22916666666787933)</f>
        <v>0.2291666667</v>
      </c>
    </row>
    <row r="3093">
      <c r="A3093" t="str">
        <f>IFERROR(__xludf.DUMMYFUNCTION("""COMPUTED_VALUE"""),"Uruguay")</f>
        <v>Uruguay</v>
      </c>
      <c r="B3093" t="str">
        <f>IFERROR(__xludf.DUMMYFUNCTION("""COMPUTED_VALUE"""),"South America")</f>
        <v>South America</v>
      </c>
      <c r="C3093">
        <f>IFERROR(__xludf.DUMMYFUNCTION("""COMPUTED_VALUE"""),42.0)</f>
        <v>42</v>
      </c>
      <c r="D3093" t="str">
        <f>IFERROR(__xludf.DUMMYFUNCTION("""COMPUTED_VALUE"""),"Don't Start Now")</f>
        <v>Don't Start Now</v>
      </c>
      <c r="E3093" t="str">
        <f>IFERROR(__xludf.DUMMYFUNCTION("""COMPUTED_VALUE"""),"Dua Lipa")</f>
        <v>Dua Lipa</v>
      </c>
      <c r="F3093" t="str">
        <f>IFERROR(__xludf.DUMMYFUNCTION("""COMPUTED_VALUE"""),"Future Nostalgia")</f>
        <v>Future Nostalgia</v>
      </c>
      <c r="G3093">
        <f>IFERROR(__xludf.DUMMYFUNCTION("""COMPUTED_VALUE"""),0.0)</f>
        <v>0</v>
      </c>
      <c r="H3093" s="5">
        <f>IFERROR(__xludf.DUMMYFUNCTION("""COMPUTED_VALUE"""),0.12708333333284827)</f>
        <v>0.1270833333</v>
      </c>
    </row>
    <row r="3094">
      <c r="A3094" t="str">
        <f>IFERROR(__xludf.DUMMYFUNCTION("""COMPUTED_VALUE"""),"Uruguay")</f>
        <v>Uruguay</v>
      </c>
      <c r="B3094" t="str">
        <f>IFERROR(__xludf.DUMMYFUNCTION("""COMPUTED_VALUE"""),"South America")</f>
        <v>South America</v>
      </c>
      <c r="C3094">
        <f>IFERROR(__xludf.DUMMYFUNCTION("""COMPUTED_VALUE"""),43.0)</f>
        <v>43</v>
      </c>
      <c r="D3094" t="str">
        <f>IFERROR(__xludf.DUMMYFUNCTION("""COMPUTED_VALUE"""),"BAD CON NICKY")</f>
        <v>BAD CON NICKY</v>
      </c>
      <c r="E3094" t="str">
        <f>IFERROR(__xludf.DUMMYFUNCTION("""COMPUTED_VALUE"""),"Bad Bunny, Nicky Jam")</f>
        <v>Bad Bunny, Nicky Jam</v>
      </c>
      <c r="F3094" t="str">
        <f>IFERROR(__xludf.DUMMYFUNCTION("""COMPUTED_VALUE"""),"LAS QUE NO IBAN A SALIR")</f>
        <v>LAS QUE NO IBAN A SALIR</v>
      </c>
      <c r="G3094">
        <f>IFERROR(__xludf.DUMMYFUNCTION("""COMPUTED_VALUE"""),1.0)</f>
        <v>1</v>
      </c>
      <c r="H3094" s="5">
        <f>IFERROR(__xludf.DUMMYFUNCTION("""COMPUTED_VALUE"""),0.14027777777664596)</f>
        <v>0.1402777778</v>
      </c>
    </row>
    <row r="3095">
      <c r="A3095" t="str">
        <f>IFERROR(__xludf.DUMMYFUNCTION("""COMPUTED_VALUE"""),"Uruguay")</f>
        <v>Uruguay</v>
      </c>
      <c r="B3095" t="str">
        <f>IFERROR(__xludf.DUMMYFUNCTION("""COMPUTED_VALUE"""),"South America")</f>
        <v>South America</v>
      </c>
      <c r="C3095">
        <f>IFERROR(__xludf.DUMMYFUNCTION("""COMPUTED_VALUE"""),44.0)</f>
        <v>44</v>
      </c>
      <c r="D3095" t="str">
        <f>IFERROR(__xludf.DUMMYFUNCTION("""COMPUTED_VALUE"""),"Confía")</f>
        <v>Confía</v>
      </c>
      <c r="E3095" t="str">
        <f>IFERROR(__xludf.DUMMYFUNCTION("""COMPUTED_VALUE"""),"Sech, Daddy Yankee")</f>
        <v>Sech, Daddy Yankee</v>
      </c>
      <c r="F3095" t="str">
        <f>IFERROR(__xludf.DUMMYFUNCTION("""COMPUTED_VALUE"""),"1 of 1")</f>
        <v>1 of 1</v>
      </c>
      <c r="G3095">
        <f>IFERROR(__xludf.DUMMYFUNCTION("""COMPUTED_VALUE"""),0.0)</f>
        <v>0</v>
      </c>
      <c r="H3095" s="5">
        <f>IFERROR(__xludf.DUMMYFUNCTION("""COMPUTED_VALUE"""),0.14027777777664596)</f>
        <v>0.1402777778</v>
      </c>
    </row>
    <row r="3096">
      <c r="A3096" t="str">
        <f>IFERROR(__xludf.DUMMYFUNCTION("""COMPUTED_VALUE"""),"Uruguay")</f>
        <v>Uruguay</v>
      </c>
      <c r="B3096" t="str">
        <f>IFERROR(__xludf.DUMMYFUNCTION("""COMPUTED_VALUE"""),"South America")</f>
        <v>South America</v>
      </c>
      <c r="C3096">
        <f>IFERROR(__xludf.DUMMYFUNCTION("""COMPUTED_VALUE"""),45.0)</f>
        <v>45</v>
      </c>
      <c r="D3096" t="str">
        <f>IFERROR(__xludf.DUMMYFUNCTION("""COMPUTED_VALUE"""),"Azul")</f>
        <v>Azul</v>
      </c>
      <c r="E3096" t="str">
        <f>IFERROR(__xludf.DUMMYFUNCTION("""COMPUTED_VALUE"""),"J Balvin")</f>
        <v>J Balvin</v>
      </c>
      <c r="F3096" t="str">
        <f>IFERROR(__xludf.DUMMYFUNCTION("""COMPUTED_VALUE"""),"Colores")</f>
        <v>Colores</v>
      </c>
      <c r="G3096">
        <f>IFERROR(__xludf.DUMMYFUNCTION("""COMPUTED_VALUE"""),0.0)</f>
        <v>0</v>
      </c>
      <c r="H3096" s="5">
        <f>IFERROR(__xludf.DUMMYFUNCTION("""COMPUTED_VALUE"""),0.14236111110949423)</f>
        <v>0.1423611111</v>
      </c>
    </row>
    <row r="3097">
      <c r="A3097" t="str">
        <f>IFERROR(__xludf.DUMMYFUNCTION("""COMPUTED_VALUE"""),"Uruguay")</f>
        <v>Uruguay</v>
      </c>
      <c r="B3097" t="str">
        <f>IFERROR(__xludf.DUMMYFUNCTION("""COMPUTED_VALUE"""),"South America")</f>
        <v>South America</v>
      </c>
      <c r="C3097">
        <f>IFERROR(__xludf.DUMMYFUNCTION("""COMPUTED_VALUE"""),46.0)</f>
        <v>46</v>
      </c>
      <c r="D3097" t="str">
        <f>IFERROR(__xludf.DUMMYFUNCTION("""COMPUTED_VALUE"""),"La Difícil")</f>
        <v>La Difícil</v>
      </c>
      <c r="E3097" t="str">
        <f>IFERROR(__xludf.DUMMYFUNCTION("""COMPUTED_VALUE"""),"Camilo")</f>
        <v>Camilo</v>
      </c>
      <c r="F3097" t="str">
        <f>IFERROR(__xludf.DUMMYFUNCTION("""COMPUTED_VALUE"""),"Por Primera Vez")</f>
        <v>Por Primera Vez</v>
      </c>
      <c r="G3097">
        <f>IFERROR(__xludf.DUMMYFUNCTION("""COMPUTED_VALUE"""),0.0)</f>
        <v>0</v>
      </c>
      <c r="H3097" s="5">
        <f>IFERROR(__xludf.DUMMYFUNCTION("""COMPUTED_VALUE"""),0.10972222222335404)</f>
        <v>0.1097222222</v>
      </c>
    </row>
    <row r="3098">
      <c r="A3098" t="str">
        <f>IFERROR(__xludf.DUMMYFUNCTION("""COMPUTED_VALUE"""),"Uruguay")</f>
        <v>Uruguay</v>
      </c>
      <c r="B3098" t="str">
        <f>IFERROR(__xludf.DUMMYFUNCTION("""COMPUTED_VALUE"""),"South America")</f>
        <v>South America</v>
      </c>
      <c r="C3098">
        <f>IFERROR(__xludf.DUMMYFUNCTION("""COMPUTED_VALUE"""),47.0)</f>
        <v>47</v>
      </c>
      <c r="D3098" t="str">
        <f>IFERROR(__xludf.DUMMYFUNCTION("""COMPUTED_VALUE"""),"TBT")</f>
        <v>TBT</v>
      </c>
      <c r="E3098" t="str">
        <f>IFERROR(__xludf.DUMMYFUNCTION("""COMPUTED_VALUE"""),"Sebastian Yatra, Rauw Alejandro, Manuel Turizo")</f>
        <v>Sebastian Yatra, Rauw Alejandro, Manuel Turizo</v>
      </c>
      <c r="F3098" t="str">
        <f>IFERROR(__xludf.DUMMYFUNCTION("""COMPUTED_VALUE"""),"TBT")</f>
        <v>TBT</v>
      </c>
      <c r="G3098">
        <f>IFERROR(__xludf.DUMMYFUNCTION("""COMPUTED_VALUE"""),0.0)</f>
        <v>0</v>
      </c>
      <c r="H3098" s="5">
        <f>IFERROR(__xludf.DUMMYFUNCTION("""COMPUTED_VALUE"""),0.16597222222117125)</f>
        <v>0.1659722222</v>
      </c>
    </row>
    <row r="3099">
      <c r="A3099" t="str">
        <f>IFERROR(__xludf.DUMMYFUNCTION("""COMPUTED_VALUE"""),"Uruguay")</f>
        <v>Uruguay</v>
      </c>
      <c r="B3099" t="str">
        <f>IFERROR(__xludf.DUMMYFUNCTION("""COMPUTED_VALUE"""),"South America")</f>
        <v>South America</v>
      </c>
      <c r="C3099">
        <f>IFERROR(__xludf.DUMMYFUNCTION("""COMPUTED_VALUE"""),48.0)</f>
        <v>48</v>
      </c>
      <c r="D3099" t="str">
        <f>IFERROR(__xludf.DUMMYFUNCTION("""COMPUTED_VALUE"""),"BYE ME FUI")</f>
        <v>BYE ME FUI</v>
      </c>
      <c r="E3099" t="str">
        <f>IFERROR(__xludf.DUMMYFUNCTION("""COMPUTED_VALUE"""),"Bad Bunny")</f>
        <v>Bad Bunny</v>
      </c>
      <c r="F3099" t="str">
        <f>IFERROR(__xludf.DUMMYFUNCTION("""COMPUTED_VALUE"""),"LAS QUE NO IBAN A SALIR")</f>
        <v>LAS QUE NO IBAN A SALIR</v>
      </c>
      <c r="G3099">
        <f>IFERROR(__xludf.DUMMYFUNCTION("""COMPUTED_VALUE"""),1.0)</f>
        <v>1</v>
      </c>
      <c r="H3099" s="5">
        <f>IFERROR(__xludf.DUMMYFUNCTION("""COMPUTED_VALUE"""),0.12361111111022183)</f>
        <v>0.1236111111</v>
      </c>
    </row>
    <row r="3100">
      <c r="A3100" t="str">
        <f>IFERROR(__xludf.DUMMYFUNCTION("""COMPUTED_VALUE"""),"Uruguay")</f>
        <v>Uruguay</v>
      </c>
      <c r="B3100" t="str">
        <f>IFERROR(__xludf.DUMMYFUNCTION("""COMPUTED_VALUE"""),"South America")</f>
        <v>South America</v>
      </c>
      <c r="C3100">
        <f>IFERROR(__xludf.DUMMYFUNCTION("""COMPUTED_VALUE"""),49.0)</f>
        <v>49</v>
      </c>
      <c r="D3100" t="str">
        <f>IFERROR(__xludf.DUMMYFUNCTION("""COMPUTED_VALUE"""),"High")</f>
        <v>High</v>
      </c>
      <c r="E3100" t="str">
        <f>IFERROR(__xludf.DUMMYFUNCTION("""COMPUTED_VALUE"""),"Maria Becerra")</f>
        <v>Maria Becerra</v>
      </c>
      <c r="F3100" t="str">
        <f>IFERROR(__xludf.DUMMYFUNCTION("""COMPUTED_VALUE"""),"High")</f>
        <v>High</v>
      </c>
      <c r="G3100">
        <f>IFERROR(__xludf.DUMMYFUNCTION("""COMPUTED_VALUE"""),1.0)</f>
        <v>1</v>
      </c>
      <c r="H3100" s="5">
        <f>IFERROR(__xludf.DUMMYFUNCTION("""COMPUTED_VALUE"""),0.12986111111240461)</f>
        <v>0.1298611111</v>
      </c>
    </row>
    <row r="3101">
      <c r="A3101" t="str">
        <f>IFERROR(__xludf.DUMMYFUNCTION("""COMPUTED_VALUE"""),"Uruguay")</f>
        <v>Uruguay</v>
      </c>
      <c r="B3101" t="str">
        <f>IFERROR(__xludf.DUMMYFUNCTION("""COMPUTED_VALUE"""),"South America")</f>
        <v>South America</v>
      </c>
      <c r="C3101">
        <f>IFERROR(__xludf.DUMMYFUNCTION("""COMPUTED_VALUE"""),50.0)</f>
        <v>50</v>
      </c>
      <c r="D3101" t="str">
        <f>IFERROR(__xludf.DUMMYFUNCTION("""COMPUTED_VALUE"""),"Blinding Lights")</f>
        <v>Blinding Lights</v>
      </c>
      <c r="E3101" t="str">
        <f>IFERROR(__xludf.DUMMYFUNCTION("""COMPUTED_VALUE"""),"The Weeknd")</f>
        <v>The Weeknd</v>
      </c>
      <c r="F3101" t="str">
        <f>IFERROR(__xludf.DUMMYFUNCTION("""COMPUTED_VALUE"""),"After Hours")</f>
        <v>After Hours</v>
      </c>
      <c r="G3101">
        <f>IFERROR(__xludf.DUMMYFUNCTION("""COMPUTED_VALUE"""),0.0)</f>
        <v>0</v>
      </c>
      <c r="H3101" s="5">
        <f>IFERROR(__xludf.DUMMYFUNCTION("""COMPUTED_VALUE"""),0.13888888889050577)</f>
        <v>0.1388888889</v>
      </c>
    </row>
    <row r="3102">
      <c r="A3102" t="str">
        <f>IFERROR(__xludf.DUMMYFUNCTION("""COMPUTED_VALUE"""),"Vietnam")</f>
        <v>Vietnam</v>
      </c>
      <c r="B3102" t="str">
        <f>IFERROR(__xludf.DUMMYFUNCTION("""COMPUTED_VALUE"""),"Asia")</f>
        <v>Asia</v>
      </c>
      <c r="C3102">
        <f>IFERROR(__xludf.DUMMYFUNCTION("""COMPUTED_VALUE"""),1.0)</f>
        <v>1</v>
      </c>
      <c r="D3102" t="str">
        <f>IFERROR(__xludf.DUMMYFUNCTION("""COMPUTED_VALUE"""),"em bỏ hút thuốc chưa?")</f>
        <v>em bỏ hút thuốc chưa?</v>
      </c>
      <c r="E3102" t="str">
        <f>IFERROR(__xludf.DUMMYFUNCTION("""COMPUTED_VALUE"""),"Bich Phuong, traitimtrongvang")</f>
        <v>Bich Phuong, traitimtrongvang</v>
      </c>
      <c r="F3102" t="str">
        <f>IFERROR(__xludf.DUMMYFUNCTION("""COMPUTED_VALUE"""),"tâm trạng tan hơi chậm một chút")</f>
        <v>tâm trạng tan hơi chậm một chút</v>
      </c>
      <c r="G3102">
        <f>IFERROR(__xludf.DUMMYFUNCTION("""COMPUTED_VALUE"""),0.0)</f>
        <v>0</v>
      </c>
      <c r="H3102" s="5">
        <f>IFERROR(__xludf.DUMMYFUNCTION("""COMPUTED_VALUE"""),0.1500000000014552)</f>
        <v>0.15</v>
      </c>
    </row>
    <row r="3103">
      <c r="A3103" t="str">
        <f>IFERROR(__xludf.DUMMYFUNCTION("""COMPUTED_VALUE"""),"Vietnam")</f>
        <v>Vietnam</v>
      </c>
      <c r="B3103" t="str">
        <f>IFERROR(__xludf.DUMMYFUNCTION("""COMPUTED_VALUE"""),"Asia")</f>
        <v>Asia</v>
      </c>
      <c r="C3103">
        <f>IFERROR(__xludf.DUMMYFUNCTION("""COMPUTED_VALUE"""),2.0)</f>
        <v>2</v>
      </c>
      <c r="D3103" t="str">
        <f>IFERROR(__xludf.DUMMYFUNCTION("""COMPUTED_VALUE"""),"Play Date")</f>
        <v>Play Date</v>
      </c>
      <c r="E3103" t="str">
        <f>IFERROR(__xludf.DUMMYFUNCTION("""COMPUTED_VALUE"""),"Melanie Martinez")</f>
        <v>Melanie Martinez</v>
      </c>
      <c r="F3103" t="str">
        <f>IFERROR(__xludf.DUMMYFUNCTION("""COMPUTED_VALUE"""),"Cry Baby (Deluxe Edition)")</f>
        <v>Cry Baby (Deluxe Edition)</v>
      </c>
      <c r="G3103">
        <f>IFERROR(__xludf.DUMMYFUNCTION("""COMPUTED_VALUE"""),1.0)</f>
        <v>1</v>
      </c>
      <c r="H3103" s="5">
        <f>IFERROR(__xludf.DUMMYFUNCTION("""COMPUTED_VALUE"""),0.1243055555569299)</f>
        <v>0.1243055556</v>
      </c>
    </row>
    <row r="3104">
      <c r="A3104" t="str">
        <f>IFERROR(__xludf.DUMMYFUNCTION("""COMPUTED_VALUE"""),"Vietnam")</f>
        <v>Vietnam</v>
      </c>
      <c r="B3104" t="str">
        <f>IFERROR(__xludf.DUMMYFUNCTION("""COMPUTED_VALUE"""),"Asia")</f>
        <v>Asia</v>
      </c>
      <c r="C3104">
        <f>IFERROR(__xludf.DUMMYFUNCTION("""COMPUTED_VALUE"""),3.0)</f>
        <v>3</v>
      </c>
      <c r="D3104" t="str">
        <f>IFERROR(__xludf.DUMMYFUNCTION("""COMPUTED_VALUE"""),"Rain On Me (with Ariana Grande)")</f>
        <v>Rain On Me (with Ariana Grande)</v>
      </c>
      <c r="E3104" t="str">
        <f>IFERROR(__xludf.DUMMYFUNCTION("""COMPUTED_VALUE"""),"Lady Gaga, Ariana Grande")</f>
        <v>Lady Gaga, Ariana Grande</v>
      </c>
      <c r="F3104" t="str">
        <f>IFERROR(__xludf.DUMMYFUNCTION("""COMPUTED_VALUE"""),"Rain On Me (with Ariana Grande)")</f>
        <v>Rain On Me (with Ariana Grande)</v>
      </c>
      <c r="G3104">
        <f>IFERROR(__xludf.DUMMYFUNCTION("""COMPUTED_VALUE"""),0.0)</f>
        <v>0</v>
      </c>
      <c r="H3104" s="5">
        <f>IFERROR(__xludf.DUMMYFUNCTION("""COMPUTED_VALUE"""),0.12638888888977817)</f>
        <v>0.1263888889</v>
      </c>
    </row>
    <row r="3105">
      <c r="A3105" t="str">
        <f>IFERROR(__xludf.DUMMYFUNCTION("""COMPUTED_VALUE"""),"Vietnam")</f>
        <v>Vietnam</v>
      </c>
      <c r="B3105" t="str">
        <f>IFERROR(__xludf.DUMMYFUNCTION("""COMPUTED_VALUE"""),"Asia")</f>
        <v>Asia</v>
      </c>
      <c r="C3105">
        <f>IFERROR(__xludf.DUMMYFUNCTION("""COMPUTED_VALUE"""),4.0)</f>
        <v>4</v>
      </c>
      <c r="D3105" t="str">
        <f>IFERROR(__xludf.DUMMYFUNCTION("""COMPUTED_VALUE"""),"Daechwita")</f>
        <v>Daechwita</v>
      </c>
      <c r="E3105" t="str">
        <f>IFERROR(__xludf.DUMMYFUNCTION("""COMPUTED_VALUE"""),"Agust D")</f>
        <v>Agust D</v>
      </c>
      <c r="F3105" t="str">
        <f>IFERROR(__xludf.DUMMYFUNCTION("""COMPUTED_VALUE"""),"D-2")</f>
        <v>D-2</v>
      </c>
      <c r="G3105">
        <f>IFERROR(__xludf.DUMMYFUNCTION("""COMPUTED_VALUE"""),1.0)</f>
        <v>1</v>
      </c>
      <c r="H3105" s="5">
        <f>IFERROR(__xludf.DUMMYFUNCTION("""COMPUTED_VALUE"""),0.15625)</f>
        <v>0.15625</v>
      </c>
    </row>
    <row r="3106">
      <c r="A3106" t="str">
        <f>IFERROR(__xludf.DUMMYFUNCTION("""COMPUTED_VALUE"""),"Vietnam")</f>
        <v>Vietnam</v>
      </c>
      <c r="B3106" t="str">
        <f>IFERROR(__xludf.DUMMYFUNCTION("""COMPUTED_VALUE"""),"Asia")</f>
        <v>Asia</v>
      </c>
      <c r="C3106">
        <f>IFERROR(__xludf.DUMMYFUNCTION("""COMPUTED_VALUE"""),5.0)</f>
        <v>5</v>
      </c>
      <c r="D3106" t="str">
        <f>IFERROR(__xludf.DUMMYFUNCTION("""COMPUTED_VALUE"""),"Ke Cap Gap Ba Gia (feat. BINZ)")</f>
        <v>Ke Cap Gap Ba Gia (feat. BINZ)</v>
      </c>
      <c r="E3106" t="str">
        <f>IFERROR(__xludf.DUMMYFUNCTION("""COMPUTED_VALUE"""),"Hoang Thuy Linh, Binz")</f>
        <v>Hoang Thuy Linh, Binz</v>
      </c>
      <c r="F3106" t="str">
        <f>IFERROR(__xludf.DUMMYFUNCTION("""COMPUTED_VALUE"""),"Hoang")</f>
        <v>Hoang</v>
      </c>
      <c r="G3106">
        <f>IFERROR(__xludf.DUMMYFUNCTION("""COMPUTED_VALUE"""),0.0)</f>
        <v>0</v>
      </c>
      <c r="H3106" s="5">
        <f>IFERROR(__xludf.DUMMYFUNCTION("""COMPUTED_VALUE"""),0.16041666666569654)</f>
        <v>0.1604166667</v>
      </c>
    </row>
    <row r="3107">
      <c r="A3107" t="str">
        <f>IFERROR(__xludf.DUMMYFUNCTION("""COMPUTED_VALUE"""),"Vietnam")</f>
        <v>Vietnam</v>
      </c>
      <c r="B3107" t="str">
        <f>IFERROR(__xludf.DUMMYFUNCTION("""COMPUTED_VALUE"""),"Asia")</f>
        <v>Asia</v>
      </c>
      <c r="C3107">
        <f>IFERROR(__xludf.DUMMYFUNCTION("""COMPUTED_VALUE"""),6.0)</f>
        <v>6</v>
      </c>
      <c r="D3107" t="str">
        <f>IFERROR(__xludf.DUMMYFUNCTION("""COMPUTED_VALUE"""),"Stuck with U (with Justin Bieber)")</f>
        <v>Stuck with U (with Justin Bieber)</v>
      </c>
      <c r="E3107" t="str">
        <f>IFERROR(__xludf.DUMMYFUNCTION("""COMPUTED_VALUE"""),"Ariana Grande, Justin Bieber")</f>
        <v>Ariana Grande, Justin Bieber</v>
      </c>
      <c r="F3107" t="str">
        <f>IFERROR(__xludf.DUMMYFUNCTION("""COMPUTED_VALUE"""),"Stuck with U")</f>
        <v>Stuck with U</v>
      </c>
      <c r="G3107">
        <f>IFERROR(__xludf.DUMMYFUNCTION("""COMPUTED_VALUE"""),0.0)</f>
        <v>0</v>
      </c>
      <c r="H3107" s="5">
        <f>IFERROR(__xludf.DUMMYFUNCTION("""COMPUTED_VALUE"""),0.15833333333284827)</f>
        <v>0.1583333333</v>
      </c>
    </row>
    <row r="3108">
      <c r="A3108" t="str">
        <f>IFERROR(__xludf.DUMMYFUNCTION("""COMPUTED_VALUE"""),"Vietnam")</f>
        <v>Vietnam</v>
      </c>
      <c r="B3108" t="str">
        <f>IFERROR(__xludf.DUMMYFUNCTION("""COMPUTED_VALUE"""),"Asia")</f>
        <v>Asia</v>
      </c>
      <c r="C3108">
        <f>IFERROR(__xludf.DUMMYFUNCTION("""COMPUTED_VALUE"""),7.0)</f>
        <v>7</v>
      </c>
      <c r="D3108" t="str">
        <f>IFERROR(__xludf.DUMMYFUNCTION("""COMPUTED_VALUE"""),"eight(Prod.&amp;Feat. SUGA of BTS)")</f>
        <v>eight(Prod.&amp;Feat. SUGA of BTS)</v>
      </c>
      <c r="E3108" t="str">
        <f>IFERROR(__xludf.DUMMYFUNCTION("""COMPUTED_VALUE"""),"IU, SUGA")</f>
        <v>IU, SUGA</v>
      </c>
      <c r="F3108" t="str">
        <f>IFERROR(__xludf.DUMMYFUNCTION("""COMPUTED_VALUE"""),"eight")</f>
        <v>eight</v>
      </c>
      <c r="G3108">
        <f>IFERROR(__xludf.DUMMYFUNCTION("""COMPUTED_VALUE"""),0.0)</f>
        <v>0</v>
      </c>
      <c r="H3108" s="5">
        <f>IFERROR(__xludf.DUMMYFUNCTION("""COMPUTED_VALUE"""),0.11597222222189885)</f>
        <v>0.1159722222</v>
      </c>
    </row>
    <row r="3109">
      <c r="A3109" t="str">
        <f>IFERROR(__xludf.DUMMYFUNCTION("""COMPUTED_VALUE"""),"Vietnam")</f>
        <v>Vietnam</v>
      </c>
      <c r="B3109" t="str">
        <f>IFERROR(__xludf.DUMMYFUNCTION("""COMPUTED_VALUE"""),"Asia")</f>
        <v>Asia</v>
      </c>
      <c r="C3109">
        <f>IFERROR(__xludf.DUMMYFUNCTION("""COMPUTED_VALUE"""),8.0)</f>
        <v>8</v>
      </c>
      <c r="D3109" t="str">
        <f>IFERROR(__xludf.DUMMYFUNCTION("""COMPUTED_VALUE"""),"death bed (coffee for your head) (feat. beabadoobee)")</f>
        <v>death bed (coffee for your head) (feat. beabadoobee)</v>
      </c>
      <c r="E3109" t="str">
        <f>IFERROR(__xludf.DUMMYFUNCTION("""COMPUTED_VALUE"""),"Powfu, beabadoobee")</f>
        <v>Powfu, beabadoobee</v>
      </c>
      <c r="F3109" t="str">
        <f>IFERROR(__xludf.DUMMYFUNCTION("""COMPUTED_VALUE"""),"death bed (coffee for your head) (feat. beabadoobee)")</f>
        <v>death bed (coffee for your head) (feat. beabadoobee)</v>
      </c>
      <c r="G3109">
        <f>IFERROR(__xludf.DUMMYFUNCTION("""COMPUTED_VALUE"""),0.0)</f>
        <v>0</v>
      </c>
      <c r="H3109" s="5">
        <f>IFERROR(__xludf.DUMMYFUNCTION("""COMPUTED_VALUE"""),0.12013888888759539)</f>
        <v>0.1201388889</v>
      </c>
    </row>
    <row r="3110">
      <c r="A3110" t="str">
        <f>IFERROR(__xludf.DUMMYFUNCTION("""COMPUTED_VALUE"""),"Vietnam")</f>
        <v>Vietnam</v>
      </c>
      <c r="B3110" t="str">
        <f>IFERROR(__xludf.DUMMYFUNCTION("""COMPUTED_VALUE"""),"Asia")</f>
        <v>Asia</v>
      </c>
      <c r="C3110">
        <f>IFERROR(__xludf.DUMMYFUNCTION("""COMPUTED_VALUE"""),9.0)</f>
        <v>9</v>
      </c>
      <c r="D3110" t="str">
        <f>IFERROR(__xludf.DUMMYFUNCTION("""COMPUTED_VALUE"""),"Mascara")</f>
        <v>Mascara</v>
      </c>
      <c r="E3110" t="str">
        <f>IFERROR(__xludf.DUMMYFUNCTION("""COMPUTED_VALUE"""),"Chillies")</f>
        <v>Chillies</v>
      </c>
      <c r="F3110" t="str">
        <f>IFERROR(__xludf.DUMMYFUNCTION("""COMPUTED_VALUE"""),"Mascara")</f>
        <v>Mascara</v>
      </c>
      <c r="G3110">
        <f>IFERROR(__xludf.DUMMYFUNCTION("""COMPUTED_VALUE"""),0.0)</f>
        <v>0</v>
      </c>
      <c r="H3110" s="5">
        <f>IFERROR(__xludf.DUMMYFUNCTION("""COMPUTED_VALUE"""),0.20486111110949423)</f>
        <v>0.2048611111</v>
      </c>
    </row>
    <row r="3111">
      <c r="A3111" t="str">
        <f>IFERROR(__xludf.DUMMYFUNCTION("""COMPUTED_VALUE"""),"Vietnam")</f>
        <v>Vietnam</v>
      </c>
      <c r="B3111" t="str">
        <f>IFERROR(__xludf.DUMMYFUNCTION("""COMPUTED_VALUE"""),"Asia")</f>
        <v>Asia</v>
      </c>
      <c r="C3111">
        <f>IFERROR(__xludf.DUMMYFUNCTION("""COMPUTED_VALUE"""),10.0)</f>
        <v>10</v>
      </c>
      <c r="D3111" t="str">
        <f>IFERROR(__xludf.DUMMYFUNCTION("""COMPUTED_VALUE"""),"Vùng Ký Ức")</f>
        <v>Vùng Ký Ức</v>
      </c>
      <c r="E3111" t="str">
        <f>IFERROR(__xludf.DUMMYFUNCTION("""COMPUTED_VALUE"""),"Chillies")</f>
        <v>Chillies</v>
      </c>
      <c r="F3111" t="str">
        <f>IFERROR(__xludf.DUMMYFUNCTION("""COMPUTED_VALUE"""),"Vùng Ký Ức")</f>
        <v>Vùng Ký Ức</v>
      </c>
      <c r="G3111">
        <f>IFERROR(__xludf.DUMMYFUNCTION("""COMPUTED_VALUE"""),0.0)</f>
        <v>0</v>
      </c>
      <c r="H3111" s="5">
        <f>IFERROR(__xludf.DUMMYFUNCTION("""COMPUTED_VALUE"""),0.20694444444598048)</f>
        <v>0.2069444444</v>
      </c>
    </row>
    <row r="3112">
      <c r="A3112" t="str">
        <f>IFERROR(__xludf.DUMMYFUNCTION("""COMPUTED_VALUE"""),"Vietnam")</f>
        <v>Vietnam</v>
      </c>
      <c r="B3112" t="str">
        <f>IFERROR(__xludf.DUMMYFUNCTION("""COMPUTED_VALUE"""),"Asia")</f>
        <v>Asia</v>
      </c>
      <c r="C3112">
        <f>IFERROR(__xludf.DUMMYFUNCTION("""COMPUTED_VALUE"""),11.0)</f>
        <v>11</v>
      </c>
      <c r="D3112" t="str">
        <f>IFERROR(__xludf.DUMMYFUNCTION("""COMPUTED_VALUE"""),"Lối Nhỏ")</f>
        <v>Lối Nhỏ</v>
      </c>
      <c r="E3112" t="str">
        <f>IFERROR(__xludf.DUMMYFUNCTION("""COMPUTED_VALUE"""),"Đen, Phương Anh Đào")</f>
        <v>Đen, Phương Anh Đào</v>
      </c>
      <c r="F3112" t="str">
        <f>IFERROR(__xludf.DUMMYFUNCTION("""COMPUTED_VALUE"""),"Lối Nhỏ")</f>
        <v>Lối Nhỏ</v>
      </c>
      <c r="G3112">
        <f>IFERROR(__xludf.DUMMYFUNCTION("""COMPUTED_VALUE"""),0.0)</f>
        <v>0</v>
      </c>
      <c r="H3112" s="5">
        <f>IFERROR(__xludf.DUMMYFUNCTION("""COMPUTED_VALUE"""),0.1749999999992724)</f>
        <v>0.175</v>
      </c>
    </row>
    <row r="3113">
      <c r="A3113" t="str">
        <f>IFERROR(__xludf.DUMMYFUNCTION("""COMPUTED_VALUE"""),"Vietnam")</f>
        <v>Vietnam</v>
      </c>
      <c r="B3113" t="str">
        <f>IFERROR(__xludf.DUMMYFUNCTION("""COMPUTED_VALUE"""),"Asia")</f>
        <v>Asia</v>
      </c>
      <c r="C3113">
        <f>IFERROR(__xludf.DUMMYFUNCTION("""COMPUTED_VALUE"""),12.0)</f>
        <v>12</v>
      </c>
      <c r="D3113" t="str">
        <f>IFERROR(__xludf.DUMMYFUNCTION("""COMPUTED_VALUE"""),"Intentions (feat. Quavo)")</f>
        <v>Intentions (feat. Quavo)</v>
      </c>
      <c r="E3113" t="str">
        <f>IFERROR(__xludf.DUMMYFUNCTION("""COMPUTED_VALUE"""),"Justin Bieber, Quavo")</f>
        <v>Justin Bieber, Quavo</v>
      </c>
      <c r="F3113" t="str">
        <f>IFERROR(__xludf.DUMMYFUNCTION("""COMPUTED_VALUE"""),"Changes")</f>
        <v>Changes</v>
      </c>
      <c r="G3113">
        <f>IFERROR(__xludf.DUMMYFUNCTION("""COMPUTED_VALUE"""),0.0)</f>
        <v>0</v>
      </c>
      <c r="H3113" s="5">
        <f>IFERROR(__xludf.DUMMYFUNCTION("""COMPUTED_VALUE"""),0.14722222222189885)</f>
        <v>0.1472222222</v>
      </c>
    </row>
    <row r="3114">
      <c r="A3114" t="str">
        <f>IFERROR(__xludf.DUMMYFUNCTION("""COMPUTED_VALUE"""),"Vietnam")</f>
        <v>Vietnam</v>
      </c>
      <c r="B3114" t="str">
        <f>IFERROR(__xludf.DUMMYFUNCTION("""COMPUTED_VALUE"""),"Asia")</f>
        <v>Asia</v>
      </c>
      <c r="C3114">
        <f>IFERROR(__xludf.DUMMYFUNCTION("""COMPUTED_VALUE"""),13.0)</f>
        <v>13</v>
      </c>
      <c r="D3114" t="str">
        <f>IFERROR(__xludf.DUMMYFUNCTION("""COMPUTED_VALUE"""),"What do you think?")</f>
        <v>What do you think?</v>
      </c>
      <c r="E3114" t="str">
        <f>IFERROR(__xludf.DUMMYFUNCTION("""COMPUTED_VALUE"""),"Agust D")</f>
        <v>Agust D</v>
      </c>
      <c r="F3114" t="str">
        <f>IFERROR(__xludf.DUMMYFUNCTION("""COMPUTED_VALUE"""),"D-2")</f>
        <v>D-2</v>
      </c>
      <c r="G3114">
        <f>IFERROR(__xludf.DUMMYFUNCTION("""COMPUTED_VALUE"""),1.0)</f>
        <v>1</v>
      </c>
      <c r="H3114" s="5">
        <f>IFERROR(__xludf.DUMMYFUNCTION("""COMPUTED_VALUE"""),0.12638888888977817)</f>
        <v>0.1263888889</v>
      </c>
    </row>
    <row r="3115">
      <c r="A3115" t="str">
        <f>IFERROR(__xludf.DUMMYFUNCTION("""COMPUTED_VALUE"""),"Vietnam")</f>
        <v>Vietnam</v>
      </c>
      <c r="B3115" t="str">
        <f>IFERROR(__xludf.DUMMYFUNCTION("""COMPUTED_VALUE"""),"Asia")</f>
        <v>Asia</v>
      </c>
      <c r="C3115">
        <f>IFERROR(__xludf.DUMMYFUNCTION("""COMPUTED_VALUE"""),14.0)</f>
        <v>14</v>
      </c>
      <c r="D3115" t="str">
        <f>IFERROR(__xludf.DUMMYFUNCTION("""COMPUTED_VALUE"""),"Bài Này Chill Phết")</f>
        <v>Bài Này Chill Phết</v>
      </c>
      <c r="E3115" t="str">
        <f>IFERROR(__xludf.DUMMYFUNCTION("""COMPUTED_VALUE"""),"Đen, Min")</f>
        <v>Đen, Min</v>
      </c>
      <c r="F3115" t="str">
        <f>IFERROR(__xludf.DUMMYFUNCTION("""COMPUTED_VALUE"""),"Bài Này Chill Phết")</f>
        <v>Bài Này Chill Phết</v>
      </c>
      <c r="G3115">
        <f>IFERROR(__xludf.DUMMYFUNCTION("""COMPUTED_VALUE"""),0.0)</f>
        <v>0</v>
      </c>
      <c r="H3115" s="5">
        <f>IFERROR(__xludf.DUMMYFUNCTION("""COMPUTED_VALUE"""),0.19166666666569654)</f>
        <v>0.1916666667</v>
      </c>
    </row>
    <row r="3116">
      <c r="A3116" t="str">
        <f>IFERROR(__xludf.DUMMYFUNCTION("""COMPUTED_VALUE"""),"Vietnam")</f>
        <v>Vietnam</v>
      </c>
      <c r="B3116" t="str">
        <f>IFERROR(__xludf.DUMMYFUNCTION("""COMPUTED_VALUE"""),"Asia")</f>
        <v>Asia</v>
      </c>
      <c r="C3116">
        <f>IFERROR(__xludf.DUMMYFUNCTION("""COMPUTED_VALUE"""),15.0)</f>
        <v>15</v>
      </c>
      <c r="D3116" t="str">
        <f>IFERROR(__xludf.DUMMYFUNCTION("""COMPUTED_VALUE"""),"People")</f>
        <v>People</v>
      </c>
      <c r="E3116" t="str">
        <f>IFERROR(__xludf.DUMMYFUNCTION("""COMPUTED_VALUE"""),"Agust D")</f>
        <v>Agust D</v>
      </c>
      <c r="F3116" t="str">
        <f>IFERROR(__xludf.DUMMYFUNCTION("""COMPUTED_VALUE"""),"D-2")</f>
        <v>D-2</v>
      </c>
      <c r="G3116">
        <f>IFERROR(__xludf.DUMMYFUNCTION("""COMPUTED_VALUE"""),0.0)</f>
        <v>0</v>
      </c>
      <c r="H3116" s="5">
        <f>IFERROR(__xludf.DUMMYFUNCTION("""COMPUTED_VALUE"""),0.13680555555401952)</f>
        <v>0.1368055556</v>
      </c>
    </row>
    <row r="3117">
      <c r="A3117" t="str">
        <f>IFERROR(__xludf.DUMMYFUNCTION("""COMPUTED_VALUE"""),"Vietnam")</f>
        <v>Vietnam</v>
      </c>
      <c r="B3117" t="str">
        <f>IFERROR(__xludf.DUMMYFUNCTION("""COMPUTED_VALUE"""),"Asia")</f>
        <v>Asia</v>
      </c>
      <c r="C3117">
        <f>IFERROR(__xludf.DUMMYFUNCTION("""COMPUTED_VALUE"""),16.0)</f>
        <v>16</v>
      </c>
      <c r="D3117" t="str">
        <f>IFERROR(__xludf.DUMMYFUNCTION("""COMPUTED_VALUE"""),"Strange")</f>
        <v>Strange</v>
      </c>
      <c r="E3117" t="str">
        <f>IFERROR(__xludf.DUMMYFUNCTION("""COMPUTED_VALUE"""),"Agust D, RM")</f>
        <v>Agust D, RM</v>
      </c>
      <c r="F3117" t="str">
        <f>IFERROR(__xludf.DUMMYFUNCTION("""COMPUTED_VALUE"""),"D-2")</f>
        <v>D-2</v>
      </c>
      <c r="G3117">
        <f>IFERROR(__xludf.DUMMYFUNCTION("""COMPUTED_VALUE"""),0.0)</f>
        <v>0</v>
      </c>
      <c r="H3117" s="5">
        <f>IFERROR(__xludf.DUMMYFUNCTION("""COMPUTED_VALUE"""),0.13611111111094942)</f>
        <v>0.1361111111</v>
      </c>
    </row>
    <row r="3118">
      <c r="A3118" t="str">
        <f>IFERROR(__xludf.DUMMYFUNCTION("""COMPUTED_VALUE"""),"Vietnam")</f>
        <v>Vietnam</v>
      </c>
      <c r="B3118" t="str">
        <f>IFERROR(__xludf.DUMMYFUNCTION("""COMPUTED_VALUE"""),"Asia")</f>
        <v>Asia</v>
      </c>
      <c r="C3118">
        <f>IFERROR(__xludf.DUMMYFUNCTION("""COMPUTED_VALUE"""),17.0)</f>
        <v>17</v>
      </c>
      <c r="D3118" t="str">
        <f>IFERROR(__xludf.DUMMYFUNCTION("""COMPUTED_VALUE"""),"Be Kind (with Halsey)")</f>
        <v>Be Kind (with Halsey)</v>
      </c>
      <c r="E3118" t="str">
        <f>IFERROR(__xludf.DUMMYFUNCTION("""COMPUTED_VALUE"""),"Marshmello, Halsey")</f>
        <v>Marshmello, Halsey</v>
      </c>
      <c r="F3118" t="str">
        <f>IFERROR(__xludf.DUMMYFUNCTION("""COMPUTED_VALUE"""),"Be Kind (with Halsey)")</f>
        <v>Be Kind (with Halsey)</v>
      </c>
      <c r="G3118">
        <f>IFERROR(__xludf.DUMMYFUNCTION("""COMPUTED_VALUE"""),0.0)</f>
        <v>0</v>
      </c>
      <c r="H3118" s="5">
        <f>IFERROR(__xludf.DUMMYFUNCTION("""COMPUTED_VALUE"""),0.11944444444452529)</f>
        <v>0.1194444444</v>
      </c>
    </row>
    <row r="3119">
      <c r="A3119" t="str">
        <f>IFERROR(__xludf.DUMMYFUNCTION("""COMPUTED_VALUE"""),"Vietnam")</f>
        <v>Vietnam</v>
      </c>
      <c r="B3119" t="str">
        <f>IFERROR(__xludf.DUMMYFUNCTION("""COMPUTED_VALUE"""),"Asia")</f>
        <v>Asia</v>
      </c>
      <c r="C3119">
        <f>IFERROR(__xludf.DUMMYFUNCTION("""COMPUTED_VALUE"""),18.0)</f>
        <v>18</v>
      </c>
      <c r="D3119" t="str">
        <f>IFERROR(__xludf.DUMMYFUNCTION("""COMPUTED_VALUE"""),"Break My Heart")</f>
        <v>Break My Heart</v>
      </c>
      <c r="E3119" t="str">
        <f>IFERROR(__xludf.DUMMYFUNCTION("""COMPUTED_VALUE"""),"Dua Lipa")</f>
        <v>Dua Lipa</v>
      </c>
      <c r="F3119" t="str">
        <f>IFERROR(__xludf.DUMMYFUNCTION("""COMPUTED_VALUE"""),"Future Nostalgia")</f>
        <v>Future Nostalgia</v>
      </c>
      <c r="G3119">
        <f>IFERROR(__xludf.DUMMYFUNCTION("""COMPUTED_VALUE"""),0.0)</f>
        <v>0</v>
      </c>
      <c r="H3119" s="5">
        <f>IFERROR(__xludf.DUMMYFUNCTION("""COMPUTED_VALUE"""),0.15347222222044365)</f>
        <v>0.1534722222</v>
      </c>
    </row>
    <row r="3120">
      <c r="A3120" t="str">
        <f>IFERROR(__xludf.DUMMYFUNCTION("""COMPUTED_VALUE"""),"Vietnam")</f>
        <v>Vietnam</v>
      </c>
      <c r="B3120" t="str">
        <f>IFERROR(__xludf.DUMMYFUNCTION("""COMPUTED_VALUE"""),"Asia")</f>
        <v>Asia</v>
      </c>
      <c r="C3120">
        <f>IFERROR(__xludf.DUMMYFUNCTION("""COMPUTED_VALUE"""),19.0)</f>
        <v>19</v>
      </c>
      <c r="D3120" t="str">
        <f>IFERROR(__xludf.DUMMYFUNCTION("""COMPUTED_VALUE"""),"28")</f>
        <v>28</v>
      </c>
      <c r="E3120" t="str">
        <f>IFERROR(__xludf.DUMMYFUNCTION("""COMPUTED_VALUE"""),"Agust D, NiiHWA")</f>
        <v>Agust D, NiiHWA</v>
      </c>
      <c r="F3120" t="str">
        <f>IFERROR(__xludf.DUMMYFUNCTION("""COMPUTED_VALUE"""),"D-2")</f>
        <v>D-2</v>
      </c>
      <c r="G3120">
        <f>IFERROR(__xludf.DUMMYFUNCTION("""COMPUTED_VALUE"""),0.0)</f>
        <v>0</v>
      </c>
      <c r="H3120" s="5">
        <f>IFERROR(__xludf.DUMMYFUNCTION("""COMPUTED_VALUE"""),0.09236111111022183)</f>
        <v>0.09236111111</v>
      </c>
    </row>
    <row r="3121">
      <c r="A3121" t="str">
        <f>IFERROR(__xludf.DUMMYFUNCTION("""COMPUTED_VALUE"""),"Vietnam")</f>
        <v>Vietnam</v>
      </c>
      <c r="B3121" t="str">
        <f>IFERROR(__xludf.DUMMYFUNCTION("""COMPUTED_VALUE"""),"Asia")</f>
        <v>Asia</v>
      </c>
      <c r="C3121">
        <f>IFERROR(__xludf.DUMMYFUNCTION("""COMPUTED_VALUE"""),20.0)</f>
        <v>20</v>
      </c>
      <c r="D3121" t="str">
        <f>IFERROR(__xludf.DUMMYFUNCTION("""COMPUTED_VALUE"""),"Thanh Xuan")</f>
        <v>Thanh Xuan</v>
      </c>
      <c r="E3121" t="str">
        <f>IFERROR(__xludf.DUMMYFUNCTION("""COMPUTED_VALUE"""),"Da LAB")</f>
        <v>Da LAB</v>
      </c>
      <c r="F3121" t="str">
        <f>IFERROR(__xludf.DUMMYFUNCTION("""COMPUTED_VALUE"""),"Thanh Xuan")</f>
        <v>Thanh Xuan</v>
      </c>
      <c r="G3121">
        <f>IFERROR(__xludf.DUMMYFUNCTION("""COMPUTED_VALUE"""),0.0)</f>
        <v>0</v>
      </c>
      <c r="H3121" s="5">
        <f>IFERROR(__xludf.DUMMYFUNCTION("""COMPUTED_VALUE"""),0.15277777777737356)</f>
        <v>0.1527777778</v>
      </c>
    </row>
    <row r="3122">
      <c r="A3122" t="str">
        <f>IFERROR(__xludf.DUMMYFUNCTION("""COMPUTED_VALUE"""),"Vietnam")</f>
        <v>Vietnam</v>
      </c>
      <c r="B3122" t="str">
        <f>IFERROR(__xludf.DUMMYFUNCTION("""COMPUTED_VALUE"""),"Asia")</f>
        <v>Asia</v>
      </c>
      <c r="C3122">
        <f>IFERROR(__xludf.DUMMYFUNCTION("""COMPUTED_VALUE"""),21.0)</f>
        <v>21</v>
      </c>
      <c r="D3122" t="str">
        <f>IFERROR(__xludf.DUMMYFUNCTION("""COMPUTED_VALUE"""),"Señorita")</f>
        <v>Señorita</v>
      </c>
      <c r="E3122" t="str">
        <f>IFERROR(__xludf.DUMMYFUNCTION("""COMPUTED_VALUE"""),"Shawn Mendes, Camila Cabello")</f>
        <v>Shawn Mendes, Camila Cabello</v>
      </c>
      <c r="F3122" t="str">
        <f>IFERROR(__xludf.DUMMYFUNCTION("""COMPUTED_VALUE"""),"Shawn Mendes (Deluxe)")</f>
        <v>Shawn Mendes (Deluxe)</v>
      </c>
      <c r="G3122">
        <f>IFERROR(__xludf.DUMMYFUNCTION("""COMPUTED_VALUE"""),0.0)</f>
        <v>0</v>
      </c>
      <c r="H3122" s="5">
        <f>IFERROR(__xludf.DUMMYFUNCTION("""COMPUTED_VALUE"""),0.13194444444525288)</f>
        <v>0.1319444444</v>
      </c>
    </row>
    <row r="3123">
      <c r="A3123" t="str">
        <f>IFERROR(__xludf.DUMMYFUNCTION("""COMPUTED_VALUE"""),"Vietnam")</f>
        <v>Vietnam</v>
      </c>
      <c r="B3123" t="str">
        <f>IFERROR(__xludf.DUMMYFUNCTION("""COMPUTED_VALUE"""),"Asia")</f>
        <v>Asia</v>
      </c>
      <c r="C3123">
        <f>IFERROR(__xludf.DUMMYFUNCTION("""COMPUTED_VALUE"""),22.0)</f>
        <v>22</v>
      </c>
      <c r="D3123" t="str">
        <f>IFERROR(__xludf.DUMMYFUNCTION("""COMPUTED_VALUE"""),"Memories")</f>
        <v>Memories</v>
      </c>
      <c r="E3123" t="str">
        <f>IFERROR(__xludf.DUMMYFUNCTION("""COMPUTED_VALUE"""),"Maroon 5")</f>
        <v>Maroon 5</v>
      </c>
      <c r="F3123" t="str">
        <f>IFERROR(__xludf.DUMMYFUNCTION("""COMPUTED_VALUE"""),"Memories")</f>
        <v>Memories</v>
      </c>
      <c r="G3123">
        <f>IFERROR(__xludf.DUMMYFUNCTION("""COMPUTED_VALUE"""),0.0)</f>
        <v>0</v>
      </c>
      <c r="H3123" s="5">
        <f>IFERROR(__xludf.DUMMYFUNCTION("""COMPUTED_VALUE"""),0.1312499999985448)</f>
        <v>0.13125</v>
      </c>
    </row>
    <row r="3124">
      <c r="A3124" t="str">
        <f>IFERROR(__xludf.DUMMYFUNCTION("""COMPUTED_VALUE"""),"Vietnam")</f>
        <v>Vietnam</v>
      </c>
      <c r="B3124" t="str">
        <f>IFERROR(__xludf.DUMMYFUNCTION("""COMPUTED_VALUE"""),"Asia")</f>
        <v>Asia</v>
      </c>
      <c r="C3124">
        <f>IFERROR(__xludf.DUMMYFUNCTION("""COMPUTED_VALUE"""),23.0)</f>
        <v>23</v>
      </c>
      <c r="D3124" t="str">
        <f>IFERROR(__xludf.DUMMYFUNCTION("""COMPUTED_VALUE"""),"Moonlight")</f>
        <v>Moonlight</v>
      </c>
      <c r="E3124" t="str">
        <f>IFERROR(__xludf.DUMMYFUNCTION("""COMPUTED_VALUE"""),"Agust D")</f>
        <v>Agust D</v>
      </c>
      <c r="F3124" t="str">
        <f>IFERROR(__xludf.DUMMYFUNCTION("""COMPUTED_VALUE"""),"D-2")</f>
        <v>D-2</v>
      </c>
      <c r="G3124">
        <f>IFERROR(__xludf.DUMMYFUNCTION("""COMPUTED_VALUE"""),1.0)</f>
        <v>1</v>
      </c>
      <c r="H3124" s="5">
        <f>IFERROR(__xludf.DUMMYFUNCTION("""COMPUTED_VALUE"""),0.11319444444598048)</f>
        <v>0.1131944444</v>
      </c>
    </row>
    <row r="3125">
      <c r="A3125" t="str">
        <f>IFERROR(__xludf.DUMMYFUNCTION("""COMPUTED_VALUE"""),"Vietnam")</f>
        <v>Vietnam</v>
      </c>
      <c r="B3125" t="str">
        <f>IFERROR(__xludf.DUMMYFUNCTION("""COMPUTED_VALUE"""),"Asia")</f>
        <v>Asia</v>
      </c>
      <c r="C3125">
        <f>IFERROR(__xludf.DUMMYFUNCTION("""COMPUTED_VALUE"""),24.0)</f>
        <v>24</v>
      </c>
      <c r="D3125" t="str">
        <f>IFERROR(__xludf.DUMMYFUNCTION("""COMPUTED_VALUE"""),"ily (i love you baby) (feat. Emilee)")</f>
        <v>ily (i love you baby) (feat. Emilee)</v>
      </c>
      <c r="E3125" t="str">
        <f>IFERROR(__xludf.DUMMYFUNCTION("""COMPUTED_VALUE"""),"Surf Mesa, Emilee")</f>
        <v>Surf Mesa, Emilee</v>
      </c>
      <c r="F3125" t="str">
        <f>IFERROR(__xludf.DUMMYFUNCTION("""COMPUTED_VALUE"""),"ily (i love you baby) (feat. Emilee)")</f>
        <v>ily (i love you baby) (feat. Emilee)</v>
      </c>
      <c r="G3125">
        <f>IFERROR(__xludf.DUMMYFUNCTION("""COMPUTED_VALUE"""),0.0)</f>
        <v>0</v>
      </c>
      <c r="H3125" s="5">
        <f>IFERROR(__xludf.DUMMYFUNCTION("""COMPUTED_VALUE"""),0.12222222222044365)</f>
        <v>0.1222222222</v>
      </c>
    </row>
    <row r="3126">
      <c r="A3126" t="str">
        <f>IFERROR(__xludf.DUMMYFUNCTION("""COMPUTED_VALUE"""),"Vietnam")</f>
        <v>Vietnam</v>
      </c>
      <c r="B3126" t="str">
        <f>IFERROR(__xludf.DUMMYFUNCTION("""COMPUTED_VALUE"""),"Asia")</f>
        <v>Asia</v>
      </c>
      <c r="C3126">
        <f>IFERROR(__xludf.DUMMYFUNCTION("""COMPUTED_VALUE"""),25.0)</f>
        <v>25</v>
      </c>
      <c r="D3126" t="str">
        <f>IFERROR(__xludf.DUMMYFUNCTION("""COMPUTED_VALUE"""),"Burn It")</f>
        <v>Burn It</v>
      </c>
      <c r="E3126" t="str">
        <f>IFERROR(__xludf.DUMMYFUNCTION("""COMPUTED_VALUE"""),"Agust D, MAX")</f>
        <v>Agust D, MAX</v>
      </c>
      <c r="F3126" t="str">
        <f>IFERROR(__xludf.DUMMYFUNCTION("""COMPUTED_VALUE"""),"D-2")</f>
        <v>D-2</v>
      </c>
      <c r="G3126">
        <f>IFERROR(__xludf.DUMMYFUNCTION("""COMPUTED_VALUE"""),0.0)</f>
        <v>0</v>
      </c>
      <c r="H3126" s="5">
        <f>IFERROR(__xludf.DUMMYFUNCTION("""COMPUTED_VALUE"""),0.13333333333503106)</f>
        <v>0.1333333333</v>
      </c>
    </row>
    <row r="3127">
      <c r="A3127" t="str">
        <f>IFERROR(__xludf.DUMMYFUNCTION("""COMPUTED_VALUE"""),"Vietnam")</f>
        <v>Vietnam</v>
      </c>
      <c r="B3127" t="str">
        <f>IFERROR(__xludf.DUMMYFUNCTION("""COMPUTED_VALUE"""),"Asia")</f>
        <v>Asia</v>
      </c>
      <c r="C3127">
        <f>IFERROR(__xludf.DUMMYFUNCTION("""COMPUTED_VALUE"""),26.0)</f>
        <v>26</v>
      </c>
      <c r="D3127" t="str">
        <f>IFERROR(__xludf.DUMMYFUNCTION("""COMPUTED_VALUE"""),"Có Em Đời Bỗng Vui")</f>
        <v>Có Em Đời Bỗng Vui</v>
      </c>
      <c r="E3127" t="str">
        <f>IFERROR(__xludf.DUMMYFUNCTION("""COMPUTED_VALUE"""),"Chillies")</f>
        <v>Chillies</v>
      </c>
      <c r="F3127" t="str">
        <f>IFERROR(__xludf.DUMMYFUNCTION("""COMPUTED_VALUE"""),"Có Em Đời Bỗng Vui")</f>
        <v>Có Em Đời Bỗng Vui</v>
      </c>
      <c r="G3127">
        <f>IFERROR(__xludf.DUMMYFUNCTION("""COMPUTED_VALUE"""),0.0)</f>
        <v>0</v>
      </c>
      <c r="H3127" s="5">
        <f>IFERROR(__xludf.DUMMYFUNCTION("""COMPUTED_VALUE"""),0.17152777777664596)</f>
        <v>0.1715277778</v>
      </c>
    </row>
    <row r="3128">
      <c r="A3128" t="str">
        <f>IFERROR(__xludf.DUMMYFUNCTION("""COMPUTED_VALUE"""),"Vietnam")</f>
        <v>Vietnam</v>
      </c>
      <c r="B3128" t="str">
        <f>IFERROR(__xludf.DUMMYFUNCTION("""COMPUTED_VALUE"""),"Asia")</f>
        <v>Asia</v>
      </c>
      <c r="C3128">
        <f>IFERROR(__xludf.DUMMYFUNCTION("""COMPUTED_VALUE"""),27.0)</f>
        <v>27</v>
      </c>
      <c r="D3128" t="str">
        <f>IFERROR(__xludf.DUMMYFUNCTION("""COMPUTED_VALUE"""),"Dear my friend (feat. Kim Jong Wan of NELL)")</f>
        <v>Dear my friend (feat. Kim Jong Wan of NELL)</v>
      </c>
      <c r="E3128" t="str">
        <f>IFERROR(__xludf.DUMMYFUNCTION("""COMPUTED_VALUE"""),"Agust D, Kim Jong Wan")</f>
        <v>Agust D, Kim Jong Wan</v>
      </c>
      <c r="F3128" t="str">
        <f>IFERROR(__xludf.DUMMYFUNCTION("""COMPUTED_VALUE"""),"D-2")</f>
        <v>D-2</v>
      </c>
      <c r="G3128">
        <f>IFERROR(__xludf.DUMMYFUNCTION("""COMPUTED_VALUE"""),1.0)</f>
        <v>1</v>
      </c>
      <c r="H3128" s="5">
        <f>IFERROR(__xludf.DUMMYFUNCTION("""COMPUTED_VALUE"""),0.20277777777664596)</f>
        <v>0.2027777778</v>
      </c>
    </row>
    <row r="3129">
      <c r="A3129" t="str">
        <f>IFERROR(__xludf.DUMMYFUNCTION("""COMPUTED_VALUE"""),"Vietnam")</f>
        <v>Vietnam</v>
      </c>
      <c r="B3129" t="str">
        <f>IFERROR(__xludf.DUMMYFUNCTION("""COMPUTED_VALUE"""),"Asia")</f>
        <v>Asia</v>
      </c>
      <c r="C3129">
        <f>IFERROR(__xludf.DUMMYFUNCTION("""COMPUTED_VALUE"""),28.0)</f>
        <v>28</v>
      </c>
      <c r="D3129" t="str">
        <f>IFERROR(__xludf.DUMMYFUNCTION("""COMPUTED_VALUE"""),"Say So (feat. Nicki Minaj)")</f>
        <v>Say So (feat. Nicki Minaj)</v>
      </c>
      <c r="E3129" t="str">
        <f>IFERROR(__xludf.DUMMYFUNCTION("""COMPUTED_VALUE"""),"Doja Cat, Nicki Minaj")</f>
        <v>Doja Cat, Nicki Minaj</v>
      </c>
      <c r="F3129" t="str">
        <f>IFERROR(__xludf.DUMMYFUNCTION("""COMPUTED_VALUE"""),"Say So (feat. Nicki Minaj)")</f>
        <v>Say So (feat. Nicki Minaj)</v>
      </c>
      <c r="G3129">
        <f>IFERROR(__xludf.DUMMYFUNCTION("""COMPUTED_VALUE"""),1.0)</f>
        <v>1</v>
      </c>
      <c r="H3129" s="5">
        <f>IFERROR(__xludf.DUMMYFUNCTION("""COMPUTED_VALUE"""),0.1430555555562023)</f>
        <v>0.1430555556</v>
      </c>
    </row>
    <row r="3130">
      <c r="A3130" t="str">
        <f>IFERROR(__xludf.DUMMYFUNCTION("""COMPUTED_VALUE"""),"Vietnam")</f>
        <v>Vietnam</v>
      </c>
      <c r="B3130" t="str">
        <f>IFERROR(__xludf.DUMMYFUNCTION("""COMPUTED_VALUE"""),"Asia")</f>
        <v>Asia</v>
      </c>
      <c r="C3130">
        <f>IFERROR(__xludf.DUMMYFUNCTION("""COMPUTED_VALUE"""),29.0)</f>
        <v>29</v>
      </c>
      <c r="D3130" t="str">
        <f>IFERROR(__xludf.DUMMYFUNCTION("""COMPUTED_VALUE"""),"Someone You Loved")</f>
        <v>Someone You Loved</v>
      </c>
      <c r="E3130" t="str">
        <f>IFERROR(__xludf.DUMMYFUNCTION("""COMPUTED_VALUE"""),"Lewis Capaldi")</f>
        <v>Lewis Capaldi</v>
      </c>
      <c r="F3130" t="str">
        <f>IFERROR(__xludf.DUMMYFUNCTION("""COMPUTED_VALUE"""),"Divinely Uninspired To A Hellish Extent")</f>
        <v>Divinely Uninspired To A Hellish Extent</v>
      </c>
      <c r="G3130">
        <f>IFERROR(__xludf.DUMMYFUNCTION("""COMPUTED_VALUE"""),0.0)</f>
        <v>0</v>
      </c>
      <c r="H3130" s="5">
        <f>IFERROR(__xludf.DUMMYFUNCTION("""COMPUTED_VALUE"""),0.12638888888977817)</f>
        <v>0.1263888889</v>
      </c>
    </row>
    <row r="3131">
      <c r="A3131" t="str">
        <f>IFERROR(__xludf.DUMMYFUNCTION("""COMPUTED_VALUE"""),"Vietnam")</f>
        <v>Vietnam</v>
      </c>
      <c r="B3131" t="str">
        <f>IFERROR(__xludf.DUMMYFUNCTION("""COMPUTED_VALUE"""),"Asia")</f>
        <v>Asia</v>
      </c>
      <c r="C3131">
        <f>IFERROR(__xludf.DUMMYFUNCTION("""COMPUTED_VALUE"""),30.0)</f>
        <v>30</v>
      </c>
      <c r="D3131" t="str">
        <f>IFERROR(__xludf.DUMMYFUNCTION("""COMPUTED_VALUE"""),"Don't Start Now")</f>
        <v>Don't Start Now</v>
      </c>
      <c r="E3131" t="str">
        <f>IFERROR(__xludf.DUMMYFUNCTION("""COMPUTED_VALUE"""),"Dua Lipa")</f>
        <v>Dua Lipa</v>
      </c>
      <c r="F3131" t="str">
        <f>IFERROR(__xludf.DUMMYFUNCTION("""COMPUTED_VALUE"""),"Future Nostalgia")</f>
        <v>Future Nostalgia</v>
      </c>
      <c r="G3131">
        <f>IFERROR(__xludf.DUMMYFUNCTION("""COMPUTED_VALUE"""),0.0)</f>
        <v>0</v>
      </c>
      <c r="H3131" s="5">
        <f>IFERROR(__xludf.DUMMYFUNCTION("""COMPUTED_VALUE"""),0.12708333333284827)</f>
        <v>0.1270833333</v>
      </c>
    </row>
    <row r="3132">
      <c r="A3132" t="str">
        <f>IFERROR(__xludf.DUMMYFUNCTION("""COMPUTED_VALUE"""),"Vietnam")</f>
        <v>Vietnam</v>
      </c>
      <c r="B3132" t="str">
        <f>IFERROR(__xludf.DUMMYFUNCTION("""COMPUTED_VALUE"""),"Asia")</f>
        <v>Asia</v>
      </c>
      <c r="C3132">
        <f>IFERROR(__xludf.DUMMYFUNCTION("""COMPUTED_VALUE"""),31.0)</f>
        <v>31</v>
      </c>
      <c r="D3132" t="str">
        <f>IFERROR(__xludf.DUMMYFUNCTION("""COMPUTED_VALUE"""),"Honsool")</f>
        <v>Honsool</v>
      </c>
      <c r="E3132" t="str">
        <f>IFERROR(__xludf.DUMMYFUNCTION("""COMPUTED_VALUE"""),"Agust D")</f>
        <v>Agust D</v>
      </c>
      <c r="F3132" t="str">
        <f>IFERROR(__xludf.DUMMYFUNCTION("""COMPUTED_VALUE"""),"D-2")</f>
        <v>D-2</v>
      </c>
      <c r="G3132">
        <f>IFERROR(__xludf.DUMMYFUNCTION("""COMPUTED_VALUE"""),1.0)</f>
        <v>1</v>
      </c>
      <c r="H3132" s="5">
        <f>IFERROR(__xludf.DUMMYFUNCTION("""COMPUTED_VALUE"""),0.15208333333430346)</f>
        <v>0.1520833333</v>
      </c>
    </row>
    <row r="3133">
      <c r="A3133" t="str">
        <f>IFERROR(__xludf.DUMMYFUNCTION("""COMPUTED_VALUE"""),"Vietnam")</f>
        <v>Vietnam</v>
      </c>
      <c r="B3133" t="str">
        <f>IFERROR(__xludf.DUMMYFUNCTION("""COMPUTED_VALUE"""),"Asia")</f>
        <v>Asia</v>
      </c>
      <c r="C3133">
        <f>IFERROR(__xludf.DUMMYFUNCTION("""COMPUTED_VALUE"""),32.0)</f>
        <v>32</v>
      </c>
      <c r="D3133" t="str">
        <f>IFERROR(__xludf.DUMMYFUNCTION("""COMPUTED_VALUE"""),"Duyen Am")</f>
        <v>Duyen Am</v>
      </c>
      <c r="E3133" t="str">
        <f>IFERROR(__xludf.DUMMYFUNCTION("""COMPUTED_VALUE"""),"Hoang Thuy Linh")</f>
        <v>Hoang Thuy Linh</v>
      </c>
      <c r="F3133" t="str">
        <f>IFERROR(__xludf.DUMMYFUNCTION("""COMPUTED_VALUE"""),"Hoang")</f>
        <v>Hoang</v>
      </c>
      <c r="G3133">
        <f>IFERROR(__xludf.DUMMYFUNCTION("""COMPUTED_VALUE"""),0.0)</f>
        <v>0</v>
      </c>
      <c r="H3133" s="5">
        <f>IFERROR(__xludf.DUMMYFUNCTION("""COMPUTED_VALUE"""),0.1243055555569299)</f>
        <v>0.1243055556</v>
      </c>
    </row>
    <row r="3134">
      <c r="A3134" t="str">
        <f>IFERROR(__xludf.DUMMYFUNCTION("""COMPUTED_VALUE"""),"Vietnam")</f>
        <v>Vietnam</v>
      </c>
      <c r="B3134" t="str">
        <f>IFERROR(__xludf.DUMMYFUNCTION("""COMPUTED_VALUE"""),"Asia")</f>
        <v>Asia</v>
      </c>
      <c r="C3134">
        <f>IFERROR(__xludf.DUMMYFUNCTION("""COMPUTED_VALUE"""),33.0)</f>
        <v>33</v>
      </c>
      <c r="D3134" t="str">
        <f>IFERROR(__xludf.DUMMYFUNCTION("""COMPUTED_VALUE"""),"Dance Monkey")</f>
        <v>Dance Monkey</v>
      </c>
      <c r="E3134" t="str">
        <f>IFERROR(__xludf.DUMMYFUNCTION("""COMPUTED_VALUE"""),"Tones And I")</f>
        <v>Tones And I</v>
      </c>
      <c r="F3134" t="str">
        <f>IFERROR(__xludf.DUMMYFUNCTION("""COMPUTED_VALUE"""),"Dance Monkey (Stripped Back) / Dance Monkey")</f>
        <v>Dance Monkey (Stripped Back) / Dance Monkey</v>
      </c>
      <c r="G3134">
        <f>IFERROR(__xludf.DUMMYFUNCTION("""COMPUTED_VALUE"""),0.0)</f>
        <v>0</v>
      </c>
      <c r="H3134" s="5">
        <f>IFERROR(__xludf.DUMMYFUNCTION("""COMPUTED_VALUE"""),0.14513888888905058)</f>
        <v>0.1451388889</v>
      </c>
    </row>
    <row r="3135">
      <c r="A3135" t="str">
        <f>IFERROR(__xludf.DUMMYFUNCTION("""COMPUTED_VALUE"""),"Vietnam")</f>
        <v>Vietnam</v>
      </c>
      <c r="B3135" t="str">
        <f>IFERROR(__xludf.DUMMYFUNCTION("""COMPUTED_VALUE"""),"Asia")</f>
        <v>Asia</v>
      </c>
      <c r="C3135">
        <f>IFERROR(__xludf.DUMMYFUNCTION("""COMPUTED_VALUE"""),34.0)</f>
        <v>34</v>
      </c>
      <c r="D3135" t="str">
        <f>IFERROR(__xludf.DUMMYFUNCTION("""COMPUTED_VALUE"""),"Và Thế Là Hết")</f>
        <v>Và Thế Là Hết</v>
      </c>
      <c r="E3135" t="str">
        <f>IFERROR(__xludf.DUMMYFUNCTION("""COMPUTED_VALUE"""),"Chillies")</f>
        <v>Chillies</v>
      </c>
      <c r="F3135" t="str">
        <f>IFERROR(__xludf.DUMMYFUNCTION("""COMPUTED_VALUE"""),"Và Thế Là Hết")</f>
        <v>Và Thế Là Hết</v>
      </c>
      <c r="G3135">
        <f>IFERROR(__xludf.DUMMYFUNCTION("""COMPUTED_VALUE"""),0.0)</f>
        <v>0</v>
      </c>
      <c r="H3135" s="5">
        <f>IFERROR(__xludf.DUMMYFUNCTION("""COMPUTED_VALUE"""),0.20208333333357587)</f>
        <v>0.2020833333</v>
      </c>
    </row>
    <row r="3136">
      <c r="A3136" t="str">
        <f>IFERROR(__xludf.DUMMYFUNCTION("""COMPUTED_VALUE"""),"Vietnam")</f>
        <v>Vietnam</v>
      </c>
      <c r="B3136" t="str">
        <f>IFERROR(__xludf.DUMMYFUNCTION("""COMPUTED_VALUE"""),"Asia")</f>
        <v>Asia</v>
      </c>
      <c r="C3136">
        <f>IFERROR(__xludf.DUMMYFUNCTION("""COMPUTED_VALUE"""),35.0)</f>
        <v>35</v>
      </c>
      <c r="D3136" t="str">
        <f>IFERROR(__xludf.DUMMYFUNCTION("""COMPUTED_VALUE"""),"Cần Gì Hơn")</f>
        <v>Cần Gì Hơn</v>
      </c>
      <c r="E3136" t="str">
        <f>IFERROR(__xludf.DUMMYFUNCTION("""COMPUTED_VALUE"""),"Tien Tien, JustaTee")</f>
        <v>Tien Tien, JustaTee</v>
      </c>
      <c r="F3136" t="str">
        <f>IFERROR(__xludf.DUMMYFUNCTION("""COMPUTED_VALUE"""),"Cần Gì Hơn")</f>
        <v>Cần Gì Hơn</v>
      </c>
      <c r="G3136">
        <f>IFERROR(__xludf.DUMMYFUNCTION("""COMPUTED_VALUE"""),0.0)</f>
        <v>0</v>
      </c>
      <c r="H3136" s="5">
        <f>IFERROR(__xludf.DUMMYFUNCTION("""COMPUTED_VALUE"""),0.1430555555562023)</f>
        <v>0.1430555556</v>
      </c>
    </row>
    <row r="3137">
      <c r="A3137" t="str">
        <f>IFERROR(__xludf.DUMMYFUNCTION("""COMPUTED_VALUE"""),"Vietnam")</f>
        <v>Vietnam</v>
      </c>
      <c r="B3137" t="str">
        <f>IFERROR(__xludf.DUMMYFUNCTION("""COMPUTED_VALUE"""),"Asia")</f>
        <v>Asia</v>
      </c>
      <c r="C3137">
        <f>IFERROR(__xludf.DUMMYFUNCTION("""COMPUTED_VALUE"""),36.0)</f>
        <v>36</v>
      </c>
      <c r="D3137" t="str">
        <f>IFERROR(__xludf.DUMMYFUNCTION("""COMPUTED_VALUE"""),"Interlude : Set me free")</f>
        <v>Interlude : Set me free</v>
      </c>
      <c r="E3137" t="str">
        <f>IFERROR(__xludf.DUMMYFUNCTION("""COMPUTED_VALUE"""),"Agust D")</f>
        <v>Agust D</v>
      </c>
      <c r="F3137" t="str">
        <f>IFERROR(__xludf.DUMMYFUNCTION("""COMPUTED_VALUE"""),"D-2")</f>
        <v>D-2</v>
      </c>
      <c r="G3137">
        <f>IFERROR(__xludf.DUMMYFUNCTION("""COMPUTED_VALUE"""),0.0)</f>
        <v>0</v>
      </c>
      <c r="H3137" s="5">
        <f>IFERROR(__xludf.DUMMYFUNCTION("""COMPUTED_VALUE"""),0.09722222222262644)</f>
        <v>0.09722222222</v>
      </c>
    </row>
    <row r="3138">
      <c r="A3138" t="str">
        <f>IFERROR(__xludf.DUMMYFUNCTION("""COMPUTED_VALUE"""),"Vietnam")</f>
        <v>Vietnam</v>
      </c>
      <c r="B3138" t="str">
        <f>IFERROR(__xludf.DUMMYFUNCTION("""COMPUTED_VALUE"""),"Asia")</f>
        <v>Asia</v>
      </c>
      <c r="C3138">
        <f>IFERROR(__xludf.DUMMYFUNCTION("""COMPUTED_VALUE"""),37.0)</f>
        <v>37</v>
      </c>
      <c r="D3138" t="str">
        <f>IFERROR(__xludf.DUMMYFUNCTION("""COMPUTED_VALUE"""),"Hãy Trao Cho Anh")</f>
        <v>Hãy Trao Cho Anh</v>
      </c>
      <c r="E3138" t="str">
        <f>IFERROR(__xludf.DUMMYFUNCTION("""COMPUTED_VALUE"""),"Sơn Tùng M-TP, Snoop Dogg")</f>
        <v>Sơn Tùng M-TP, Snoop Dogg</v>
      </c>
      <c r="F3138" t="str">
        <f>IFERROR(__xludf.DUMMYFUNCTION("""COMPUTED_VALUE"""),"Hãy Trao Cho Anh")</f>
        <v>Hãy Trao Cho Anh</v>
      </c>
      <c r="G3138">
        <f>IFERROR(__xludf.DUMMYFUNCTION("""COMPUTED_VALUE"""),0.0)</f>
        <v>0</v>
      </c>
      <c r="H3138" s="5">
        <f>IFERROR(__xludf.DUMMYFUNCTION("""COMPUTED_VALUE"""),0.17013888889050577)</f>
        <v>0.1701388889</v>
      </c>
    </row>
    <row r="3139">
      <c r="A3139" t="str">
        <f>IFERROR(__xludf.DUMMYFUNCTION("""COMPUTED_VALUE"""),"Vietnam")</f>
        <v>Vietnam</v>
      </c>
      <c r="B3139" t="str">
        <f>IFERROR(__xludf.DUMMYFUNCTION("""COMPUTED_VALUE"""),"Asia")</f>
        <v>Asia</v>
      </c>
      <c r="C3139">
        <f>IFERROR(__xludf.DUMMYFUNCTION("""COMPUTED_VALUE"""),38.0)</f>
        <v>38</v>
      </c>
      <c r="D3139" t="str">
        <f>IFERROR(__xludf.DUMMYFUNCTION("""COMPUTED_VALUE"""),"7 rings")</f>
        <v>7 rings</v>
      </c>
      <c r="E3139" t="str">
        <f>IFERROR(__xludf.DUMMYFUNCTION("""COMPUTED_VALUE"""),"Ariana Grande")</f>
        <v>Ariana Grande</v>
      </c>
      <c r="F3139" t="str">
        <f>IFERROR(__xludf.DUMMYFUNCTION("""COMPUTED_VALUE"""),"thank u, next")</f>
        <v>thank u, next</v>
      </c>
      <c r="G3139">
        <f>IFERROR(__xludf.DUMMYFUNCTION("""COMPUTED_VALUE"""),1.0)</f>
        <v>1</v>
      </c>
      <c r="H3139" s="5">
        <f>IFERROR(__xludf.DUMMYFUNCTION("""COMPUTED_VALUE"""),0.12361111111022183)</f>
        <v>0.1236111111</v>
      </c>
    </row>
    <row r="3140">
      <c r="A3140" t="str">
        <f>IFERROR(__xludf.DUMMYFUNCTION("""COMPUTED_VALUE"""),"Vietnam")</f>
        <v>Vietnam</v>
      </c>
      <c r="B3140" t="str">
        <f>IFERROR(__xludf.DUMMYFUNCTION("""COMPUTED_VALUE"""),"Asia")</f>
        <v>Asia</v>
      </c>
      <c r="C3140">
        <f>IFERROR(__xludf.DUMMYFUNCTION("""COMPUTED_VALUE"""),39.0)</f>
        <v>39</v>
      </c>
      <c r="D3140" t="str">
        <f>IFERROR(__xludf.DUMMYFUNCTION("""COMPUTED_VALUE"""),"Can We Kiss Forever?")</f>
        <v>Can We Kiss Forever?</v>
      </c>
      <c r="E3140" t="str">
        <f>IFERROR(__xludf.DUMMYFUNCTION("""COMPUTED_VALUE"""),"Kina, Adriana Proenza")</f>
        <v>Kina, Adriana Proenza</v>
      </c>
      <c r="F3140" t="str">
        <f>IFERROR(__xludf.DUMMYFUNCTION("""COMPUTED_VALUE"""),"Can We Kiss Forever?")</f>
        <v>Can We Kiss Forever?</v>
      </c>
      <c r="G3140">
        <f>IFERROR(__xludf.DUMMYFUNCTION("""COMPUTED_VALUE"""),0.0)</f>
        <v>0</v>
      </c>
      <c r="H3140" s="5">
        <f>IFERROR(__xludf.DUMMYFUNCTION("""COMPUTED_VALUE"""),0.12986111111240461)</f>
        <v>0.1298611111</v>
      </c>
    </row>
    <row r="3141">
      <c r="A3141" t="str">
        <f>IFERROR(__xludf.DUMMYFUNCTION("""COMPUTED_VALUE"""),"Vietnam")</f>
        <v>Vietnam</v>
      </c>
      <c r="B3141" t="str">
        <f>IFERROR(__xludf.DUMMYFUNCTION("""COMPUTED_VALUE"""),"Asia")</f>
        <v>Asia</v>
      </c>
      <c r="C3141">
        <f>IFERROR(__xludf.DUMMYFUNCTION("""COMPUTED_VALUE"""),40.0)</f>
        <v>40</v>
      </c>
      <c r="D3141" t="str">
        <f>IFERROR(__xludf.DUMMYFUNCTION("""COMPUTED_VALUE"""),"Let Me Down Slowly")</f>
        <v>Let Me Down Slowly</v>
      </c>
      <c r="E3141" t="str">
        <f>IFERROR(__xludf.DUMMYFUNCTION("""COMPUTED_VALUE"""),"Alec Benjamin")</f>
        <v>Alec Benjamin</v>
      </c>
      <c r="F3141" t="str">
        <f>IFERROR(__xludf.DUMMYFUNCTION("""COMPUTED_VALUE"""),"Narrated For You")</f>
        <v>Narrated For You</v>
      </c>
      <c r="G3141">
        <f>IFERROR(__xludf.DUMMYFUNCTION("""COMPUTED_VALUE"""),0.0)</f>
        <v>0</v>
      </c>
      <c r="H3141" s="5">
        <f>IFERROR(__xludf.DUMMYFUNCTION("""COMPUTED_VALUE"""),0.11736111111167702)</f>
        <v>0.1173611111</v>
      </c>
    </row>
    <row r="3142">
      <c r="A3142" t="str">
        <f>IFERROR(__xludf.DUMMYFUNCTION("""COMPUTED_VALUE"""),"Vietnam")</f>
        <v>Vietnam</v>
      </c>
      <c r="B3142" t="str">
        <f>IFERROR(__xludf.DUMMYFUNCTION("""COMPUTED_VALUE"""),"Asia")</f>
        <v>Asia</v>
      </c>
      <c r="C3142">
        <f>IFERROR(__xludf.DUMMYFUNCTION("""COMPUTED_VALUE"""),41.0)</f>
        <v>41</v>
      </c>
      <c r="D3142" t="str">
        <f>IFERROR(__xludf.DUMMYFUNCTION("""COMPUTED_VALUE"""),"bad guy")</f>
        <v>bad guy</v>
      </c>
      <c r="E3142" t="str">
        <f>IFERROR(__xludf.DUMMYFUNCTION("""COMPUTED_VALUE"""),"Billie Eilish")</f>
        <v>Billie Eilish</v>
      </c>
      <c r="F3142" t="str">
        <f>IFERROR(__xludf.DUMMYFUNCTION("""COMPUTED_VALUE"""),"WHEN WE ALL FALL ASLEEP, WHERE DO WE GO?")</f>
        <v>WHEN WE ALL FALL ASLEEP, WHERE DO WE GO?</v>
      </c>
      <c r="G3142">
        <f>IFERROR(__xludf.DUMMYFUNCTION("""COMPUTED_VALUE"""),0.0)</f>
        <v>0</v>
      </c>
      <c r="H3142" s="5">
        <f>IFERROR(__xludf.DUMMYFUNCTION("""COMPUTED_VALUE"""),0.13472222222117125)</f>
        <v>0.1347222222</v>
      </c>
    </row>
    <row r="3143">
      <c r="A3143" t="str">
        <f>IFERROR(__xludf.DUMMYFUNCTION("""COMPUTED_VALUE"""),"Vietnam")</f>
        <v>Vietnam</v>
      </c>
      <c r="B3143" t="str">
        <f>IFERROR(__xludf.DUMMYFUNCTION("""COMPUTED_VALUE"""),"Asia")</f>
        <v>Asia</v>
      </c>
      <c r="C3143">
        <f>IFERROR(__xludf.DUMMYFUNCTION("""COMPUTED_VALUE"""),42.0)</f>
        <v>42</v>
      </c>
      <c r="D3143" t="str">
        <f>IFERROR(__xludf.DUMMYFUNCTION("""COMPUTED_VALUE"""),"comethru (bonus track)")</f>
        <v>comethru (bonus track)</v>
      </c>
      <c r="E3143" t="str">
        <f>IFERROR(__xludf.DUMMYFUNCTION("""COMPUTED_VALUE"""),"Jeremy Zucker")</f>
        <v>Jeremy Zucker</v>
      </c>
      <c r="F3143" t="str">
        <f>IFERROR(__xludf.DUMMYFUNCTION("""COMPUTED_VALUE"""),"love is not dying")</f>
        <v>love is not dying</v>
      </c>
      <c r="G3143">
        <f>IFERROR(__xludf.DUMMYFUNCTION("""COMPUTED_VALUE"""),0.0)</f>
        <v>0</v>
      </c>
      <c r="H3143" s="5">
        <f>IFERROR(__xludf.DUMMYFUNCTION("""COMPUTED_VALUE"""),0.1256944444430701)</f>
        <v>0.1256944444</v>
      </c>
    </row>
    <row r="3144">
      <c r="A3144" t="str">
        <f>IFERROR(__xludf.DUMMYFUNCTION("""COMPUTED_VALUE"""),"Vietnam")</f>
        <v>Vietnam</v>
      </c>
      <c r="B3144" t="str">
        <f>IFERROR(__xludf.DUMMYFUNCTION("""COMPUTED_VALUE"""),"Asia")</f>
        <v>Asia</v>
      </c>
      <c r="C3144">
        <f>IFERROR(__xludf.DUMMYFUNCTION("""COMPUTED_VALUE"""),43.0)</f>
        <v>43</v>
      </c>
      <c r="D3144" t="str">
        <f>IFERROR(__xludf.DUMMYFUNCTION("""COMPUTED_VALUE"""),"LẦN CUỐI (đi bên em xót xa người ơi)")</f>
        <v>LẦN CUỐI (đi bên em xót xa người ơi)</v>
      </c>
      <c r="E3144" t="str">
        <f>IFERROR(__xludf.DUMMYFUNCTION("""COMPUTED_VALUE"""),"Ngọt")</f>
        <v>Ngọt</v>
      </c>
      <c r="F3144" t="str">
        <f>IFERROR(__xludf.DUMMYFUNCTION("""COMPUTED_VALUE"""),"3 (tuyển tập nhạc Ngọt mới trẻ sôi động 2019)")</f>
        <v>3 (tuyển tập nhạc Ngọt mới trẻ sôi động 2019)</v>
      </c>
      <c r="G3144">
        <f>IFERROR(__xludf.DUMMYFUNCTION("""COMPUTED_VALUE"""),0.0)</f>
        <v>0</v>
      </c>
      <c r="H3144" s="5">
        <f>IFERROR(__xludf.DUMMYFUNCTION("""COMPUTED_VALUE"""),0.15416666666715173)</f>
        <v>0.1541666667</v>
      </c>
    </row>
    <row r="3145">
      <c r="A3145" t="str">
        <f>IFERROR(__xludf.DUMMYFUNCTION("""COMPUTED_VALUE"""),"Vietnam")</f>
        <v>Vietnam</v>
      </c>
      <c r="B3145" t="str">
        <f>IFERROR(__xludf.DUMMYFUNCTION("""COMPUTED_VALUE"""),"Asia")</f>
        <v>Asia</v>
      </c>
      <c r="C3145">
        <f>IFERROR(__xludf.DUMMYFUNCTION("""COMPUTED_VALUE"""),44.0)</f>
        <v>44</v>
      </c>
      <c r="D3145" t="str">
        <f>IFERROR(__xludf.DUMMYFUNCTION("""COMPUTED_VALUE"""),"Em Day Chang Phai Thuy Kieu")</f>
        <v>Em Day Chang Phai Thuy Kieu</v>
      </c>
      <c r="E3145" t="str">
        <f>IFERROR(__xludf.DUMMYFUNCTION("""COMPUTED_VALUE"""),"Hoang Thuy Linh")</f>
        <v>Hoang Thuy Linh</v>
      </c>
      <c r="F3145" t="str">
        <f>IFERROR(__xludf.DUMMYFUNCTION("""COMPUTED_VALUE"""),"Hoang")</f>
        <v>Hoang</v>
      </c>
      <c r="G3145">
        <f>IFERROR(__xludf.DUMMYFUNCTION("""COMPUTED_VALUE"""),0.0)</f>
        <v>0</v>
      </c>
      <c r="H3145" s="5">
        <f>IFERROR(__xludf.DUMMYFUNCTION("""COMPUTED_VALUE"""),0.14861111111167702)</f>
        <v>0.1486111111</v>
      </c>
    </row>
    <row r="3146">
      <c r="A3146" t="str">
        <f>IFERROR(__xludf.DUMMYFUNCTION("""COMPUTED_VALUE"""),"Vietnam")</f>
        <v>Vietnam</v>
      </c>
      <c r="B3146" t="str">
        <f>IFERROR(__xludf.DUMMYFUNCTION("""COMPUTED_VALUE"""),"Asia")</f>
        <v>Asia</v>
      </c>
      <c r="C3146">
        <f>IFERROR(__xludf.DUMMYFUNCTION("""COMPUTED_VALUE"""),45.0)</f>
        <v>45</v>
      </c>
      <c r="D3146" t="str">
        <f>IFERROR(__xludf.DUMMYFUNCTION("""COMPUTED_VALUE"""),"Say So")</f>
        <v>Say So</v>
      </c>
      <c r="E3146" t="str">
        <f>IFERROR(__xludf.DUMMYFUNCTION("""COMPUTED_VALUE"""),"Doja Cat")</f>
        <v>Doja Cat</v>
      </c>
      <c r="F3146" t="str">
        <f>IFERROR(__xludf.DUMMYFUNCTION("""COMPUTED_VALUE"""),"Hot Pink")</f>
        <v>Hot Pink</v>
      </c>
      <c r="G3146">
        <f>IFERROR(__xludf.DUMMYFUNCTION("""COMPUTED_VALUE"""),1.0)</f>
        <v>1</v>
      </c>
      <c r="H3146" s="5">
        <f>IFERROR(__xludf.DUMMYFUNCTION("""COMPUTED_VALUE"""),0.16458333333503106)</f>
        <v>0.1645833333</v>
      </c>
    </row>
    <row r="3147">
      <c r="A3147" t="str">
        <f>IFERROR(__xludf.DUMMYFUNCTION("""COMPUTED_VALUE"""),"Vietnam")</f>
        <v>Vietnam</v>
      </c>
      <c r="B3147" t="str">
        <f>IFERROR(__xludf.DUMMYFUNCTION("""COMPUTED_VALUE"""),"Asia")</f>
        <v>Asia</v>
      </c>
      <c r="C3147">
        <f>IFERROR(__xludf.DUMMYFUNCTION("""COMPUTED_VALUE"""),46.0)</f>
        <v>46</v>
      </c>
      <c r="D3147" t="str">
        <f>IFERROR(__xludf.DUMMYFUNCTION("""COMPUTED_VALUE"""),"ĐÃ TỪNG LÀ")</f>
        <v>ĐÃ TỪNG LÀ</v>
      </c>
      <c r="E3147" t="str">
        <f>IFERROR(__xludf.DUMMYFUNCTION("""COMPUTED_VALUE"""),"Vũ.")</f>
        <v>Vũ.</v>
      </c>
      <c r="F3147" t="str">
        <f>IFERROR(__xludf.DUMMYFUNCTION("""COMPUTED_VALUE"""),"ĐÃ TỪNG LÀ")</f>
        <v>ĐÃ TỪNG LÀ</v>
      </c>
      <c r="G3147">
        <f>IFERROR(__xludf.DUMMYFUNCTION("""COMPUTED_VALUE"""),0.0)</f>
        <v>0</v>
      </c>
      <c r="H3147" s="5">
        <f>IFERROR(__xludf.DUMMYFUNCTION("""COMPUTED_VALUE"""),0.18055555555474712)</f>
        <v>0.1805555556</v>
      </c>
    </row>
    <row r="3148">
      <c r="A3148" t="str">
        <f>IFERROR(__xludf.DUMMYFUNCTION("""COMPUTED_VALUE"""),"Vietnam")</f>
        <v>Vietnam</v>
      </c>
      <c r="B3148" t="str">
        <f>IFERROR(__xludf.DUMMYFUNCTION("""COMPUTED_VALUE"""),"Asia")</f>
        <v>Asia</v>
      </c>
      <c r="C3148">
        <f>IFERROR(__xludf.DUMMYFUNCTION("""COMPUTED_VALUE"""),47.0)</f>
        <v>47</v>
      </c>
      <c r="D3148" t="str">
        <f>IFERROR(__xludf.DUMMYFUNCTION("""COMPUTED_VALUE"""),"Mượn Rượu Tỏ Tình")</f>
        <v>Mượn Rượu Tỏ Tình</v>
      </c>
      <c r="E3148" t="str">
        <f>IFERROR(__xludf.DUMMYFUNCTION("""COMPUTED_VALUE"""),"BigDaddy, Emily")</f>
        <v>BigDaddy, Emily</v>
      </c>
      <c r="F3148" t="str">
        <f>IFERROR(__xludf.DUMMYFUNCTION("""COMPUTED_VALUE"""),"Mượn Rượu Tỏ Tình")</f>
        <v>Mượn Rượu Tỏ Tình</v>
      </c>
      <c r="G3148">
        <f>IFERROR(__xludf.DUMMYFUNCTION("""COMPUTED_VALUE"""),0.0)</f>
        <v>0</v>
      </c>
      <c r="H3148" s="5">
        <f>IFERROR(__xludf.DUMMYFUNCTION("""COMPUTED_VALUE"""),0.1375000000007276)</f>
        <v>0.1375</v>
      </c>
    </row>
    <row r="3149">
      <c r="A3149" t="str">
        <f>IFERROR(__xludf.DUMMYFUNCTION("""COMPUTED_VALUE"""),"Vietnam")</f>
        <v>Vietnam</v>
      </c>
      <c r="B3149" t="str">
        <f>IFERROR(__xludf.DUMMYFUNCTION("""COMPUTED_VALUE"""),"Asia")</f>
        <v>Asia</v>
      </c>
      <c r="C3149">
        <f>IFERROR(__xludf.DUMMYFUNCTION("""COMPUTED_VALUE"""),48.0)</f>
        <v>48</v>
      </c>
      <c r="D3149" t="str">
        <f>IFERROR(__xludf.DUMMYFUNCTION("""COMPUTED_VALUE"""),"Ngày Tận Thế")</f>
        <v>Ngày Tận Thế</v>
      </c>
      <c r="E3149" t="str">
        <f>IFERROR(__xludf.DUMMYFUNCTION("""COMPUTED_VALUE"""),"Tóc Tiên, Da LAB, Touliver")</f>
        <v>Tóc Tiên, Da LAB, Touliver</v>
      </c>
      <c r="F3149" t="str">
        <f>IFERROR(__xludf.DUMMYFUNCTION("""COMPUTED_VALUE"""),"Ngày Tận Thế")</f>
        <v>Ngày Tận Thế</v>
      </c>
      <c r="G3149">
        <f>IFERROR(__xludf.DUMMYFUNCTION("""COMPUTED_VALUE"""),0.0)</f>
        <v>0</v>
      </c>
      <c r="H3149" s="5">
        <f>IFERROR(__xludf.DUMMYFUNCTION("""COMPUTED_VALUE"""),0.16111111111240461)</f>
        <v>0.1611111111</v>
      </c>
    </row>
    <row r="3150">
      <c r="A3150" t="str">
        <f>IFERROR(__xludf.DUMMYFUNCTION("""COMPUTED_VALUE"""),"Vietnam")</f>
        <v>Vietnam</v>
      </c>
      <c r="B3150" t="str">
        <f>IFERROR(__xludf.DUMMYFUNCTION("""COMPUTED_VALUE"""),"Asia")</f>
        <v>Asia</v>
      </c>
      <c r="C3150">
        <f>IFERROR(__xludf.DUMMYFUNCTION("""COMPUTED_VALUE"""),49.0)</f>
        <v>49</v>
      </c>
      <c r="D3150" t="str">
        <f>IFERROR(__xludf.DUMMYFUNCTION("""COMPUTED_VALUE"""),"Đi Đu Đưa Đi")</f>
        <v>Đi Đu Đưa Đi</v>
      </c>
      <c r="E3150" t="str">
        <f>IFERROR(__xludf.DUMMYFUNCTION("""COMPUTED_VALUE"""),"Bich Phuong")</f>
        <v>Bich Phuong</v>
      </c>
      <c r="F3150" t="str">
        <f>IFERROR(__xludf.DUMMYFUNCTION("""COMPUTED_VALUE"""),"Đi Đu Đưa Đi")</f>
        <v>Đi Đu Đưa Đi</v>
      </c>
      <c r="G3150">
        <f>IFERROR(__xludf.DUMMYFUNCTION("""COMPUTED_VALUE"""),0.0)</f>
        <v>0</v>
      </c>
      <c r="H3150" s="5">
        <f>IFERROR(__xludf.DUMMYFUNCTION("""COMPUTED_VALUE"""),0.15277777777737356)</f>
        <v>0.1527777778</v>
      </c>
    </row>
    <row r="3151">
      <c r="A3151" t="str">
        <f>IFERROR(__xludf.DUMMYFUNCTION("""COMPUTED_VALUE"""),"Vietnam")</f>
        <v>Vietnam</v>
      </c>
      <c r="B3151" t="str">
        <f>IFERROR(__xludf.DUMMYFUNCTION("""COMPUTED_VALUE"""),"Asia")</f>
        <v>Asia</v>
      </c>
      <c r="C3151">
        <f>IFERROR(__xludf.DUMMYFUNCTION("""COMPUTED_VALUE"""),50.0)</f>
        <v>50</v>
      </c>
      <c r="D3151" t="str">
        <f>IFERROR(__xludf.DUMMYFUNCTION("""COMPUTED_VALUE"""),"Blinding Lights")</f>
        <v>Blinding Lights</v>
      </c>
      <c r="E3151" t="str">
        <f>IFERROR(__xludf.DUMMYFUNCTION("""COMPUTED_VALUE"""),"The Weeknd")</f>
        <v>The Weeknd</v>
      </c>
      <c r="F3151" t="str">
        <f>IFERROR(__xludf.DUMMYFUNCTION("""COMPUTED_VALUE"""),"After Hours")</f>
        <v>After Hours</v>
      </c>
      <c r="G3151">
        <f>IFERROR(__xludf.DUMMYFUNCTION("""COMPUTED_VALUE"""),0.0)</f>
        <v>0</v>
      </c>
      <c r="H3151" s="5">
        <f>IFERROR(__xludf.DUMMYFUNCTION("""COMPUTED_VALUE"""),0.13888888889050577)</f>
        <v>0.1388888889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29"/>
    <col customWidth="1" min="10" max="10" width="23.29"/>
  </cols>
  <sheetData>
    <row r="1">
      <c r="A1" s="6" t="s">
        <v>2450</v>
      </c>
      <c r="B1" s="7"/>
      <c r="C1" s="7"/>
      <c r="D1" s="7"/>
      <c r="E1" s="8"/>
      <c r="F1" s="9"/>
      <c r="G1" s="10" t="s">
        <v>2451</v>
      </c>
      <c r="H1" s="11"/>
      <c r="I1" s="12" t="s">
        <v>2452</v>
      </c>
      <c r="J1" s="1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/>
      <c r="E2" s="15"/>
      <c r="F2" s="9"/>
      <c r="G2" s="16">
        <f>COUNT('SpotifyTopSongsByCountry - May '!C2:C3151)</f>
        <v>3150</v>
      </c>
      <c r="H2" s="8"/>
      <c r="I2" s="17">
        <f>IFERROR(__xludf.DUMMYFUNCTION("COUNTUNIQUE('SpotifyTopSongsByCountry - May '!A52:A3151)"),62.0)</f>
        <v>62</v>
      </c>
      <c r="J2" s="8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8"/>
      <c r="B3" s="19"/>
      <c r="C3" s="19"/>
      <c r="D3" s="19"/>
      <c r="E3" s="20"/>
      <c r="F3" s="9"/>
      <c r="G3" s="18"/>
      <c r="H3" s="20"/>
      <c r="I3" s="18"/>
      <c r="J3" s="20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5">
    <mergeCell ref="A1:E3"/>
    <mergeCell ref="G2:H3"/>
    <mergeCell ref="G1:H1"/>
    <mergeCell ref="I1:J1"/>
    <mergeCell ref="I2:J3"/>
  </mergeCells>
  <drawing r:id="rId1"/>
</worksheet>
</file>