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ce322b128f7cb/Desktop/Dissertation_V2G/Datasets/"/>
    </mc:Choice>
  </mc:AlternateContent>
  <xr:revisionPtr revIDLastSave="0" documentId="14_{5529F3F7-B707-4E38-931B-43A4B2F8732B}" xr6:coauthVersionLast="47" xr6:coauthVersionMax="47" xr10:uidLastSave="{00000000-0000-0000-0000-000000000000}"/>
  <bookViews>
    <workbookView minimized="1" xWindow="675" yWindow="1357" windowWidth="21045" windowHeight="11250" firstSheet="2" activeTab="4" xr2:uid="{0291D393-DE97-4364-93E3-95E72A161B37}"/>
  </bookViews>
  <sheets>
    <sheet name="EV Availiblity function " sheetId="1" r:id="rId1"/>
    <sheet name="MESA model" sheetId="2" r:id="rId2"/>
    <sheet name="Dispatch with solar &amp; wind" sheetId="3" r:id="rId3"/>
    <sheet name="Participation balancing" sheetId="4" r:id="rId4"/>
    <sheet name="Balancin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4" l="1" a="1"/>
  <c r="C24" i="4" s="1"/>
  <c r="C20" i="4" a="1"/>
  <c r="C20" i="4" s="1"/>
  <c r="C42" i="3" a="1"/>
  <c r="C42" i="3" s="1"/>
  <c r="C38" i="3" a="1"/>
  <c r="C38" i="3" s="1"/>
  <c r="C4" i="4"/>
  <c r="I85" i="6" l="1" a="1"/>
  <c r="I85" i="6" s="1"/>
  <c r="J85" i="6" a="1"/>
  <c r="J85" i="6" s="1"/>
  <c r="K85" i="6" a="1"/>
  <c r="K85" i="6" s="1"/>
  <c r="L85" i="6" a="1"/>
  <c r="L85" i="6" s="1"/>
  <c r="M85" i="6" a="1"/>
  <c r="M85" i="6" s="1"/>
  <c r="N85" i="6" a="1"/>
  <c r="N85" i="6" s="1"/>
  <c r="O85" i="6" a="1"/>
  <c r="O85" i="6" s="1"/>
  <c r="P85" i="6" a="1"/>
  <c r="P85" i="6" s="1"/>
  <c r="Q85" i="6" a="1"/>
  <c r="Q85" i="6" s="1"/>
  <c r="R85" i="6" a="1"/>
  <c r="R85" i="6" s="1"/>
  <c r="S85" i="6" a="1"/>
  <c r="S85" i="6" s="1"/>
  <c r="T85" i="6" a="1"/>
  <c r="T85" i="6" s="1"/>
  <c r="I39" i="6" a="1"/>
  <c r="I39" i="6" s="1"/>
  <c r="N30" i="6" a="1"/>
  <c r="N30" i="6" s="1"/>
  <c r="M30" i="6" a="1"/>
  <c r="M30" i="6" s="1"/>
  <c r="L30" i="6" a="1"/>
  <c r="L30" i="6" s="1"/>
  <c r="K30" i="6" a="1"/>
  <c r="K30" i="6" s="1"/>
  <c r="J30" i="6" a="1"/>
  <c r="J30" i="6" s="1"/>
  <c r="I30" i="6" a="1"/>
  <c r="I30" i="6" s="1"/>
  <c r="L19" i="6" a="1"/>
  <c r="L19" i="6" s="1"/>
  <c r="K19" i="6" a="1"/>
  <c r="K19" i="6" s="1"/>
  <c r="J19" i="6" a="1"/>
  <c r="J19" i="6" s="1"/>
  <c r="C12" i="4" a="1"/>
  <c r="C12" i="4" s="1"/>
  <c r="B3" i="6"/>
  <c r="D13" i="6"/>
  <c r="D12" i="6"/>
  <c r="D9" i="6"/>
  <c r="D8" i="6"/>
  <c r="D5" i="6"/>
  <c r="D4" i="6"/>
  <c r="B13" i="6"/>
  <c r="B12" i="6"/>
  <c r="B9" i="6"/>
  <c r="B8" i="6"/>
  <c r="B5" i="6"/>
  <c r="B4" i="6"/>
  <c r="B11" i="6"/>
  <c r="B7" i="6"/>
  <c r="D4" i="4"/>
  <c r="H59" i="2"/>
  <c r="H67" i="2" a="1"/>
  <c r="H67" i="2" s="1"/>
  <c r="I59" i="2"/>
  <c r="N65" i="2"/>
  <c r="T35" i="2" a="1"/>
  <c r="T35" i="2" s="1"/>
  <c r="H35" i="2" a="1"/>
  <c r="H35" i="2" s="1"/>
  <c r="H44" i="2" s="1" a="1"/>
  <c r="H44" i="2" s="1"/>
  <c r="J22" i="2"/>
  <c r="I22" i="2"/>
  <c r="H22" i="2"/>
  <c r="J21" i="2"/>
  <c r="I21" i="2"/>
  <c r="H21" i="2"/>
  <c r="J20" i="2"/>
  <c r="I20" i="2"/>
  <c r="H20" i="2"/>
  <c r="J19" i="2"/>
  <c r="I19" i="2"/>
  <c r="H19" i="2"/>
  <c r="N5" i="1"/>
  <c r="N4" i="1"/>
  <c r="N7" i="1"/>
  <c r="N6" i="1"/>
  <c r="I11" i="2"/>
  <c r="H14" i="2"/>
  <c r="H12" i="2"/>
  <c r="H13" i="2"/>
  <c r="C2" i="1" a="1"/>
  <c r="C2" i="1" s="1"/>
  <c r="N3" i="1" s="1"/>
  <c r="F5" i="1"/>
  <c r="F4" i="1"/>
  <c r="F3" i="1"/>
  <c r="F2" i="1"/>
  <c r="F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<sst xmlns="http://schemas.openxmlformats.org/spreadsheetml/2006/main" count="353" uniqueCount="77">
  <si>
    <t>time</t>
  </si>
  <si>
    <t>flux</t>
  </si>
  <si>
    <t>Mean</t>
  </si>
  <si>
    <t xml:space="preserve">Standat Deveiation </t>
  </si>
  <si>
    <t>Max</t>
  </si>
  <si>
    <t>Min</t>
  </si>
  <si>
    <t>Max-Min</t>
  </si>
  <si>
    <t>normalized flux</t>
  </si>
  <si>
    <t>Scenario Evaluation:</t>
  </si>
  <si>
    <t xml:space="preserve">By 2050: </t>
  </si>
  <si>
    <t>Scenario-1</t>
  </si>
  <si>
    <t>Scenario-2</t>
  </si>
  <si>
    <t>Scenario-3</t>
  </si>
  <si>
    <t xml:space="preserve">80% V2G compatible </t>
  </si>
  <si>
    <t>50% V2G compatible</t>
  </si>
  <si>
    <t>30% V2G compatible</t>
  </si>
  <si>
    <t>Expected EVs in the market = 37.4million (National Grid ESO)</t>
  </si>
  <si>
    <t>V2G compatible space</t>
  </si>
  <si>
    <t>16.83million</t>
  </si>
  <si>
    <t>Participation Density:</t>
  </si>
  <si>
    <t>12AM-5AM</t>
  </si>
  <si>
    <t>5AM-10AM</t>
  </si>
  <si>
    <t>10AM-3PM</t>
  </si>
  <si>
    <t>3PM-8PM</t>
  </si>
  <si>
    <t>8PM-12AM</t>
  </si>
  <si>
    <t>(45% homespaces have V2G ability)</t>
  </si>
  <si>
    <t>in kWh (with x10 participation)(modelling constraint)</t>
  </si>
  <si>
    <t>in MWh</t>
  </si>
  <si>
    <t>Time Slot:</t>
  </si>
  <si>
    <t>in kWh</t>
  </si>
  <si>
    <t>Time</t>
  </si>
  <si>
    <t>Solar</t>
  </si>
  <si>
    <t>Wind</t>
  </si>
  <si>
    <t>Demand</t>
  </si>
  <si>
    <t>00:00-05:00</t>
  </si>
  <si>
    <t>05:00-10:00</t>
  </si>
  <si>
    <t>10:00-15:00</t>
  </si>
  <si>
    <t>15:00-20:00</t>
  </si>
  <si>
    <t>20:00-24:00</t>
  </si>
  <si>
    <t xml:space="preserve">Varying Participating </t>
  </si>
  <si>
    <t>80% V2G Participation</t>
  </si>
  <si>
    <t>50% V2G Participation</t>
  </si>
  <si>
    <t>30% V2G Participation</t>
  </si>
  <si>
    <t>50% in charging</t>
  </si>
  <si>
    <t>30% in charging</t>
  </si>
  <si>
    <t>Available</t>
  </si>
  <si>
    <t xml:space="preserve">At standard charging condition: </t>
  </si>
  <si>
    <t xml:space="preserve">V2G dispatchible density </t>
  </si>
  <si>
    <t>50% compatible</t>
  </si>
  <si>
    <t xml:space="preserve">30% compatible </t>
  </si>
  <si>
    <t>80% compatible</t>
  </si>
  <si>
    <t>80% V2G compatible</t>
  </si>
  <si>
    <t xml:space="preserve">50% V2G compatible </t>
  </si>
  <si>
    <t xml:space="preserve">30% comaptible </t>
  </si>
  <si>
    <t>50% charging</t>
  </si>
  <si>
    <t>30% charging</t>
  </si>
  <si>
    <t>4068240;9667</t>
  </si>
  <si>
    <t xml:space="preserve"> 298109;1910</t>
  </si>
  <si>
    <t>180221;372</t>
  </si>
  <si>
    <t>120124;1429</t>
  </si>
  <si>
    <t>167215;3047</t>
  </si>
  <si>
    <t>272334;2127</t>
  </si>
  <si>
    <t>378034;6628</t>
  </si>
  <si>
    <t>130301;1152</t>
  </si>
  <si>
    <t>180864;3266</t>
  </si>
  <si>
    <t>2541139;6837</t>
  </si>
  <si>
    <t>6446788; 1569</t>
  </si>
  <si>
    <t xml:space="preserve">50% Charging </t>
  </si>
  <si>
    <t>Dispatching</t>
  </si>
  <si>
    <t xml:space="preserve">Charging </t>
  </si>
  <si>
    <t>30% Charging</t>
  </si>
  <si>
    <t>**********</t>
  </si>
  <si>
    <t>MESA</t>
  </si>
  <si>
    <t xml:space="preserve">80% V2G participaation </t>
  </si>
  <si>
    <t>50% V2G participation</t>
  </si>
  <si>
    <t xml:space="preserve">30% V2G participation </t>
  </si>
  <si>
    <t>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</si>
</sst>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000000"/>
      <name val="Courier New"/>
      <family val="3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'EV Availiblity function '!$B$1</c:f>
              <c:strCache>
                <c:ptCount val="1"/>
                <c:pt idx="0">
                  <c:v>flux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'EV Availiblity function 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'EV Availiblity function '!$B$2:$B$49</c:f>
              <c:numCache>
                <c:formatCode>General</c:formatCode>
                <c:ptCount val="48"/>
                <c:pt idx="0">
                  <c:v>10</c:v>
                </c:pt>
                <c:pt idx="1">
                  <c:v>12</c:v>
                </c:pt>
                <c:pt idx="2">
                  <c:v>13</c:v>
                </c:pt>
                <c:pt idx="3">
                  <c:v>15</c:v>
                </c:pt>
                <c:pt idx="4">
                  <c:v>16</c:v>
                </c:pt>
                <c:pt idx="5">
                  <c:v>16.5</c:v>
                </c:pt>
                <c:pt idx="6">
                  <c:v>17.5</c:v>
                </c:pt>
                <c:pt idx="7">
                  <c:v>17.75</c:v>
                </c:pt>
                <c:pt idx="8">
                  <c:v>18.5</c:v>
                </c:pt>
                <c:pt idx="9">
                  <c:v>15</c:v>
                </c:pt>
                <c:pt idx="10">
                  <c:v>12</c:v>
                </c:pt>
                <c:pt idx="11">
                  <c:v>7</c:v>
                </c:pt>
                <c:pt idx="12">
                  <c:v>3</c:v>
                </c:pt>
                <c:pt idx="13">
                  <c:v>4</c:v>
                </c:pt>
                <c:pt idx="14">
                  <c:v>4.5</c:v>
                </c:pt>
                <c:pt idx="15">
                  <c:v>6.5</c:v>
                </c:pt>
                <c:pt idx="16">
                  <c:v>7</c:v>
                </c:pt>
                <c:pt idx="17">
                  <c:v>5.25</c:v>
                </c:pt>
                <c:pt idx="18">
                  <c:v>4.75</c:v>
                </c:pt>
                <c:pt idx="19">
                  <c:v>7.4</c:v>
                </c:pt>
                <c:pt idx="20">
                  <c:v>5.5</c:v>
                </c:pt>
                <c:pt idx="21">
                  <c:v>3.5</c:v>
                </c:pt>
                <c:pt idx="22">
                  <c:v>2</c:v>
                </c:pt>
                <c:pt idx="23">
                  <c:v>3.5</c:v>
                </c:pt>
                <c:pt idx="24">
                  <c:v>5</c:v>
                </c:pt>
                <c:pt idx="25">
                  <c:v>5.5</c:v>
                </c:pt>
                <c:pt idx="26">
                  <c:v>5.25</c:v>
                </c:pt>
                <c:pt idx="27">
                  <c:v>4.8</c:v>
                </c:pt>
                <c:pt idx="28">
                  <c:v>4.4000000000000004</c:v>
                </c:pt>
                <c:pt idx="29">
                  <c:v>4.2</c:v>
                </c:pt>
                <c:pt idx="30">
                  <c:v>4</c:v>
                </c:pt>
                <c:pt idx="31">
                  <c:v>3.8</c:v>
                </c:pt>
                <c:pt idx="32">
                  <c:v>3.6</c:v>
                </c:pt>
                <c:pt idx="33">
                  <c:v>3.4</c:v>
                </c:pt>
                <c:pt idx="34">
                  <c:v>2.2000000000000002</c:v>
                </c:pt>
                <c:pt idx="35">
                  <c:v>3.25</c:v>
                </c:pt>
                <c:pt idx="36">
                  <c:v>5</c:v>
                </c:pt>
                <c:pt idx="37">
                  <c:v>7</c:v>
                </c:pt>
                <c:pt idx="38">
                  <c:v>9</c:v>
                </c:pt>
                <c:pt idx="39">
                  <c:v>8.25</c:v>
                </c:pt>
                <c:pt idx="40">
                  <c:v>7.8</c:v>
                </c:pt>
                <c:pt idx="41">
                  <c:v>5.76</c:v>
                </c:pt>
                <c:pt idx="42">
                  <c:v>5</c:v>
                </c:pt>
                <c:pt idx="43">
                  <c:v>4.8</c:v>
                </c:pt>
                <c:pt idx="44">
                  <c:v>4.4000000000000004</c:v>
                </c:pt>
                <c:pt idx="45">
                  <c:v>3.8</c:v>
                </c:pt>
                <c:pt idx="46">
                  <c:v>3.4</c:v>
                </c:pt>
                <c:pt idx="4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C-482E-9D9A-CB73DE62A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34320"/>
        <c:axId val="160527248"/>
      </c:lineChart>
      <c:catAx>
        <c:axId val="160534320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27248"/>
        <c:crosses val="autoZero"/>
        <c:auto val="1"/>
        <c:lblAlgn val="ctr"/>
        <c:lblOffset val="100"/>
        <c:noMultiLvlLbl val="0"/>
      </c:catAx>
      <c:valAx>
        <c:axId val="16052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3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4246244567898E-2"/>
          <c:y val="0.18355838050364187"/>
          <c:w val="0.89655796150481193"/>
          <c:h val="0.6761424613589968"/>
        </c:manualLayout>
      </c:layout>
      <c:lineChart>
        <c:grouping val="standard"/>
        <c:varyColors val="0"/>
        <c:ser>
          <c:idx val="0"/>
          <c:order val="0"/>
          <c:tx>
            <c:strRef>
              <c:f>'EV Availiblity function '!$C$1</c:f>
              <c:strCache>
                <c:ptCount val="1"/>
                <c:pt idx="0">
                  <c:v>normalized flux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'EV Availiblity function '!$A$2:$A$49</c:f>
              <c:numCache>
                <c:formatCode>h:mm</c:formatCode>
                <c:ptCount val="48"/>
                <c:pt idx="0">
                  <c:v>0</c:v>
                </c:pt>
                <c:pt idx="1">
                  <c:v>2.0833333333333332E-2</c:v>
                </c:pt>
                <c:pt idx="2">
                  <c:v>4.1666666666666664E-2</c:v>
                </c:pt>
                <c:pt idx="3">
                  <c:v>6.25E-2</c:v>
                </c:pt>
                <c:pt idx="4">
                  <c:v>8.3333333333333329E-2</c:v>
                </c:pt>
                <c:pt idx="5">
                  <c:v>0.10416666666666667</c:v>
                </c:pt>
                <c:pt idx="6">
                  <c:v>0.125</c:v>
                </c:pt>
                <c:pt idx="7">
                  <c:v>0.14583333333333334</c:v>
                </c:pt>
                <c:pt idx="8">
                  <c:v>0.16666666666666666</c:v>
                </c:pt>
                <c:pt idx="9">
                  <c:v>0.1875</c:v>
                </c:pt>
                <c:pt idx="10">
                  <c:v>0.20833333333333334</c:v>
                </c:pt>
                <c:pt idx="11">
                  <c:v>0.22916666666666666</c:v>
                </c:pt>
                <c:pt idx="12">
                  <c:v>0.25</c:v>
                </c:pt>
                <c:pt idx="13">
                  <c:v>0.27083333333333331</c:v>
                </c:pt>
                <c:pt idx="14">
                  <c:v>0.29166666666666669</c:v>
                </c:pt>
                <c:pt idx="15">
                  <c:v>0.3125</c:v>
                </c:pt>
                <c:pt idx="16">
                  <c:v>0.33333333333333331</c:v>
                </c:pt>
                <c:pt idx="17">
                  <c:v>0.35416666666666669</c:v>
                </c:pt>
                <c:pt idx="18">
                  <c:v>0.375</c:v>
                </c:pt>
                <c:pt idx="19">
                  <c:v>0.39583333333333331</c:v>
                </c:pt>
                <c:pt idx="20">
                  <c:v>0.41666666666666669</c:v>
                </c:pt>
                <c:pt idx="21">
                  <c:v>0.4375</c:v>
                </c:pt>
                <c:pt idx="22">
                  <c:v>0.45833333333333331</c:v>
                </c:pt>
                <c:pt idx="23">
                  <c:v>0.47916666666666669</c:v>
                </c:pt>
                <c:pt idx="24">
                  <c:v>0.5</c:v>
                </c:pt>
                <c:pt idx="25">
                  <c:v>0.52083333333333337</c:v>
                </c:pt>
                <c:pt idx="26">
                  <c:v>0.54166666666666663</c:v>
                </c:pt>
                <c:pt idx="27">
                  <c:v>0.5625</c:v>
                </c:pt>
                <c:pt idx="28">
                  <c:v>0.58333333333333337</c:v>
                </c:pt>
                <c:pt idx="29">
                  <c:v>0.60416666666666663</c:v>
                </c:pt>
                <c:pt idx="30">
                  <c:v>0.625</c:v>
                </c:pt>
                <c:pt idx="31">
                  <c:v>0.64583333333333337</c:v>
                </c:pt>
                <c:pt idx="32">
                  <c:v>0.66666666666666663</c:v>
                </c:pt>
                <c:pt idx="33">
                  <c:v>0.6875</c:v>
                </c:pt>
                <c:pt idx="34">
                  <c:v>0.70833333333333337</c:v>
                </c:pt>
                <c:pt idx="35">
                  <c:v>0.72916666666666663</c:v>
                </c:pt>
                <c:pt idx="36">
                  <c:v>0.75</c:v>
                </c:pt>
                <c:pt idx="37">
                  <c:v>0.77083333333333337</c:v>
                </c:pt>
                <c:pt idx="38">
                  <c:v>0.79166666666666663</c:v>
                </c:pt>
                <c:pt idx="39">
                  <c:v>0.8125</c:v>
                </c:pt>
                <c:pt idx="40">
                  <c:v>0.83333333333333337</c:v>
                </c:pt>
                <c:pt idx="41">
                  <c:v>0.85416666666666663</c:v>
                </c:pt>
                <c:pt idx="42">
                  <c:v>0.875</c:v>
                </c:pt>
                <c:pt idx="43">
                  <c:v>0.89583333333333337</c:v>
                </c:pt>
                <c:pt idx="44">
                  <c:v>0.91666666666666663</c:v>
                </c:pt>
                <c:pt idx="45">
                  <c:v>0.9375</c:v>
                </c:pt>
                <c:pt idx="46">
                  <c:v>0.95833333333333337</c:v>
                </c:pt>
                <c:pt idx="47">
                  <c:v>0.97916666666666663</c:v>
                </c:pt>
              </c:numCache>
            </c:numRef>
          </c:cat>
          <c:val>
            <c:numRef>
              <c:f>'EV Availiblity function '!$C$2:$C$49</c:f>
              <c:numCache>
                <c:formatCode>General</c:formatCode>
                <c:ptCount val="48"/>
                <c:pt idx="0">
                  <c:v>0.48484848484848486</c:v>
                </c:pt>
                <c:pt idx="1">
                  <c:v>0.60606060606060608</c:v>
                </c:pt>
                <c:pt idx="2">
                  <c:v>0.66666666666666663</c:v>
                </c:pt>
                <c:pt idx="3">
                  <c:v>0.78787878787878785</c:v>
                </c:pt>
                <c:pt idx="4">
                  <c:v>0.84848484848484851</c:v>
                </c:pt>
                <c:pt idx="5">
                  <c:v>0.87878787878787878</c:v>
                </c:pt>
                <c:pt idx="6">
                  <c:v>0.93939393939393945</c:v>
                </c:pt>
                <c:pt idx="7">
                  <c:v>0.95454545454545459</c:v>
                </c:pt>
                <c:pt idx="8">
                  <c:v>1</c:v>
                </c:pt>
                <c:pt idx="9">
                  <c:v>0.78787878787878785</c:v>
                </c:pt>
                <c:pt idx="10">
                  <c:v>0.60606060606060608</c:v>
                </c:pt>
                <c:pt idx="11">
                  <c:v>0.30303030303030304</c:v>
                </c:pt>
                <c:pt idx="12">
                  <c:v>6.0606060606060608E-2</c:v>
                </c:pt>
                <c:pt idx="13">
                  <c:v>0.12121212121212122</c:v>
                </c:pt>
                <c:pt idx="14">
                  <c:v>0.15151515151515152</c:v>
                </c:pt>
                <c:pt idx="15">
                  <c:v>0.27272727272727271</c:v>
                </c:pt>
                <c:pt idx="16">
                  <c:v>0.30303030303030304</c:v>
                </c:pt>
                <c:pt idx="17">
                  <c:v>0.19696969696969696</c:v>
                </c:pt>
                <c:pt idx="18">
                  <c:v>0.16666666666666666</c:v>
                </c:pt>
                <c:pt idx="19">
                  <c:v>0.32727272727272727</c:v>
                </c:pt>
                <c:pt idx="20">
                  <c:v>0.21212121212121213</c:v>
                </c:pt>
                <c:pt idx="21">
                  <c:v>9.0909090909090912E-2</c:v>
                </c:pt>
                <c:pt idx="22">
                  <c:v>0</c:v>
                </c:pt>
                <c:pt idx="23">
                  <c:v>9.0909090909090912E-2</c:v>
                </c:pt>
                <c:pt idx="24">
                  <c:v>0.18181818181818182</c:v>
                </c:pt>
                <c:pt idx="25">
                  <c:v>0.21212121212121213</c:v>
                </c:pt>
                <c:pt idx="26">
                  <c:v>0.19696969696969696</c:v>
                </c:pt>
                <c:pt idx="27">
                  <c:v>0.16969696969696968</c:v>
                </c:pt>
                <c:pt idx="28">
                  <c:v>0.14545454545454548</c:v>
                </c:pt>
                <c:pt idx="29">
                  <c:v>0.13333333333333333</c:v>
                </c:pt>
                <c:pt idx="30">
                  <c:v>0.12121212121212122</c:v>
                </c:pt>
                <c:pt idx="31">
                  <c:v>0.10909090909090909</c:v>
                </c:pt>
                <c:pt idx="32">
                  <c:v>9.696969696969697E-2</c:v>
                </c:pt>
                <c:pt idx="33">
                  <c:v>8.484848484848484E-2</c:v>
                </c:pt>
                <c:pt idx="34">
                  <c:v>1.2121212121212132E-2</c:v>
                </c:pt>
                <c:pt idx="35">
                  <c:v>7.575757575757576E-2</c:v>
                </c:pt>
                <c:pt idx="36">
                  <c:v>0.18181818181818182</c:v>
                </c:pt>
                <c:pt idx="37">
                  <c:v>0.30303030303030304</c:v>
                </c:pt>
                <c:pt idx="38">
                  <c:v>0.42424242424242425</c:v>
                </c:pt>
                <c:pt idx="39">
                  <c:v>0.37878787878787878</c:v>
                </c:pt>
                <c:pt idx="40">
                  <c:v>0.3515151515151515</c:v>
                </c:pt>
                <c:pt idx="41">
                  <c:v>0.22787878787878788</c:v>
                </c:pt>
                <c:pt idx="42">
                  <c:v>0.18181818181818182</c:v>
                </c:pt>
                <c:pt idx="43">
                  <c:v>0.16969696969696968</c:v>
                </c:pt>
                <c:pt idx="44">
                  <c:v>0.14545454545454548</c:v>
                </c:pt>
                <c:pt idx="45">
                  <c:v>0.10909090909090909</c:v>
                </c:pt>
                <c:pt idx="46">
                  <c:v>8.484848484848484E-2</c:v>
                </c:pt>
                <c:pt idx="47">
                  <c:v>6.0606060606060608E-2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5-452E-8EB0-728409CB1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763231"/>
        <c:axId val="1252757823"/>
      </c:lineChart>
      <c:catAx>
        <c:axId val="1252763231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57823"/>
        <c:crosses val="autoZero"/>
        <c:auto val="1"/>
        <c:lblAlgn val="ctr"/>
        <c:lblOffset val="100"/>
        <c:noMultiLvlLbl val="0"/>
      </c:catAx>
      <c:valAx>
        <c:axId val="12527578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632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7995960888584"/>
          <c:y val="1.2095093933712763E-2"/>
          <c:w val="0.89320038436826343"/>
          <c:h val="0.699674445307295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'MESA model'!$H$66</c:f>
              <c:strCache>
                <c:ptCount val="1"/>
                <c:pt idx="0">
                  <c:v>80% V2G compatible 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'MESA model'!$H$67:$H$71</c:f>
              <c:numCache>
                <c:formatCode>General</c:formatCode>
                <c:ptCount val="5"/>
                <c:pt idx="0">
                  <c:v>12396.77556</c:v>
                </c:pt>
                <c:pt idx="1">
                  <c:v>5002.3297499999999</c:v>
                </c:pt>
                <c:pt idx="2">
                  <c:v>3092.7811800000004</c:v>
                </c:pt>
                <c:pt idx="3">
                  <c:v>4766.79054</c:v>
                </c:pt>
                <c:pt idx="4">
                  <c:v>3312.5797800000005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0D-49FE-ACF7-B8029868DB4A}"/>
            </c:ext>
          </c:extLst>
        </c:ser>
        <c:ser>
          <c:idx val="1"/>
          <c:order val="1"/>
          <c:tx>
            <c:strRef>
              <c:f>'MESA model'!$I$66</c:f>
              <c:strCache>
                <c:ptCount val="1"/>
                <c:pt idx="0">
                  <c:v>50% V2G compatible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'MESA model'!$I$67:$I$71</c:f>
              <c:numCache>
                <c:formatCode>General</c:formatCode>
                <c:ptCount val="5"/>
                <c:pt idx="0">
                  <c:v>10717.704</c:v>
                </c:pt>
                <c:pt idx="1">
                  <c:v>3126.0200100000002</c:v>
                </c:pt>
                <c:pt idx="2">
                  <c:v>1932.5391000000002</c:v>
                </c:pt>
                <c:pt idx="3">
                  <c:v>2977.1736299999998</c:v>
                </c:pt>
                <c:pt idx="4">
                  <c:v>1936.9729500000001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D-49FE-ACF7-B8029868DB4A}"/>
            </c:ext>
          </c:extLst>
        </c:ser>
        <c:ser>
          <c:idx val="2"/>
          <c:order val="2"/>
          <c:tx>
            <c:strRef>
              <c:f>'MESA model'!$J$66</c:f>
              <c:strCache>
                <c:ptCount val="1"/>
                <c:pt idx="0">
                  <c:v>30% V2G compatible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'MESA model'!$G$67:$G$71</c:f>
              <c:strCache>
                <c:ptCount val="5"/>
                <c:pt idx="0">
                  <c:v>12AM-5AM</c:v>
                </c:pt>
                <c:pt idx="1">
                  <c:v>5AM-10AM</c:v>
                </c:pt>
                <c:pt idx="2">
                  <c:v>10AM-3PM</c:v>
                </c:pt>
                <c:pt idx="3">
                  <c:v>3PM-8PM</c:v>
                </c:pt>
                <c:pt idx="4">
                  <c:v>8PM-12AM</c:v>
                </c:pt>
              </c:strCache>
            </c:strRef>
          </c:cat>
          <c:val>
            <c:numRef>
              <c:f>'MESA model'!$J$67:$J$71</c:f>
              <c:numCache>
                <c:formatCode>General</c:formatCode>
                <c:ptCount val="5"/>
                <c:pt idx="0">
                  <c:v>6876.4871700000003</c:v>
                </c:pt>
                <c:pt idx="1">
                  <c:v>1875.0813600000001</c:v>
                </c:pt>
                <c:pt idx="2">
                  <c:v>1160.3588999999999</c:v>
                </c:pt>
                <c:pt idx="3">
                  <c:v>1783.24668</c:v>
                </c:pt>
                <c:pt idx="4">
                  <c:v>1160.60493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0D-49FE-ACF7-B8029868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796863"/>
        <c:axId val="1252797279"/>
      </c:barChart>
      <c:catAx>
        <c:axId val="125279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7279"/>
        <c:crosses val="autoZero"/>
        <c:auto val="1"/>
        <c:lblAlgn val="ctr"/>
        <c:lblOffset val="100"/>
        <c:noMultiLvlLbl val="0"/>
      </c:catAx>
      <c:valAx>
        <c:axId val="12527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79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'Dispatch with solar &amp; wind'!$B$38</c:f>
              <c:strCache>
                <c:ptCount val="1"/>
                <c:pt idx="0">
                  <c:v>00:00-05:00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wind'!$C$38:$G$38</c:f>
              <c:numCache>
                <c:formatCode>General</c:formatCode>
                <c:ptCount val="5"/>
                <c:pt idx="0">
                  <c:v>1.23945205479452</c:v>
                </c:pt>
                <c:pt idx="1">
                  <c:v>3079.3753424657543</c:v>
                </c:pt>
                <c:pt idx="2">
                  <c:v>2479.3551120000002</c:v>
                </c:pt>
                <c:pt idx="3">
                  <c:v>2143.5407999999998</c:v>
                </c:pt>
                <c:pt idx="4">
                  <c:v>1375.2974340000001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1-4124-86C5-6AF1406C5602}"/>
            </c:ext>
          </c:extLst>
        </c:ser>
        <c:ser>
          <c:idx val="1"/>
          <c:order val="1"/>
          <c:tx>
            <c:strRef>
              <c:f>'Dispatch with solar &amp; wind'!$B$39</c:f>
              <c:strCache>
                <c:ptCount val="1"/>
                <c:pt idx="0">
                  <c:v>05:00-10:00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wind'!$C$39:$G$39</c:f>
              <c:numCache>
                <c:formatCode>General</c:formatCode>
                <c:ptCount val="5"/>
                <c:pt idx="0">
                  <c:v>2503.5528767123278</c:v>
                </c:pt>
                <c:pt idx="1">
                  <c:v>2928.7309589041079</c:v>
                </c:pt>
                <c:pt idx="2">
                  <c:v>1000.46595</c:v>
                </c:pt>
                <c:pt idx="3">
                  <c:v>625.20400200000006</c:v>
                </c:pt>
                <c:pt idx="4">
                  <c:v>375.01627200000001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01-4124-86C5-6AF1406C5602}"/>
            </c:ext>
          </c:extLst>
        </c:ser>
        <c:ser>
          <c:idx val="2"/>
          <c:order val="2"/>
          <c:tx>
            <c:strRef>
              <c:f>'Dispatch with solar &amp; wind'!$B$40</c:f>
              <c:strCache>
                <c:ptCount val="1"/>
                <c:pt idx="0">
                  <c:v>10:00-15:00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wind'!$C$40:$G$40</c:f>
              <c:numCache>
                <c:formatCode>General</c:formatCode>
                <c:ptCount val="5"/>
                <c:pt idx="0">
                  <c:v>7553.9671232876699</c:v>
                </c:pt>
                <c:pt idx="1">
                  <c:v>3443.3320547945236</c:v>
                </c:pt>
                <c:pt idx="2">
                  <c:v>618.55623600000013</c:v>
                </c:pt>
                <c:pt idx="3">
                  <c:v>386.50782000000004</c:v>
                </c:pt>
                <c:pt idx="4">
                  <c:v>232.07177999999999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01-4124-86C5-6AF1406C5602}"/>
            </c:ext>
          </c:extLst>
        </c:ser>
        <c:ser>
          <c:idx val="3"/>
          <c:order val="3"/>
          <c:tx>
            <c:strRef>
              <c:f>'Dispatch with solar &amp; wind'!$B$41</c:f>
              <c:strCache>
                <c:ptCount val="1"/>
                <c:pt idx="0">
                  <c:v>15:00-20:00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wind'!$C$41:$G$41</c:f>
              <c:numCache>
                <c:formatCode>General</c:formatCode>
                <c:ptCount val="5"/>
                <c:pt idx="0">
                  <c:v>2234.0158904109599</c:v>
                </c:pt>
                <c:pt idx="1">
                  <c:v>3192.0219178082198</c:v>
                </c:pt>
                <c:pt idx="2">
                  <c:v>953.35810800000002</c:v>
                </c:pt>
                <c:pt idx="3">
                  <c:v>595.43472599999996</c:v>
                </c:pt>
                <c:pt idx="4">
                  <c:v>356.64933600000001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01-4124-86C5-6AF1406C5602}"/>
            </c:ext>
          </c:extLst>
        </c:ser>
        <c:ser>
          <c:idx val="4"/>
          <c:order val="4"/>
          <c:tx>
            <c:strRef>
              <c:f>'Dispatch with solar &amp; wind'!$B$42</c:f>
              <c:strCache>
                <c:ptCount val="1"/>
                <c:pt idx="0">
                  <c:v>20:00-24:00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'Dispatch with solar &amp; wind'!$C$37:$G$37</c:f>
              <c:strCache>
                <c:ptCount val="5"/>
                <c:pt idx="0">
                  <c:v>Solar</c:v>
                </c:pt>
                <c:pt idx="1">
                  <c:v>Wind</c:v>
                </c:pt>
                <c:pt idx="2">
                  <c:v>80% V2G compatible </c:v>
                </c:pt>
                <c:pt idx="3">
                  <c:v>50% V2G compatible</c:v>
                </c:pt>
                <c:pt idx="4">
                  <c:v>30% V2G compatible</c:v>
                </c:pt>
              </c:strCache>
            </c:strRef>
          </c:cat>
          <c:val>
            <c:numRef>
              <c:f>'Dispatch with solar &amp; wind'!$C$42:$G$42</c:f>
              <c:numCache>
                <c:formatCode>General</c:formatCode>
                <c:ptCount val="5"/>
                <c:pt idx="0">
                  <c:v>23.347260273972612</c:v>
                </c:pt>
                <c:pt idx="1">
                  <c:v>2871.956971624265</c:v>
                </c:pt>
                <c:pt idx="2">
                  <c:v>828.14494500000012</c:v>
                </c:pt>
                <c:pt idx="3">
                  <c:v>484.24323750000002</c:v>
                </c:pt>
                <c:pt idx="4">
                  <c:v>290.15123249999999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01-4124-86C5-6AF1406C5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22689327"/>
        <c:axId val="322677679"/>
      </c:barChart>
      <c:catAx>
        <c:axId val="32268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77679"/>
        <c:crosses val="autoZero"/>
        <c:auto val="1"/>
        <c:lblAlgn val="ctr"/>
        <c:lblOffset val="100"/>
        <c:noMultiLvlLbl val="0"/>
      </c:catAx>
      <c:valAx>
        <c:axId val="322677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68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At 80% V2G</a:t>
            </a:r>
            <a:r>
              <a:rPr lang="en-GB" baseline="0"/>
              <a:t> scenario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5790893530198E-2"/>
          <c:y val="0.13160710009971613"/>
          <c:w val="0.8901132439504339"/>
          <c:h val="0.645659136317142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Balancing!$H$85</c:f>
              <c:strCache>
                <c:ptCount val="1"/>
                <c:pt idx="0">
                  <c:v>12AM-5AM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Balancing!$I$83:$L$84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Balancing!$I$85:$L$85</c:f>
              <c:numCache>
                <c:formatCode>General</c:formatCode>
                <c:ptCount val="4"/>
                <c:pt idx="0">
                  <c:v>6997.3728000000001</c:v>
                </c:pt>
                <c:pt idx="1">
                  <c:v>-48.335000000000001</c:v>
                </c:pt>
                <c:pt idx="2">
                  <c:v>11088.47536</c:v>
                </c:pt>
                <c:pt idx="3">
                  <c:v>7.8449999999999998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41-4D22-B396-4CC3584553E6}"/>
            </c:ext>
          </c:extLst>
        </c:ser>
        <c:ser>
          <c:idx val="1"/>
          <c:order val="1"/>
          <c:tx>
            <c:strRef>
              <c:f>Balancing!$H$86</c:f>
              <c:strCache>
                <c:ptCount val="1"/>
                <c:pt idx="0">
                  <c:v>5AM-10AM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Balancing!$I$83:$L$84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Balancing!$I$86:$L$86</c:f>
              <c:numCache>
                <c:formatCode>General</c:formatCode>
                <c:ptCount val="4"/>
                <c:pt idx="0">
                  <c:v>512.74748</c:v>
                </c:pt>
                <c:pt idx="1">
                  <c:v>-9.5500000000000007</c:v>
                </c:pt>
                <c:pt idx="2">
                  <c:v>309.98012</c:v>
                </c:pt>
                <c:pt idx="3">
                  <c:v>1.86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41-4D22-B396-4CC3584553E6}"/>
            </c:ext>
          </c:extLst>
        </c:ser>
        <c:ser>
          <c:idx val="2"/>
          <c:order val="2"/>
          <c:tx>
            <c:strRef>
              <c:f>Balancing!$H$87</c:f>
              <c:strCache>
                <c:ptCount val="1"/>
                <c:pt idx="0">
                  <c:v>10AM-3PM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Balancing!$I$83:$L$84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Balancing!$I$87:$L$87</c:f>
              <c:numCache>
                <c:formatCode>General</c:formatCode>
                <c:ptCount val="4"/>
                <c:pt idx="0">
                  <c:v>206.61328</c:v>
                </c:pt>
                <c:pt idx="1">
                  <c:v>-7.1450000000000005</c:v>
                </c:pt>
                <c:pt idx="2">
                  <c:v>287.60980000000001</c:v>
                </c:pt>
                <c:pt idx="3">
                  <c:v>15.234999999999999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41-4D22-B396-4CC3584553E6}"/>
            </c:ext>
          </c:extLst>
        </c:ser>
        <c:ser>
          <c:idx val="3"/>
          <c:order val="3"/>
          <c:tx>
            <c:strRef>
              <c:f>Balancing!$H$88</c:f>
              <c:strCache>
                <c:ptCount val="1"/>
                <c:pt idx="0">
                  <c:v>3PM-8PM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Balancing!$I$83:$L$84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Balancing!$I$88:$L$88</c:f>
              <c:numCache>
                <c:formatCode>General</c:formatCode>
                <c:ptCount val="4"/>
                <c:pt idx="0">
                  <c:v>468.41447999999997</c:v>
                </c:pt>
                <c:pt idx="1">
                  <c:v>-10.635</c:v>
                </c:pt>
                <c:pt idx="2">
                  <c:v>650.21848</c:v>
                </c:pt>
                <c:pt idx="3">
                  <c:v>33.14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41-4D22-B396-4CC3584553E6}"/>
            </c:ext>
          </c:extLst>
        </c:ser>
        <c:ser>
          <c:idx val="4"/>
          <c:order val="4"/>
          <c:tx>
            <c:strRef>
              <c:f>Balancing!$H$89</c:f>
              <c:strCache>
                <c:ptCount val="1"/>
                <c:pt idx="0">
                  <c:v>8PM-12AM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Balancing!$I$83:$L$84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Balancing!$I$89:$L$89</c:f>
              <c:numCache>
                <c:formatCode>General</c:formatCode>
                <c:ptCount val="4"/>
                <c:pt idx="0">
                  <c:v>224.11772000000002</c:v>
                </c:pt>
                <c:pt idx="1">
                  <c:v>-5.76</c:v>
                </c:pt>
                <c:pt idx="2">
                  <c:v>311.08608000000004</c:v>
                </c:pt>
                <c:pt idx="3">
                  <c:v>16.330000000000002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41-4D22-B396-4CC358455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2753184"/>
        <c:axId val="1772741536"/>
      </c:barChart>
      <c:catAx>
        <c:axId val="177275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41536"/>
        <c:crosses val="autoZero"/>
        <c:auto val="1"/>
        <c:lblAlgn val="ctr"/>
        <c:lblOffset val="100"/>
        <c:noMultiLvlLbl val="0"/>
      </c:catAx>
      <c:valAx>
        <c:axId val="17727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75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50% V2G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Balancing!$N$99</c:f>
              <c:strCache>
                <c:ptCount val="1"/>
                <c:pt idx="0">
                  <c:v>12AM-5AM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Balancing!$O$97:$R$98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Balancing!$O$99:$R$99</c:f>
              <c:numCache>
                <c:formatCode>General</c:formatCode>
                <c:ptCount val="4"/>
                <c:pt idx="0">
                  <c:v>6102.0267999999996</c:v>
                </c:pt>
                <c:pt idx="1">
                  <c:v>36.61</c:v>
                </c:pt>
                <c:pt idx="2">
                  <c:v>9886.1334399999996</c:v>
                </c:pt>
                <c:pt idx="3">
                  <c:v>5.7350000000000003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D-4A15-BD49-C7A877A366D2}"/>
            </c:ext>
          </c:extLst>
        </c:ser>
        <c:ser>
          <c:idx val="1"/>
          <c:order val="1"/>
          <c:tx>
            <c:strRef>
              <c:f>Balancing!$N$100</c:f>
              <c:strCache>
                <c:ptCount val="1"/>
                <c:pt idx="0">
                  <c:v>5AM-10AM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Balancing!$O$97:$R$98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Balancing!$O$100:$R$100</c:f>
              <c:numCache>
                <c:formatCode>General</c:formatCode>
                <c:ptCount val="4"/>
                <c:pt idx="0">
                  <c:v>369.28744</c:v>
                </c:pt>
                <c:pt idx="1">
                  <c:v>7.3500000000000005</c:v>
                </c:pt>
                <c:pt idx="2">
                  <c:v>252.24144000000001</c:v>
                </c:pt>
                <c:pt idx="3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D-4A15-BD49-C7A877A366D2}"/>
            </c:ext>
          </c:extLst>
        </c:ser>
        <c:ser>
          <c:idx val="2"/>
          <c:order val="2"/>
          <c:tx>
            <c:strRef>
              <c:f>Balancing!$N$101</c:f>
              <c:strCache>
                <c:ptCount val="1"/>
                <c:pt idx="0">
                  <c:v>10AM-3PM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Balancing!$O$97:$R$98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Balancing!$O$101:$R$101</c:f>
              <c:numCache>
                <c:formatCode>General</c:formatCode>
                <c:ptCount val="4"/>
                <c:pt idx="0">
                  <c:v>173.78879999999998</c:v>
                </c:pt>
                <c:pt idx="1">
                  <c:v>5.6950000000000003</c:v>
                </c:pt>
                <c:pt idx="2">
                  <c:v>238.63623999999999</c:v>
                </c:pt>
                <c:pt idx="3">
                  <c:v>14.23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DD-4A15-BD49-C7A877A366D2}"/>
            </c:ext>
          </c:extLst>
        </c:ser>
        <c:ser>
          <c:idx val="3"/>
          <c:order val="3"/>
          <c:tx>
            <c:strRef>
              <c:f>Balancing!$N$102</c:f>
              <c:strCache>
                <c:ptCount val="1"/>
                <c:pt idx="0">
                  <c:v>3PM-8PM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Balancing!$O$97:$R$98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Balancing!$O$102:$R$102</c:f>
              <c:numCache>
                <c:formatCode>General</c:formatCode>
                <c:ptCount val="4"/>
                <c:pt idx="0">
                  <c:v>368.37756000000002</c:v>
                </c:pt>
                <c:pt idx="1">
                  <c:v>9.370000000000001</c:v>
                </c:pt>
                <c:pt idx="2">
                  <c:v>541.39407999999992</c:v>
                </c:pt>
                <c:pt idx="3">
                  <c:v>31.12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DD-4A15-BD49-C7A877A366D2}"/>
            </c:ext>
          </c:extLst>
        </c:ser>
        <c:ser>
          <c:idx val="4"/>
          <c:order val="4"/>
          <c:tx>
            <c:strRef>
              <c:f>Balancing!$N$103</c:f>
              <c:strCache>
                <c:ptCount val="1"/>
                <c:pt idx="0">
                  <c:v>8PM-12AM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Balancing!$O$97:$R$98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Balancing!$O$103:$R$103</c:f>
              <c:numCache>
                <c:formatCode>General</c:formatCode>
                <c:ptCount val="4"/>
                <c:pt idx="0">
                  <c:v>180.15279999999998</c:v>
                </c:pt>
                <c:pt idx="1">
                  <c:v>4.3250000000000002</c:v>
                </c:pt>
                <c:pt idx="2">
                  <c:v>208.09248000000002</c:v>
                </c:pt>
                <c:pt idx="3">
                  <c:v>14.370000000000001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DD-4A15-BD49-C7A877A36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9708944"/>
        <c:axId val="1769709360"/>
      </c:barChart>
      <c:catAx>
        <c:axId val="176970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09360"/>
        <c:crosses val="autoZero"/>
        <c:auto val="1"/>
        <c:lblAlgn val="ctr"/>
        <c:lblOffset val="100"/>
        <c:noMultiLvlLbl val="0"/>
      </c:catAx>
      <c:valAx>
        <c:axId val="176970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70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30% V2G</a:t>
            </a:r>
            <a:r>
              <a:rPr lang="en-GB" baseline="0"/>
              <a:t> scenario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Balancing!$U$106</c:f>
              <c:strCache>
                <c:ptCount val="1"/>
                <c:pt idx="0">
                  <c:v>12AM-5AM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Balancing!$V$104:$Y$105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Balancing!$V$106:$Y$106</c:f>
              <c:numCache>
                <c:formatCode>General</c:formatCode>
                <c:ptCount val="4"/>
                <c:pt idx="0">
                  <c:v>4365.6076800000001</c:v>
                </c:pt>
                <c:pt idx="1">
                  <c:v>35.015000000000001</c:v>
                </c:pt>
                <c:pt idx="2">
                  <c:v>8334.005439999999</c:v>
                </c:pt>
                <c:pt idx="3">
                  <c:v>4.8250000000000002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C6-4254-8426-99486276B64A}"/>
            </c:ext>
          </c:extLst>
        </c:ser>
        <c:ser>
          <c:idx val="1"/>
          <c:order val="1"/>
          <c:tx>
            <c:strRef>
              <c:f>Balancing!$U$107</c:f>
              <c:strCache>
                <c:ptCount val="1"/>
                <c:pt idx="0">
                  <c:v>5AM-10AM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Balancing!$V$104:$Y$105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Balancing!$V$107:$Y$107</c:f>
              <c:numCache>
                <c:formatCode>General</c:formatCode>
                <c:ptCount val="4"/>
                <c:pt idx="0">
                  <c:v>282.56847999999997</c:v>
                </c:pt>
                <c:pt idx="1">
                  <c:v>4.82</c:v>
                </c:pt>
                <c:pt idx="2">
                  <c:v>162.63976000000002</c:v>
                </c:pt>
                <c:pt idx="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C6-4254-8426-99486276B64A}"/>
            </c:ext>
          </c:extLst>
        </c:ser>
        <c:ser>
          <c:idx val="2"/>
          <c:order val="2"/>
          <c:tx>
            <c:strRef>
              <c:f>Balancing!$U$108</c:f>
              <c:strCache>
                <c:ptCount val="1"/>
                <c:pt idx="0">
                  <c:v>10AM-3PM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Balancing!$V$104:$Y$105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Balancing!$V$108:$Y$108</c:f>
              <c:numCache>
                <c:formatCode>General</c:formatCode>
                <c:ptCount val="4"/>
                <c:pt idx="0">
                  <c:v>166.06084000000001</c:v>
                </c:pt>
                <c:pt idx="1">
                  <c:v>4.375</c:v>
                </c:pt>
                <c:pt idx="2">
                  <c:v>128.40144000000001</c:v>
                </c:pt>
                <c:pt idx="3">
                  <c:v>10.734999999999999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C6-4254-8426-99486276B64A}"/>
            </c:ext>
          </c:extLst>
        </c:ser>
        <c:ser>
          <c:idx val="3"/>
          <c:order val="3"/>
          <c:tx>
            <c:strRef>
              <c:f>Balancing!$U$109</c:f>
              <c:strCache>
                <c:ptCount val="1"/>
                <c:pt idx="0">
                  <c:v>3PM-8PM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Balancing!$V$104:$Y$105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Balancing!$V$109:$Y$109</c:f>
              <c:numCache>
                <c:formatCode>General</c:formatCode>
                <c:ptCount val="4"/>
                <c:pt idx="0">
                  <c:v>248.97344000000001</c:v>
                </c:pt>
                <c:pt idx="1">
                  <c:v>7.2350000000000003</c:v>
                </c:pt>
                <c:pt idx="2">
                  <c:v>442.87592000000001</c:v>
                </c:pt>
                <c:pt idx="3">
                  <c:v>23.89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C6-4254-8426-99486276B64A}"/>
            </c:ext>
          </c:extLst>
        </c:ser>
        <c:ser>
          <c:idx val="4"/>
          <c:order val="4"/>
          <c:tx>
            <c:strRef>
              <c:f>Balancing!$U$110</c:f>
              <c:strCache>
                <c:ptCount val="1"/>
                <c:pt idx="0">
                  <c:v>8PM-12AM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Balancing!$V$104:$Y$105</c:f>
              <c:multiLvlStrCache>
                <c:ptCount val="4"/>
                <c:lvl>
                  <c:pt idx="0">
                    <c:v>Dispatching</c:v>
                  </c:pt>
                  <c:pt idx="1">
                    <c:v>Charging </c:v>
                  </c:pt>
                  <c:pt idx="2">
                    <c:v>Dispatching</c:v>
                  </c:pt>
                  <c:pt idx="3">
                    <c:v>Charging </c:v>
                  </c:pt>
                </c:lvl>
                <c:lvl>
                  <c:pt idx="0">
                    <c:v>50% Charging </c:v>
                  </c:pt>
                  <c:pt idx="2">
                    <c:v>30% Charging</c:v>
                  </c:pt>
                </c:lvl>
              </c:multiLvlStrCache>
            </c:multiLvlStrRef>
          </c:cat>
          <c:val>
            <c:numRef>
              <c:f>Balancing!$V$110:$Y$110</c:f>
              <c:numCache>
                <c:formatCode>General</c:formatCode>
                <c:ptCount val="4"/>
                <c:pt idx="0">
                  <c:v>129.93224000000001</c:v>
                </c:pt>
                <c:pt idx="1">
                  <c:v>2.7250000000000001</c:v>
                </c:pt>
                <c:pt idx="2">
                  <c:v>167.69311999999999</c:v>
                </c:pt>
                <c:pt idx="3">
                  <c:v>9.9350000000000005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C6-4254-8426-99486276B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0623536"/>
        <c:axId val="1810624784"/>
      </c:barChart>
      <c:catAx>
        <c:axId val="181062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24784"/>
        <c:crosses val="autoZero"/>
        <c:auto val="1"/>
        <c:lblAlgn val="ctr"/>
        <c:lblOffset val="100"/>
        <c:noMultiLvlLbl val="0"/>
      </c:catAx>
      <c:valAx>
        <c:axId val="181062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2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288131</xdr:colOff>
      <xdr:row>11</xdr:row>
      <xdr:rowOff>78582</xdr:rowOff>
    </xdr:from>
    <xdr:to>
      <xdr:col>11</xdr:col>
      <xdr:colOff>326231</xdr:colOff>
      <xdr:row>26</xdr:row>
      <xdr:rowOff>107157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7E8781F-DED6-A1BB-D451-725352CF69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259554</xdr:colOff>
      <xdr:row>28</xdr:row>
      <xdr:rowOff>95249</xdr:rowOff>
    </xdr:from>
    <xdr:to>
      <xdr:col>13</xdr:col>
      <xdr:colOff>209549</xdr:colOff>
      <xdr:row>41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51E027-64CA-C8D9-52A7-EDD868A19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140832</xdr:colOff>
      <xdr:row>63</xdr:row>
      <xdr:rowOff>176891</xdr:rowOff>
    </xdr:from>
    <xdr:to>
      <xdr:col>21</xdr:col>
      <xdr:colOff>469445</xdr:colOff>
      <xdr:row>89</xdr:row>
      <xdr:rowOff>145595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8B28B9-178A-151E-5207-CD682F9BF5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211930</xdr:colOff>
      <xdr:row>45</xdr:row>
      <xdr:rowOff>169068</xdr:rowOff>
    </xdr:from>
    <xdr:to>
      <xdr:col>6</xdr:col>
      <xdr:colOff>197642</xdr:colOff>
      <xdr:row>61</xdr:row>
      <xdr:rowOff>16668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32AAD-602F-29A3-EB9E-0949B3324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776006</xdr:colOff>
      <xdr:row>104</xdr:row>
      <xdr:rowOff>51545</xdr:rowOff>
    </xdr:from>
    <xdr:to>
      <xdr:col>10</xdr:col>
      <xdr:colOff>806823</xdr:colOff>
      <xdr:row>124</xdr:row>
      <xdr:rowOff>44823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77F421-E17B-EF56-00F1-33ED7048F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613521</xdr:colOff>
      <xdr:row>107</xdr:row>
      <xdr:rowOff>40340</xdr:rowOff>
    </xdr:from>
    <xdr:to>
      <xdr:col>17</xdr:col>
      <xdr:colOff>232521</xdr:colOff>
      <xdr:row>122</xdr:row>
      <xdr:rowOff>94129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CEB41F-BC67-0404-B98A-F872F6430F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210110</xdr:colOff>
      <xdr:row>113</xdr:row>
      <xdr:rowOff>40340</xdr:rowOff>
    </xdr:from>
    <xdr:to>
      <xdr:col>22</xdr:col>
      <xdr:colOff>613522</xdr:colOff>
      <xdr:row>128</xdr:row>
      <xdr:rowOff>94128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1F1247-BD69-1487-1DF4-1E6C648565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E299-7555-4AAF-BE15-D2B537BF7520}">
  <dimension ref="A1:N49"/>
  <sheetViews>
    <sheetView topLeftCell="A49" workbookViewId="0">
      <selection activeCell="C1" sqref="C1"/>
    </sheetView>
  </sheetViews>
  <sheetFormatPr defaultRowHeight="14.25" x14ac:dyDescent="0.45"/>
  <cols>
    <col min="3" max="3" width="13.3984375" customWidth="1"/>
    <col min="5" max="5" width="13.46484375" customWidth="1"/>
  </cols>
  <sheetData>
    <row r="1" spans="1:14" x14ac:dyDescent="0.45">
      <c r="A1" t="s">
        <v>0</v>
      </c>
      <c r="B1" t="s">
        <v>1</v>
      </c>
      <c r="C1" t="s">
        <v>7</v>
      </c>
    </row>
    <row r="2" spans="1:14" x14ac:dyDescent="0.45">
      <c r="A2" s="1">
        <v>0</v>
      </c>
      <c r="B2">
        <v>10</v>
      </c>
      <c r="C2" cm="1">
        <f t="array" ref="C2:C49">(B2:B49-2)/16.5</f>
        <v>0.48484848484848486</v>
      </c>
      <c r="E2" t="s">
        <v>2</v>
      </c>
      <c r="F2">
        <f>AVERAGE(B2:B49)</f>
        <v>7.1616666666666662</v>
      </c>
    </row>
    <row r="3" spans="1:14" x14ac:dyDescent="0.45">
      <c r="A3" s="1">
        <v>2.0833333333333332E-2</v>
      </c>
      <c r="B3">
        <v>12</v>
      </c>
      <c r="C3">
        <v>0.60606060606060608</v>
      </c>
      <c r="E3" t="s">
        <v>3</v>
      </c>
      <c r="F3">
        <f>STDEV(B2:B49)</f>
        <v>4.6556944466042722</v>
      </c>
      <c r="M3">
        <v>5</v>
      </c>
      <c r="N3">
        <f>AVERAGE(C2:C12)</f>
        <v>0.778236914600551</v>
      </c>
    </row>
    <row r="4" spans="1:14" x14ac:dyDescent="0.45">
      <c r="A4" s="1">
        <v>4.1666666666666664E-2</v>
      </c>
      <c r="B4">
        <v>13</v>
      </c>
      <c r="C4">
        <v>0.66666666666666663</v>
      </c>
      <c r="E4" t="s">
        <v>4</v>
      </c>
      <c r="F4">
        <f>MAX(B2:B49)</f>
        <v>18.5</v>
      </c>
      <c r="M4">
        <v>10</v>
      </c>
      <c r="N4">
        <f>AVERAGE(C13:C22)</f>
        <v>0.21151515151515152</v>
      </c>
    </row>
    <row r="5" spans="1:14" x14ac:dyDescent="0.45">
      <c r="A5" s="1">
        <v>6.25E-2</v>
      </c>
      <c r="B5">
        <v>15</v>
      </c>
      <c r="C5">
        <v>0.78787878787878785</v>
      </c>
      <c r="E5" t="s">
        <v>5</v>
      </c>
      <c r="F5">
        <f>MIN(B2:B49)</f>
        <v>2</v>
      </c>
      <c r="M5">
        <v>15</v>
      </c>
      <c r="N5">
        <f>AVERAGE(C23:C32)</f>
        <v>0.13424242424242422</v>
      </c>
    </row>
    <row r="6" spans="1:14" x14ac:dyDescent="0.45">
      <c r="A6" s="1">
        <v>8.3333333333333329E-2</v>
      </c>
      <c r="B6">
        <v>16</v>
      </c>
      <c r="C6">
        <v>0.84848484848484851</v>
      </c>
      <c r="E6" t="s">
        <v>6</v>
      </c>
      <c r="F6">
        <f>F4-F5</f>
        <v>16.5</v>
      </c>
      <c r="M6">
        <v>20</v>
      </c>
      <c r="N6">
        <f>AVERAGE(C33:C42)</f>
        <v>0.20181818181818181</v>
      </c>
    </row>
    <row r="7" spans="1:14" x14ac:dyDescent="0.45">
      <c r="A7" s="1">
        <v>0.10416666666666667</v>
      </c>
      <c r="B7">
        <v>16.5</v>
      </c>
      <c r="C7">
        <v>0.87878787878787878</v>
      </c>
      <c r="M7">
        <v>24</v>
      </c>
      <c r="N7">
        <f>AVERAGE(C43:C49)</f>
        <v>0.13991341991341993</v>
      </c>
    </row>
    <row r="8" spans="1:14" x14ac:dyDescent="0.45">
      <c r="A8" s="1">
        <v>0.125</v>
      </c>
      <c r="B8">
        <v>17.5</v>
      </c>
      <c r="C8">
        <v>0.93939393939393945</v>
      </c>
    </row>
    <row r="9" spans="1:14" x14ac:dyDescent="0.45">
      <c r="A9" s="1">
        <v>0.14583333333333334</v>
      </c>
      <c r="B9">
        <v>17.75</v>
      </c>
      <c r="C9">
        <v>0.95454545454545459</v>
      </c>
    </row>
    <row r="10" spans="1:14" x14ac:dyDescent="0.45">
      <c r="A10" s="1">
        <v>0.16666666666666666</v>
      </c>
      <c r="B10">
        <v>18.5</v>
      </c>
      <c r="C10">
        <v>1</v>
      </c>
    </row>
    <row r="11" spans="1:14" x14ac:dyDescent="0.45">
      <c r="A11" s="1">
        <v>0.1875</v>
      </c>
      <c r="B11">
        <v>15</v>
      </c>
      <c r="C11">
        <v>0.78787878787878785</v>
      </c>
    </row>
    <row r="12" spans="1:14" x14ac:dyDescent="0.45">
      <c r="A12" s="1">
        <v>0.20833333333333334</v>
      </c>
      <c r="B12">
        <v>12</v>
      </c>
      <c r="C12">
        <v>0.60606060606060608</v>
      </c>
    </row>
    <row r="13" spans="1:14" x14ac:dyDescent="0.45">
      <c r="A13" s="1">
        <v>0.22916666666666666</v>
      </c>
      <c r="B13">
        <v>7</v>
      </c>
      <c r="C13">
        <v>0.30303030303030304</v>
      </c>
    </row>
    <row r="14" spans="1:14" x14ac:dyDescent="0.45">
      <c r="A14" s="1">
        <v>0.25</v>
      </c>
      <c r="B14">
        <v>3</v>
      </c>
      <c r="C14">
        <v>6.0606060606060608E-2</v>
      </c>
    </row>
    <row r="15" spans="1:14" x14ac:dyDescent="0.45">
      <c r="A15" s="1">
        <v>0.27083333333333331</v>
      </c>
      <c r="B15">
        <v>4</v>
      </c>
      <c r="C15">
        <v>0.12121212121212122</v>
      </c>
    </row>
    <row r="16" spans="1:14" x14ac:dyDescent="0.45">
      <c r="A16" s="1">
        <v>0.29166666666666669</v>
      </c>
      <c r="B16">
        <v>4.5</v>
      </c>
      <c r="C16">
        <v>0.15151515151515152</v>
      </c>
    </row>
    <row r="17" spans="1:3" x14ac:dyDescent="0.45">
      <c r="A17" s="1">
        <v>0.3125</v>
      </c>
      <c r="B17">
        <v>6.5</v>
      </c>
      <c r="C17">
        <v>0.27272727272727271</v>
      </c>
    </row>
    <row r="18" spans="1:3" x14ac:dyDescent="0.45">
      <c r="A18" s="1">
        <v>0.33333333333333331</v>
      </c>
      <c r="B18">
        <v>7</v>
      </c>
      <c r="C18">
        <v>0.30303030303030304</v>
      </c>
    </row>
    <row r="19" spans="1:3" x14ac:dyDescent="0.45">
      <c r="A19" s="1">
        <v>0.35416666666666669</v>
      </c>
      <c r="B19">
        <v>5.25</v>
      </c>
      <c r="C19">
        <v>0.19696969696969696</v>
      </c>
    </row>
    <row r="20" spans="1:3" x14ac:dyDescent="0.45">
      <c r="A20" s="1">
        <v>0.375</v>
      </c>
      <c r="B20">
        <v>4.75</v>
      </c>
      <c r="C20">
        <v>0.16666666666666666</v>
      </c>
    </row>
    <row r="21" spans="1:3" x14ac:dyDescent="0.45">
      <c r="A21" s="1">
        <v>0.39583333333333331</v>
      </c>
      <c r="B21">
        <v>7.4</v>
      </c>
      <c r="C21">
        <v>0.32727272727272727</v>
      </c>
    </row>
    <row r="22" spans="1:3" x14ac:dyDescent="0.45">
      <c r="A22" s="1">
        <v>0.41666666666666669</v>
      </c>
      <c r="B22">
        <v>5.5</v>
      </c>
      <c r="C22">
        <v>0.21212121212121213</v>
      </c>
    </row>
    <row r="23" spans="1:3" x14ac:dyDescent="0.45">
      <c r="A23" s="1">
        <v>0.4375</v>
      </c>
      <c r="B23">
        <v>3.5</v>
      </c>
      <c r="C23">
        <v>9.0909090909090912E-2</v>
      </c>
    </row>
    <row r="24" spans="1:3" x14ac:dyDescent="0.45">
      <c r="A24" s="1">
        <v>0.45833333333333331</v>
      </c>
      <c r="B24">
        <v>2</v>
      </c>
      <c r="C24">
        <v>0</v>
      </c>
    </row>
    <row r="25" spans="1:3" x14ac:dyDescent="0.45">
      <c r="A25" s="1">
        <v>0.47916666666666669</v>
      </c>
      <c r="B25">
        <v>3.5</v>
      </c>
      <c r="C25">
        <v>9.0909090909090912E-2</v>
      </c>
    </row>
    <row r="26" spans="1:3" x14ac:dyDescent="0.45">
      <c r="A26" s="1">
        <v>0.5</v>
      </c>
      <c r="B26">
        <v>5</v>
      </c>
      <c r="C26">
        <v>0.18181818181818182</v>
      </c>
    </row>
    <row r="27" spans="1:3" x14ac:dyDescent="0.45">
      <c r="A27" s="1">
        <v>0.52083333333333337</v>
      </c>
      <c r="B27">
        <v>5.5</v>
      </c>
      <c r="C27">
        <v>0.21212121212121213</v>
      </c>
    </row>
    <row r="28" spans="1:3" x14ac:dyDescent="0.45">
      <c r="A28" s="1">
        <v>0.54166666666666663</v>
      </c>
      <c r="B28">
        <v>5.25</v>
      </c>
      <c r="C28">
        <v>0.19696969696969696</v>
      </c>
    </row>
    <row r="29" spans="1:3" x14ac:dyDescent="0.45">
      <c r="A29" s="1">
        <v>0.5625</v>
      </c>
      <c r="B29">
        <v>4.8</v>
      </c>
      <c r="C29">
        <v>0.16969696969696968</v>
      </c>
    </row>
    <row r="30" spans="1:3" x14ac:dyDescent="0.45">
      <c r="A30" s="1">
        <v>0.58333333333333337</v>
      </c>
      <c r="B30">
        <v>4.4000000000000004</v>
      </c>
      <c r="C30">
        <v>0.14545454545454548</v>
      </c>
    </row>
    <row r="31" spans="1:3" x14ac:dyDescent="0.45">
      <c r="A31" s="1">
        <v>0.60416666666666663</v>
      </c>
      <c r="B31">
        <v>4.2</v>
      </c>
      <c r="C31">
        <v>0.13333333333333333</v>
      </c>
    </row>
    <row r="32" spans="1:3" x14ac:dyDescent="0.45">
      <c r="A32" s="1">
        <v>0.625</v>
      </c>
      <c r="B32">
        <v>4</v>
      </c>
      <c r="C32">
        <v>0.12121212121212122</v>
      </c>
    </row>
    <row r="33" spans="1:3" x14ac:dyDescent="0.45">
      <c r="A33" s="1">
        <v>0.64583333333333337</v>
      </c>
      <c r="B33">
        <v>3.8</v>
      </c>
      <c r="C33">
        <v>0.10909090909090909</v>
      </c>
    </row>
    <row r="34" spans="1:3" x14ac:dyDescent="0.45">
      <c r="A34" s="1">
        <v>0.66666666666666663</v>
      </c>
      <c r="B34">
        <v>3.6</v>
      </c>
      <c r="C34">
        <v>9.696969696969697E-2</v>
      </c>
    </row>
    <row r="35" spans="1:3" x14ac:dyDescent="0.45">
      <c r="A35" s="1">
        <v>0.6875</v>
      </c>
      <c r="B35">
        <v>3.4</v>
      </c>
      <c r="C35">
        <v>8.484848484848484E-2</v>
      </c>
    </row>
    <row r="36" spans="1:3" x14ac:dyDescent="0.45">
      <c r="A36" s="1">
        <v>0.70833333333333337</v>
      </c>
      <c r="B36">
        <v>2.2000000000000002</v>
      </c>
      <c r="C36">
        <v>1.2121212121212132E-2</v>
      </c>
    </row>
    <row r="37" spans="1:3" x14ac:dyDescent="0.45">
      <c r="A37" s="1">
        <v>0.72916666666666663</v>
      </c>
      <c r="B37">
        <v>3.25</v>
      </c>
      <c r="C37">
        <v>7.575757575757576E-2</v>
      </c>
    </row>
    <row r="38" spans="1:3" x14ac:dyDescent="0.45">
      <c r="A38" s="1">
        <v>0.75</v>
      </c>
      <c r="B38">
        <v>5</v>
      </c>
      <c r="C38">
        <v>0.18181818181818182</v>
      </c>
    </row>
    <row r="39" spans="1:3" x14ac:dyDescent="0.45">
      <c r="A39" s="1">
        <v>0.77083333333333337</v>
      </c>
      <c r="B39">
        <v>7</v>
      </c>
      <c r="C39">
        <v>0.30303030303030304</v>
      </c>
    </row>
    <row r="40" spans="1:3" x14ac:dyDescent="0.45">
      <c r="A40" s="1">
        <v>0.79166666666666663</v>
      </c>
      <c r="B40">
        <v>9</v>
      </c>
      <c r="C40">
        <v>0.42424242424242425</v>
      </c>
    </row>
    <row r="41" spans="1:3" x14ac:dyDescent="0.45">
      <c r="A41" s="1">
        <v>0.8125</v>
      </c>
      <c r="B41">
        <v>8.25</v>
      </c>
      <c r="C41">
        <v>0.37878787878787878</v>
      </c>
    </row>
    <row r="42" spans="1:3" x14ac:dyDescent="0.45">
      <c r="A42" s="1">
        <v>0.83333333333333337</v>
      </c>
      <c r="B42">
        <v>7.8</v>
      </c>
      <c r="C42">
        <v>0.3515151515151515</v>
      </c>
    </row>
    <row r="43" spans="1:3" x14ac:dyDescent="0.45">
      <c r="A43" s="1">
        <v>0.85416666666666663</v>
      </c>
      <c r="B43">
        <v>5.76</v>
      </c>
      <c r="C43">
        <v>0.22787878787878788</v>
      </c>
    </row>
    <row r="44" spans="1:3" x14ac:dyDescent="0.45">
      <c r="A44" s="1">
        <v>0.875</v>
      </c>
      <c r="B44">
        <v>5</v>
      </c>
      <c r="C44">
        <v>0.18181818181818182</v>
      </c>
    </row>
    <row r="45" spans="1:3" x14ac:dyDescent="0.45">
      <c r="A45" s="1">
        <v>0.89583333333333337</v>
      </c>
      <c r="B45">
        <v>4.8</v>
      </c>
      <c r="C45">
        <v>0.16969696969696968</v>
      </c>
    </row>
    <row r="46" spans="1:3" x14ac:dyDescent="0.45">
      <c r="A46" s="1">
        <v>0.91666666666666663</v>
      </c>
      <c r="B46">
        <v>4.4000000000000004</v>
      </c>
      <c r="C46">
        <v>0.14545454545454548</v>
      </c>
    </row>
    <row r="47" spans="1:3" x14ac:dyDescent="0.45">
      <c r="A47" s="1">
        <v>0.9375</v>
      </c>
      <c r="B47">
        <v>3.8</v>
      </c>
      <c r="C47">
        <v>0.10909090909090909</v>
      </c>
    </row>
    <row r="48" spans="1:3" x14ac:dyDescent="0.45">
      <c r="A48" s="1">
        <v>0.95833333333333337</v>
      </c>
      <c r="B48">
        <v>3.4</v>
      </c>
      <c r="C48">
        <v>8.484848484848484E-2</v>
      </c>
    </row>
    <row r="49" spans="1:3" x14ac:dyDescent="0.45">
      <c r="A49" s="1">
        <v>0.97916666666666663</v>
      </c>
      <c r="B49">
        <v>3</v>
      </c>
      <c r="C49">
        <v>6.0606060606060608E-2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EBBB-777B-4E5D-801E-910E8C051AED}">
  <dimension ref="A2:V71"/>
  <sheetViews>
    <sheetView zoomScale="70" zoomScaleNormal="70" workbookViewId="0">
      <selection activeCell="H18" sqref="H18"/>
    </sheetView>
  </sheetViews>
  <sheetFormatPr defaultRowHeight="14.25" x14ac:dyDescent="0.45"/>
  <cols>
    <col min="6" max="6" width="14.53125" customWidth="1"/>
    <col min="7" max="7" width="21.9296875" customWidth="1"/>
    <col min="8" max="8" width="21.53125" customWidth="1"/>
    <col min="9" max="9" width="27.06640625" customWidth="1"/>
    <col min="10" max="10" width="22.9296875" customWidth="1"/>
    <col min="19" max="19" width="18.59765625" customWidth="1"/>
    <col min="20" max="20" width="24.1328125" customWidth="1"/>
    <col min="21" max="21" width="19.265625" customWidth="1"/>
    <col min="22" max="22" width="19.6640625" customWidth="1"/>
  </cols>
  <sheetData>
    <row r="2" spans="1:10" x14ac:dyDescent="0.45">
      <c r="A2">
        <v>0</v>
      </c>
    </row>
    <row r="3" spans="1:10" x14ac:dyDescent="0.45">
      <c r="A3">
        <v>0.5</v>
      </c>
    </row>
    <row r="4" spans="1:10" x14ac:dyDescent="0.45">
      <c r="A4">
        <v>1</v>
      </c>
    </row>
    <row r="5" spans="1:10" x14ac:dyDescent="0.45">
      <c r="A5">
        <v>1.5</v>
      </c>
      <c r="B5">
        <v>0.48484848484848486</v>
      </c>
    </row>
    <row r="6" spans="1:10" x14ac:dyDescent="0.45">
      <c r="A6">
        <v>2</v>
      </c>
      <c r="B6">
        <v>0.60606060606060608</v>
      </c>
    </row>
    <row r="7" spans="1:10" x14ac:dyDescent="0.45">
      <c r="A7">
        <v>2.5</v>
      </c>
      <c r="B7">
        <v>0.66666666666666663</v>
      </c>
    </row>
    <row r="8" spans="1:10" x14ac:dyDescent="0.45">
      <c r="A8">
        <v>3</v>
      </c>
      <c r="B8">
        <v>0.78787878787878785</v>
      </c>
    </row>
    <row r="9" spans="1:10" x14ac:dyDescent="0.45">
      <c r="A9">
        <v>3.5</v>
      </c>
      <c r="B9">
        <v>0.84848484848484851</v>
      </c>
      <c r="F9" s="2" t="s">
        <v>8</v>
      </c>
    </row>
    <row r="10" spans="1:10" x14ac:dyDescent="0.45">
      <c r="A10">
        <v>4</v>
      </c>
      <c r="B10">
        <v>0.87878787878787878</v>
      </c>
      <c r="F10" t="s">
        <v>9</v>
      </c>
      <c r="G10" t="s">
        <v>16</v>
      </c>
    </row>
    <row r="11" spans="1:10" x14ac:dyDescent="0.45">
      <c r="A11">
        <v>4.5</v>
      </c>
      <c r="B11">
        <v>0.93939393939393945</v>
      </c>
      <c r="G11" t="s">
        <v>17</v>
      </c>
      <c r="H11" t="s">
        <v>18</v>
      </c>
      <c r="I11">
        <f>0.45*37.4</f>
        <v>16.829999999999998</v>
      </c>
      <c r="J11" t="s">
        <v>25</v>
      </c>
    </row>
    <row r="12" spans="1:10" x14ac:dyDescent="0.45">
      <c r="A12">
        <v>5</v>
      </c>
      <c r="B12">
        <v>0.95454545454545459</v>
      </c>
      <c r="F12" t="s">
        <v>10</v>
      </c>
      <c r="G12" t="s">
        <v>73</v>
      </c>
      <c r="H12">
        <f>0.8*16.83</f>
        <v>13.463999999999999</v>
      </c>
    </row>
    <row r="13" spans="1:10" x14ac:dyDescent="0.45">
      <c r="A13">
        <v>5.5</v>
      </c>
      <c r="B13">
        <v>1</v>
      </c>
      <c r="F13" t="s">
        <v>11</v>
      </c>
      <c r="G13" t="s">
        <v>74</v>
      </c>
      <c r="H13">
        <f>0.5*16.83</f>
        <v>8.4149999999999991</v>
      </c>
    </row>
    <row r="14" spans="1:10" x14ac:dyDescent="0.45">
      <c r="A14">
        <v>6</v>
      </c>
      <c r="B14">
        <v>0.78787878787878785</v>
      </c>
      <c r="F14" t="s">
        <v>12</v>
      </c>
      <c r="G14" t="s">
        <v>75</v>
      </c>
      <c r="H14">
        <f>0.3*16.83</f>
        <v>5.0489999999999995</v>
      </c>
    </row>
    <row r="15" spans="1:10" x14ac:dyDescent="0.45">
      <c r="A15">
        <v>6.5</v>
      </c>
      <c r="B15">
        <v>0.60606060606060608</v>
      </c>
    </row>
    <row r="16" spans="1:10" x14ac:dyDescent="0.45">
      <c r="A16">
        <v>7</v>
      </c>
      <c r="B16">
        <v>0.30303030303030304</v>
      </c>
    </row>
    <row r="17" spans="1:22" x14ac:dyDescent="0.45">
      <c r="A17">
        <v>7.5</v>
      </c>
      <c r="B17">
        <v>6.0606060606060608E-2</v>
      </c>
      <c r="F17" s="2" t="s">
        <v>19</v>
      </c>
      <c r="H17" t="s">
        <v>13</v>
      </c>
      <c r="I17" t="s">
        <v>14</v>
      </c>
      <c r="J17" t="s">
        <v>15</v>
      </c>
    </row>
    <row r="18" spans="1:22" x14ac:dyDescent="0.45">
      <c r="A18">
        <v>8</v>
      </c>
      <c r="B18">
        <v>0.12121212121212122</v>
      </c>
      <c r="F18" s="1" t="s">
        <v>20</v>
      </c>
      <c r="G18">
        <v>0.778236914600551</v>
      </c>
      <c r="H18">
        <v>3670</v>
      </c>
      <c r="I18">
        <v>2900</v>
      </c>
      <c r="J18">
        <v>2246</v>
      </c>
    </row>
    <row r="19" spans="1:22" x14ac:dyDescent="0.45">
      <c r="A19">
        <v>8.5</v>
      </c>
      <c r="B19">
        <v>0.15151515151515152</v>
      </c>
      <c r="F19" t="s">
        <v>21</v>
      </c>
      <c r="G19">
        <v>0.21151515151515152</v>
      </c>
      <c r="H19">
        <f>SQRT(13.464) * 1000</f>
        <v>3669.3323643409572</v>
      </c>
      <c r="I19">
        <f>SQRT(8.415)*1000</f>
        <v>2900.8619408720569</v>
      </c>
      <c r="J19">
        <f>SQRT(5.049)*1000</f>
        <v>2246.9979973288805</v>
      </c>
    </row>
    <row r="20" spans="1:22" x14ac:dyDescent="0.45">
      <c r="A20">
        <v>9</v>
      </c>
      <c r="B20">
        <v>0.27272727272727271</v>
      </c>
      <c r="F20" t="s">
        <v>22</v>
      </c>
      <c r="G20">
        <v>0.13424242424242422</v>
      </c>
      <c r="H20">
        <f>SQRT(13.464) * 1000</f>
        <v>3669.3323643409572</v>
      </c>
      <c r="I20">
        <f>SQRT(8.415)*1000</f>
        <v>2900.8619408720569</v>
      </c>
      <c r="J20">
        <f>SQRT(5.049)*1000</f>
        <v>2246.9979973288805</v>
      </c>
    </row>
    <row r="21" spans="1:22" x14ac:dyDescent="0.45">
      <c r="A21">
        <v>9.5</v>
      </c>
      <c r="B21">
        <v>0.30303030303030304</v>
      </c>
      <c r="F21" t="s">
        <v>23</v>
      </c>
      <c r="G21">
        <v>0.20181818181818181</v>
      </c>
      <c r="H21">
        <f>SQRT(13.464) * 1000</f>
        <v>3669.3323643409572</v>
      </c>
      <c r="I21">
        <f>SQRT(8.415)*1000</f>
        <v>2900.8619408720569</v>
      </c>
      <c r="J21">
        <f>SQRT(5.049)*1000</f>
        <v>2246.9979973288805</v>
      </c>
    </row>
    <row r="22" spans="1:22" x14ac:dyDescent="0.45">
      <c r="A22">
        <v>10</v>
      </c>
      <c r="B22">
        <v>0.19696969696969696</v>
      </c>
      <c r="F22" t="s">
        <v>24</v>
      </c>
      <c r="G22">
        <v>0.13991341991341993</v>
      </c>
      <c r="H22">
        <f>SQRT(13.464) * 1000</f>
        <v>3669.3323643409572</v>
      </c>
      <c r="I22">
        <f>SQRT(8.415)*1000</f>
        <v>2900.8619408720569</v>
      </c>
      <c r="J22">
        <f>SQRT(5.049)*1000</f>
        <v>2246.9979973288805</v>
      </c>
    </row>
    <row r="23" spans="1:22" x14ac:dyDescent="0.45">
      <c r="A23">
        <v>10.5</v>
      </c>
      <c r="B23">
        <v>0.16666666666666666</v>
      </c>
    </row>
    <row r="24" spans="1:22" x14ac:dyDescent="0.45">
      <c r="A24">
        <v>11</v>
      </c>
      <c r="B24">
        <v>0.32727272727272727</v>
      </c>
      <c r="H24">
        <v>367</v>
      </c>
      <c r="I24">
        <v>290</v>
      </c>
      <c r="J24">
        <v>224</v>
      </c>
    </row>
    <row r="25" spans="1:22" x14ac:dyDescent="0.45">
      <c r="A25">
        <v>11.5</v>
      </c>
      <c r="B25">
        <v>0.21212121212121213</v>
      </c>
      <c r="F25" s="2" t="s">
        <v>19</v>
      </c>
      <c r="H25" t="s">
        <v>13</v>
      </c>
      <c r="I25" t="s">
        <v>14</v>
      </c>
      <c r="J25" t="s">
        <v>15</v>
      </c>
    </row>
    <row r="26" spans="1:22" x14ac:dyDescent="0.45">
      <c r="A26">
        <v>12</v>
      </c>
      <c r="B26">
        <v>9.0909090909090912E-2</v>
      </c>
      <c r="F26" s="1" t="s">
        <v>20</v>
      </c>
      <c r="G26">
        <v>0.778236914600551</v>
      </c>
      <c r="H26">
        <v>103877</v>
      </c>
      <c r="I26">
        <v>64874</v>
      </c>
      <c r="J26">
        <v>38567</v>
      </c>
      <c r="S26" s="2" t="s">
        <v>28</v>
      </c>
      <c r="T26" t="s">
        <v>13</v>
      </c>
      <c r="U26" t="s">
        <v>14</v>
      </c>
      <c r="V26" t="s">
        <v>15</v>
      </c>
    </row>
    <row r="27" spans="1:22" x14ac:dyDescent="0.45">
      <c r="A27">
        <v>12.5</v>
      </c>
      <c r="B27">
        <v>0</v>
      </c>
      <c r="F27" t="s">
        <v>21</v>
      </c>
      <c r="G27">
        <v>0.21151515151515152</v>
      </c>
      <c r="H27">
        <v>1420</v>
      </c>
      <c r="I27">
        <v>189</v>
      </c>
      <c r="J27">
        <v>129</v>
      </c>
      <c r="S27" s="1" t="s">
        <v>20</v>
      </c>
      <c r="T27">
        <v>1038.77</v>
      </c>
      <c r="U27">
        <v>648.74</v>
      </c>
      <c r="V27">
        <v>385.67</v>
      </c>
    </row>
    <row r="28" spans="1:22" x14ac:dyDescent="0.45">
      <c r="A28">
        <v>13</v>
      </c>
      <c r="B28">
        <v>9.0909090909090912E-2</v>
      </c>
      <c r="F28" t="s">
        <v>22</v>
      </c>
      <c r="G28">
        <v>0.13424242424242422</v>
      </c>
      <c r="H28">
        <v>96</v>
      </c>
      <c r="I28">
        <v>67</v>
      </c>
      <c r="J28">
        <v>58</v>
      </c>
      <c r="S28" t="s">
        <v>21</v>
      </c>
      <c r="T28">
        <v>1.42</v>
      </c>
      <c r="U28">
        <v>1.8900000000000001</v>
      </c>
      <c r="V28">
        <v>1.29</v>
      </c>
    </row>
    <row r="29" spans="1:22" x14ac:dyDescent="0.45">
      <c r="A29">
        <v>13.5</v>
      </c>
      <c r="B29">
        <v>0.18181818181818182</v>
      </c>
      <c r="F29" t="s">
        <v>23</v>
      </c>
      <c r="G29">
        <v>0.20181818181818181</v>
      </c>
      <c r="H29">
        <v>247</v>
      </c>
      <c r="I29">
        <v>139</v>
      </c>
      <c r="J29">
        <v>109</v>
      </c>
      <c r="S29" t="s">
        <v>22</v>
      </c>
      <c r="T29">
        <v>0.96</v>
      </c>
      <c r="U29">
        <v>0.67</v>
      </c>
      <c r="V29">
        <v>0.57999999999999996</v>
      </c>
    </row>
    <row r="30" spans="1:22" x14ac:dyDescent="0.45">
      <c r="A30">
        <v>14</v>
      </c>
      <c r="B30">
        <v>0.21212121212121213</v>
      </c>
      <c r="F30" t="s">
        <v>24</v>
      </c>
      <c r="G30">
        <v>0.13991341991341993</v>
      </c>
      <c r="H30">
        <v>109</v>
      </c>
      <c r="I30">
        <v>74</v>
      </c>
      <c r="J30">
        <v>60</v>
      </c>
      <c r="S30" t="s">
        <v>23</v>
      </c>
      <c r="T30">
        <v>2.4700000000000002</v>
      </c>
      <c r="U30">
        <v>1.3900000000000001</v>
      </c>
      <c r="V30">
        <v>1.0900000000000001</v>
      </c>
    </row>
    <row r="31" spans="1:22" x14ac:dyDescent="0.45">
      <c r="A31">
        <v>14.5</v>
      </c>
      <c r="B31">
        <v>0.19696969696969696</v>
      </c>
      <c r="S31" t="s">
        <v>24</v>
      </c>
      <c r="T31">
        <v>1.0900000000000001</v>
      </c>
      <c r="U31">
        <v>0.74</v>
      </c>
      <c r="V31">
        <v>0.6</v>
      </c>
    </row>
    <row r="32" spans="1:22" x14ac:dyDescent="0.45">
      <c r="A32">
        <v>15</v>
      </c>
      <c r="B32">
        <v>0.16969696969696968</v>
      </c>
    </row>
    <row r="33" spans="1:22" x14ac:dyDescent="0.45">
      <c r="A33">
        <v>15.5</v>
      </c>
      <c r="B33">
        <v>0.14545454545454548</v>
      </c>
      <c r="F33" t="s">
        <v>26</v>
      </c>
    </row>
    <row r="34" spans="1:22" x14ac:dyDescent="0.45">
      <c r="A34">
        <v>16</v>
      </c>
      <c r="B34">
        <v>0.13333333333333333</v>
      </c>
      <c r="F34" s="2" t="s">
        <v>19</v>
      </c>
      <c r="H34" t="s">
        <v>13</v>
      </c>
      <c r="I34" t="s">
        <v>14</v>
      </c>
      <c r="J34" t="s">
        <v>15</v>
      </c>
    </row>
    <row r="35" spans="1:22" x14ac:dyDescent="0.45">
      <c r="A35">
        <v>16.5</v>
      </c>
      <c r="B35">
        <v>0.12121212121212122</v>
      </c>
      <c r="F35" s="1" t="s">
        <v>20</v>
      </c>
      <c r="G35">
        <v>0.778236914600551</v>
      </c>
      <c r="H35" cm="1">
        <f t="array" ref="H35:J39">H26:J30*10</f>
        <v>1038770</v>
      </c>
      <c r="I35">
        <v>648740</v>
      </c>
      <c r="J35">
        <v>385670</v>
      </c>
      <c r="T35" cm="1">
        <f t="array" ref="T35:V39">T27:V31*1.73</f>
        <v>1797.0720999999999</v>
      </c>
      <c r="U35">
        <v>1122.3202000000001</v>
      </c>
      <c r="V35">
        <v>667.20910000000003</v>
      </c>
    </row>
    <row r="36" spans="1:22" x14ac:dyDescent="0.45">
      <c r="A36">
        <v>17</v>
      </c>
      <c r="B36">
        <v>0.10909090909090909</v>
      </c>
      <c r="F36" t="s">
        <v>21</v>
      </c>
      <c r="G36">
        <v>0.21151515151515152</v>
      </c>
      <c r="H36">
        <v>14200</v>
      </c>
      <c r="I36">
        <v>1890</v>
      </c>
      <c r="J36">
        <v>1290</v>
      </c>
      <c r="T36">
        <v>2.4565999999999999</v>
      </c>
      <c r="U36">
        <v>3.2697000000000003</v>
      </c>
      <c r="V36">
        <v>2.2317</v>
      </c>
    </row>
    <row r="37" spans="1:22" x14ac:dyDescent="0.45">
      <c r="A37">
        <v>17.5</v>
      </c>
      <c r="B37">
        <v>9.696969696969697E-2</v>
      </c>
      <c r="F37" t="s">
        <v>22</v>
      </c>
      <c r="G37">
        <v>0.13424242424242422</v>
      </c>
      <c r="H37">
        <v>960</v>
      </c>
      <c r="I37">
        <v>670</v>
      </c>
      <c r="J37">
        <v>580</v>
      </c>
      <c r="T37">
        <v>1.6607999999999998</v>
      </c>
      <c r="U37">
        <v>1.1591</v>
      </c>
      <c r="V37">
        <v>1.0033999999999998</v>
      </c>
    </row>
    <row r="38" spans="1:22" x14ac:dyDescent="0.45">
      <c r="A38">
        <v>18</v>
      </c>
      <c r="B38">
        <v>8.484848484848484E-2</v>
      </c>
      <c r="F38" t="s">
        <v>23</v>
      </c>
      <c r="G38">
        <v>0.20181818181818181</v>
      </c>
      <c r="H38">
        <v>2470</v>
      </c>
      <c r="I38">
        <v>1390</v>
      </c>
      <c r="J38">
        <v>1090</v>
      </c>
      <c r="T38">
        <v>4.2731000000000003</v>
      </c>
      <c r="U38">
        <v>2.4047000000000001</v>
      </c>
      <c r="V38">
        <v>1.8857000000000002</v>
      </c>
    </row>
    <row r="39" spans="1:22" x14ac:dyDescent="0.45">
      <c r="A39">
        <v>18.5</v>
      </c>
      <c r="B39">
        <v>0</v>
      </c>
      <c r="F39" t="s">
        <v>24</v>
      </c>
      <c r="G39">
        <v>0.13991341991341993</v>
      </c>
      <c r="H39">
        <v>1090</v>
      </c>
      <c r="I39">
        <v>740</v>
      </c>
      <c r="J39">
        <v>600</v>
      </c>
      <c r="T39">
        <v>1.8857000000000002</v>
      </c>
      <c r="U39">
        <v>1.2802</v>
      </c>
      <c r="V39">
        <v>1.038</v>
      </c>
    </row>
    <row r="40" spans="1:22" x14ac:dyDescent="0.45">
      <c r="A40">
        <v>19</v>
      </c>
      <c r="B40">
        <v>7.575757575757576E-2</v>
      </c>
    </row>
    <row r="41" spans="1:22" x14ac:dyDescent="0.45">
      <c r="A41">
        <v>19.5</v>
      </c>
      <c r="B41">
        <v>0.18181818181818182</v>
      </c>
    </row>
    <row r="42" spans="1:22" x14ac:dyDescent="0.45">
      <c r="A42">
        <v>20</v>
      </c>
      <c r="B42">
        <v>0.30303030303030304</v>
      </c>
      <c r="F42" t="s">
        <v>27</v>
      </c>
    </row>
    <row r="43" spans="1:22" x14ac:dyDescent="0.45">
      <c r="A43">
        <v>20.5</v>
      </c>
      <c r="B43">
        <v>0.42424242424242425</v>
      </c>
      <c r="F43" s="2" t="s">
        <v>28</v>
      </c>
      <c r="G43" s="2" t="s">
        <v>19</v>
      </c>
      <c r="H43" t="s">
        <v>13</v>
      </c>
      <c r="I43" t="s">
        <v>14</v>
      </c>
      <c r="J43" t="s">
        <v>15</v>
      </c>
    </row>
    <row r="44" spans="1:22" x14ac:dyDescent="0.45">
      <c r="A44">
        <v>21</v>
      </c>
      <c r="B44">
        <v>0.37878787878787878</v>
      </c>
      <c r="F44" s="1" t="s">
        <v>20</v>
      </c>
      <c r="G44">
        <v>0.778236914600551</v>
      </c>
      <c r="H44" cm="1">
        <f t="array" ref="H44:J48">_xlfn.ANCHORARRAY(H35)*0.001</f>
        <v>1038.77</v>
      </c>
      <c r="I44">
        <v>648.74</v>
      </c>
      <c r="J44">
        <v>385.67</v>
      </c>
    </row>
    <row r="45" spans="1:22" x14ac:dyDescent="0.45">
      <c r="A45">
        <v>21.5</v>
      </c>
      <c r="B45">
        <v>0.3515151515151515</v>
      </c>
      <c r="F45" t="s">
        <v>21</v>
      </c>
      <c r="G45">
        <v>0.21151515151515152</v>
      </c>
      <c r="H45">
        <v>14.200000000000001</v>
      </c>
      <c r="I45">
        <v>1.8900000000000001</v>
      </c>
      <c r="J45">
        <v>1.29</v>
      </c>
    </row>
    <row r="46" spans="1:22" x14ac:dyDescent="0.45">
      <c r="A46">
        <v>22</v>
      </c>
      <c r="B46">
        <v>0.22787878787878788</v>
      </c>
      <c r="F46" t="s">
        <v>22</v>
      </c>
      <c r="G46">
        <v>0.13424242424242422</v>
      </c>
      <c r="H46">
        <v>0.96</v>
      </c>
      <c r="I46">
        <v>0.67</v>
      </c>
      <c r="J46">
        <v>0.57999999999999996</v>
      </c>
    </row>
    <row r="47" spans="1:22" x14ac:dyDescent="0.45">
      <c r="A47">
        <v>22.5</v>
      </c>
      <c r="B47">
        <v>0.18181818181818182</v>
      </c>
      <c r="F47" t="s">
        <v>23</v>
      </c>
      <c r="G47">
        <v>0.20181818181818181</v>
      </c>
      <c r="H47">
        <v>2.4700000000000002</v>
      </c>
      <c r="I47">
        <v>1.3900000000000001</v>
      </c>
      <c r="J47">
        <v>1.0900000000000001</v>
      </c>
    </row>
    <row r="48" spans="1:22" x14ac:dyDescent="0.45">
      <c r="A48">
        <v>23</v>
      </c>
      <c r="B48">
        <v>0.16969696969696968</v>
      </c>
      <c r="F48" t="s">
        <v>24</v>
      </c>
      <c r="G48">
        <v>0.13991341991341993</v>
      </c>
      <c r="H48">
        <v>1.0900000000000001</v>
      </c>
      <c r="I48">
        <v>0.74</v>
      </c>
      <c r="J48">
        <v>0.6</v>
      </c>
    </row>
    <row r="49" spans="1:10" x14ac:dyDescent="0.45">
      <c r="A49">
        <v>23.5</v>
      </c>
      <c r="B49">
        <v>0.14545454545454548</v>
      </c>
    </row>
    <row r="50" spans="1:10" x14ac:dyDescent="0.45">
      <c r="B50">
        <v>0.10909090909090909</v>
      </c>
    </row>
    <row r="51" spans="1:10" x14ac:dyDescent="0.45">
      <c r="B51">
        <v>8.484848484848484E-2</v>
      </c>
    </row>
    <row r="52" spans="1:10" x14ac:dyDescent="0.45">
      <c r="B52">
        <v>6.0606060606060608E-2</v>
      </c>
    </row>
    <row r="56" spans="1:10" x14ac:dyDescent="0.45">
      <c r="H56">
        <v>3670</v>
      </c>
      <c r="I56">
        <v>2900</v>
      </c>
      <c r="J56">
        <v>2246</v>
      </c>
    </row>
    <row r="57" spans="1:10" x14ac:dyDescent="0.45">
      <c r="F57" t="s">
        <v>29</v>
      </c>
    </row>
    <row r="58" spans="1:10" x14ac:dyDescent="0.45">
      <c r="F58" t="s">
        <v>19</v>
      </c>
      <c r="H58" t="s">
        <v>13</v>
      </c>
      <c r="I58" t="s">
        <v>14</v>
      </c>
      <c r="J58" t="s">
        <v>15</v>
      </c>
    </row>
    <row r="59" spans="1:10" x14ac:dyDescent="0.45">
      <c r="F59" t="s">
        <v>20</v>
      </c>
      <c r="G59">
        <v>0.778236914600551</v>
      </c>
      <c r="H59">
        <f>0.52*(3670*3670)</f>
        <v>7003828</v>
      </c>
      <c r="I59">
        <f>0.72*(2900*2900)</f>
        <v>6055200</v>
      </c>
      <c r="J59">
        <v>3885021</v>
      </c>
    </row>
    <row r="60" spans="1:10" x14ac:dyDescent="0.45">
      <c r="F60" t="s">
        <v>21</v>
      </c>
      <c r="G60">
        <v>0.21151515151515152</v>
      </c>
      <c r="H60">
        <v>2826175</v>
      </c>
      <c r="I60">
        <v>1766113</v>
      </c>
      <c r="J60">
        <v>1059368</v>
      </c>
    </row>
    <row r="61" spans="1:10" x14ac:dyDescent="0.45">
      <c r="F61" t="s">
        <v>22</v>
      </c>
      <c r="G61">
        <v>0.13424242424242422</v>
      </c>
      <c r="H61">
        <v>1747334</v>
      </c>
      <c r="I61">
        <v>1091830</v>
      </c>
      <c r="J61">
        <v>655570</v>
      </c>
    </row>
    <row r="62" spans="1:10" x14ac:dyDescent="0.45">
      <c r="F62" t="s">
        <v>23</v>
      </c>
      <c r="G62">
        <v>0.20181818181818181</v>
      </c>
      <c r="H62">
        <v>2693102</v>
      </c>
      <c r="I62">
        <v>1682019</v>
      </c>
      <c r="J62">
        <v>1007484</v>
      </c>
    </row>
    <row r="63" spans="1:10" x14ac:dyDescent="0.45">
      <c r="F63" t="s">
        <v>24</v>
      </c>
      <c r="G63">
        <v>0.13991341991341993</v>
      </c>
      <c r="H63">
        <v>1871514</v>
      </c>
      <c r="I63">
        <v>1094335</v>
      </c>
      <c r="J63">
        <v>655709</v>
      </c>
    </row>
    <row r="65" spans="6:14" x14ac:dyDescent="0.45">
      <c r="N65">
        <f>J59/(2246*2246)</f>
        <v>0.77014742345945575</v>
      </c>
    </row>
    <row r="66" spans="6:14" x14ac:dyDescent="0.45">
      <c r="F66" t="s">
        <v>27</v>
      </c>
      <c r="G66" t="s">
        <v>30</v>
      </c>
      <c r="H66" t="s">
        <v>13</v>
      </c>
      <c r="I66" t="s">
        <v>14</v>
      </c>
      <c r="J66" t="s">
        <v>15</v>
      </c>
    </row>
    <row r="67" spans="6:14" x14ac:dyDescent="0.45">
      <c r="G67" t="s">
        <v>20</v>
      </c>
      <c r="H67" cm="1">
        <f t="array" ref="H67:J71">(1.77*H59:J63)*0.001</f>
        <v>12396.77556</v>
      </c>
      <c r="I67">
        <v>10717.704</v>
      </c>
      <c r="J67">
        <v>6876.4871700000003</v>
      </c>
    </row>
    <row r="68" spans="6:14" x14ac:dyDescent="0.45">
      <c r="G68" t="s">
        <v>21</v>
      </c>
      <c r="H68">
        <v>5002.3297499999999</v>
      </c>
      <c r="I68">
        <v>3126.0200100000002</v>
      </c>
      <c r="J68">
        <v>1875.0813600000001</v>
      </c>
    </row>
    <row r="69" spans="6:14" x14ac:dyDescent="0.45">
      <c r="G69" t="s">
        <v>22</v>
      </c>
      <c r="H69">
        <v>3092.7811800000004</v>
      </c>
      <c r="I69">
        <v>1932.5391000000002</v>
      </c>
      <c r="J69">
        <v>1160.3588999999999</v>
      </c>
    </row>
    <row r="70" spans="6:14" x14ac:dyDescent="0.45">
      <c r="G70" t="s">
        <v>23</v>
      </c>
      <c r="H70">
        <v>4766.79054</v>
      </c>
      <c r="I70">
        <v>2977.1736299999998</v>
      </c>
      <c r="J70">
        <v>1783.24668</v>
      </c>
    </row>
    <row r="71" spans="6:14" x14ac:dyDescent="0.45">
      <c r="G71" t="s">
        <v>24</v>
      </c>
      <c r="H71">
        <v>3312.5797800000005</v>
      </c>
      <c r="I71">
        <v>1936.9729500000001</v>
      </c>
      <c r="J71">
        <v>1160.60493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A85-CCEA-4FCE-AAE2-3A76D2EE1F9E}">
  <dimension ref="A1:H42"/>
  <sheetViews>
    <sheetView topLeftCell="A25" zoomScale="55" zoomScaleNormal="55" workbookViewId="0">
      <selection activeCell="J57" sqref="J57"/>
    </sheetView>
  </sheetViews>
  <sheetFormatPr defaultRowHeight="14.25" x14ac:dyDescent="0.45"/>
  <cols>
    <col min="2" max="2" width="38.3984375" customWidth="1"/>
    <col min="3" max="3" width="18.9296875" customWidth="1"/>
    <col min="4" max="4" width="22.6640625" customWidth="1"/>
    <col min="5" max="5" width="23.19921875" customWidth="1"/>
    <col min="6" max="6" width="18.33203125" bestFit="1" customWidth="1"/>
    <col min="7" max="7" width="17.86328125" customWidth="1"/>
    <col min="8" max="8" width="21.73046875" customWidth="1"/>
  </cols>
  <sheetData>
    <row r="1" spans="1:8" x14ac:dyDescent="0.45">
      <c r="A1" t="s">
        <v>27</v>
      </c>
    </row>
    <row r="2" spans="1:8" x14ac:dyDescent="0.45">
      <c r="A2" s="3"/>
    </row>
    <row r="3" spans="1:8" x14ac:dyDescent="0.45">
      <c r="A3" s="3"/>
      <c r="B3" t="s">
        <v>30</v>
      </c>
      <c r="C3" t="s">
        <v>31</v>
      </c>
      <c r="D3" t="s">
        <v>32</v>
      </c>
      <c r="E3" t="s">
        <v>33</v>
      </c>
      <c r="F3" t="s">
        <v>13</v>
      </c>
      <c r="G3" t="s">
        <v>14</v>
      </c>
      <c r="H3" t="s">
        <v>15</v>
      </c>
    </row>
    <row r="4" spans="1:8" x14ac:dyDescent="0.45">
      <c r="A4" s="3"/>
      <c r="B4" t="s">
        <v>34</v>
      </c>
      <c r="C4">
        <v>6.1972602739726002</v>
      </c>
      <c r="D4">
        <v>15396.876712328771</v>
      </c>
      <c r="E4">
        <v>221951.53698630142</v>
      </c>
      <c r="F4">
        <v>12396.77556</v>
      </c>
      <c r="G4">
        <v>10717.704</v>
      </c>
      <c r="H4">
        <v>6876.4871700000003</v>
      </c>
    </row>
    <row r="5" spans="1:8" x14ac:dyDescent="0.45">
      <c r="A5" s="3"/>
      <c r="B5" t="s">
        <v>35</v>
      </c>
      <c r="C5">
        <v>12517.76438356164</v>
      </c>
      <c r="D5">
        <v>14643.654794520538</v>
      </c>
      <c r="E5">
        <v>257940.16712328757</v>
      </c>
      <c r="F5">
        <v>5002.3297499999999</v>
      </c>
      <c r="G5">
        <v>3126.0200100000002</v>
      </c>
      <c r="H5">
        <v>1875.0813600000001</v>
      </c>
    </row>
    <row r="6" spans="1:8" x14ac:dyDescent="0.45">
      <c r="A6" s="3"/>
      <c r="B6" t="s">
        <v>36</v>
      </c>
      <c r="C6">
        <v>37769.835616438351</v>
      </c>
      <c r="D6">
        <v>17216.660273972619</v>
      </c>
      <c r="E6">
        <v>277320.89589041122</v>
      </c>
      <c r="F6">
        <v>3092.7811800000004</v>
      </c>
      <c r="G6">
        <v>1932.5391000000002</v>
      </c>
      <c r="H6">
        <v>1160.3588999999999</v>
      </c>
    </row>
    <row r="7" spans="1:8" x14ac:dyDescent="0.45">
      <c r="A7" s="3"/>
      <c r="B7" t="s">
        <v>37</v>
      </c>
      <c r="C7">
        <v>11170.079452054799</v>
      </c>
      <c r="D7">
        <v>15960.109589041098</v>
      </c>
      <c r="E7">
        <v>305906.39452054806</v>
      </c>
      <c r="F7">
        <v>4766.79054</v>
      </c>
      <c r="G7">
        <v>2977.1736299999998</v>
      </c>
      <c r="H7">
        <v>1783.24668</v>
      </c>
    </row>
    <row r="8" spans="1:8" x14ac:dyDescent="0.45">
      <c r="A8" s="3"/>
      <c r="B8" t="s">
        <v>38</v>
      </c>
      <c r="C8">
        <v>93.389041095890448</v>
      </c>
      <c r="D8">
        <v>11487.82788649706</v>
      </c>
      <c r="E8">
        <v>210174.11293090481</v>
      </c>
      <c r="F8">
        <v>3312.5797800000005</v>
      </c>
      <c r="G8">
        <v>1936.9729500000001</v>
      </c>
      <c r="H8">
        <v>1160.60493</v>
      </c>
    </row>
    <row r="9" spans="1:8" x14ac:dyDescent="0.45">
      <c r="A9" s="3"/>
    </row>
    <row r="10" spans="1:8" x14ac:dyDescent="0.45">
      <c r="A10" s="3"/>
    </row>
    <row r="11" spans="1:8" x14ac:dyDescent="0.45">
      <c r="A11" s="3"/>
    </row>
    <row r="12" spans="1:8" x14ac:dyDescent="0.45">
      <c r="A12" t="s">
        <v>27</v>
      </c>
      <c r="B12" t="s">
        <v>30</v>
      </c>
      <c r="C12" t="s">
        <v>33</v>
      </c>
      <c r="F12" t="s">
        <v>13</v>
      </c>
      <c r="G12" t="s">
        <v>14</v>
      </c>
      <c r="H12" t="s">
        <v>15</v>
      </c>
    </row>
    <row r="13" spans="1:8" x14ac:dyDescent="0.45">
      <c r="A13" s="3"/>
      <c r="B13" t="s">
        <v>20</v>
      </c>
      <c r="C13">
        <v>221951.53698630142</v>
      </c>
      <c r="F13">
        <v>12396.77556</v>
      </c>
      <c r="G13">
        <v>10717.704</v>
      </c>
      <c r="H13">
        <v>6876.4871700000003</v>
      </c>
    </row>
    <row r="14" spans="1:8" x14ac:dyDescent="0.45">
      <c r="B14" t="s">
        <v>21</v>
      </c>
      <c r="C14">
        <v>257940.16712328757</v>
      </c>
      <c r="F14">
        <v>5002.3297499999999</v>
      </c>
      <c r="G14">
        <v>3126.0200100000002</v>
      </c>
      <c r="H14">
        <v>1875.0813600000001</v>
      </c>
    </row>
    <row r="15" spans="1:8" x14ac:dyDescent="0.45">
      <c r="B15" t="s">
        <v>22</v>
      </c>
      <c r="C15">
        <v>277320.89589041122</v>
      </c>
      <c r="F15">
        <v>3092.7811800000004</v>
      </c>
      <c r="G15">
        <v>1932.5391000000002</v>
      </c>
      <c r="H15">
        <v>1160.3588999999999</v>
      </c>
    </row>
    <row r="16" spans="1:8" x14ac:dyDescent="0.45">
      <c r="B16" t="s">
        <v>23</v>
      </c>
      <c r="C16">
        <v>305906.39452054806</v>
      </c>
      <c r="F16">
        <v>4766.79054</v>
      </c>
      <c r="G16">
        <v>2977.1736299999998</v>
      </c>
      <c r="H16">
        <v>1783.24668</v>
      </c>
    </row>
    <row r="17" spans="2:8" x14ac:dyDescent="0.45">
      <c r="B17" t="s">
        <v>24</v>
      </c>
      <c r="C17">
        <v>210174.11293090481</v>
      </c>
      <c r="F17">
        <v>3312.5797800000005</v>
      </c>
      <c r="G17">
        <v>1936.9729500000001</v>
      </c>
      <c r="H17">
        <v>1160.60493</v>
      </c>
    </row>
    <row r="27" spans="2:8" x14ac:dyDescent="0.45">
      <c r="B27" t="s">
        <v>30</v>
      </c>
      <c r="C27" t="s">
        <v>31</v>
      </c>
      <c r="D27" t="s">
        <v>32</v>
      </c>
      <c r="E27" t="s">
        <v>13</v>
      </c>
      <c r="F27" t="s">
        <v>14</v>
      </c>
      <c r="G27" t="s">
        <v>15</v>
      </c>
    </row>
    <row r="28" spans="2:8" x14ac:dyDescent="0.45">
      <c r="B28" t="s">
        <v>34</v>
      </c>
      <c r="C28">
        <v>6.1972602739726002</v>
      </c>
      <c r="D28">
        <v>15396.876712328771</v>
      </c>
      <c r="E28">
        <v>12396.77556</v>
      </c>
      <c r="F28">
        <v>10717.704</v>
      </c>
      <c r="G28">
        <v>6876.4871700000003</v>
      </c>
    </row>
    <row r="29" spans="2:8" x14ac:dyDescent="0.45">
      <c r="B29" t="s">
        <v>35</v>
      </c>
      <c r="C29">
        <v>12517.76438356164</v>
      </c>
      <c r="D29">
        <v>14643.654794520538</v>
      </c>
      <c r="E29">
        <v>5002.3297499999999</v>
      </c>
      <c r="F29">
        <v>3126.0200100000002</v>
      </c>
      <c r="G29">
        <v>1875.0813600000001</v>
      </c>
    </row>
    <row r="30" spans="2:8" x14ac:dyDescent="0.45">
      <c r="B30" t="s">
        <v>36</v>
      </c>
      <c r="C30">
        <v>37769.835616438351</v>
      </c>
      <c r="D30">
        <v>17216.660273972619</v>
      </c>
      <c r="E30">
        <v>3092.7811800000004</v>
      </c>
      <c r="F30">
        <v>1932.5391000000002</v>
      </c>
      <c r="G30">
        <v>1160.3588999999999</v>
      </c>
    </row>
    <row r="31" spans="2:8" x14ac:dyDescent="0.45">
      <c r="B31" t="s">
        <v>37</v>
      </c>
      <c r="C31">
        <v>11170.079452054799</v>
      </c>
      <c r="D31">
        <v>15960.109589041098</v>
      </c>
      <c r="E31">
        <v>4766.79054</v>
      </c>
      <c r="F31">
        <v>2977.1736299999998</v>
      </c>
      <c r="G31">
        <v>1783.24668</v>
      </c>
    </row>
    <row r="32" spans="2:8" x14ac:dyDescent="0.45">
      <c r="B32" t="s">
        <v>38</v>
      </c>
      <c r="C32">
        <v>93.389041095890448</v>
      </c>
      <c r="D32">
        <v>11487.82788649706</v>
      </c>
      <c r="E32">
        <v>3312.5797800000005</v>
      </c>
      <c r="F32">
        <v>1936.9729500000001</v>
      </c>
      <c r="G32">
        <v>1160.60493</v>
      </c>
    </row>
    <row r="37" spans="2:7" x14ac:dyDescent="0.45">
      <c r="B37" t="s">
        <v>30</v>
      </c>
      <c r="C37" t="s">
        <v>31</v>
      </c>
      <c r="D37" t="s">
        <v>32</v>
      </c>
      <c r="E37" t="s">
        <v>13</v>
      </c>
      <c r="F37" t="s">
        <v>14</v>
      </c>
      <c r="G37" t="s">
        <v>15</v>
      </c>
    </row>
    <row r="38" spans="2:7" x14ac:dyDescent="0.45">
      <c r="B38" t="s">
        <v>34</v>
      </c>
      <c r="C38" cm="1">
        <f t="array" ref="C38:G41">C28:G31/5</f>
        <v>1.23945205479452</v>
      </c>
      <c r="D38">
        <v>3079.3753424657543</v>
      </c>
      <c r="E38">
        <v>2479.3551120000002</v>
      </c>
      <c r="F38">
        <v>2143.5407999999998</v>
      </c>
      <c r="G38">
        <v>1375.2974340000001</v>
      </c>
    </row>
    <row r="39" spans="2:7" x14ac:dyDescent="0.45">
      <c r="B39" t="s">
        <v>35</v>
      </c>
      <c r="C39">
        <v>2503.5528767123278</v>
      </c>
      <c r="D39">
        <v>2928.7309589041079</v>
      </c>
      <c r="E39">
        <v>1000.46595</v>
      </c>
      <c r="F39">
        <v>625.20400200000006</v>
      </c>
      <c r="G39">
        <v>375.01627200000001</v>
      </c>
    </row>
    <row r="40" spans="2:7" x14ac:dyDescent="0.45">
      <c r="B40" t="s">
        <v>36</v>
      </c>
      <c r="C40">
        <v>7553.9671232876699</v>
      </c>
      <c r="D40">
        <v>3443.3320547945236</v>
      </c>
      <c r="E40">
        <v>618.55623600000013</v>
      </c>
      <c r="F40">
        <v>386.50782000000004</v>
      </c>
      <c r="G40">
        <v>232.07177999999999</v>
      </c>
    </row>
    <row r="41" spans="2:7" x14ac:dyDescent="0.45">
      <c r="B41" t="s">
        <v>37</v>
      </c>
      <c r="C41">
        <v>2234.0158904109599</v>
      </c>
      <c r="D41">
        <v>3192.0219178082198</v>
      </c>
      <c r="E41">
        <v>953.35810800000002</v>
      </c>
      <c r="F41">
        <v>595.43472599999996</v>
      </c>
      <c r="G41">
        <v>356.64933600000001</v>
      </c>
    </row>
    <row r="42" spans="2:7" x14ac:dyDescent="0.45">
      <c r="B42" t="s">
        <v>38</v>
      </c>
      <c r="C42" cm="1">
        <f t="array" ref="C42:G42">C32:G32/4</f>
        <v>23.347260273972612</v>
      </c>
      <c r="D42">
        <v>2871.956971624265</v>
      </c>
      <c r="E42">
        <v>828.14494500000012</v>
      </c>
      <c r="F42">
        <v>484.24323750000002</v>
      </c>
      <c r="G42">
        <v>290.15123249999999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DCF1-DC0C-40D9-AAFF-9FE5C71E8BCA}">
  <dimension ref="A1:E24"/>
  <sheetViews>
    <sheetView workbookViewId="0">
      <selection activeCell="B19" sqref="B19:E24"/>
    </sheetView>
  </sheetViews>
  <sheetFormatPr defaultRowHeight="14.25" x14ac:dyDescent="0.45"/>
  <cols>
    <col min="1" max="1" width="19.6640625" customWidth="1"/>
    <col min="2" max="2" width="41.86328125" customWidth="1"/>
    <col min="3" max="3" width="31.1328125" customWidth="1"/>
    <col min="4" max="4" width="25.9296875" customWidth="1"/>
    <col min="5" max="5" width="23.33203125" customWidth="1"/>
  </cols>
  <sheetData>
    <row r="1" spans="1:5" x14ac:dyDescent="0.45">
      <c r="C1" s="4">
        <v>3670</v>
      </c>
      <c r="D1" s="4">
        <v>2900</v>
      </c>
      <c r="E1" s="4">
        <v>2246</v>
      </c>
    </row>
    <row r="2" spans="1:5" x14ac:dyDescent="0.45">
      <c r="A2" t="s">
        <v>29</v>
      </c>
    </row>
    <row r="3" spans="1:5" x14ac:dyDescent="0.45">
      <c r="A3" t="s">
        <v>19</v>
      </c>
      <c r="C3" t="s">
        <v>13</v>
      </c>
      <c r="D3" t="s">
        <v>14</v>
      </c>
      <c r="E3" t="s">
        <v>15</v>
      </c>
    </row>
    <row r="4" spans="1:5" x14ac:dyDescent="0.45">
      <c r="A4" t="s">
        <v>20</v>
      </c>
      <c r="B4">
        <v>0.778236914600551</v>
      </c>
      <c r="C4">
        <f>(3670*3670)</f>
        <v>13468900</v>
      </c>
      <c r="D4">
        <f>0.72*(2900*2900)</f>
        <v>6055200</v>
      </c>
      <c r="E4">
        <v>3885021</v>
      </c>
    </row>
    <row r="5" spans="1:5" x14ac:dyDescent="0.45">
      <c r="A5" t="s">
        <v>21</v>
      </c>
      <c r="B5">
        <v>0.21151515151515152</v>
      </c>
      <c r="C5">
        <v>2826175</v>
      </c>
      <c r="D5">
        <v>1766113</v>
      </c>
      <c r="E5">
        <v>1059368</v>
      </c>
    </row>
    <row r="6" spans="1:5" x14ac:dyDescent="0.45">
      <c r="A6" t="s">
        <v>22</v>
      </c>
      <c r="B6">
        <v>0.13424242424242422</v>
      </c>
      <c r="C6">
        <v>1747334</v>
      </c>
      <c r="D6">
        <v>1091830</v>
      </c>
      <c r="E6">
        <v>655570</v>
      </c>
    </row>
    <row r="7" spans="1:5" x14ac:dyDescent="0.45">
      <c r="A7" t="s">
        <v>23</v>
      </c>
      <c r="B7">
        <v>0.20181818181818181</v>
      </c>
      <c r="C7">
        <v>2693102</v>
      </c>
      <c r="D7">
        <v>1682019</v>
      </c>
      <c r="E7">
        <v>1007484</v>
      </c>
    </row>
    <row r="8" spans="1:5" x14ac:dyDescent="0.45">
      <c r="A8" t="s">
        <v>24</v>
      </c>
      <c r="B8">
        <v>0.13991341991341993</v>
      </c>
      <c r="C8">
        <v>1871514</v>
      </c>
      <c r="D8">
        <v>1094335</v>
      </c>
      <c r="E8">
        <v>655709</v>
      </c>
    </row>
    <row r="11" spans="1:5" x14ac:dyDescent="0.45">
      <c r="A11" t="s">
        <v>27</v>
      </c>
      <c r="B11" t="s">
        <v>30</v>
      </c>
      <c r="C11" t="s">
        <v>13</v>
      </c>
      <c r="D11" t="s">
        <v>14</v>
      </c>
      <c r="E11" t="s">
        <v>15</v>
      </c>
    </row>
    <row r="12" spans="1:5" x14ac:dyDescent="0.45">
      <c r="B12" t="s">
        <v>20</v>
      </c>
      <c r="C12" cm="1">
        <f t="array" ref="C12:E16">(1.73*C4:E8)*0.001</f>
        <v>23301.197</v>
      </c>
      <c r="D12">
        <v>10475.496000000001</v>
      </c>
      <c r="E12">
        <v>6721.0863300000001</v>
      </c>
    </row>
    <row r="13" spans="1:5" x14ac:dyDescent="0.45">
      <c r="B13" t="s">
        <v>21</v>
      </c>
      <c r="C13">
        <v>4889.2827500000003</v>
      </c>
      <c r="D13">
        <v>3055.3754899999999</v>
      </c>
      <c r="E13">
        <v>1832.7066399999999</v>
      </c>
    </row>
    <row r="14" spans="1:5" x14ac:dyDescent="0.45">
      <c r="B14" t="s">
        <v>22</v>
      </c>
      <c r="C14">
        <v>3022.8878199999999</v>
      </c>
      <c r="D14">
        <v>1888.8659</v>
      </c>
      <c r="E14">
        <v>1134.1361000000002</v>
      </c>
    </row>
    <row r="15" spans="1:5" x14ac:dyDescent="0.45">
      <c r="B15" t="s">
        <v>23</v>
      </c>
      <c r="C15">
        <v>4659.06646</v>
      </c>
      <c r="D15">
        <v>2909.8928700000001</v>
      </c>
      <c r="E15">
        <v>1742.94732</v>
      </c>
    </row>
    <row r="16" spans="1:5" x14ac:dyDescent="0.45">
      <c r="B16" t="s">
        <v>24</v>
      </c>
      <c r="C16">
        <v>3237.71922</v>
      </c>
      <c r="D16">
        <v>1893.19955</v>
      </c>
      <c r="E16">
        <v>1134.3765700000001</v>
      </c>
    </row>
    <row r="19" spans="1:5" x14ac:dyDescent="0.45">
      <c r="A19" t="s">
        <v>76</v>
      </c>
      <c r="B19" t="s">
        <v>30</v>
      </c>
      <c r="C19" t="s">
        <v>13</v>
      </c>
      <c r="D19" t="s">
        <v>14</v>
      </c>
      <c r="E19" t="s">
        <v>15</v>
      </c>
    </row>
    <row r="20" spans="1:5" x14ac:dyDescent="0.45">
      <c r="B20" t="s">
        <v>20</v>
      </c>
      <c r="C20" cm="1">
        <f t="array" ref="C20:E23">C12:E15*5</f>
        <v>116505.985</v>
      </c>
      <c r="D20">
        <v>52377.48</v>
      </c>
      <c r="E20">
        <v>33605.431649999999</v>
      </c>
    </row>
    <row r="21" spans="1:5" x14ac:dyDescent="0.45">
      <c r="B21" t="s">
        <v>21</v>
      </c>
      <c r="C21">
        <v>24446.41375</v>
      </c>
      <c r="D21">
        <v>15276.87745</v>
      </c>
      <c r="E21">
        <v>9163.5331999999999</v>
      </c>
    </row>
    <row r="22" spans="1:5" x14ac:dyDescent="0.45">
      <c r="B22" t="s">
        <v>22</v>
      </c>
      <c r="C22">
        <v>15114.4391</v>
      </c>
      <c r="D22">
        <v>9444.3294999999998</v>
      </c>
      <c r="E22">
        <v>5670.6805000000004</v>
      </c>
    </row>
    <row r="23" spans="1:5" x14ac:dyDescent="0.45">
      <c r="B23" t="s">
        <v>23</v>
      </c>
      <c r="C23">
        <v>23295.332300000002</v>
      </c>
      <c r="D23">
        <v>14549.46435</v>
      </c>
      <c r="E23">
        <v>8714.7366000000002</v>
      </c>
    </row>
    <row r="24" spans="1:5" x14ac:dyDescent="0.45">
      <c r="B24" t="s">
        <v>24</v>
      </c>
      <c r="C24" cm="1">
        <f t="array" ref="C24:E24">C16:E16*4</f>
        <v>12950.87688</v>
      </c>
      <c r="D24">
        <v>7572.7982000000002</v>
      </c>
      <c r="E24">
        <v>4537.5062800000005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57B9-A19E-4E42-AA27-E46C0D1873A6}">
  <dimension ref="A1:Y110"/>
  <sheetViews>
    <sheetView tabSelected="1" topLeftCell="E49" zoomScale="85" zoomScaleNormal="85" workbookViewId="0">
      <selection activeCell="I45" sqref="I45"/>
    </sheetView>
  </sheetViews>
  <sheetFormatPr defaultRowHeight="14.25" x14ac:dyDescent="0.45"/>
  <cols>
    <col min="1" max="1" width="27.06640625" customWidth="1"/>
    <col min="2" max="2" width="23.3984375" customWidth="1"/>
    <col min="8" max="8" width="28.265625" customWidth="1"/>
    <col min="9" max="9" width="30.6640625" customWidth="1"/>
    <col min="10" max="10" width="19.3984375" customWidth="1"/>
    <col min="11" max="11" width="18.1328125" customWidth="1"/>
    <col min="12" max="12" width="20.3984375" customWidth="1"/>
    <col min="13" max="13" width="12.9296875" customWidth="1"/>
    <col min="14" max="14" width="20.3984375" customWidth="1"/>
    <col min="15" max="15" width="20.6640625" customWidth="1"/>
    <col min="16" max="16" width="16.46484375" customWidth="1"/>
    <col min="17" max="17" width="11.73046875" customWidth="1"/>
    <col min="18" max="18" width="10.86328125" customWidth="1"/>
    <col min="19" max="19" width="15.33203125" customWidth="1"/>
    <col min="21" max="21" width="14.1328125" customWidth="1"/>
    <col min="22" max="22" width="19.73046875" customWidth="1"/>
    <col min="23" max="23" width="15.3984375" customWidth="1"/>
    <col min="24" max="24" width="13.33203125" customWidth="1"/>
  </cols>
  <sheetData>
    <row r="1" spans="1:17" x14ac:dyDescent="0.45">
      <c r="A1" t="s">
        <v>39</v>
      </c>
      <c r="D1" t="s">
        <v>45</v>
      </c>
      <c r="O1">
        <v>3670</v>
      </c>
      <c r="P1">
        <v>2900</v>
      </c>
      <c r="Q1">
        <v>2246</v>
      </c>
    </row>
    <row r="2" spans="1:17" x14ac:dyDescent="0.45">
      <c r="O2" t="s">
        <v>13</v>
      </c>
      <c r="P2" t="s">
        <v>14</v>
      </c>
      <c r="Q2" t="s">
        <v>15</v>
      </c>
    </row>
    <row r="3" spans="1:17" x14ac:dyDescent="0.45">
      <c r="A3" t="s">
        <v>40</v>
      </c>
      <c r="B3">
        <f>3670*3670</f>
        <v>13468900</v>
      </c>
    </row>
    <row r="4" spans="1:17" x14ac:dyDescent="0.45">
      <c r="A4" t="s">
        <v>43</v>
      </c>
      <c r="B4">
        <f>0.5*B3</f>
        <v>6734450</v>
      </c>
      <c r="D4">
        <f>B3-B4</f>
        <v>6734450</v>
      </c>
      <c r="H4" t="s">
        <v>40</v>
      </c>
      <c r="I4" t="s">
        <v>41</v>
      </c>
      <c r="J4" t="s">
        <v>42</v>
      </c>
    </row>
    <row r="5" spans="1:17" x14ac:dyDescent="0.45">
      <c r="A5" t="s">
        <v>44</v>
      </c>
      <c r="B5">
        <f>0.3*B3</f>
        <v>4040670</v>
      </c>
      <c r="D5">
        <f>B3-B5</f>
        <v>9428230</v>
      </c>
      <c r="G5">
        <v>0.5</v>
      </c>
      <c r="H5">
        <v>3670</v>
      </c>
      <c r="I5">
        <v>2900</v>
      </c>
      <c r="J5">
        <v>2246</v>
      </c>
    </row>
    <row r="6" spans="1:17" x14ac:dyDescent="0.45">
      <c r="G6">
        <v>0.3</v>
      </c>
      <c r="H6">
        <v>3670</v>
      </c>
      <c r="I6">
        <v>2900</v>
      </c>
      <c r="J6">
        <v>2246</v>
      </c>
    </row>
    <row r="7" spans="1:17" x14ac:dyDescent="0.45">
      <c r="A7" t="s">
        <v>41</v>
      </c>
      <c r="B7">
        <f>2900*2900</f>
        <v>8410000</v>
      </c>
    </row>
    <row r="8" spans="1:17" x14ac:dyDescent="0.45">
      <c r="A8" t="s">
        <v>43</v>
      </c>
      <c r="B8">
        <f>0.5*B7</f>
        <v>4205000</v>
      </c>
      <c r="D8">
        <f>B7-B8</f>
        <v>4205000</v>
      </c>
    </row>
    <row r="9" spans="1:17" x14ac:dyDescent="0.45">
      <c r="A9" t="s">
        <v>44</v>
      </c>
      <c r="B9">
        <f>0.3*B7</f>
        <v>2523000</v>
      </c>
      <c r="D9">
        <f>B7-B9</f>
        <v>5887000</v>
      </c>
    </row>
    <row r="11" spans="1:17" x14ac:dyDescent="0.45">
      <c r="A11" t="s">
        <v>42</v>
      </c>
      <c r="B11">
        <f>2246^2</f>
        <v>5044516</v>
      </c>
    </row>
    <row r="12" spans="1:17" x14ac:dyDescent="0.45">
      <c r="A12" t="s">
        <v>43</v>
      </c>
      <c r="B12">
        <f>0.5*B11</f>
        <v>2522258</v>
      </c>
      <c r="D12">
        <f>B11-B12</f>
        <v>2522258</v>
      </c>
    </row>
    <row r="13" spans="1:17" x14ac:dyDescent="0.45">
      <c r="A13" t="s">
        <v>44</v>
      </c>
      <c r="B13">
        <f>0.3*B11</f>
        <v>1513354.8</v>
      </c>
      <c r="D13">
        <f>B11-B13</f>
        <v>3531161.2</v>
      </c>
    </row>
    <row r="17" spans="1:14" x14ac:dyDescent="0.45">
      <c r="A17" t="s">
        <v>46</v>
      </c>
    </row>
    <row r="18" spans="1:14" x14ac:dyDescent="0.45">
      <c r="H18" t="s">
        <v>19</v>
      </c>
      <c r="I18" t="s">
        <v>47</v>
      </c>
      <c r="J18" t="s">
        <v>50</v>
      </c>
      <c r="K18" t="s">
        <v>48</v>
      </c>
      <c r="L18" t="s">
        <v>49</v>
      </c>
    </row>
    <row r="19" spans="1:14" x14ac:dyDescent="0.45">
      <c r="H19" t="s">
        <v>20</v>
      </c>
      <c r="I19">
        <v>0.778236914600551</v>
      </c>
      <c r="J19" cm="1">
        <f t="array" ref="J19:J23">I19:I23*3670</f>
        <v>2856.1294765840221</v>
      </c>
      <c r="K19" cm="1">
        <f t="array" ref="K19:K23">2900*I19:I23</f>
        <v>2256.8870523415981</v>
      </c>
      <c r="L19" cm="1">
        <f t="array" ref="L19:L23">2246*I19:I23</f>
        <v>1747.9201101928375</v>
      </c>
    </row>
    <row r="20" spans="1:14" x14ac:dyDescent="0.45">
      <c r="H20" t="s">
        <v>21</v>
      </c>
      <c r="I20">
        <v>0.21151515151515152</v>
      </c>
      <c r="J20">
        <v>776.26060606060605</v>
      </c>
      <c r="K20">
        <v>613.39393939393938</v>
      </c>
      <c r="L20">
        <v>475.0630303030303</v>
      </c>
    </row>
    <row r="21" spans="1:14" x14ac:dyDescent="0.45">
      <c r="H21" t="s">
        <v>22</v>
      </c>
      <c r="I21">
        <v>0.13424242424242422</v>
      </c>
      <c r="J21">
        <v>492.66969696969687</v>
      </c>
      <c r="K21">
        <v>389.30303030303025</v>
      </c>
      <c r="L21">
        <v>301.50848484848478</v>
      </c>
    </row>
    <row r="22" spans="1:14" x14ac:dyDescent="0.45">
      <c r="H22" t="s">
        <v>23</v>
      </c>
      <c r="I22">
        <v>0.20181818181818181</v>
      </c>
      <c r="J22">
        <v>740.67272727272723</v>
      </c>
      <c r="K22">
        <v>585.27272727272725</v>
      </c>
      <c r="L22">
        <v>453.28363636363633</v>
      </c>
    </row>
    <row r="23" spans="1:14" x14ac:dyDescent="0.45">
      <c r="H23" t="s">
        <v>24</v>
      </c>
      <c r="I23">
        <v>0.13991341991341993</v>
      </c>
      <c r="J23">
        <v>513.4822510822512</v>
      </c>
      <c r="K23">
        <v>405.74891774891779</v>
      </c>
      <c r="L23">
        <v>314.24554112554119</v>
      </c>
    </row>
    <row r="24" spans="1:14" x14ac:dyDescent="0.45">
      <c r="A24" t="s">
        <v>19</v>
      </c>
      <c r="B24" t="s">
        <v>47</v>
      </c>
    </row>
    <row r="25" spans="1:14" x14ac:dyDescent="0.45">
      <c r="A25" t="s">
        <v>20</v>
      </c>
      <c r="B25">
        <v>0.778236914600551</v>
      </c>
    </row>
    <row r="26" spans="1:14" x14ac:dyDescent="0.45">
      <c r="A26" t="s">
        <v>21</v>
      </c>
      <c r="B26">
        <v>0.21151515151515152</v>
      </c>
    </row>
    <row r="27" spans="1:14" x14ac:dyDescent="0.45">
      <c r="A27" t="s">
        <v>22</v>
      </c>
      <c r="B27">
        <v>0.13424242424242422</v>
      </c>
    </row>
    <row r="28" spans="1:14" x14ac:dyDescent="0.45">
      <c r="A28" t="s">
        <v>23</v>
      </c>
      <c r="B28">
        <v>0.20181818181818181</v>
      </c>
      <c r="H28" t="s">
        <v>19</v>
      </c>
      <c r="I28" s="5" t="s">
        <v>51</v>
      </c>
      <c r="J28" s="5"/>
      <c r="K28" s="5" t="s">
        <v>52</v>
      </c>
      <c r="L28" s="5"/>
      <c r="M28" s="5" t="s">
        <v>53</v>
      </c>
      <c r="N28" s="5"/>
    </row>
    <row r="29" spans="1:14" x14ac:dyDescent="0.45">
      <c r="A29" t="s">
        <v>24</v>
      </c>
      <c r="B29">
        <v>0.13991341991341993</v>
      </c>
      <c r="I29" t="s">
        <v>54</v>
      </c>
      <c r="J29" t="s">
        <v>55</v>
      </c>
      <c r="K29" t="s">
        <v>54</v>
      </c>
      <c r="L29" t="s">
        <v>55</v>
      </c>
      <c r="M29" t="s">
        <v>54</v>
      </c>
      <c r="N29" t="s">
        <v>55</v>
      </c>
    </row>
    <row r="30" spans="1:14" x14ac:dyDescent="0.45">
      <c r="H30" t="s">
        <v>20</v>
      </c>
      <c r="I30" cm="1">
        <f t="array" ref="I30:I34">0.5*_xlfn.ANCHORARRAY(J19)</f>
        <v>1428.064738292011</v>
      </c>
      <c r="J30" cm="1">
        <f t="array" ref="J30:J34">0.7*_xlfn.ANCHORARRAY(J19)</f>
        <v>1999.2906336088154</v>
      </c>
      <c r="K30" cm="1">
        <f t="array" ref="K30:K34">0.5*_xlfn.ANCHORARRAY(K19)</f>
        <v>1128.443526170799</v>
      </c>
      <c r="L30" cm="1">
        <f t="array" ref="L30:L34">0.7*K19:K23</f>
        <v>1579.8209366391186</v>
      </c>
      <c r="M30" cm="1">
        <f t="array" ref="M30:M34">0.5*_xlfn.ANCHORARRAY(L19)</f>
        <v>873.96005509641873</v>
      </c>
      <c r="N30" cm="1">
        <f t="array" ref="N30:N34">0.7*_xlfn.ANCHORARRAY(L19)</f>
        <v>1223.5440771349861</v>
      </c>
    </row>
    <row r="31" spans="1:14" x14ac:dyDescent="0.45">
      <c r="H31" t="s">
        <v>21</v>
      </c>
      <c r="I31">
        <v>388.13030303030303</v>
      </c>
      <c r="J31">
        <v>543.38242424242424</v>
      </c>
      <c r="K31">
        <v>306.69696969696969</v>
      </c>
      <c r="L31">
        <v>429.37575757575752</v>
      </c>
      <c r="M31">
        <v>237.53151515151515</v>
      </c>
      <c r="N31">
        <v>332.54412121212118</v>
      </c>
    </row>
    <row r="32" spans="1:14" x14ac:dyDescent="0.45">
      <c r="H32" t="s">
        <v>22</v>
      </c>
      <c r="I32">
        <v>246.33484848484844</v>
      </c>
      <c r="J32">
        <v>344.86878787878777</v>
      </c>
      <c r="K32">
        <v>194.65151515151513</v>
      </c>
      <c r="L32">
        <v>272.51212121212114</v>
      </c>
      <c r="M32">
        <v>150.75424242424239</v>
      </c>
      <c r="N32">
        <v>211.05593939393933</v>
      </c>
    </row>
    <row r="33" spans="8:14" x14ac:dyDescent="0.45">
      <c r="H33" t="s">
        <v>23</v>
      </c>
      <c r="I33">
        <v>370.33636363636361</v>
      </c>
      <c r="J33">
        <v>518.470909090909</v>
      </c>
      <c r="K33">
        <v>292.63636363636363</v>
      </c>
      <c r="L33">
        <v>409.69090909090903</v>
      </c>
      <c r="M33">
        <v>226.64181818181817</v>
      </c>
      <c r="N33">
        <v>317.29854545454543</v>
      </c>
    </row>
    <row r="34" spans="8:14" x14ac:dyDescent="0.45">
      <c r="H34" t="s">
        <v>24</v>
      </c>
      <c r="I34">
        <v>256.7411255411256</v>
      </c>
      <c r="J34">
        <v>359.43757575757581</v>
      </c>
      <c r="K34">
        <v>202.8744588744589</v>
      </c>
      <c r="L34">
        <v>284.02424242424246</v>
      </c>
      <c r="M34">
        <v>157.1227705627706</v>
      </c>
      <c r="N34">
        <v>219.97187878787884</v>
      </c>
    </row>
    <row r="37" spans="8:14" x14ac:dyDescent="0.45">
      <c r="H37" t="s">
        <v>19</v>
      </c>
      <c r="I37" t="s">
        <v>50</v>
      </c>
      <c r="J37" t="s">
        <v>48</v>
      </c>
      <c r="K37" t="s">
        <v>49</v>
      </c>
    </row>
    <row r="39" spans="8:14" x14ac:dyDescent="0.45">
      <c r="H39" t="s">
        <v>20</v>
      </c>
      <c r="I39" cm="1">
        <f t="array" ref="I39:K43">ROUND(J19:L23,0)</f>
        <v>2856</v>
      </c>
      <c r="J39">
        <v>2257</v>
      </c>
      <c r="K39">
        <v>1748</v>
      </c>
    </row>
    <row r="40" spans="8:14" x14ac:dyDescent="0.45">
      <c r="H40" t="s">
        <v>21</v>
      </c>
      <c r="I40">
        <v>776</v>
      </c>
      <c r="J40">
        <v>613</v>
      </c>
      <c r="K40">
        <v>475</v>
      </c>
    </row>
    <row r="41" spans="8:14" x14ac:dyDescent="0.45">
      <c r="H41" t="s">
        <v>22</v>
      </c>
      <c r="I41">
        <v>493</v>
      </c>
      <c r="J41">
        <v>389</v>
      </c>
      <c r="K41">
        <v>302</v>
      </c>
    </row>
    <row r="42" spans="8:14" x14ac:dyDescent="0.45">
      <c r="H42" t="s">
        <v>23</v>
      </c>
      <c r="I42">
        <v>741</v>
      </c>
      <c r="J42">
        <v>585</v>
      </c>
      <c r="K42">
        <v>453</v>
      </c>
    </row>
    <row r="43" spans="8:14" x14ac:dyDescent="0.45">
      <c r="H43" t="s">
        <v>24</v>
      </c>
      <c r="I43">
        <v>513</v>
      </c>
      <c r="J43">
        <v>406</v>
      </c>
      <c r="K43">
        <v>314</v>
      </c>
    </row>
    <row r="46" spans="8:14" x14ac:dyDescent="0.45">
      <c r="I46" s="5" t="s">
        <v>51</v>
      </c>
      <c r="J46" s="5"/>
      <c r="K46" s="5" t="s">
        <v>52</v>
      </c>
      <c r="L46" s="5"/>
      <c r="M46" s="5" t="s">
        <v>53</v>
      </c>
      <c r="N46" s="5"/>
    </row>
    <row r="47" spans="8:14" x14ac:dyDescent="0.45">
      <c r="I47" t="s">
        <v>54</v>
      </c>
      <c r="J47" t="s">
        <v>55</v>
      </c>
      <c r="K47" t="s">
        <v>54</v>
      </c>
      <c r="L47" t="s">
        <v>55</v>
      </c>
      <c r="M47" t="s">
        <v>54</v>
      </c>
      <c r="N47" t="s">
        <v>55</v>
      </c>
    </row>
    <row r="48" spans="8:14" x14ac:dyDescent="0.45">
      <c r="H48" t="s">
        <v>20</v>
      </c>
      <c r="I48" t="s">
        <v>56</v>
      </c>
      <c r="J48" t="s">
        <v>66</v>
      </c>
      <c r="K48" t="s">
        <v>65</v>
      </c>
    </row>
    <row r="49" spans="8:20" x14ac:dyDescent="0.45">
      <c r="H49" t="s">
        <v>21</v>
      </c>
      <c r="I49" t="s">
        <v>57</v>
      </c>
      <c r="J49" t="s">
        <v>58</v>
      </c>
    </row>
    <row r="50" spans="8:20" x14ac:dyDescent="0.45">
      <c r="H50" t="s">
        <v>22</v>
      </c>
      <c r="I50" t="s">
        <v>59</v>
      </c>
      <c r="J50" t="s">
        <v>60</v>
      </c>
    </row>
    <row r="51" spans="8:20" x14ac:dyDescent="0.45">
      <c r="H51" t="s">
        <v>23</v>
      </c>
      <c r="I51" t="s">
        <v>61</v>
      </c>
      <c r="J51" t="s">
        <v>62</v>
      </c>
    </row>
    <row r="52" spans="8:20" x14ac:dyDescent="0.45">
      <c r="H52" t="s">
        <v>24</v>
      </c>
      <c r="I52" t="s">
        <v>63</v>
      </c>
      <c r="J52" t="s">
        <v>64</v>
      </c>
    </row>
    <row r="56" spans="8:20" x14ac:dyDescent="0.45">
      <c r="I56" s="5" t="s">
        <v>51</v>
      </c>
      <c r="J56" s="5"/>
      <c r="K56" s="5"/>
      <c r="L56" s="5"/>
      <c r="M56" s="5" t="s">
        <v>14</v>
      </c>
      <c r="N56" s="5"/>
      <c r="O56" s="5"/>
      <c r="P56" s="5"/>
      <c r="Q56" s="5" t="s">
        <v>15</v>
      </c>
      <c r="R56" s="5"/>
      <c r="S56" s="5"/>
      <c r="T56" s="5"/>
    </row>
    <row r="57" spans="8:20" x14ac:dyDescent="0.45">
      <c r="I57" s="5" t="s">
        <v>67</v>
      </c>
      <c r="J57" s="5"/>
      <c r="K57" s="5" t="s">
        <v>70</v>
      </c>
      <c r="L57" s="5"/>
      <c r="M57" t="s">
        <v>67</v>
      </c>
      <c r="O57" t="s">
        <v>70</v>
      </c>
      <c r="Q57" t="s">
        <v>67</v>
      </c>
      <c r="S57" t="s">
        <v>70</v>
      </c>
    </row>
    <row r="58" spans="8:20" x14ac:dyDescent="0.45">
      <c r="I58" t="s">
        <v>68</v>
      </c>
      <c r="J58" t="s">
        <v>69</v>
      </c>
      <c r="K58" t="s">
        <v>68</v>
      </c>
      <c r="L58" t="s">
        <v>69</v>
      </c>
      <c r="M58" t="s">
        <v>68</v>
      </c>
      <c r="N58" t="s">
        <v>69</v>
      </c>
      <c r="O58" t="s">
        <v>68</v>
      </c>
      <c r="P58" t="s">
        <v>69</v>
      </c>
      <c r="Q58" t="s">
        <v>68</v>
      </c>
      <c r="R58" t="s">
        <v>69</v>
      </c>
      <c r="S58" t="s">
        <v>68</v>
      </c>
      <c r="T58" t="s">
        <v>69</v>
      </c>
    </row>
    <row r="59" spans="8:20" x14ac:dyDescent="0.45">
      <c r="H59" t="s">
        <v>20</v>
      </c>
      <c r="I59">
        <v>4068240</v>
      </c>
      <c r="J59">
        <v>9667</v>
      </c>
      <c r="K59">
        <v>6446788</v>
      </c>
      <c r="L59">
        <v>1569</v>
      </c>
      <c r="M59">
        <v>3547690</v>
      </c>
      <c r="N59">
        <v>7322</v>
      </c>
      <c r="O59">
        <v>5747752</v>
      </c>
      <c r="P59">
        <v>1147</v>
      </c>
      <c r="Q59">
        <v>2538144</v>
      </c>
      <c r="R59">
        <v>7003</v>
      </c>
      <c r="S59">
        <v>4845352</v>
      </c>
      <c r="T59">
        <v>965</v>
      </c>
    </row>
    <row r="60" spans="8:20" x14ac:dyDescent="0.45">
      <c r="H60" t="s">
        <v>21</v>
      </c>
      <c r="I60">
        <v>298109</v>
      </c>
      <c r="J60">
        <v>1910</v>
      </c>
      <c r="K60">
        <v>180221</v>
      </c>
      <c r="L60">
        <v>372</v>
      </c>
      <c r="M60">
        <v>214702</v>
      </c>
      <c r="N60">
        <v>1470</v>
      </c>
      <c r="O60">
        <v>146652</v>
      </c>
      <c r="P60">
        <v>186</v>
      </c>
      <c r="Q60">
        <v>164284</v>
      </c>
      <c r="R60">
        <v>964</v>
      </c>
      <c r="S60">
        <v>94558</v>
      </c>
      <c r="T60">
        <v>124</v>
      </c>
    </row>
    <row r="61" spans="8:20" x14ac:dyDescent="0.45">
      <c r="H61" t="s">
        <v>22</v>
      </c>
      <c r="I61">
        <v>120124</v>
      </c>
      <c r="J61">
        <v>1429</v>
      </c>
      <c r="K61">
        <v>167215</v>
      </c>
      <c r="L61">
        <v>3047</v>
      </c>
      <c r="M61">
        <v>101040</v>
      </c>
      <c r="N61">
        <v>1139</v>
      </c>
      <c r="O61">
        <v>138742</v>
      </c>
      <c r="P61">
        <v>2846</v>
      </c>
      <c r="Q61">
        <v>96547</v>
      </c>
      <c r="R61">
        <v>875</v>
      </c>
      <c r="S61">
        <v>74652</v>
      </c>
      <c r="T61">
        <v>2147</v>
      </c>
    </row>
    <row r="62" spans="8:20" x14ac:dyDescent="0.45">
      <c r="H62" t="s">
        <v>23</v>
      </c>
      <c r="I62">
        <v>272334</v>
      </c>
      <c r="J62">
        <v>2127</v>
      </c>
      <c r="K62">
        <v>378034</v>
      </c>
      <c r="L62">
        <v>6628</v>
      </c>
      <c r="M62">
        <v>214173</v>
      </c>
      <c r="N62">
        <v>1874</v>
      </c>
      <c r="O62">
        <v>314764</v>
      </c>
      <c r="P62">
        <v>6224</v>
      </c>
      <c r="Q62">
        <v>144752</v>
      </c>
      <c r="R62">
        <v>1447</v>
      </c>
      <c r="S62">
        <v>257486</v>
      </c>
      <c r="T62">
        <v>4778</v>
      </c>
    </row>
    <row r="63" spans="8:20" x14ac:dyDescent="0.45">
      <c r="H63" t="s">
        <v>24</v>
      </c>
      <c r="I63">
        <v>130301</v>
      </c>
      <c r="J63">
        <v>1152</v>
      </c>
      <c r="K63">
        <v>180864</v>
      </c>
      <c r="L63">
        <v>3266</v>
      </c>
      <c r="M63">
        <v>104740</v>
      </c>
      <c r="N63">
        <v>865</v>
      </c>
      <c r="O63">
        <v>120984</v>
      </c>
      <c r="P63">
        <v>2874</v>
      </c>
      <c r="Q63">
        <v>75542</v>
      </c>
      <c r="R63">
        <v>545</v>
      </c>
      <c r="S63">
        <v>97496</v>
      </c>
      <c r="T63">
        <v>1987</v>
      </c>
    </row>
    <row r="67" spans="7:20" x14ac:dyDescent="0.45">
      <c r="I67" s="5" t="s">
        <v>51</v>
      </c>
      <c r="J67" s="5"/>
      <c r="K67" s="5"/>
      <c r="L67" s="5"/>
      <c r="M67" s="5" t="s">
        <v>14</v>
      </c>
      <c r="N67" s="5"/>
      <c r="O67" s="5"/>
      <c r="P67" s="5"/>
      <c r="Q67" s="5" t="s">
        <v>15</v>
      </c>
      <c r="R67" s="5"/>
      <c r="S67" s="5"/>
      <c r="T67" s="5"/>
    </row>
    <row r="68" spans="7:20" x14ac:dyDescent="0.45">
      <c r="I68" s="5" t="s">
        <v>67</v>
      </c>
      <c r="J68" s="5"/>
      <c r="K68" s="5" t="s">
        <v>70</v>
      </c>
      <c r="L68" s="5"/>
      <c r="M68" t="s">
        <v>67</v>
      </c>
      <c r="O68" t="s">
        <v>70</v>
      </c>
      <c r="Q68" t="s">
        <v>67</v>
      </c>
      <c r="S68" t="s">
        <v>70</v>
      </c>
    </row>
    <row r="69" spans="7:20" x14ac:dyDescent="0.45">
      <c r="I69" t="s">
        <v>68</v>
      </c>
      <c r="J69" t="s">
        <v>69</v>
      </c>
      <c r="K69" t="s">
        <v>68</v>
      </c>
      <c r="L69" t="s">
        <v>69</v>
      </c>
      <c r="M69" t="s">
        <v>68</v>
      </c>
      <c r="N69" t="s">
        <v>69</v>
      </c>
      <c r="O69" t="s">
        <v>68</v>
      </c>
      <c r="P69" t="s">
        <v>69</v>
      </c>
      <c r="Q69" t="s">
        <v>68</v>
      </c>
      <c r="R69" t="s">
        <v>69</v>
      </c>
      <c r="S69" t="s">
        <v>68</v>
      </c>
      <c r="T69" t="s">
        <v>69</v>
      </c>
    </row>
    <row r="70" spans="7:20" x14ac:dyDescent="0.45">
      <c r="H70" t="s">
        <v>20</v>
      </c>
      <c r="I70">
        <v>4068240</v>
      </c>
      <c r="J70">
        <v>9667</v>
      </c>
      <c r="K70">
        <v>6446788</v>
      </c>
      <c r="L70">
        <v>1569</v>
      </c>
      <c r="M70">
        <v>3547690</v>
      </c>
      <c r="N70">
        <v>7322</v>
      </c>
      <c r="O70">
        <v>5747752</v>
      </c>
      <c r="P70">
        <v>1147</v>
      </c>
      <c r="Q70">
        <v>2538144</v>
      </c>
      <c r="R70">
        <v>7003</v>
      </c>
      <c r="S70">
        <v>4845352</v>
      </c>
      <c r="T70">
        <v>965</v>
      </c>
    </row>
    <row r="71" spans="7:20" x14ac:dyDescent="0.45">
      <c r="H71" t="s">
        <v>21</v>
      </c>
      <c r="I71">
        <v>298109</v>
      </c>
      <c r="J71">
        <v>1910</v>
      </c>
      <c r="K71">
        <v>180221</v>
      </c>
      <c r="L71">
        <v>372</v>
      </c>
      <c r="M71">
        <v>214702</v>
      </c>
      <c r="N71">
        <v>1470</v>
      </c>
      <c r="O71">
        <v>146652</v>
      </c>
      <c r="P71">
        <v>186</v>
      </c>
      <c r="Q71">
        <v>164284</v>
      </c>
      <c r="R71">
        <v>964</v>
      </c>
      <c r="S71">
        <v>94558</v>
      </c>
      <c r="T71">
        <v>124</v>
      </c>
    </row>
    <row r="72" spans="7:20" x14ac:dyDescent="0.45">
      <c r="H72" t="s">
        <v>22</v>
      </c>
      <c r="I72">
        <v>120124</v>
      </c>
      <c r="J72">
        <v>1429</v>
      </c>
      <c r="K72">
        <v>167215</v>
      </c>
      <c r="L72">
        <v>3047</v>
      </c>
      <c r="M72">
        <v>101040</v>
      </c>
      <c r="N72">
        <v>1139</v>
      </c>
      <c r="O72">
        <v>138742</v>
      </c>
      <c r="P72">
        <v>2846</v>
      </c>
      <c r="Q72">
        <v>96547</v>
      </c>
      <c r="R72">
        <v>875</v>
      </c>
      <c r="S72">
        <v>74652</v>
      </c>
      <c r="T72">
        <v>2147</v>
      </c>
    </row>
    <row r="73" spans="7:20" x14ac:dyDescent="0.45">
      <c r="H73" t="s">
        <v>23</v>
      </c>
      <c r="I73">
        <v>272334</v>
      </c>
      <c r="J73">
        <v>2127</v>
      </c>
      <c r="K73">
        <v>378034</v>
      </c>
      <c r="L73">
        <v>6628</v>
      </c>
      <c r="M73">
        <v>214173</v>
      </c>
      <c r="N73">
        <v>1874</v>
      </c>
      <c r="O73">
        <v>314764</v>
      </c>
      <c r="P73">
        <v>6224</v>
      </c>
      <c r="Q73">
        <v>144752</v>
      </c>
      <c r="R73">
        <v>1447</v>
      </c>
      <c r="S73">
        <v>257486</v>
      </c>
      <c r="T73">
        <v>4778</v>
      </c>
    </row>
    <row r="74" spans="7:20" x14ac:dyDescent="0.45">
      <c r="H74" t="s">
        <v>24</v>
      </c>
      <c r="I74">
        <v>130301</v>
      </c>
      <c r="J74">
        <v>1152</v>
      </c>
      <c r="K74">
        <v>180864</v>
      </c>
      <c r="L74">
        <v>3266</v>
      </c>
      <c r="M74">
        <v>104740</v>
      </c>
      <c r="N74">
        <v>865</v>
      </c>
      <c r="O74">
        <v>120984</v>
      </c>
      <c r="P74">
        <v>2874</v>
      </c>
      <c r="Q74">
        <v>75542</v>
      </c>
      <c r="R74">
        <v>545</v>
      </c>
      <c r="S74">
        <v>97496</v>
      </c>
      <c r="T74">
        <v>1987</v>
      </c>
    </row>
    <row r="80" spans="7:20" x14ac:dyDescent="0.45">
      <c r="G80" s="4" t="s">
        <v>72</v>
      </c>
      <c r="H80" s="4" t="s">
        <v>71</v>
      </c>
    </row>
    <row r="82" spans="8:20" x14ac:dyDescent="0.45">
      <c r="H82" t="s">
        <v>30</v>
      </c>
      <c r="I82" s="5" t="s">
        <v>51</v>
      </c>
      <c r="J82" s="5"/>
      <c r="K82" s="5"/>
      <c r="L82" s="5"/>
      <c r="M82" s="5" t="s">
        <v>14</v>
      </c>
      <c r="N82" s="5"/>
      <c r="O82" s="5"/>
      <c r="P82" s="5"/>
      <c r="Q82" s="5" t="s">
        <v>15</v>
      </c>
      <c r="R82" s="5"/>
      <c r="S82" s="5"/>
      <c r="T82" s="5"/>
    </row>
    <row r="83" spans="8:20" x14ac:dyDescent="0.45">
      <c r="I83" s="5" t="s">
        <v>67</v>
      </c>
      <c r="J83" s="5"/>
      <c r="K83" s="5" t="s">
        <v>70</v>
      </c>
      <c r="L83" s="5"/>
      <c r="M83" t="s">
        <v>67</v>
      </c>
      <c r="O83" t="s">
        <v>70</v>
      </c>
      <c r="Q83" t="s">
        <v>67</v>
      </c>
      <c r="S83" t="s">
        <v>70</v>
      </c>
    </row>
    <row r="84" spans="8:20" x14ac:dyDescent="0.45">
      <c r="I84" t="s">
        <v>68</v>
      </c>
      <c r="J84" t="s">
        <v>69</v>
      </c>
      <c r="K84" t="s">
        <v>68</v>
      </c>
      <c r="L84" t="s">
        <v>69</v>
      </c>
      <c r="M84" t="s">
        <v>68</v>
      </c>
      <c r="N84" t="s">
        <v>69</v>
      </c>
      <c r="O84" t="s">
        <v>68</v>
      </c>
      <c r="P84" t="s">
        <v>69</v>
      </c>
      <c r="Q84" t="s">
        <v>68</v>
      </c>
      <c r="R84" t="s">
        <v>69</v>
      </c>
      <c r="S84" t="s">
        <v>68</v>
      </c>
      <c r="T84" t="s">
        <v>69</v>
      </c>
    </row>
    <row r="85" spans="8:20" x14ac:dyDescent="0.45">
      <c r="H85" t="s">
        <v>20</v>
      </c>
      <c r="I85" cm="1">
        <f t="array" ref="I85:I89">I70:I74*1.72*0.001</f>
        <v>6997.3728000000001</v>
      </c>
      <c r="J85" cm="1">
        <f t="array" ref="J85:J89">-J70:J74*5*0.001</f>
        <v>-48.335000000000001</v>
      </c>
      <c r="K85" cm="1">
        <f t="array" ref="K85:K89">K70:K74*1.72*0.001</f>
        <v>11088.47536</v>
      </c>
      <c r="L85" cm="1">
        <f t="array" ref="L85:L89">L70:L74*5*0.001</f>
        <v>7.8449999999999998</v>
      </c>
      <c r="M85" cm="1">
        <f t="array" ref="M85:M89">M70:M74*1.72*0.001</f>
        <v>6102.0267999999996</v>
      </c>
      <c r="N85" cm="1">
        <f t="array" ref="N85:N89">N70:N74*5*0.001</f>
        <v>36.61</v>
      </c>
      <c r="O85" cm="1">
        <f t="array" ref="O85:O89">O70:O74*1.72*0.001</f>
        <v>9886.1334399999996</v>
      </c>
      <c r="P85" cm="1">
        <f t="array" ref="P85:P89">P70:P74*5*0.001</f>
        <v>5.7350000000000003</v>
      </c>
      <c r="Q85" cm="1">
        <f t="array" ref="Q85:Q89">Q70:Q74*1.72*0.001</f>
        <v>4365.6076800000001</v>
      </c>
      <c r="R85" cm="1">
        <f t="array" ref="R85:R89">R70:R74*5*0.001</f>
        <v>35.015000000000001</v>
      </c>
      <c r="S85" cm="1">
        <f t="array" ref="S85:S89">S70:S74*1.72*0.001</f>
        <v>8334.005439999999</v>
      </c>
      <c r="T85" cm="1">
        <f t="array" ref="T85:T89">T70:T74*5*0.001</f>
        <v>4.8250000000000002</v>
      </c>
    </row>
    <row r="86" spans="8:20" x14ac:dyDescent="0.45">
      <c r="H86" t="s">
        <v>21</v>
      </c>
      <c r="I86">
        <v>512.74748</v>
      </c>
      <c r="J86">
        <v>-9.5500000000000007</v>
      </c>
      <c r="K86">
        <v>309.98012</v>
      </c>
      <c r="L86">
        <v>1.86</v>
      </c>
      <c r="M86">
        <v>369.28744</v>
      </c>
      <c r="N86">
        <v>7.3500000000000005</v>
      </c>
      <c r="O86">
        <v>252.24144000000001</v>
      </c>
      <c r="P86">
        <v>0.93</v>
      </c>
      <c r="Q86">
        <v>282.56847999999997</v>
      </c>
      <c r="R86">
        <v>4.82</v>
      </c>
      <c r="S86">
        <v>162.63976000000002</v>
      </c>
      <c r="T86">
        <v>0.62</v>
      </c>
    </row>
    <row r="87" spans="8:20" x14ac:dyDescent="0.45">
      <c r="H87" t="s">
        <v>22</v>
      </c>
      <c r="I87">
        <v>206.61328</v>
      </c>
      <c r="J87">
        <v>-7.1450000000000005</v>
      </c>
      <c r="K87">
        <v>287.60980000000001</v>
      </c>
      <c r="L87">
        <v>15.234999999999999</v>
      </c>
      <c r="M87">
        <v>173.78879999999998</v>
      </c>
      <c r="N87">
        <v>5.6950000000000003</v>
      </c>
      <c r="O87">
        <v>238.63623999999999</v>
      </c>
      <c r="P87">
        <v>14.23</v>
      </c>
      <c r="Q87">
        <v>166.06084000000001</v>
      </c>
      <c r="R87">
        <v>4.375</v>
      </c>
      <c r="S87">
        <v>128.40144000000001</v>
      </c>
      <c r="T87">
        <v>10.734999999999999</v>
      </c>
    </row>
    <row r="88" spans="8:20" x14ac:dyDescent="0.45">
      <c r="H88" t="s">
        <v>23</v>
      </c>
      <c r="I88">
        <v>468.41447999999997</v>
      </c>
      <c r="J88">
        <v>-10.635</v>
      </c>
      <c r="K88">
        <v>650.21848</v>
      </c>
      <c r="L88">
        <v>33.14</v>
      </c>
      <c r="M88">
        <v>368.37756000000002</v>
      </c>
      <c r="N88">
        <v>9.370000000000001</v>
      </c>
      <c r="O88">
        <v>541.39407999999992</v>
      </c>
      <c r="P88">
        <v>31.12</v>
      </c>
      <c r="Q88">
        <v>248.97344000000001</v>
      </c>
      <c r="R88">
        <v>7.2350000000000003</v>
      </c>
      <c r="S88">
        <v>442.87592000000001</v>
      </c>
      <c r="T88">
        <v>23.89</v>
      </c>
    </row>
    <row r="89" spans="8:20" x14ac:dyDescent="0.45">
      <c r="H89" t="s">
        <v>24</v>
      </c>
      <c r="I89">
        <v>224.11772000000002</v>
      </c>
      <c r="J89">
        <v>-5.76</v>
      </c>
      <c r="K89">
        <v>311.08608000000004</v>
      </c>
      <c r="L89">
        <v>16.330000000000002</v>
      </c>
      <c r="M89">
        <v>180.15279999999998</v>
      </c>
      <c r="N89">
        <v>4.3250000000000002</v>
      </c>
      <c r="O89">
        <v>208.09248000000002</v>
      </c>
      <c r="P89">
        <v>14.370000000000001</v>
      </c>
      <c r="Q89">
        <v>129.93224000000001</v>
      </c>
      <c r="R89">
        <v>2.7250000000000001</v>
      </c>
      <c r="S89">
        <v>167.69311999999999</v>
      </c>
      <c r="T89">
        <v>9.9350000000000005</v>
      </c>
    </row>
    <row r="97" spans="14:25" x14ac:dyDescent="0.45">
      <c r="N97" t="s">
        <v>30</v>
      </c>
      <c r="O97" s="5" t="s">
        <v>67</v>
      </c>
      <c r="P97" s="5"/>
      <c r="Q97" s="5" t="s">
        <v>70</v>
      </c>
      <c r="R97" s="5"/>
    </row>
    <row r="98" spans="14:25" x14ac:dyDescent="0.45">
      <c r="O98" t="s">
        <v>68</v>
      </c>
      <c r="P98" t="s">
        <v>69</v>
      </c>
      <c r="Q98" t="s">
        <v>68</v>
      </c>
      <c r="R98" t="s">
        <v>69</v>
      </c>
    </row>
    <row r="99" spans="14:25" x14ac:dyDescent="0.45">
      <c r="N99" t="s">
        <v>20</v>
      </c>
      <c r="O99">
        <v>6102.0267999999996</v>
      </c>
      <c r="P99">
        <v>36.61</v>
      </c>
      <c r="Q99">
        <v>9886.1334399999996</v>
      </c>
      <c r="R99">
        <v>5.7350000000000003</v>
      </c>
    </row>
    <row r="100" spans="14:25" x14ac:dyDescent="0.45">
      <c r="N100" t="s">
        <v>21</v>
      </c>
      <c r="O100">
        <v>369.28744</v>
      </c>
      <c r="P100">
        <v>7.3500000000000005</v>
      </c>
      <c r="Q100">
        <v>252.24144000000001</v>
      </c>
      <c r="R100">
        <v>0.93</v>
      </c>
    </row>
    <row r="101" spans="14:25" x14ac:dyDescent="0.45">
      <c r="N101" t="s">
        <v>22</v>
      </c>
      <c r="O101">
        <v>173.78879999999998</v>
      </c>
      <c r="P101">
        <v>5.6950000000000003</v>
      </c>
      <c r="Q101">
        <v>238.63623999999999</v>
      </c>
      <c r="R101">
        <v>14.23</v>
      </c>
    </row>
    <row r="102" spans="14:25" x14ac:dyDescent="0.45">
      <c r="N102" t="s">
        <v>23</v>
      </c>
      <c r="O102">
        <v>368.37756000000002</v>
      </c>
      <c r="P102">
        <v>9.370000000000001</v>
      </c>
      <c r="Q102">
        <v>541.39407999999992</v>
      </c>
      <c r="R102">
        <v>31.12</v>
      </c>
    </row>
    <row r="103" spans="14:25" x14ac:dyDescent="0.45">
      <c r="N103" t="s">
        <v>24</v>
      </c>
      <c r="O103">
        <v>180.15279999999998</v>
      </c>
      <c r="P103">
        <v>4.3250000000000002</v>
      </c>
      <c r="Q103">
        <v>208.09248000000002</v>
      </c>
      <c r="R103">
        <v>14.370000000000001</v>
      </c>
    </row>
    <row r="104" spans="14:25" x14ac:dyDescent="0.45">
      <c r="U104" t="s">
        <v>30</v>
      </c>
      <c r="V104" s="5" t="s">
        <v>67</v>
      </c>
      <c r="W104" s="5"/>
      <c r="X104" s="5" t="s">
        <v>70</v>
      </c>
      <c r="Y104" s="5"/>
    </row>
    <row r="105" spans="14:25" x14ac:dyDescent="0.45">
      <c r="V105" t="s">
        <v>68</v>
      </c>
      <c r="W105" t="s">
        <v>69</v>
      </c>
      <c r="X105" t="s">
        <v>68</v>
      </c>
      <c r="Y105" t="s">
        <v>69</v>
      </c>
    </row>
    <row r="106" spans="14:25" x14ac:dyDescent="0.45">
      <c r="U106" t="s">
        <v>20</v>
      </c>
      <c r="V106">
        <v>4365.6076800000001</v>
      </c>
      <c r="W106">
        <v>35.015000000000001</v>
      </c>
      <c r="X106">
        <v>8334.005439999999</v>
      </c>
      <c r="Y106">
        <v>4.8250000000000002</v>
      </c>
    </row>
    <row r="107" spans="14:25" x14ac:dyDescent="0.45">
      <c r="U107" t="s">
        <v>21</v>
      </c>
      <c r="V107">
        <v>282.56847999999997</v>
      </c>
      <c r="W107">
        <v>4.82</v>
      </c>
      <c r="X107">
        <v>162.63976000000002</v>
      </c>
      <c r="Y107">
        <v>0.62</v>
      </c>
    </row>
    <row r="108" spans="14:25" x14ac:dyDescent="0.45">
      <c r="U108" t="s">
        <v>22</v>
      </c>
      <c r="V108">
        <v>166.06084000000001</v>
      </c>
      <c r="W108">
        <v>4.375</v>
      </c>
      <c r="X108">
        <v>128.40144000000001</v>
      </c>
      <c r="Y108">
        <v>10.734999999999999</v>
      </c>
    </row>
    <row r="109" spans="14:25" x14ac:dyDescent="0.45">
      <c r="U109" t="s">
        <v>23</v>
      </c>
      <c r="V109">
        <v>248.97344000000001</v>
      </c>
      <c r="W109">
        <v>7.2350000000000003</v>
      </c>
      <c r="X109">
        <v>442.87592000000001</v>
      </c>
      <c r="Y109">
        <v>23.89</v>
      </c>
    </row>
    <row r="110" spans="14:25" x14ac:dyDescent="0.45">
      <c r="U110" t="s">
        <v>24</v>
      </c>
      <c r="V110">
        <v>129.93224000000001</v>
      </c>
      <c r="W110">
        <v>2.7250000000000001</v>
      </c>
      <c r="X110">
        <v>167.69311999999999</v>
      </c>
      <c r="Y110">
        <v>9.9350000000000005</v>
      </c>
    </row>
  </sheetData>
  <mergeCells count="25">
    <mergeCell ref="I28:J28"/>
    <mergeCell ref="K28:L28"/>
    <mergeCell ref="M28:N28"/>
    <mergeCell ref="I46:J46"/>
    <mergeCell ref="K46:L46"/>
    <mergeCell ref="M46:N46"/>
    <mergeCell ref="I57:J57"/>
    <mergeCell ref="K57:L57"/>
    <mergeCell ref="I56:L56"/>
    <mergeCell ref="M56:P56"/>
    <mergeCell ref="X104:Y104"/>
    <mergeCell ref="I82:L82"/>
    <mergeCell ref="M82:P82"/>
    <mergeCell ref="Q82:T82"/>
    <mergeCell ref="Q56:T56"/>
    <mergeCell ref="I67:L67"/>
    <mergeCell ref="M67:P67"/>
    <mergeCell ref="Q67:T67"/>
    <mergeCell ref="I68:J68"/>
    <mergeCell ref="K68:L68"/>
    <mergeCell ref="I83:J83"/>
    <mergeCell ref="K83:L83"/>
    <mergeCell ref="O97:P97"/>
    <mergeCell ref="Q97:R97"/>
    <mergeCell ref="V104:W10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 Availiblity function </vt:lpstr>
      <vt:lpstr>MESA model</vt:lpstr>
      <vt:lpstr>Dispatch with solar &amp; wind</vt:lpstr>
      <vt:lpstr>Participation balancing</vt:lpstr>
      <vt:lpstr>Balancing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Gagandeep Singh Kukreja</dc:creator>
  <cp:lastModifiedBy>Gagandeep Singh Kukreja</cp:lastModifiedBy>
  <dcterms:created xsi:type="dcterms:W3CDTF">2022-07-20T16:07:22Z</dcterms:created>
  <dcterms:modified xsi:type="dcterms:W3CDTF">2022-08-24T19:29:25Z</dcterms:modified>
</cp:coreProperties>
</file>