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filterPrivacy="1" codeName="ThisWorkbook"/>
  <bookViews>
    <workbookView xWindow="480" yWindow="-15" windowWidth="16920" windowHeight="12120"/>
  </bookViews>
  <sheets>
    <sheet name="Index" sheetId="7" r:id="rId1"/>
    <sheet name="1.Black-76" sheetId="17" r:id="rId2"/>
    <sheet name="2.Black-76 modified" sheetId="57" r:id="rId3"/>
    <sheet name="3.EnergySwaption" sheetId="56" r:id="rId4"/>
    <sheet name="4.EnergySwaptionApprox" sheetId="55" r:id="rId5"/>
  </sheets>
  <calcPr calcId="162913"/>
</workbook>
</file>

<file path=xl/calcChain.xml><?xml version="1.0" encoding="utf-8"?>
<calcChain xmlns="http://schemas.openxmlformats.org/spreadsheetml/2006/main">
  <c r="F2" i="17" l="1"/>
  <c r="L2" i="17"/>
  <c r="M2" i="17"/>
  <c r="N2" i="17"/>
  <c r="O2" i="17"/>
  <c r="M6" i="17"/>
  <c r="N6" i="17"/>
  <c r="G7" i="17"/>
  <c r="G8" i="17"/>
  <c r="O9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M27" i="17"/>
  <c r="N27" i="17"/>
  <c r="O27" i="17" s="1"/>
  <c r="P27" i="17" s="1"/>
  <c r="Q27" i="17" s="1"/>
  <c r="R27" i="17" s="1"/>
  <c r="S27" i="17" s="1"/>
  <c r="T27" i="17" s="1"/>
  <c r="U27" i="17" s="1"/>
  <c r="V27" i="17" s="1"/>
  <c r="W27" i="17" s="1"/>
  <c r="X27" i="17" s="1"/>
  <c r="Y27" i="17" s="1"/>
  <c r="Z27" i="17" s="1"/>
  <c r="AA27" i="17" s="1"/>
  <c r="AB27" i="17" s="1"/>
  <c r="AC27" i="17" s="1"/>
  <c r="AD27" i="17" s="1"/>
  <c r="L28" i="17"/>
  <c r="M28" i="17"/>
  <c r="N28" i="17"/>
  <c r="O28" i="17"/>
  <c r="P28" i="17"/>
  <c r="Q28" i="17"/>
  <c r="R28" i="17"/>
  <c r="S28" i="17"/>
  <c r="T28" i="17"/>
  <c r="U28" i="17"/>
  <c r="V28" i="17"/>
  <c r="W28" i="17"/>
  <c r="X28" i="17"/>
  <c r="Y28" i="17"/>
  <c r="Z28" i="17"/>
  <c r="AA28" i="17"/>
  <c r="AB28" i="17"/>
  <c r="AC28" i="17"/>
  <c r="AD28" i="17"/>
  <c r="L29" i="17"/>
  <c r="L30" i="17" s="1"/>
  <c r="L31" i="17" s="1"/>
  <c r="L32" i="17" s="1"/>
  <c r="L33" i="17" s="1"/>
  <c r="L34" i="17" s="1"/>
  <c r="L35" i="17" s="1"/>
  <c r="L36" i="17" s="1"/>
  <c r="L37" i="17" s="1"/>
  <c r="L38" i="17" s="1"/>
  <c r="L39" i="17" s="1"/>
  <c r="L40" i="17" s="1"/>
  <c r="L41" i="17" s="1"/>
  <c r="L42" i="17" s="1"/>
  <c r="L43" i="17" s="1"/>
  <c r="L44" i="17" s="1"/>
  <c r="L45" i="17" s="1"/>
  <c r="L46" i="17" s="1"/>
  <c r="L47" i="17" s="1"/>
  <c r="L48" i="17" s="1"/>
  <c r="M29" i="17"/>
  <c r="N29" i="17"/>
  <c r="O29" i="17"/>
  <c r="P29" i="17"/>
  <c r="Q29" i="17"/>
  <c r="R29" i="17"/>
  <c r="S29" i="17"/>
  <c r="T29" i="17"/>
  <c r="U29" i="17"/>
  <c r="V29" i="17"/>
  <c r="W29" i="17"/>
  <c r="X29" i="17"/>
  <c r="Y29" i="17"/>
  <c r="Z29" i="17"/>
  <c r="AA29" i="17"/>
  <c r="AB29" i="17"/>
  <c r="AC29" i="17"/>
  <c r="AD29" i="17"/>
  <c r="M30" i="17"/>
  <c r="N30" i="17"/>
  <c r="O30" i="17"/>
  <c r="P30" i="17"/>
  <c r="Q30" i="17"/>
  <c r="R30" i="17"/>
  <c r="S30" i="17"/>
  <c r="T30" i="17"/>
  <c r="U30" i="17"/>
  <c r="V30" i="17"/>
  <c r="W30" i="17"/>
  <c r="X30" i="17"/>
  <c r="Y30" i="17"/>
  <c r="Z30" i="17"/>
  <c r="AA30" i="17"/>
  <c r="AB30" i="17"/>
  <c r="AC30" i="17"/>
  <c r="AD30" i="17"/>
  <c r="M31" i="17"/>
  <c r="N31" i="17"/>
  <c r="O31" i="17"/>
  <c r="P31" i="17"/>
  <c r="Q31" i="17"/>
  <c r="R31" i="17"/>
  <c r="S31" i="17"/>
  <c r="T31" i="17"/>
  <c r="U31" i="17"/>
  <c r="V31" i="17"/>
  <c r="W31" i="17"/>
  <c r="X31" i="17"/>
  <c r="Y31" i="17"/>
  <c r="Z31" i="17"/>
  <c r="AA31" i="17"/>
  <c r="AB31" i="17"/>
  <c r="AC31" i="17"/>
  <c r="AD31" i="17"/>
  <c r="M32" i="17"/>
  <c r="N32" i="17"/>
  <c r="O32" i="17"/>
  <c r="P32" i="17"/>
  <c r="Q32" i="17"/>
  <c r="R32" i="17"/>
  <c r="S32" i="17"/>
  <c r="T32" i="17"/>
  <c r="U32" i="17"/>
  <c r="V32" i="17"/>
  <c r="W32" i="17"/>
  <c r="X32" i="17"/>
  <c r="Y32" i="17"/>
  <c r="Z32" i="17"/>
  <c r="AA32" i="17"/>
  <c r="AB32" i="17"/>
  <c r="AC32" i="17"/>
  <c r="AD32" i="17"/>
  <c r="M33" i="17"/>
  <c r="N33" i="17"/>
  <c r="O33" i="17"/>
  <c r="P33" i="17"/>
  <c r="Q33" i="17"/>
  <c r="R33" i="17"/>
  <c r="S33" i="17"/>
  <c r="T33" i="17"/>
  <c r="U33" i="17"/>
  <c r="V33" i="17"/>
  <c r="W33" i="17"/>
  <c r="X33" i="17"/>
  <c r="Y33" i="17"/>
  <c r="Z33" i="17"/>
  <c r="AA33" i="17"/>
  <c r="AB33" i="17"/>
  <c r="AC33" i="17"/>
  <c r="AD33" i="17"/>
  <c r="M34" i="17"/>
  <c r="N34" i="17"/>
  <c r="O34" i="17"/>
  <c r="P34" i="17"/>
  <c r="Q34" i="17"/>
  <c r="R34" i="17"/>
  <c r="S34" i="17"/>
  <c r="T34" i="17"/>
  <c r="U34" i="17"/>
  <c r="V34" i="17"/>
  <c r="W34" i="17"/>
  <c r="X34" i="17"/>
  <c r="Y34" i="17"/>
  <c r="Z34" i="17"/>
  <c r="AA34" i="17"/>
  <c r="AB34" i="17"/>
  <c r="AC34" i="17"/>
  <c r="AD34" i="17"/>
  <c r="M35" i="17"/>
  <c r="N35" i="17"/>
  <c r="O35" i="17"/>
  <c r="P35" i="17"/>
  <c r="Q35" i="17"/>
  <c r="R35" i="17"/>
  <c r="S35" i="17"/>
  <c r="T35" i="17"/>
  <c r="U35" i="17"/>
  <c r="V35" i="17"/>
  <c r="W35" i="17"/>
  <c r="X35" i="17"/>
  <c r="Y35" i="17"/>
  <c r="Z35" i="17"/>
  <c r="AA35" i="17"/>
  <c r="AB35" i="17"/>
  <c r="AC35" i="17"/>
  <c r="AD35" i="17"/>
  <c r="M36" i="17"/>
  <c r="N36" i="17"/>
  <c r="O36" i="17"/>
  <c r="P36" i="17"/>
  <c r="Q36" i="17"/>
  <c r="R36" i="17"/>
  <c r="S36" i="17"/>
  <c r="T36" i="17"/>
  <c r="U36" i="17"/>
  <c r="V36" i="17"/>
  <c r="W36" i="17"/>
  <c r="X36" i="17"/>
  <c r="Y36" i="17"/>
  <c r="Z36" i="17"/>
  <c r="AA36" i="17"/>
  <c r="AB36" i="17"/>
  <c r="AC36" i="17"/>
  <c r="AD36" i="17"/>
  <c r="M37" i="17"/>
  <c r="N37" i="17"/>
  <c r="O37" i="17"/>
  <c r="P37" i="17"/>
  <c r="Q37" i="17"/>
  <c r="R37" i="17"/>
  <c r="S37" i="17"/>
  <c r="T37" i="17"/>
  <c r="U37" i="17"/>
  <c r="V37" i="17"/>
  <c r="W37" i="17"/>
  <c r="X37" i="17"/>
  <c r="Y37" i="17"/>
  <c r="Z37" i="17"/>
  <c r="AA37" i="17"/>
  <c r="AB37" i="17"/>
  <c r="AC37" i="17"/>
  <c r="AD37" i="17"/>
  <c r="M38" i="17"/>
  <c r="N38" i="17"/>
  <c r="O38" i="17"/>
  <c r="P38" i="17"/>
  <c r="Q38" i="17"/>
  <c r="R38" i="17"/>
  <c r="S38" i="17"/>
  <c r="T38" i="17"/>
  <c r="U38" i="17"/>
  <c r="V38" i="17"/>
  <c r="W38" i="17"/>
  <c r="X38" i="17"/>
  <c r="Y38" i="17"/>
  <c r="Z38" i="17"/>
  <c r="AA38" i="17"/>
  <c r="AB38" i="17"/>
  <c r="AC38" i="17"/>
  <c r="AD38" i="17"/>
  <c r="M39" i="17"/>
  <c r="N39" i="17"/>
  <c r="O39" i="17"/>
  <c r="P39" i="17"/>
  <c r="Q39" i="17"/>
  <c r="R39" i="17"/>
  <c r="S39" i="17"/>
  <c r="T39" i="17"/>
  <c r="U39" i="17"/>
  <c r="V39" i="17"/>
  <c r="W39" i="17"/>
  <c r="X39" i="17"/>
  <c r="Y39" i="17"/>
  <c r="Z39" i="17"/>
  <c r="AA39" i="17"/>
  <c r="AB39" i="17"/>
  <c r="AC39" i="17"/>
  <c r="AD39" i="17"/>
  <c r="M40" i="17"/>
  <c r="N40" i="17"/>
  <c r="O40" i="17"/>
  <c r="P40" i="17"/>
  <c r="Q40" i="17"/>
  <c r="R40" i="17"/>
  <c r="S40" i="17"/>
  <c r="T40" i="17"/>
  <c r="U40" i="17"/>
  <c r="V40" i="17"/>
  <c r="W40" i="17"/>
  <c r="X40" i="17"/>
  <c r="Y40" i="17"/>
  <c r="Z40" i="17"/>
  <c r="AA40" i="17"/>
  <c r="AB40" i="17"/>
  <c r="AC40" i="17"/>
  <c r="AD40" i="17"/>
  <c r="M41" i="17"/>
  <c r="N41" i="17"/>
  <c r="O41" i="17"/>
  <c r="P41" i="17"/>
  <c r="Q41" i="17"/>
  <c r="R41" i="17"/>
  <c r="S41" i="17"/>
  <c r="T41" i="17"/>
  <c r="U41" i="17"/>
  <c r="V41" i="17"/>
  <c r="W41" i="17"/>
  <c r="X41" i="17"/>
  <c r="Y41" i="17"/>
  <c r="Z41" i="17"/>
  <c r="AA41" i="17"/>
  <c r="AB41" i="17"/>
  <c r="AC41" i="17"/>
  <c r="AD41" i="17"/>
  <c r="M42" i="17"/>
  <c r="N42" i="17"/>
  <c r="O42" i="17"/>
  <c r="P42" i="17"/>
  <c r="Q42" i="17"/>
  <c r="R42" i="17"/>
  <c r="S42" i="17"/>
  <c r="T42" i="17"/>
  <c r="U42" i="17"/>
  <c r="V42" i="17"/>
  <c r="W42" i="17"/>
  <c r="X42" i="17"/>
  <c r="Y42" i="17"/>
  <c r="Z42" i="17"/>
  <c r="AA42" i="17"/>
  <c r="AB42" i="17"/>
  <c r="AC42" i="17"/>
  <c r="AD42" i="17"/>
  <c r="M43" i="17"/>
  <c r="N43" i="17"/>
  <c r="O43" i="17"/>
  <c r="P43" i="17"/>
  <c r="Q43" i="17"/>
  <c r="R43" i="17"/>
  <c r="S43" i="17"/>
  <c r="T43" i="17"/>
  <c r="U43" i="17"/>
  <c r="V43" i="17"/>
  <c r="W43" i="17"/>
  <c r="X43" i="17"/>
  <c r="Y43" i="17"/>
  <c r="Z43" i="17"/>
  <c r="AA43" i="17"/>
  <c r="AB43" i="17"/>
  <c r="AC43" i="17"/>
  <c r="AD43" i="17"/>
  <c r="M44" i="17"/>
  <c r="N44" i="17"/>
  <c r="O44" i="17"/>
  <c r="P44" i="17"/>
  <c r="Q44" i="17"/>
  <c r="R44" i="17"/>
  <c r="S44" i="17"/>
  <c r="T44" i="17"/>
  <c r="U44" i="17"/>
  <c r="V44" i="17"/>
  <c r="W44" i="17"/>
  <c r="X44" i="17"/>
  <c r="Y44" i="17"/>
  <c r="Z44" i="17"/>
  <c r="AA44" i="17"/>
  <c r="AB44" i="17"/>
  <c r="AC44" i="17"/>
  <c r="AD44" i="17"/>
  <c r="M45" i="17"/>
  <c r="N45" i="17"/>
  <c r="O45" i="17"/>
  <c r="P45" i="17"/>
  <c r="Q45" i="17"/>
  <c r="R45" i="17"/>
  <c r="S45" i="17"/>
  <c r="T45" i="17"/>
  <c r="U45" i="17"/>
  <c r="V45" i="17"/>
  <c r="W45" i="17"/>
  <c r="X45" i="17"/>
  <c r="Y45" i="17"/>
  <c r="Z45" i="17"/>
  <c r="AA45" i="17"/>
  <c r="AB45" i="17"/>
  <c r="AC45" i="17"/>
  <c r="AD45" i="17"/>
  <c r="M46" i="17"/>
  <c r="N46" i="17"/>
  <c r="O46" i="17"/>
  <c r="P46" i="17"/>
  <c r="Q46" i="17"/>
  <c r="R46" i="17"/>
  <c r="S46" i="17"/>
  <c r="T46" i="17"/>
  <c r="U46" i="17"/>
  <c r="V46" i="17"/>
  <c r="W46" i="17"/>
  <c r="X46" i="17"/>
  <c r="Y46" i="17"/>
  <c r="Z46" i="17"/>
  <c r="AA46" i="17"/>
  <c r="AB46" i="17"/>
  <c r="AC46" i="17"/>
  <c r="AD46" i="17"/>
  <c r="M47" i="17"/>
  <c r="N47" i="17"/>
  <c r="O47" i="17"/>
  <c r="P47" i="17"/>
  <c r="Q47" i="17"/>
  <c r="R47" i="17"/>
  <c r="S47" i="17"/>
  <c r="T47" i="17"/>
  <c r="U47" i="17"/>
  <c r="V47" i="17"/>
  <c r="W47" i="17"/>
  <c r="X47" i="17"/>
  <c r="Y47" i="17"/>
  <c r="Z47" i="17"/>
  <c r="AA47" i="17"/>
  <c r="AB47" i="17"/>
  <c r="AC47" i="17"/>
  <c r="AD47" i="17"/>
  <c r="M48" i="17"/>
  <c r="N48" i="17"/>
  <c r="O48" i="17"/>
  <c r="P48" i="17"/>
  <c r="Q48" i="17"/>
  <c r="R48" i="17"/>
  <c r="S48" i="17"/>
  <c r="T48" i="17"/>
  <c r="U48" i="17"/>
  <c r="V48" i="17"/>
  <c r="W48" i="17"/>
  <c r="X48" i="17"/>
  <c r="Y48" i="17"/>
  <c r="Z48" i="17"/>
  <c r="AA48" i="17"/>
  <c r="AB48" i="17"/>
  <c r="AC48" i="17"/>
  <c r="AD48" i="17"/>
  <c r="L2" i="57"/>
  <c r="M2" i="57"/>
  <c r="N2" i="57"/>
  <c r="O2" i="57"/>
  <c r="M6" i="57"/>
  <c r="N6" i="57"/>
  <c r="G7" i="57"/>
  <c r="G8" i="57"/>
  <c r="O9" i="57"/>
  <c r="M27" i="57"/>
  <c r="N27" i="57" s="1"/>
  <c r="O27" i="57" s="1"/>
  <c r="P27" i="57" s="1"/>
  <c r="Q27" i="57" s="1"/>
  <c r="R27" i="57" s="1"/>
  <c r="S27" i="57" s="1"/>
  <c r="T27" i="57" s="1"/>
  <c r="U27" i="57" s="1"/>
  <c r="V27" i="57" s="1"/>
  <c r="W27" i="57" s="1"/>
  <c r="X27" i="57" s="1"/>
  <c r="Y27" i="57" s="1"/>
  <c r="Z27" i="57" s="1"/>
  <c r="AA27" i="57" s="1"/>
  <c r="AB27" i="57" s="1"/>
  <c r="AC27" i="57" s="1"/>
  <c r="AD27" i="57" s="1"/>
  <c r="L28" i="57"/>
  <c r="M28" i="57"/>
  <c r="N28" i="57"/>
  <c r="O28" i="57"/>
  <c r="P28" i="57"/>
  <c r="Q28" i="57"/>
  <c r="R28" i="57"/>
  <c r="S28" i="57"/>
  <c r="T28" i="57"/>
  <c r="U28" i="57"/>
  <c r="V28" i="57"/>
  <c r="W28" i="57"/>
  <c r="X28" i="57"/>
  <c r="Y28" i="57"/>
  <c r="Z28" i="57"/>
  <c r="AA28" i="57"/>
  <c r="AB28" i="57"/>
  <c r="AC28" i="57"/>
  <c r="AD28" i="57"/>
  <c r="L29" i="57"/>
  <c r="M29" i="57"/>
  <c r="N29" i="57"/>
  <c r="O29" i="57"/>
  <c r="P29" i="57"/>
  <c r="Q29" i="57"/>
  <c r="R29" i="57"/>
  <c r="S29" i="57"/>
  <c r="T29" i="57"/>
  <c r="U29" i="57"/>
  <c r="V29" i="57"/>
  <c r="W29" i="57"/>
  <c r="X29" i="57"/>
  <c r="Y29" i="57"/>
  <c r="Z29" i="57"/>
  <c r="AA29" i="57"/>
  <c r="AB29" i="57"/>
  <c r="AC29" i="57"/>
  <c r="AD29" i="57"/>
  <c r="L30" i="57"/>
  <c r="M30" i="57"/>
  <c r="N30" i="57"/>
  <c r="O30" i="57"/>
  <c r="P30" i="57"/>
  <c r="Q30" i="57"/>
  <c r="R30" i="57"/>
  <c r="S30" i="57"/>
  <c r="T30" i="57"/>
  <c r="U30" i="57"/>
  <c r="V30" i="57"/>
  <c r="W30" i="57"/>
  <c r="X30" i="57"/>
  <c r="Y30" i="57"/>
  <c r="Z30" i="57"/>
  <c r="AA30" i="57"/>
  <c r="AB30" i="57"/>
  <c r="AC30" i="57"/>
  <c r="AD30" i="57"/>
  <c r="L31" i="57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M31" i="57"/>
  <c r="N31" i="57"/>
  <c r="O31" i="57"/>
  <c r="P31" i="57"/>
  <c r="Q31" i="57"/>
  <c r="R31" i="57"/>
  <c r="S31" i="57"/>
  <c r="T31" i="57"/>
  <c r="U31" i="57"/>
  <c r="V31" i="57"/>
  <c r="W31" i="57"/>
  <c r="X31" i="57"/>
  <c r="Y31" i="57"/>
  <c r="Z31" i="57"/>
  <c r="AA31" i="57"/>
  <c r="AB31" i="57"/>
  <c r="AC31" i="57"/>
  <c r="AD31" i="57"/>
  <c r="M32" i="57"/>
  <c r="N32" i="57"/>
  <c r="O32" i="57"/>
  <c r="P32" i="57"/>
  <c r="Q32" i="57"/>
  <c r="R32" i="57"/>
  <c r="S32" i="57"/>
  <c r="T32" i="57"/>
  <c r="U32" i="57"/>
  <c r="V32" i="57"/>
  <c r="W32" i="57"/>
  <c r="X32" i="57"/>
  <c r="Y32" i="57"/>
  <c r="Z32" i="57"/>
  <c r="AA32" i="57"/>
  <c r="AB32" i="57"/>
  <c r="AC32" i="57"/>
  <c r="AD32" i="57"/>
  <c r="M33" i="57"/>
  <c r="N33" i="57"/>
  <c r="O33" i="57"/>
  <c r="P33" i="57"/>
  <c r="Q33" i="57"/>
  <c r="R33" i="57"/>
  <c r="S33" i="57"/>
  <c r="T33" i="57"/>
  <c r="U33" i="57"/>
  <c r="V33" i="57"/>
  <c r="W33" i="57"/>
  <c r="X33" i="57"/>
  <c r="Y33" i="57"/>
  <c r="Z33" i="57"/>
  <c r="AA33" i="57"/>
  <c r="AB33" i="57"/>
  <c r="AC33" i="57"/>
  <c r="AD33" i="57"/>
  <c r="M34" i="57"/>
  <c r="N34" i="57"/>
  <c r="O34" i="57"/>
  <c r="P34" i="57"/>
  <c r="Q34" i="57"/>
  <c r="R34" i="57"/>
  <c r="S34" i="57"/>
  <c r="T34" i="57"/>
  <c r="U34" i="57"/>
  <c r="V34" i="57"/>
  <c r="W34" i="57"/>
  <c r="X34" i="57"/>
  <c r="Y34" i="57"/>
  <c r="Z34" i="57"/>
  <c r="AA34" i="57"/>
  <c r="AB34" i="57"/>
  <c r="AC34" i="57"/>
  <c r="AD34" i="57"/>
  <c r="M35" i="57"/>
  <c r="N35" i="57"/>
  <c r="O35" i="57"/>
  <c r="P35" i="57"/>
  <c r="Q35" i="57"/>
  <c r="R35" i="57"/>
  <c r="S35" i="57"/>
  <c r="T35" i="57"/>
  <c r="U35" i="57"/>
  <c r="V35" i="57"/>
  <c r="W35" i="57"/>
  <c r="X35" i="57"/>
  <c r="Y35" i="57"/>
  <c r="Z35" i="57"/>
  <c r="AA35" i="57"/>
  <c r="AB35" i="57"/>
  <c r="AC35" i="57"/>
  <c r="AD35" i="57"/>
  <c r="M36" i="57"/>
  <c r="N36" i="57"/>
  <c r="O36" i="57"/>
  <c r="P36" i="57"/>
  <c r="Q36" i="57"/>
  <c r="R36" i="57"/>
  <c r="S36" i="57"/>
  <c r="T36" i="57"/>
  <c r="U36" i="57"/>
  <c r="V36" i="57"/>
  <c r="W36" i="57"/>
  <c r="X36" i="57"/>
  <c r="Y36" i="57"/>
  <c r="Z36" i="57"/>
  <c r="AA36" i="57"/>
  <c r="AB36" i="57"/>
  <c r="AC36" i="57"/>
  <c r="AD36" i="57"/>
  <c r="M37" i="57"/>
  <c r="N37" i="57"/>
  <c r="O37" i="57"/>
  <c r="P37" i="57"/>
  <c r="Q37" i="57"/>
  <c r="R37" i="57"/>
  <c r="S37" i="57"/>
  <c r="T37" i="57"/>
  <c r="U37" i="57"/>
  <c r="V37" i="57"/>
  <c r="W37" i="57"/>
  <c r="X37" i="57"/>
  <c r="Y37" i="57"/>
  <c r="Z37" i="57"/>
  <c r="AA37" i="57"/>
  <c r="AB37" i="57"/>
  <c r="AC37" i="57"/>
  <c r="AD37" i="57"/>
  <c r="M38" i="57"/>
  <c r="N38" i="57"/>
  <c r="O38" i="57"/>
  <c r="P38" i="57"/>
  <c r="Q38" i="57"/>
  <c r="R38" i="57"/>
  <c r="S38" i="57"/>
  <c r="T38" i="57"/>
  <c r="U38" i="57"/>
  <c r="V38" i="57"/>
  <c r="W38" i="57"/>
  <c r="X38" i="57"/>
  <c r="Y38" i="57"/>
  <c r="Z38" i="57"/>
  <c r="AA38" i="57"/>
  <c r="AB38" i="57"/>
  <c r="AC38" i="57"/>
  <c r="AD38" i="57"/>
  <c r="M39" i="57"/>
  <c r="N39" i="57"/>
  <c r="O39" i="57"/>
  <c r="P39" i="57"/>
  <c r="Q39" i="57"/>
  <c r="R39" i="57"/>
  <c r="S39" i="57"/>
  <c r="T39" i="57"/>
  <c r="U39" i="57"/>
  <c r="V39" i="57"/>
  <c r="W39" i="57"/>
  <c r="X39" i="57"/>
  <c r="Y39" i="57"/>
  <c r="Z39" i="57"/>
  <c r="AA39" i="57"/>
  <c r="AB39" i="57"/>
  <c r="AC39" i="57"/>
  <c r="AD39" i="57"/>
  <c r="M40" i="57"/>
  <c r="N40" i="57"/>
  <c r="O40" i="57"/>
  <c r="P40" i="57"/>
  <c r="Q40" i="57"/>
  <c r="R40" i="57"/>
  <c r="S40" i="57"/>
  <c r="T40" i="57"/>
  <c r="U40" i="57"/>
  <c r="V40" i="57"/>
  <c r="W40" i="57"/>
  <c r="X40" i="57"/>
  <c r="Y40" i="57"/>
  <c r="Z40" i="57"/>
  <c r="AA40" i="57"/>
  <c r="AB40" i="57"/>
  <c r="AC40" i="57"/>
  <c r="AD40" i="57"/>
  <c r="M41" i="57"/>
  <c r="N41" i="57"/>
  <c r="O41" i="57"/>
  <c r="P41" i="57"/>
  <c r="Q41" i="57"/>
  <c r="R41" i="57"/>
  <c r="S41" i="57"/>
  <c r="T41" i="57"/>
  <c r="U41" i="57"/>
  <c r="V41" i="57"/>
  <c r="W41" i="57"/>
  <c r="X41" i="57"/>
  <c r="Y41" i="57"/>
  <c r="Z41" i="57"/>
  <c r="AA41" i="57"/>
  <c r="AB41" i="57"/>
  <c r="AC41" i="57"/>
  <c r="AD41" i="57"/>
  <c r="M42" i="57"/>
  <c r="N42" i="57"/>
  <c r="O42" i="57"/>
  <c r="P42" i="57"/>
  <c r="Q42" i="57"/>
  <c r="R42" i="57"/>
  <c r="S42" i="57"/>
  <c r="T42" i="57"/>
  <c r="U42" i="57"/>
  <c r="V42" i="57"/>
  <c r="W42" i="57"/>
  <c r="X42" i="57"/>
  <c r="Y42" i="57"/>
  <c r="Z42" i="57"/>
  <c r="AA42" i="57"/>
  <c r="AB42" i="57"/>
  <c r="AC42" i="57"/>
  <c r="AD42" i="57"/>
  <c r="M43" i="57"/>
  <c r="N43" i="57"/>
  <c r="O43" i="57"/>
  <c r="P43" i="57"/>
  <c r="Q43" i="57"/>
  <c r="R43" i="57"/>
  <c r="S43" i="57"/>
  <c r="T43" i="57"/>
  <c r="U43" i="57"/>
  <c r="V43" i="57"/>
  <c r="W43" i="57"/>
  <c r="X43" i="57"/>
  <c r="Y43" i="57"/>
  <c r="Z43" i="57"/>
  <c r="AA43" i="57"/>
  <c r="AB43" i="57"/>
  <c r="AC43" i="57"/>
  <c r="AD43" i="57"/>
  <c r="M44" i="57"/>
  <c r="N44" i="57"/>
  <c r="O44" i="57"/>
  <c r="P44" i="57"/>
  <c r="Q44" i="57"/>
  <c r="R44" i="57"/>
  <c r="S44" i="57"/>
  <c r="T44" i="57"/>
  <c r="U44" i="57"/>
  <c r="V44" i="57"/>
  <c r="W44" i="57"/>
  <c r="X44" i="57"/>
  <c r="Y44" i="57"/>
  <c r="Z44" i="57"/>
  <c r="AA44" i="57"/>
  <c r="AB44" i="57"/>
  <c r="AC44" i="57"/>
  <c r="AD44" i="57"/>
  <c r="M45" i="57"/>
  <c r="N45" i="57"/>
  <c r="O45" i="57"/>
  <c r="P45" i="57"/>
  <c r="Q45" i="57"/>
  <c r="R45" i="57"/>
  <c r="S45" i="57"/>
  <c r="T45" i="57"/>
  <c r="U45" i="57"/>
  <c r="V45" i="57"/>
  <c r="W45" i="57"/>
  <c r="X45" i="57"/>
  <c r="Y45" i="57"/>
  <c r="Z45" i="57"/>
  <c r="AA45" i="57"/>
  <c r="AB45" i="57"/>
  <c r="AC45" i="57"/>
  <c r="AD45" i="57"/>
  <c r="M46" i="57"/>
  <c r="N46" i="57"/>
  <c r="O46" i="57"/>
  <c r="P46" i="57"/>
  <c r="Q46" i="57"/>
  <c r="R46" i="57"/>
  <c r="S46" i="57"/>
  <c r="T46" i="57"/>
  <c r="U46" i="57"/>
  <c r="V46" i="57"/>
  <c r="W46" i="57"/>
  <c r="X46" i="57"/>
  <c r="Y46" i="57"/>
  <c r="Z46" i="57"/>
  <c r="AA46" i="57"/>
  <c r="AB46" i="57"/>
  <c r="AC46" i="57"/>
  <c r="AD46" i="57"/>
  <c r="M47" i="57"/>
  <c r="N47" i="57"/>
  <c r="O47" i="57"/>
  <c r="P47" i="57"/>
  <c r="Q47" i="57"/>
  <c r="R47" i="57"/>
  <c r="S47" i="57"/>
  <c r="T47" i="57"/>
  <c r="U47" i="57"/>
  <c r="V47" i="57"/>
  <c r="W47" i="57"/>
  <c r="X47" i="57"/>
  <c r="Y47" i="57"/>
  <c r="Z47" i="57"/>
  <c r="AA47" i="57"/>
  <c r="AB47" i="57"/>
  <c r="AC47" i="57"/>
  <c r="AD47" i="57"/>
  <c r="M48" i="57"/>
  <c r="N48" i="57"/>
  <c r="O48" i="57"/>
  <c r="P48" i="57"/>
  <c r="Q48" i="57"/>
  <c r="R48" i="57"/>
  <c r="S48" i="57"/>
  <c r="T48" i="57"/>
  <c r="U48" i="57"/>
  <c r="V48" i="57"/>
  <c r="W48" i="57"/>
  <c r="X48" i="57"/>
  <c r="Y48" i="57"/>
  <c r="Z48" i="57"/>
  <c r="AA48" i="57"/>
  <c r="AB48" i="57"/>
  <c r="AC48" i="57"/>
  <c r="AD48" i="57"/>
  <c r="L2" i="56"/>
  <c r="M2" i="56"/>
  <c r="N2" i="56"/>
  <c r="O2" i="56"/>
  <c r="M6" i="56"/>
  <c r="N6" i="56"/>
  <c r="G7" i="56"/>
  <c r="L29" i="56" s="1"/>
  <c r="L30" i="56" s="1"/>
  <c r="L31" i="56" s="1"/>
  <c r="L32" i="56" s="1"/>
  <c r="L33" i="56" s="1"/>
  <c r="L34" i="56" s="1"/>
  <c r="L35" i="56" s="1"/>
  <c r="L36" i="56" s="1"/>
  <c r="L37" i="56" s="1"/>
  <c r="L38" i="56" s="1"/>
  <c r="L39" i="56" s="1"/>
  <c r="L40" i="56" s="1"/>
  <c r="L41" i="56" s="1"/>
  <c r="L42" i="56" s="1"/>
  <c r="L43" i="56" s="1"/>
  <c r="L44" i="56" s="1"/>
  <c r="L45" i="56" s="1"/>
  <c r="L46" i="56" s="1"/>
  <c r="L47" i="56" s="1"/>
  <c r="L48" i="56" s="1"/>
  <c r="G8" i="56"/>
  <c r="O9" i="56"/>
  <c r="C16" i="56"/>
  <c r="C18" i="56"/>
  <c r="C19" i="56"/>
  <c r="C20" i="56"/>
  <c r="C21" i="56"/>
  <c r="C22" i="56"/>
  <c r="C23" i="56"/>
  <c r="C24" i="56"/>
  <c r="C25" i="56"/>
  <c r="C26" i="56"/>
  <c r="C27" i="56"/>
  <c r="M27" i="56"/>
  <c r="N27" i="56" s="1"/>
  <c r="O27" i="56" s="1"/>
  <c r="P27" i="56" s="1"/>
  <c r="Q27" i="56" s="1"/>
  <c r="R27" i="56" s="1"/>
  <c r="S27" i="56" s="1"/>
  <c r="T27" i="56" s="1"/>
  <c r="U27" i="56" s="1"/>
  <c r="V27" i="56" s="1"/>
  <c r="W27" i="56" s="1"/>
  <c r="X27" i="56" s="1"/>
  <c r="Y27" i="56" s="1"/>
  <c r="Z27" i="56" s="1"/>
  <c r="AA27" i="56" s="1"/>
  <c r="AB27" i="56" s="1"/>
  <c r="AC27" i="56" s="1"/>
  <c r="AD27" i="56" s="1"/>
  <c r="C28" i="56"/>
  <c r="L28" i="56"/>
  <c r="C29" i="56"/>
  <c r="C30" i="56"/>
  <c r="C31" i="56"/>
  <c r="L2" i="55"/>
  <c r="M2" i="55"/>
  <c r="N2" i="55"/>
  <c r="O2" i="55"/>
  <c r="M6" i="55"/>
  <c r="N6" i="55"/>
  <c r="G7" i="55"/>
  <c r="G8" i="55"/>
  <c r="L28" i="55" s="1"/>
  <c r="L29" i="55" s="1"/>
  <c r="L30" i="55" s="1"/>
  <c r="L31" i="55" s="1"/>
  <c r="L32" i="55" s="1"/>
  <c r="L33" i="55" s="1"/>
  <c r="L34" i="55" s="1"/>
  <c r="L35" i="55" s="1"/>
  <c r="L36" i="55" s="1"/>
  <c r="L37" i="55" s="1"/>
  <c r="L38" i="55" s="1"/>
  <c r="L39" i="55" s="1"/>
  <c r="L40" i="55" s="1"/>
  <c r="L41" i="55" s="1"/>
  <c r="L42" i="55" s="1"/>
  <c r="L43" i="55" s="1"/>
  <c r="L44" i="55" s="1"/>
  <c r="L45" i="55" s="1"/>
  <c r="L46" i="55" s="1"/>
  <c r="L47" i="55" s="1"/>
  <c r="L48" i="55" s="1"/>
  <c r="C9" i="55"/>
  <c r="O9" i="55"/>
  <c r="M27" i="55"/>
  <c r="N27" i="55" s="1"/>
  <c r="O27" i="55" s="1"/>
  <c r="P27" i="55" s="1"/>
  <c r="Q27" i="55" s="1"/>
  <c r="R27" i="55" s="1"/>
  <c r="S27" i="55" s="1"/>
  <c r="T27" i="55" s="1"/>
  <c r="U27" i="55" s="1"/>
  <c r="V27" i="55" s="1"/>
  <c r="W27" i="55" s="1"/>
  <c r="X27" i="55" s="1"/>
  <c r="Y27" i="55" s="1"/>
  <c r="Z27" i="55" s="1"/>
  <c r="AA27" i="55" s="1"/>
  <c r="AB27" i="55" s="1"/>
  <c r="AC27" i="55" s="1"/>
  <c r="AD27" i="55" s="1"/>
  <c r="O14" i="17"/>
  <c r="O14" i="55"/>
  <c r="O14" i="57"/>
  <c r="O14" i="56"/>
  <c r="C12" i="55"/>
  <c r="C11" i="17"/>
  <c r="S48" i="55"/>
  <c r="Y47" i="55"/>
  <c r="M47" i="55"/>
  <c r="S46" i="55"/>
  <c r="Y45" i="55"/>
  <c r="M45" i="55"/>
  <c r="S44" i="55"/>
  <c r="Y43" i="55"/>
  <c r="M43" i="55"/>
  <c r="S42" i="55"/>
  <c r="Y41" i="55"/>
  <c r="M41" i="55"/>
  <c r="S40" i="55"/>
  <c r="Y39" i="55"/>
  <c r="M39" i="55"/>
  <c r="S38" i="55"/>
  <c r="Y37" i="55"/>
  <c r="M37" i="55"/>
  <c r="S36" i="55"/>
  <c r="Y35" i="55"/>
  <c r="M35" i="55"/>
  <c r="S34" i="55"/>
  <c r="Y33" i="55"/>
  <c r="M33" i="55"/>
  <c r="S32" i="55"/>
  <c r="Y31" i="55"/>
  <c r="M31" i="55"/>
  <c r="AA30" i="55"/>
  <c r="O30" i="55"/>
  <c r="U29" i="55"/>
  <c r="AA28" i="55"/>
  <c r="O28" i="55"/>
  <c r="AD48" i="55"/>
  <c r="Z48" i="55"/>
  <c r="V48" i="55"/>
  <c r="R48" i="55"/>
  <c r="N48" i="55"/>
  <c r="AB47" i="55"/>
  <c r="X47" i="55"/>
  <c r="T47" i="55"/>
  <c r="P47" i="55"/>
  <c r="AD46" i="55"/>
  <c r="Z46" i="55"/>
  <c r="V46" i="55"/>
  <c r="R46" i="55"/>
  <c r="N46" i="55"/>
  <c r="AB45" i="55"/>
  <c r="X45" i="55"/>
  <c r="T45" i="55"/>
  <c r="P45" i="55"/>
  <c r="AD44" i="55"/>
  <c r="Z44" i="55"/>
  <c r="V44" i="55"/>
  <c r="R44" i="55"/>
  <c r="N44" i="55"/>
  <c r="AB43" i="55"/>
  <c r="X43" i="55"/>
  <c r="T43" i="55"/>
  <c r="P43" i="55"/>
  <c r="AD42" i="55"/>
  <c r="Z42" i="55"/>
  <c r="V42" i="55"/>
  <c r="R42" i="55"/>
  <c r="N42" i="55"/>
  <c r="AB41" i="55"/>
  <c r="X41" i="55"/>
  <c r="T41" i="55"/>
  <c r="P41" i="55"/>
  <c r="AD40" i="55"/>
  <c r="Z40" i="55"/>
  <c r="V40" i="55"/>
  <c r="R40" i="55"/>
  <c r="N40" i="55"/>
  <c r="AB39" i="55"/>
  <c r="X39" i="55"/>
  <c r="T39" i="55"/>
  <c r="P39" i="55"/>
  <c r="AD38" i="55"/>
  <c r="Z38" i="55"/>
  <c r="V38" i="55"/>
  <c r="R38" i="55"/>
  <c r="N38" i="55"/>
  <c r="AB37" i="55"/>
  <c r="X37" i="55"/>
  <c r="T37" i="55"/>
  <c r="P37" i="55"/>
  <c r="AD36" i="55"/>
  <c r="Z36" i="55"/>
  <c r="V36" i="55"/>
  <c r="R36" i="55"/>
  <c r="N36" i="55"/>
  <c r="AB35" i="55"/>
  <c r="X35" i="55"/>
  <c r="T35" i="55"/>
  <c r="P35" i="55"/>
  <c r="AD34" i="55"/>
  <c r="Z34" i="55"/>
  <c r="V34" i="55"/>
  <c r="R34" i="55"/>
  <c r="N34" i="55"/>
  <c r="AB33" i="55"/>
  <c r="X33" i="55"/>
  <c r="T33" i="55"/>
  <c r="P33" i="55"/>
  <c r="AD32" i="55"/>
  <c r="Z32" i="55"/>
  <c r="V32" i="55"/>
  <c r="R32" i="55"/>
  <c r="N32" i="55"/>
  <c r="AB31" i="55"/>
  <c r="X31" i="55"/>
  <c r="T31" i="55"/>
  <c r="P31" i="55"/>
  <c r="AD30" i="55"/>
  <c r="Z30" i="55"/>
  <c r="V30" i="55"/>
  <c r="R30" i="55"/>
  <c r="N30" i="55"/>
  <c r="AB29" i="55"/>
  <c r="X29" i="55"/>
  <c r="T29" i="55"/>
  <c r="P29" i="55"/>
  <c r="AD28" i="55"/>
  <c r="Z28" i="55"/>
  <c r="V28" i="55"/>
  <c r="R28" i="55"/>
  <c r="N28" i="55"/>
  <c r="W48" i="55"/>
  <c r="AC47" i="55"/>
  <c r="Q47" i="55"/>
  <c r="AA46" i="55"/>
  <c r="AC45" i="55"/>
  <c r="Q45" i="55"/>
  <c r="W44" i="55"/>
  <c r="AC43" i="55"/>
  <c r="Q43" i="55"/>
  <c r="W42" i="55"/>
  <c r="AC41" i="55"/>
  <c r="U41" i="55"/>
  <c r="AA40" i="55"/>
  <c r="O40" i="55"/>
  <c r="U39" i="55"/>
  <c r="W38" i="55"/>
  <c r="AC37" i="55"/>
  <c r="Q37" i="55"/>
  <c r="W36" i="55"/>
  <c r="AC35" i="55"/>
  <c r="U35" i="55"/>
  <c r="AA34" i="55"/>
  <c r="O34" i="55"/>
  <c r="U33" i="55"/>
  <c r="AA32" i="55"/>
  <c r="O32" i="55"/>
  <c r="U31" i="55"/>
  <c r="W30" i="55"/>
  <c r="AC29" i="55"/>
  <c r="M29" i="55"/>
  <c r="S28" i="55"/>
  <c r="AC48" i="55"/>
  <c r="Y48" i="55"/>
  <c r="U48" i="55"/>
  <c r="Q48" i="55"/>
  <c r="M48" i="55"/>
  <c r="AA47" i="55"/>
  <c r="W47" i="55"/>
  <c r="S47" i="55"/>
  <c r="O47" i="55"/>
  <c r="AC46" i="55"/>
  <c r="Y46" i="55"/>
  <c r="U46" i="55"/>
  <c r="Q46" i="55"/>
  <c r="M46" i="55"/>
  <c r="AA45" i="55"/>
  <c r="W45" i="55"/>
  <c r="S45" i="55"/>
  <c r="O45" i="55"/>
  <c r="AC44" i="55"/>
  <c r="Y44" i="55"/>
  <c r="U44" i="55"/>
  <c r="Q44" i="55"/>
  <c r="M44" i="55"/>
  <c r="AA43" i="55"/>
  <c r="W43" i="55"/>
  <c r="S43" i="55"/>
  <c r="O43" i="55"/>
  <c r="AC42" i="55"/>
  <c r="Y42" i="55"/>
  <c r="U42" i="55"/>
  <c r="Q42" i="55"/>
  <c r="M42" i="55"/>
  <c r="AA41" i="55"/>
  <c r="W41" i="55"/>
  <c r="S41" i="55"/>
  <c r="O41" i="55"/>
  <c r="AC40" i="55"/>
  <c r="Y40" i="55"/>
  <c r="U40" i="55"/>
  <c r="Q40" i="55"/>
  <c r="M40" i="55"/>
  <c r="AA39" i="55"/>
  <c r="W39" i="55"/>
  <c r="S39" i="55"/>
  <c r="O39" i="55"/>
  <c r="AC38" i="55"/>
  <c r="Y38" i="55"/>
  <c r="U38" i="55"/>
  <c r="Q38" i="55"/>
  <c r="M38" i="55"/>
  <c r="AA37" i="55"/>
  <c r="W37" i="55"/>
  <c r="S37" i="55"/>
  <c r="O37" i="55"/>
  <c r="AC36" i="55"/>
  <c r="Y36" i="55"/>
  <c r="U36" i="55"/>
  <c r="Q36" i="55"/>
  <c r="M36" i="55"/>
  <c r="AA35" i="55"/>
  <c r="W35" i="55"/>
  <c r="S35" i="55"/>
  <c r="O35" i="55"/>
  <c r="AC34" i="55"/>
  <c r="Y34" i="55"/>
  <c r="U34" i="55"/>
  <c r="Q34" i="55"/>
  <c r="M34" i="55"/>
  <c r="AA33" i="55"/>
  <c r="W33" i="55"/>
  <c r="S33" i="55"/>
  <c r="O33" i="55"/>
  <c r="AC32" i="55"/>
  <c r="Y32" i="55"/>
  <c r="U32" i="55"/>
  <c r="Q32" i="55"/>
  <c r="M32" i="55"/>
  <c r="AA31" i="55"/>
  <c r="W31" i="55"/>
  <c r="S31" i="55"/>
  <c r="O31" i="55"/>
  <c r="AC30" i="55"/>
  <c r="Y30" i="55"/>
  <c r="U30" i="55"/>
  <c r="Q30" i="55"/>
  <c r="M30" i="55"/>
  <c r="AA29" i="55"/>
  <c r="W29" i="55"/>
  <c r="S29" i="55"/>
  <c r="O29" i="55"/>
  <c r="AC28" i="55"/>
  <c r="Y28" i="55"/>
  <c r="U28" i="55"/>
  <c r="Q28" i="55"/>
  <c r="M28" i="55"/>
  <c r="AA48" i="55"/>
  <c r="O48" i="55"/>
  <c r="U47" i="55"/>
  <c r="W46" i="55"/>
  <c r="O46" i="55"/>
  <c r="U45" i="55"/>
  <c r="AA44" i="55"/>
  <c r="O44" i="55"/>
  <c r="U43" i="55"/>
  <c r="AA42" i="55"/>
  <c r="O42" i="55"/>
  <c r="Q41" i="55"/>
  <c r="W40" i="55"/>
  <c r="AC39" i="55"/>
  <c r="Q39" i="55"/>
  <c r="AA38" i="55"/>
  <c r="O38" i="55"/>
  <c r="U37" i="55"/>
  <c r="AA36" i="55"/>
  <c r="O36" i="55"/>
  <c r="Q35" i="55"/>
  <c r="W34" i="55"/>
  <c r="AC33" i="55"/>
  <c r="Q33" i="55"/>
  <c r="W32" i="55"/>
  <c r="AC31" i="55"/>
  <c r="Q31" i="55"/>
  <c r="S30" i="55"/>
  <c r="Y29" i="55"/>
  <c r="Q29" i="55"/>
  <c r="W28" i="55"/>
  <c r="AB48" i="55"/>
  <c r="X48" i="55"/>
  <c r="T48" i="55"/>
  <c r="P48" i="55"/>
  <c r="AD47" i="55"/>
  <c r="Z47" i="55"/>
  <c r="V47" i="55"/>
  <c r="R47" i="55"/>
  <c r="N47" i="55"/>
  <c r="AB46" i="55"/>
  <c r="X46" i="55"/>
  <c r="T46" i="55"/>
  <c r="P46" i="55"/>
  <c r="AD45" i="55"/>
  <c r="Z45" i="55"/>
  <c r="V45" i="55"/>
  <c r="R45" i="55"/>
  <c r="N45" i="55"/>
  <c r="AB44" i="55"/>
  <c r="X44" i="55"/>
  <c r="T44" i="55"/>
  <c r="P44" i="55"/>
  <c r="AD43" i="55"/>
  <c r="Z43" i="55"/>
  <c r="V43" i="55"/>
  <c r="R43" i="55"/>
  <c r="N43" i="55"/>
  <c r="AB42" i="55"/>
  <c r="X42" i="55"/>
  <c r="T42" i="55"/>
  <c r="P42" i="55"/>
  <c r="AD41" i="55"/>
  <c r="Z41" i="55"/>
  <c r="V41" i="55"/>
  <c r="R41" i="55"/>
  <c r="N41" i="55"/>
  <c r="AB40" i="55"/>
  <c r="X40" i="55"/>
  <c r="T40" i="55"/>
  <c r="P40" i="55"/>
  <c r="AD39" i="55"/>
  <c r="Z39" i="55"/>
  <c r="V39" i="55"/>
  <c r="R39" i="55"/>
  <c r="N39" i="55"/>
  <c r="AB38" i="55"/>
  <c r="X38" i="55"/>
  <c r="T38" i="55"/>
  <c r="P38" i="55"/>
  <c r="AD37" i="55"/>
  <c r="Z37" i="55"/>
  <c r="V37" i="55"/>
  <c r="R37" i="55"/>
  <c r="N37" i="55"/>
  <c r="AB36" i="55"/>
  <c r="X36" i="55"/>
  <c r="T36" i="55"/>
  <c r="P36" i="55"/>
  <c r="AD35" i="55"/>
  <c r="Z35" i="55"/>
  <c r="V35" i="55"/>
  <c r="R35" i="55"/>
  <c r="N35" i="55"/>
  <c r="AB34" i="55"/>
  <c r="X34" i="55"/>
  <c r="T34" i="55"/>
  <c r="P34" i="55"/>
  <c r="AD33" i="55"/>
  <c r="Z33" i="55"/>
  <c r="V33" i="55"/>
  <c r="R33" i="55"/>
  <c r="N33" i="55"/>
  <c r="AB32" i="55"/>
  <c r="X32" i="55"/>
  <c r="T32" i="55"/>
  <c r="P32" i="55"/>
  <c r="AD31" i="55"/>
  <c r="Z31" i="55"/>
  <c r="V31" i="55"/>
  <c r="R31" i="55"/>
  <c r="N31" i="55"/>
  <c r="AB30" i="55"/>
  <c r="X30" i="55"/>
  <c r="T30" i="55"/>
  <c r="P30" i="55"/>
  <c r="AD29" i="55"/>
  <c r="Z29" i="55"/>
  <c r="V29" i="55"/>
  <c r="R29" i="55"/>
  <c r="N29" i="55"/>
  <c r="AB28" i="55"/>
  <c r="X28" i="55"/>
  <c r="T28" i="55"/>
  <c r="P28" i="55"/>
  <c r="C24" i="55"/>
  <c r="C16" i="55"/>
  <c r="C27" i="55"/>
  <c r="C23" i="55"/>
  <c r="C19" i="55"/>
  <c r="C15" i="55"/>
  <c r="C26" i="55"/>
  <c r="C22" i="55"/>
  <c r="C18" i="55"/>
  <c r="C20" i="55"/>
  <c r="C28" i="55"/>
  <c r="C25" i="55"/>
  <c r="C21" i="55"/>
  <c r="C17" i="55"/>
  <c r="C27" i="57"/>
  <c r="C19" i="57"/>
  <c r="C26" i="57"/>
  <c r="C22" i="57"/>
  <c r="C18" i="57"/>
  <c r="C23" i="57"/>
  <c r="C28" i="57"/>
  <c r="C25" i="57"/>
  <c r="C21" i="57"/>
  <c r="C17" i="57"/>
  <c r="C15" i="57"/>
  <c r="C24" i="57"/>
  <c r="C20" i="57"/>
  <c r="C16" i="57"/>
  <c r="C12" i="57"/>
  <c r="P48" i="56"/>
  <c r="R47" i="56"/>
  <c r="T46" i="56"/>
  <c r="V45" i="56"/>
  <c r="X44" i="56"/>
  <c r="Z43" i="56"/>
  <c r="AB42" i="56"/>
  <c r="AD41" i="56"/>
  <c r="N41" i="56"/>
  <c r="P40" i="56"/>
  <c r="AB48" i="56"/>
  <c r="AD47" i="56"/>
  <c r="N47" i="56"/>
  <c r="P46" i="56"/>
  <c r="R45" i="56"/>
  <c r="T44" i="56"/>
  <c r="V43" i="56"/>
  <c r="X42" i="56"/>
  <c r="Z41" i="56"/>
  <c r="AB40" i="56"/>
  <c r="AD39" i="56"/>
  <c r="X48" i="56"/>
  <c r="Z47" i="56"/>
  <c r="AB46" i="56"/>
  <c r="AD45" i="56"/>
  <c r="N45" i="56"/>
  <c r="P44" i="56"/>
  <c r="R43" i="56"/>
  <c r="T42" i="56"/>
  <c r="V41" i="56"/>
  <c r="X40" i="56"/>
  <c r="Z39" i="56"/>
  <c r="T48" i="56"/>
  <c r="V47" i="56"/>
  <c r="X46" i="56"/>
  <c r="Z45" i="56"/>
  <c r="AB44" i="56"/>
  <c r="AD43" i="56"/>
  <c r="N43" i="56"/>
  <c r="P42" i="56"/>
  <c r="R41" i="56"/>
  <c r="T40" i="56"/>
  <c r="V39" i="56"/>
  <c r="R39" i="56"/>
  <c r="AB38" i="56"/>
  <c r="T38" i="56"/>
  <c r="AD37" i="56"/>
  <c r="V37" i="56"/>
  <c r="N37" i="56"/>
  <c r="X36" i="56"/>
  <c r="P36" i="56"/>
  <c r="Z35" i="56"/>
  <c r="R35" i="56"/>
  <c r="AB34" i="56"/>
  <c r="T34" i="56"/>
  <c r="AD33" i="56"/>
  <c r="V33" i="56"/>
  <c r="N33" i="56"/>
  <c r="T32" i="56"/>
  <c r="AD31" i="56"/>
  <c r="R31" i="56"/>
  <c r="AC30" i="56"/>
  <c r="Y30" i="56"/>
  <c r="U30" i="56"/>
  <c r="Q30" i="56"/>
  <c r="X29" i="56"/>
  <c r="T29" i="56"/>
  <c r="P29" i="56"/>
  <c r="AA28" i="56"/>
  <c r="W28" i="56"/>
  <c r="S28" i="56"/>
  <c r="O28" i="56"/>
  <c r="AA48" i="56"/>
  <c r="W48" i="56"/>
  <c r="S48" i="56"/>
  <c r="O48" i="56"/>
  <c r="AC47" i="56"/>
  <c r="Y47" i="56"/>
  <c r="U47" i="56"/>
  <c r="Q47" i="56"/>
  <c r="M47" i="56"/>
  <c r="AA46" i="56"/>
  <c r="W46" i="56"/>
  <c r="S46" i="56"/>
  <c r="O46" i="56"/>
  <c r="AC45" i="56"/>
  <c r="Y45" i="56"/>
  <c r="U45" i="56"/>
  <c r="Q45" i="56"/>
  <c r="M45" i="56"/>
  <c r="AA44" i="56"/>
  <c r="W44" i="56"/>
  <c r="S44" i="56"/>
  <c r="O44" i="56"/>
  <c r="AC43" i="56"/>
  <c r="Y43" i="56"/>
  <c r="U43" i="56"/>
  <c r="Q43" i="56"/>
  <c r="M43" i="56"/>
  <c r="AA42" i="56"/>
  <c r="W42" i="56"/>
  <c r="S42" i="56"/>
  <c r="O42" i="56"/>
  <c r="AC41" i="56"/>
  <c r="Y41" i="56"/>
  <c r="U41" i="56"/>
  <c r="Q41" i="56"/>
  <c r="M41" i="56"/>
  <c r="AA40" i="56"/>
  <c r="W40" i="56"/>
  <c r="S40" i="56"/>
  <c r="O40" i="56"/>
  <c r="AC39" i="56"/>
  <c r="Y39" i="56"/>
  <c r="U39" i="56"/>
  <c r="Q39" i="56"/>
  <c r="M39" i="56"/>
  <c r="AA38" i="56"/>
  <c r="W38" i="56"/>
  <c r="S38" i="56"/>
  <c r="O38" i="56"/>
  <c r="AC37" i="56"/>
  <c r="Y37" i="56"/>
  <c r="U37" i="56"/>
  <c r="Q37" i="56"/>
  <c r="M37" i="56"/>
  <c r="AA36" i="56"/>
  <c r="W36" i="56"/>
  <c r="S36" i="56"/>
  <c r="O36" i="56"/>
  <c r="AC35" i="56"/>
  <c r="Y35" i="56"/>
  <c r="U35" i="56"/>
  <c r="Q35" i="56"/>
  <c r="M35" i="56"/>
  <c r="AA34" i="56"/>
  <c r="W34" i="56"/>
  <c r="S34" i="56"/>
  <c r="O34" i="56"/>
  <c r="AC33" i="56"/>
  <c r="Y33" i="56"/>
  <c r="U33" i="56"/>
  <c r="Q33" i="56"/>
  <c r="M33" i="56"/>
  <c r="AA32" i="56"/>
  <c r="W32" i="56"/>
  <c r="S32" i="56"/>
  <c r="O32" i="56"/>
  <c r="AC31" i="56"/>
  <c r="Y31" i="56"/>
  <c r="U31" i="56"/>
  <c r="Q31" i="56"/>
  <c r="M31" i="56"/>
  <c r="AB30" i="56"/>
  <c r="X30" i="56"/>
  <c r="T30" i="56"/>
  <c r="P30" i="56"/>
  <c r="AA29" i="56"/>
  <c r="W29" i="56"/>
  <c r="S29" i="56"/>
  <c r="O29" i="56"/>
  <c r="AD28" i="56"/>
  <c r="Z28" i="56"/>
  <c r="V28" i="56"/>
  <c r="R28" i="56"/>
  <c r="N28" i="56"/>
  <c r="AB32" i="56"/>
  <c r="Z31" i="56"/>
  <c r="M30" i="56"/>
  <c r="Z48" i="56"/>
  <c r="R48" i="56"/>
  <c r="AB47" i="56"/>
  <c r="T47" i="56"/>
  <c r="AD46" i="56"/>
  <c r="V46" i="56"/>
  <c r="N46" i="56"/>
  <c r="X45" i="56"/>
  <c r="P45" i="56"/>
  <c r="Z44" i="56"/>
  <c r="V44" i="56"/>
  <c r="N44" i="56"/>
  <c r="X43" i="56"/>
  <c r="P43" i="56"/>
  <c r="AD42" i="56"/>
  <c r="Z42" i="56"/>
  <c r="V42" i="56"/>
  <c r="R42" i="56"/>
  <c r="N42" i="56"/>
  <c r="AB41" i="56"/>
  <c r="X41" i="56"/>
  <c r="T41" i="56"/>
  <c r="P41" i="56"/>
  <c r="AD40" i="56"/>
  <c r="Z40" i="56"/>
  <c r="V40" i="56"/>
  <c r="R40" i="56"/>
  <c r="N40" i="56"/>
  <c r="AB39" i="56"/>
  <c r="X39" i="56"/>
  <c r="T39" i="56"/>
  <c r="P39" i="56"/>
  <c r="AD38" i="56"/>
  <c r="Z38" i="56"/>
  <c r="V38" i="56"/>
  <c r="R38" i="56"/>
  <c r="N38" i="56"/>
  <c r="AB37" i="56"/>
  <c r="X37" i="56"/>
  <c r="T37" i="56"/>
  <c r="P37" i="56"/>
  <c r="AD36" i="56"/>
  <c r="Z36" i="56"/>
  <c r="V36" i="56"/>
  <c r="R36" i="56"/>
  <c r="N36" i="56"/>
  <c r="AB35" i="56"/>
  <c r="X35" i="56"/>
  <c r="T35" i="56"/>
  <c r="P35" i="56"/>
  <c r="AD34" i="56"/>
  <c r="Z34" i="56"/>
  <c r="V34" i="56"/>
  <c r="R34" i="56"/>
  <c r="N34" i="56"/>
  <c r="AB33" i="56"/>
  <c r="X33" i="56"/>
  <c r="T33" i="56"/>
  <c r="P33" i="56"/>
  <c r="AD32" i="56"/>
  <c r="Z32" i="56"/>
  <c r="V32" i="56"/>
  <c r="R32" i="56"/>
  <c r="N32" i="56"/>
  <c r="AB31" i="56"/>
  <c r="X31" i="56"/>
  <c r="T31" i="56"/>
  <c r="P31" i="56"/>
  <c r="AA30" i="56"/>
  <c r="W30" i="56"/>
  <c r="S30" i="56"/>
  <c r="O30" i="56"/>
  <c r="AD29" i="56"/>
  <c r="Z29" i="56"/>
  <c r="V29" i="56"/>
  <c r="R29" i="56"/>
  <c r="N29" i="56"/>
  <c r="AC28" i="56"/>
  <c r="Y28" i="56"/>
  <c r="U28" i="56"/>
  <c r="Q28" i="56"/>
  <c r="M28" i="56"/>
  <c r="N39" i="56"/>
  <c r="X38" i="56"/>
  <c r="P38" i="56"/>
  <c r="Z37" i="56"/>
  <c r="R37" i="56"/>
  <c r="AB36" i="56"/>
  <c r="T36" i="56"/>
  <c r="AD35" i="56"/>
  <c r="V35" i="56"/>
  <c r="N35" i="56"/>
  <c r="X34" i="56"/>
  <c r="P34" i="56"/>
  <c r="Z33" i="56"/>
  <c r="R33" i="56"/>
  <c r="X32" i="56"/>
  <c r="P32" i="56"/>
  <c r="V31" i="56"/>
  <c r="N31" i="56"/>
  <c r="AB29" i="56"/>
  <c r="AD48" i="56"/>
  <c r="V48" i="56"/>
  <c r="N48" i="56"/>
  <c r="X47" i="56"/>
  <c r="P47" i="56"/>
  <c r="Z46" i="56"/>
  <c r="R46" i="56"/>
  <c r="AB45" i="56"/>
  <c r="T45" i="56"/>
  <c r="AD44" i="56"/>
  <c r="R44" i="56"/>
  <c r="AB43" i="56"/>
  <c r="T43" i="56"/>
  <c r="AC48" i="56"/>
  <c r="Y48" i="56"/>
  <c r="U48" i="56"/>
  <c r="Q48" i="56"/>
  <c r="M48" i="56"/>
  <c r="AA47" i="56"/>
  <c r="W47" i="56"/>
  <c r="S47" i="56"/>
  <c r="O47" i="56"/>
  <c r="AC46" i="56"/>
  <c r="Y46" i="56"/>
  <c r="U46" i="56"/>
  <c r="Q46" i="56"/>
  <c r="M46" i="56"/>
  <c r="AA45" i="56"/>
  <c r="W45" i="56"/>
  <c r="S45" i="56"/>
  <c r="O45" i="56"/>
  <c r="AC44" i="56"/>
  <c r="Y44" i="56"/>
  <c r="U44" i="56"/>
  <c r="Q44" i="56"/>
  <c r="M44" i="56"/>
  <c r="AA43" i="56"/>
  <c r="W43" i="56"/>
  <c r="S43" i="56"/>
  <c r="O43" i="56"/>
  <c r="AC42" i="56"/>
  <c r="Y42" i="56"/>
  <c r="U42" i="56"/>
  <c r="Q42" i="56"/>
  <c r="M42" i="56"/>
  <c r="AA41" i="56"/>
  <c r="W41" i="56"/>
  <c r="S41" i="56"/>
  <c r="O41" i="56"/>
  <c r="AC40" i="56"/>
  <c r="Y40" i="56"/>
  <c r="U40" i="56"/>
  <c r="Q40" i="56"/>
  <c r="M40" i="56"/>
  <c r="AA39" i="56"/>
  <c r="W39" i="56"/>
  <c r="S39" i="56"/>
  <c r="O39" i="56"/>
  <c r="AC38" i="56"/>
  <c r="Y38" i="56"/>
  <c r="U38" i="56"/>
  <c r="Q38" i="56"/>
  <c r="M38" i="56"/>
  <c r="AA37" i="56"/>
  <c r="W37" i="56"/>
  <c r="S37" i="56"/>
  <c r="O37" i="56"/>
  <c r="AC36" i="56"/>
  <c r="Y36" i="56"/>
  <c r="U36" i="56"/>
  <c r="Q36" i="56"/>
  <c r="M36" i="56"/>
  <c r="AA35" i="56"/>
  <c r="W35" i="56"/>
  <c r="S35" i="56"/>
  <c r="O35" i="56"/>
  <c r="AC34" i="56"/>
  <c r="Y34" i="56"/>
  <c r="U34" i="56"/>
  <c r="Q34" i="56"/>
  <c r="M34" i="56"/>
  <c r="AA33" i="56"/>
  <c r="W33" i="56"/>
  <c r="S33" i="56"/>
  <c r="O33" i="56"/>
  <c r="AC32" i="56"/>
  <c r="Y32" i="56"/>
  <c r="U32" i="56"/>
  <c r="Q32" i="56"/>
  <c r="M32" i="56"/>
  <c r="AA31" i="56"/>
  <c r="W31" i="56"/>
  <c r="S31" i="56"/>
  <c r="O31" i="56"/>
  <c r="AD30" i="56"/>
  <c r="Z30" i="56"/>
  <c r="V30" i="56"/>
  <c r="R30" i="56"/>
  <c r="N30" i="56"/>
  <c r="AC29" i="56"/>
  <c r="Y29" i="56"/>
  <c r="U29" i="56"/>
  <c r="Q29" i="56"/>
  <c r="M29" i="56"/>
  <c r="AB28" i="56"/>
  <c r="X28" i="56"/>
  <c r="T28" i="56"/>
  <c r="P28" i="56"/>
  <c r="C15" i="56"/>
</calcChain>
</file>

<file path=xl/sharedStrings.xml><?xml version="1.0" encoding="utf-8"?>
<sst xmlns="http://schemas.openxmlformats.org/spreadsheetml/2006/main" count="332" uniqueCount="98">
  <si>
    <t>Strike Delta</t>
  </si>
  <si>
    <t>DeltaX</t>
  </si>
  <si>
    <t>dx</t>
  </si>
  <si>
    <t>Black-76 Options on futures</t>
  </si>
  <si>
    <t>Fr</t>
  </si>
  <si>
    <t>Black-76 Options on forward contract expiring after option expiry</t>
  </si>
  <si>
    <r>
      <t xml:space="preserve">Time to forward maturity ( </t>
    </r>
    <r>
      <rPr>
        <sz val="10"/>
        <rFont val="Geneva"/>
      </rPr>
      <t>Tf</t>
    </r>
    <r>
      <rPr>
        <b/>
        <sz val="10"/>
        <rFont val="Geneva"/>
      </rPr>
      <t xml:space="preserve"> )</t>
    </r>
  </si>
  <si>
    <t>fr</t>
  </si>
  <si>
    <r>
      <t xml:space="preserve">Risk-free rate ( </t>
    </r>
    <r>
      <rPr>
        <sz val="10"/>
        <rFont val="Geneva"/>
      </rPr>
      <t>r</t>
    </r>
    <r>
      <rPr>
        <b/>
        <sz val="10"/>
        <rFont val="Geneva"/>
      </rPr>
      <t xml:space="preserve"> )</t>
    </r>
  </si>
  <si>
    <t>Black-76</t>
  </si>
  <si>
    <t>Black-76F  modified for forward expires after option</t>
  </si>
  <si>
    <t>Energy swaption</t>
  </si>
  <si>
    <t>ON</t>
  </si>
  <si>
    <t>Call</t>
  </si>
  <si>
    <t>Put</t>
  </si>
  <si>
    <t>Value</t>
  </si>
  <si>
    <t>Option sensitivities</t>
  </si>
  <si>
    <t>Vega</t>
  </si>
  <si>
    <t xml:space="preserve">Theta </t>
  </si>
  <si>
    <t>t</t>
  </si>
  <si>
    <t>e</t>
  </si>
  <si>
    <t>Start point :</t>
  </si>
  <si>
    <t>End point :</t>
  </si>
  <si>
    <t>DvegaDvol</t>
  </si>
  <si>
    <r>
      <t xml:space="preserve">Volatility ( </t>
    </r>
    <r>
      <rPr>
        <sz val="10"/>
        <rFont val="Symbol"/>
        <family val="1"/>
        <charset val="2"/>
      </rPr>
      <t>s</t>
    </r>
    <r>
      <rPr>
        <b/>
        <sz val="10"/>
        <rFont val="Geneva"/>
      </rPr>
      <t xml:space="preserve"> )</t>
    </r>
  </si>
  <si>
    <t>Calculations of table used to generate 3-D graph</t>
  </si>
  <si>
    <t>VegaP</t>
  </si>
  <si>
    <t>dvdv</t>
  </si>
  <si>
    <t>Analytical</t>
  </si>
  <si>
    <t>Numerical</t>
  </si>
  <si>
    <t>s</t>
  </si>
  <si>
    <t>Contents/Spreadsheet index</t>
  </si>
  <si>
    <t>Continuous</t>
  </si>
  <si>
    <t>Annual</t>
  </si>
  <si>
    <t>Semi-annual</t>
  </si>
  <si>
    <t>Quarterly</t>
  </si>
  <si>
    <t>Swap Value</t>
  </si>
  <si>
    <t>Option Value</t>
  </si>
  <si>
    <t>Period rate</t>
  </si>
  <si>
    <t>Sheet #</t>
  </si>
  <si>
    <t>OFF</t>
  </si>
  <si>
    <t>Elasticity</t>
  </si>
  <si>
    <r>
      <t xml:space="preserve">Rho futures option </t>
    </r>
    <r>
      <rPr>
        <sz val="10"/>
        <color indexed="8"/>
        <rFont val="Symbol"/>
        <family val="1"/>
        <charset val="2"/>
      </rPr>
      <t>r</t>
    </r>
  </si>
  <si>
    <r>
      <t xml:space="preserve">GammaP </t>
    </r>
    <r>
      <rPr>
        <sz val="10"/>
        <color indexed="8"/>
        <rFont val="Symbol"/>
        <family val="1"/>
        <charset val="2"/>
      </rPr>
      <t>G</t>
    </r>
  </si>
  <si>
    <t>gp</t>
  </si>
  <si>
    <t>GammaP</t>
  </si>
  <si>
    <r>
      <t xml:space="preserve">Strike price ( </t>
    </r>
    <r>
      <rPr>
        <sz val="10"/>
        <rFont val="Geneva"/>
      </rPr>
      <t>X</t>
    </r>
    <r>
      <rPr>
        <b/>
        <sz val="10"/>
        <rFont val="Geneva"/>
      </rPr>
      <t xml:space="preserve"> )</t>
    </r>
  </si>
  <si>
    <t>Days</t>
  </si>
  <si>
    <t>Years</t>
  </si>
  <si>
    <t>Time in :</t>
  </si>
  <si>
    <r>
      <t xml:space="preserve">Theta </t>
    </r>
    <r>
      <rPr>
        <sz val="10"/>
        <color indexed="8"/>
        <rFont val="Symbol"/>
        <family val="1"/>
        <charset val="2"/>
      </rPr>
      <t xml:space="preserve">Q </t>
    </r>
    <r>
      <rPr>
        <sz val="10"/>
        <color indexed="8"/>
        <rFont val="Times"/>
      </rPr>
      <t>(1 day)</t>
    </r>
  </si>
  <si>
    <t>DGammaDvol</t>
  </si>
  <si>
    <t>DgammaDvol</t>
  </si>
  <si>
    <t>gv</t>
  </si>
  <si>
    <t>Strike Gamma</t>
  </si>
  <si>
    <t>GammaX</t>
  </si>
  <si>
    <t>DDeltaDvol</t>
  </si>
  <si>
    <t>dddv</t>
  </si>
  <si>
    <t>dxdx</t>
  </si>
  <si>
    <r>
      <t xml:space="preserve">Delta </t>
    </r>
    <r>
      <rPr>
        <sz val="10"/>
        <color indexed="8"/>
        <rFont val="Symbol"/>
        <family val="1"/>
        <charset val="2"/>
      </rPr>
      <t>D</t>
    </r>
  </si>
  <si>
    <r>
      <t xml:space="preserve">Elasticity </t>
    </r>
    <r>
      <rPr>
        <sz val="10"/>
        <color indexed="8"/>
        <rFont val="Symbol"/>
        <family val="1"/>
        <charset val="2"/>
      </rPr>
      <t>L</t>
    </r>
  </si>
  <si>
    <r>
      <t xml:space="preserve">Gamma </t>
    </r>
    <r>
      <rPr>
        <sz val="10"/>
        <color indexed="8"/>
        <rFont val="Symbol"/>
        <family val="1"/>
        <charset val="2"/>
      </rPr>
      <t>G</t>
    </r>
  </si>
  <si>
    <t>Speed</t>
  </si>
  <si>
    <t>p</t>
  </si>
  <si>
    <t>d</t>
  </si>
  <si>
    <t>v</t>
  </si>
  <si>
    <t>Minimum :</t>
  </si>
  <si>
    <t>Maximum :</t>
  </si>
  <si>
    <t>Asset price range :</t>
  </si>
  <si>
    <t>Time range:</t>
  </si>
  <si>
    <t>Asset price</t>
  </si>
  <si>
    <t>Delta</t>
  </si>
  <si>
    <t>Long</t>
  </si>
  <si>
    <t>Short</t>
  </si>
  <si>
    <t>3-Dimensional graph:</t>
  </si>
  <si>
    <t>Density</t>
  </si>
  <si>
    <t xml:space="preserve">Gamma </t>
  </si>
  <si>
    <t>g</t>
  </si>
  <si>
    <t>Rho FO</t>
  </si>
  <si>
    <r>
      <t xml:space="preserve">Futures price ( </t>
    </r>
    <r>
      <rPr>
        <sz val="10"/>
        <rFont val="Geneva"/>
      </rPr>
      <t>S</t>
    </r>
    <r>
      <rPr>
        <b/>
        <sz val="10"/>
        <rFont val="Geneva"/>
      </rPr>
      <t xml:space="preserve"> )</t>
    </r>
  </si>
  <si>
    <r>
      <t xml:space="preserve">Time to maturity ( </t>
    </r>
    <r>
      <rPr>
        <sz val="10"/>
        <rFont val="Geneva"/>
      </rPr>
      <t>T</t>
    </r>
    <r>
      <rPr>
        <b/>
        <sz val="10"/>
        <rFont val="Geneva"/>
      </rPr>
      <t xml:space="preserve"> )</t>
    </r>
  </si>
  <si>
    <t>Compoundings per year</t>
  </si>
  <si>
    <r>
      <t xml:space="preserve">Risk-free rate ( </t>
    </r>
    <r>
      <rPr>
        <sz val="10"/>
        <rFont val="Geneva"/>
      </rPr>
      <t>rb</t>
    </r>
    <r>
      <rPr>
        <b/>
        <sz val="10"/>
        <rFont val="Geneva"/>
      </rPr>
      <t xml:space="preserve"> )</t>
    </r>
  </si>
  <si>
    <r>
      <t xml:space="preserve">Risk-free rate ( </t>
    </r>
    <r>
      <rPr>
        <sz val="10"/>
        <rFont val="Geneva"/>
      </rPr>
      <t>rj</t>
    </r>
    <r>
      <rPr>
        <b/>
        <sz val="10"/>
        <rFont val="Geneva"/>
      </rPr>
      <t xml:space="preserve"> )</t>
    </r>
  </si>
  <si>
    <r>
      <t xml:space="preserve">Time to delivery period ( </t>
    </r>
    <r>
      <rPr>
        <sz val="10"/>
        <rFont val="Geneva"/>
      </rPr>
      <t>Tb</t>
    </r>
    <r>
      <rPr>
        <b/>
        <sz val="10"/>
        <rFont val="Geneva"/>
      </rPr>
      <t xml:space="preserve"> )</t>
    </r>
  </si>
  <si>
    <t>Number of days delivery period</t>
  </si>
  <si>
    <t>Energy Swaption</t>
  </si>
  <si>
    <r>
      <t xml:space="preserve">Time to middle of delivery ( </t>
    </r>
    <r>
      <rPr>
        <sz val="10"/>
        <rFont val="Geneva"/>
      </rPr>
      <t>Tm</t>
    </r>
    <r>
      <rPr>
        <b/>
        <sz val="10"/>
        <rFont val="Geneva"/>
      </rPr>
      <t xml:space="preserve"> )</t>
    </r>
  </si>
  <si>
    <t>Energy Swaption Approximation</t>
  </si>
  <si>
    <t>Monthly</t>
  </si>
  <si>
    <t>CC Rate</t>
  </si>
  <si>
    <t>CC Carry</t>
  </si>
  <si>
    <t>Used for drop-down-menus</t>
  </si>
  <si>
    <t>Time to maturity</t>
  </si>
  <si>
    <t>Risk Neutral Density</t>
  </si>
  <si>
    <r>
      <t xml:space="preserve">Swap price ( </t>
    </r>
    <r>
      <rPr>
        <sz val="10"/>
        <rFont val="Geneva"/>
      </rPr>
      <t>F</t>
    </r>
    <r>
      <rPr>
        <b/>
        <sz val="10"/>
        <rFont val="Geneva"/>
      </rPr>
      <t xml:space="preserve"> )</t>
    </r>
  </si>
  <si>
    <t>Energy swaption approximation</t>
  </si>
  <si>
    <t>Energy/Commodity 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</si>
</sst>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202" formatCode="0.00000"/>
    <numFmt numFmtId="204" formatCode="0.0000"/>
    <numFmt numFmtId="206" formatCode="0.0"/>
    <numFmt numFmtId="209" formatCode="0.000000"/>
    <numFmt numFmtId="216" formatCode="_(* #,##0.0000_);_(* \(#,##0.0000\);_(* &quot;-&quot;??_);_(@_)"/>
    <numFmt numFmtId="225" formatCode="_(* #,##0_);_(* \(#,##0\);_(* &quot;-&quot;??_);_(@_)"/>
    <numFmt numFmtId="308" formatCode="#,##0.0000"/>
    <numFmt numFmtId="310" formatCode="#,##0.000000"/>
  </numFmts>
  <fonts count="22">
    <font>
      <sz val="9"/>
      <name val="Geneva"/>
    </font>
    <font>
      <sz val="9"/>
      <name val="Geneva"/>
    </font>
    <font>
      <sz val="10"/>
      <name val="Geneva"/>
    </font>
    <font>
      <b/>
      <sz val="12"/>
      <name val="Geneva"/>
    </font>
    <font>
      <b/>
      <sz val="10"/>
      <name val="Geneva"/>
    </font>
    <font>
      <b/>
      <sz val="10"/>
      <color indexed="39"/>
      <name val="Geneva"/>
    </font>
    <font>
      <sz val="10"/>
      <name val="Symbol"/>
      <family val="1"/>
      <charset val="2"/>
    </font>
    <font>
      <b/>
      <sz val="10"/>
      <color indexed="8"/>
      <name val="Geneva"/>
    </font>
    <font>
      <sz val="10"/>
      <color indexed="8"/>
      <name val="Symbol"/>
      <family val="1"/>
      <charset val="2"/>
    </font>
    <font>
      <b/>
      <sz val="10"/>
      <color indexed="62"/>
      <name val="Geneva"/>
    </font>
    <font>
      <b/>
      <sz val="18"/>
      <color indexed="62"/>
      <name val="Geneva"/>
    </font>
    <font>
      <b/>
      <sz val="10"/>
      <color indexed="12"/>
      <name val="Geneva"/>
    </font>
    <font>
      <b/>
      <sz val="14"/>
      <name val="Geneva"/>
    </font>
    <font>
      <b/>
      <sz val="10"/>
      <color indexed="18"/>
      <name val="Geneva"/>
    </font>
    <font>
      <b/>
      <sz val="18"/>
      <color indexed="17"/>
      <name val="Geneva"/>
    </font>
    <font>
      <sz val="10"/>
      <color indexed="8"/>
      <name val="Geneva"/>
    </font>
    <font>
      <b/>
      <sz val="24"/>
      <color indexed="56"/>
      <name val="Geneva"/>
    </font>
    <font>
      <sz val="10"/>
      <color indexed="8"/>
      <name val="Times"/>
    </font>
    <font>
      <b/>
      <sz val="10"/>
      <color indexed="10"/>
      <name val="Geneva"/>
    </font>
    <font>
      <b/>
      <sz val="9"/>
      <color indexed="58"/>
      <name val="Geneva"/>
    </font>
    <font>
      <sz val="8"/>
      <name val="Verdana"/>
      <family val="2"/>
    </font>
    <font>
      <b/>
      <sz val="10"/>
      <color indexed="16"/>
      <name val="Geneva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</cellStyleXfs>
  <cellXfs count="116">
    <xf numFmtId="0" fontId="0" fillId="0" borderId="0" xfId="0"/>
    <xf numFmtId="0" fontId="3" fillId="0" borderId="0" xfId="2" applyFont="1"/>
    <xf numFmtId="0" fontId="2" fillId="0" borderId="0" xfId="2" applyFont="1"/>
    <xf numFmtId="10" fontId="2" fillId="0" borderId="0" xfId="3" applyNumberFormat="1" applyFont="1"/>
    <xf numFmtId="0" fontId="2" fillId="0" borderId="0" xfId="2"/>
    <xf numFmtId="0" fontId="4" fillId="0" borderId="1" xfId="2" applyFont="1" applyBorder="1" applyAlignment="1">
      <alignment horizontal="left"/>
    </xf>
    <xf numFmtId="0" fontId="4" fillId="0" borderId="2" xfId="2" applyFont="1" applyBorder="1" applyAlignment="1">
      <alignment horizontal="left"/>
    </xf>
    <xf numFmtId="0" fontId="4" fillId="0" borderId="3" xfId="2" applyFont="1" applyBorder="1" applyAlignment="1">
      <alignment horizontal="left"/>
    </xf>
    <xf numFmtId="0" fontId="7" fillId="2" borderId="4" xfId="2" applyFont="1" applyFill="1" applyBorder="1"/>
    <xf numFmtId="204" fontId="2" fillId="0" borderId="0" xfId="2" applyNumberFormat="1"/>
    <xf numFmtId="0" fontId="4" fillId="0" borderId="0" xfId="2" applyFont="1"/>
    <xf numFmtId="3" fontId="2" fillId="0" borderId="0" xfId="2" applyNumberFormat="1" applyFont="1"/>
    <xf numFmtId="0" fontId="4" fillId="0" borderId="1" xfId="2" applyFont="1" applyBorder="1" applyAlignment="1">
      <alignment horizontal="right"/>
    </xf>
    <xf numFmtId="9" fontId="4" fillId="0" borderId="0" xfId="2" applyNumberFormat="1" applyFont="1"/>
    <xf numFmtId="0" fontId="2" fillId="0" borderId="5" xfId="2" applyFont="1" applyBorder="1"/>
    <xf numFmtId="43" fontId="2" fillId="0" borderId="6" xfId="2" applyNumberFormat="1" applyFont="1" applyBorder="1"/>
    <xf numFmtId="0" fontId="2" fillId="0" borderId="6" xfId="2" applyFont="1" applyBorder="1"/>
    <xf numFmtId="0" fontId="2" fillId="0" borderId="7" xfId="2" applyFont="1" applyBorder="1"/>
    <xf numFmtId="43" fontId="4" fillId="0" borderId="6" xfId="1" applyFont="1" applyBorder="1"/>
    <xf numFmtId="0" fontId="4" fillId="0" borderId="8" xfId="2" applyFont="1" applyBorder="1" applyAlignment="1">
      <alignment horizontal="center"/>
    </xf>
    <xf numFmtId="0" fontId="10" fillId="0" borderId="0" xfId="2" applyFont="1"/>
    <xf numFmtId="0" fontId="2" fillId="3" borderId="2" xfId="2" applyFill="1" applyBorder="1" applyAlignment="1">
      <alignment horizontal="center"/>
    </xf>
    <xf numFmtId="0" fontId="2" fillId="3" borderId="9" xfId="2" applyFill="1" applyBorder="1" applyAlignment="1">
      <alignment horizontal="center"/>
    </xf>
    <xf numFmtId="0" fontId="2" fillId="3" borderId="2" xfId="2" applyFont="1" applyFill="1" applyBorder="1" applyAlignment="1">
      <alignment horizontal="center"/>
    </xf>
    <xf numFmtId="0" fontId="2" fillId="3" borderId="9" xfId="2" applyFont="1" applyFill="1" applyBorder="1" applyAlignment="1">
      <alignment horizontal="center"/>
    </xf>
    <xf numFmtId="0" fontId="2" fillId="3" borderId="10" xfId="2" applyFill="1" applyBorder="1" applyAlignment="1">
      <alignment horizontal="center"/>
    </xf>
    <xf numFmtId="0" fontId="5" fillId="3" borderId="11" xfId="2" applyFont="1" applyFill="1" applyBorder="1" applyAlignment="1">
      <alignment horizontal="center"/>
    </xf>
    <xf numFmtId="0" fontId="2" fillId="3" borderId="12" xfId="2" applyFill="1" applyBorder="1" applyAlignment="1">
      <alignment horizontal="center"/>
    </xf>
    <xf numFmtId="0" fontId="2" fillId="3" borderId="12" xfId="2" applyFont="1" applyFill="1" applyBorder="1" applyAlignment="1">
      <alignment horizontal="center"/>
    </xf>
    <xf numFmtId="0" fontId="2" fillId="3" borderId="13" xfId="2" applyFont="1" applyFill="1" applyBorder="1" applyAlignment="1">
      <alignment horizontal="center"/>
    </xf>
    <xf numFmtId="0" fontId="2" fillId="3" borderId="3" xfId="2" applyFont="1" applyFill="1" applyBorder="1" applyAlignment="1">
      <alignment horizontal="center"/>
    </xf>
    <xf numFmtId="0" fontId="2" fillId="3" borderId="10" xfId="2" applyFont="1" applyFill="1" applyBorder="1" applyAlignment="1">
      <alignment horizontal="center"/>
    </xf>
    <xf numFmtId="0" fontId="2" fillId="3" borderId="1" xfId="2" applyFill="1" applyBorder="1" applyAlignment="1">
      <alignment horizontal="center"/>
    </xf>
    <xf numFmtId="0" fontId="11" fillId="3" borderId="14" xfId="2" applyFont="1" applyFill="1" applyBorder="1" applyAlignment="1">
      <alignment horizontal="center"/>
    </xf>
    <xf numFmtId="0" fontId="9" fillId="0" borderId="15" xfId="2" applyFont="1" applyBorder="1"/>
    <xf numFmtId="0" fontId="2" fillId="0" borderId="0" xfId="2" applyFont="1" applyBorder="1"/>
    <xf numFmtId="0" fontId="4" fillId="0" borderId="5" xfId="2" applyFont="1" applyBorder="1" applyAlignment="1">
      <alignment horizontal="centerContinuous"/>
    </xf>
    <xf numFmtId="0" fontId="2" fillId="0" borderId="6" xfId="2" applyFont="1" applyBorder="1" applyAlignment="1">
      <alignment horizontal="centerContinuous"/>
    </xf>
    <xf numFmtId="0" fontId="2" fillId="0" borderId="7" xfId="2" applyFont="1" applyBorder="1" applyAlignment="1">
      <alignment horizontal="centerContinuous"/>
    </xf>
    <xf numFmtId="0" fontId="4" fillId="0" borderId="16" xfId="2" applyFont="1" applyBorder="1" applyAlignment="1">
      <alignment horizontal="right"/>
    </xf>
    <xf numFmtId="0" fontId="9" fillId="0" borderId="17" xfId="2" applyFont="1" applyBorder="1"/>
    <xf numFmtId="0" fontId="4" fillId="0" borderId="18" xfId="2" applyFont="1" applyBorder="1" applyAlignment="1">
      <alignment horizontal="right"/>
    </xf>
    <xf numFmtId="0" fontId="9" fillId="0" borderId="19" xfId="2" applyFont="1" applyBorder="1"/>
    <xf numFmtId="0" fontId="4" fillId="0" borderId="20" xfId="2" applyFont="1" applyBorder="1" applyAlignment="1">
      <alignment horizontal="right"/>
    </xf>
    <xf numFmtId="0" fontId="9" fillId="0" borderId="21" xfId="2" applyFont="1" applyBorder="1"/>
    <xf numFmtId="0" fontId="4" fillId="0" borderId="22" xfId="2" applyFont="1" applyBorder="1" applyAlignment="1">
      <alignment horizontal="centerContinuous"/>
    </xf>
    <xf numFmtId="0" fontId="4" fillId="0" borderId="0" xfId="2" applyFont="1" applyBorder="1"/>
    <xf numFmtId="0" fontId="12" fillId="0" borderId="0" xfId="0" applyFont="1"/>
    <xf numFmtId="0" fontId="14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5" fillId="0" borderId="0" xfId="0" applyFont="1"/>
    <xf numFmtId="0" fontId="16" fillId="0" borderId="0" xfId="0" applyFont="1" applyAlignment="1">
      <alignment horizontal="left"/>
    </xf>
    <xf numFmtId="0" fontId="4" fillId="0" borderId="0" xfId="2" applyFont="1" applyAlignment="1">
      <alignment horizontal="left"/>
    </xf>
    <xf numFmtId="2" fontId="2" fillId="0" borderId="0" xfId="2" applyNumberFormat="1" applyBorder="1"/>
    <xf numFmtId="2" fontId="2" fillId="0" borderId="23" xfId="2" applyNumberFormat="1" applyBorder="1"/>
    <xf numFmtId="2" fontId="2" fillId="0" borderId="8" xfId="2" applyNumberFormat="1" applyBorder="1" applyAlignment="1">
      <alignment horizontal="right"/>
    </xf>
    <xf numFmtId="2" fontId="2" fillId="0" borderId="8" xfId="2" applyNumberFormat="1" applyFont="1" applyBorder="1" applyAlignment="1">
      <alignment horizontal="right"/>
    </xf>
    <xf numFmtId="2" fontId="2" fillId="0" borderId="18" xfId="2" applyNumberFormat="1" applyFont="1" applyBorder="1" applyAlignment="1">
      <alignment horizontal="right"/>
    </xf>
    <xf numFmtId="0" fontId="2" fillId="3" borderId="0" xfId="2" applyFill="1" applyBorder="1" applyAlignment="1">
      <alignment horizontal="center"/>
    </xf>
    <xf numFmtId="0" fontId="2" fillId="3" borderId="0" xfId="2" applyFont="1" applyFill="1" applyBorder="1" applyAlignment="1">
      <alignment horizontal="center"/>
    </xf>
    <xf numFmtId="0" fontId="13" fillId="3" borderId="0" xfId="2" applyFont="1" applyFill="1" applyBorder="1" applyAlignment="1">
      <alignment horizontal="center"/>
    </xf>
    <xf numFmtId="0" fontId="2" fillId="3" borderId="24" xfId="2" applyFont="1" applyFill="1" applyBorder="1" applyAlignment="1">
      <alignment horizontal="center"/>
    </xf>
    <xf numFmtId="0" fontId="4" fillId="0" borderId="0" xfId="2" applyFont="1" applyAlignment="1">
      <alignment horizontal="right"/>
    </xf>
    <xf numFmtId="10" fontId="13" fillId="3" borderId="9" xfId="2" applyNumberFormat="1" applyFont="1" applyFill="1" applyBorder="1"/>
    <xf numFmtId="10" fontId="13" fillId="3" borderId="10" xfId="2" applyNumberFormat="1" applyFont="1" applyFill="1" applyBorder="1"/>
    <xf numFmtId="0" fontId="11" fillId="3" borderId="1" xfId="2" applyFont="1" applyFill="1" applyBorder="1" applyAlignment="1">
      <alignment horizontal="center"/>
    </xf>
    <xf numFmtId="0" fontId="13" fillId="3" borderId="9" xfId="2" applyFont="1" applyFill="1" applyBorder="1" applyAlignment="1">
      <alignment horizontal="center"/>
    </xf>
    <xf numFmtId="0" fontId="2" fillId="3" borderId="11" xfId="2" applyFont="1" applyFill="1" applyBorder="1" applyAlignment="1">
      <alignment horizontal="center"/>
    </xf>
    <xf numFmtId="0" fontId="2" fillId="3" borderId="0" xfId="2" applyFont="1" applyFill="1" applyBorder="1"/>
    <xf numFmtId="0" fontId="2" fillId="3" borderId="24" xfId="2" applyFont="1" applyFill="1" applyBorder="1"/>
    <xf numFmtId="206" fontId="2" fillId="3" borderId="9" xfId="2" applyNumberFormat="1" applyFill="1" applyBorder="1" applyAlignment="1">
      <alignment horizontal="center"/>
    </xf>
    <xf numFmtId="0" fontId="18" fillId="0" borderId="0" xfId="2" applyFont="1"/>
    <xf numFmtId="0" fontId="19" fillId="0" borderId="0" xfId="0" applyFont="1"/>
    <xf numFmtId="0" fontId="4" fillId="0" borderId="0" xfId="2" applyFont="1" applyAlignment="1">
      <alignment horizontal="center"/>
    </xf>
    <xf numFmtId="202" fontId="2" fillId="0" borderId="0" xfId="2" applyNumberFormat="1"/>
    <xf numFmtId="9" fontId="18" fillId="0" borderId="0" xfId="2" applyNumberFormat="1" applyFont="1"/>
    <xf numFmtId="204" fontId="2" fillId="0" borderId="0" xfId="2" applyNumberFormat="1" applyFont="1"/>
    <xf numFmtId="209" fontId="2" fillId="0" borderId="0" xfId="2" applyNumberFormat="1"/>
    <xf numFmtId="0" fontId="7" fillId="2" borderId="1" xfId="2" applyFont="1" applyFill="1" applyBorder="1"/>
    <xf numFmtId="0" fontId="7" fillId="2" borderId="2" xfId="2" applyFont="1" applyFill="1" applyBorder="1"/>
    <xf numFmtId="204" fontId="7" fillId="2" borderId="2" xfId="2" applyNumberFormat="1" applyFont="1" applyFill="1" applyBorder="1"/>
    <xf numFmtId="0" fontId="7" fillId="2" borderId="3" xfId="2" applyFont="1" applyFill="1" applyBorder="1"/>
    <xf numFmtId="308" fontId="18" fillId="2" borderId="25" xfId="2" applyNumberFormat="1" applyFont="1" applyFill="1" applyBorder="1"/>
    <xf numFmtId="310" fontId="18" fillId="2" borderId="14" xfId="2" applyNumberFormat="1" applyFont="1" applyFill="1" applyBorder="1"/>
    <xf numFmtId="310" fontId="18" fillId="2" borderId="9" xfId="2" applyNumberFormat="1" applyFont="1" applyFill="1" applyBorder="1"/>
    <xf numFmtId="310" fontId="18" fillId="2" borderId="10" xfId="2" applyNumberFormat="1" applyFont="1" applyFill="1" applyBorder="1"/>
    <xf numFmtId="4" fontId="11" fillId="0" borderId="14" xfId="1" applyNumberFormat="1" applyFont="1" applyBorder="1"/>
    <xf numFmtId="4" fontId="11" fillId="0" borderId="9" xfId="2" applyNumberFormat="1" applyFont="1" applyBorder="1"/>
    <xf numFmtId="10" fontId="11" fillId="0" borderId="9" xfId="2" applyNumberFormat="1" applyFont="1" applyBorder="1"/>
    <xf numFmtId="10" fontId="11" fillId="0" borderId="10" xfId="2" applyNumberFormat="1" applyFont="1" applyBorder="1"/>
    <xf numFmtId="204" fontId="11" fillId="0" borderId="9" xfId="2" applyNumberFormat="1" applyFont="1" applyBorder="1"/>
    <xf numFmtId="308" fontId="21" fillId="2" borderId="1" xfId="2" applyNumberFormat="1" applyFont="1" applyFill="1" applyBorder="1"/>
    <xf numFmtId="308" fontId="21" fillId="2" borderId="0" xfId="2" applyNumberFormat="1" applyFont="1" applyFill="1" applyBorder="1"/>
    <xf numFmtId="308" fontId="21" fillId="2" borderId="15" xfId="2" applyNumberFormat="1" applyFont="1" applyFill="1" applyBorder="1"/>
    <xf numFmtId="308" fontId="21" fillId="2" borderId="14" xfId="2" applyNumberFormat="1" applyFont="1" applyFill="1" applyBorder="1"/>
    <xf numFmtId="308" fontId="21" fillId="2" borderId="2" xfId="2" applyNumberFormat="1" applyFont="1" applyFill="1" applyBorder="1"/>
    <xf numFmtId="308" fontId="21" fillId="2" borderId="9" xfId="2" applyNumberFormat="1" applyFont="1" applyFill="1" applyBorder="1"/>
    <xf numFmtId="308" fontId="21" fillId="2" borderId="3" xfId="2" applyNumberFormat="1" applyFont="1" applyFill="1" applyBorder="1"/>
    <xf numFmtId="308" fontId="21" fillId="2" borderId="24" xfId="2" applyNumberFormat="1" applyFont="1" applyFill="1" applyBorder="1"/>
    <xf numFmtId="308" fontId="21" fillId="2" borderId="10" xfId="2" applyNumberFormat="1" applyFont="1" applyFill="1" applyBorder="1"/>
    <xf numFmtId="0" fontId="4" fillId="0" borderId="2" xfId="0" applyFont="1" applyBorder="1" applyProtection="1">
      <protection hidden="1"/>
    </xf>
    <xf numFmtId="2" fontId="11" fillId="0" borderId="9" xfId="0" applyNumberFormat="1" applyFont="1" applyBorder="1" applyProtection="1">
      <protection locked="0"/>
    </xf>
    <xf numFmtId="216" fontId="11" fillId="0" borderId="9" xfId="1" applyNumberFormat="1" applyFont="1" applyBorder="1" applyProtection="1">
      <protection locked="0"/>
    </xf>
    <xf numFmtId="0" fontId="13" fillId="3" borderId="1" xfId="2" applyFont="1" applyFill="1" applyBorder="1" applyAlignment="1">
      <alignment horizontal="center"/>
    </xf>
    <xf numFmtId="0" fontId="13" fillId="3" borderId="14" xfId="2" applyFont="1" applyFill="1" applyBorder="1" applyAlignment="1">
      <alignment horizontal="center"/>
    </xf>
    <xf numFmtId="0" fontId="2" fillId="3" borderId="3" xfId="2" applyFont="1" applyFill="1" applyBorder="1"/>
    <xf numFmtId="204" fontId="11" fillId="0" borderId="9" xfId="0" applyNumberFormat="1" applyFont="1" applyBorder="1" applyProtection="1">
      <protection locked="0"/>
    </xf>
    <xf numFmtId="0" fontId="2" fillId="3" borderId="4" xfId="2" applyFont="1" applyFill="1" applyBorder="1"/>
    <xf numFmtId="10" fontId="13" fillId="3" borderId="25" xfId="2" applyNumberFormat="1" applyFont="1" applyFill="1" applyBorder="1"/>
    <xf numFmtId="43" fontId="2" fillId="0" borderId="0" xfId="1" applyFont="1"/>
    <xf numFmtId="216" fontId="11" fillId="0" borderId="9" xfId="1" applyNumberFormat="1" applyFont="1" applyBorder="1"/>
    <xf numFmtId="225" fontId="2" fillId="0" borderId="0" xfId="1" applyNumberFormat="1" applyFont="1"/>
    <xf numFmtId="209" fontId="0" fillId="0" borderId="0" xfId="0" applyNumberFormat="1"/>
    <xf numFmtId="308" fontId="18" fillId="2" borderId="14" xfId="2" applyNumberFormat="1" applyFont="1" applyFill="1" applyBorder="1"/>
    <xf numFmtId="308" fontId="18" fillId="2" borderId="10" xfId="2" applyNumberFormat="1" applyFont="1" applyFill="1" applyBorder="1"/>
  </cellXfs>
  <cellStyles count="4">
    <cellStyle name="Comma" xfId="1" builtinId="3"/>
    <cellStyle name="Normal" xfId="0" builtinId="0"/>
    <cellStyle name="Normal_ANALY.XLS" xfId="2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100"/>
      <c:rotY val="290"/>
      <c:depthPercent val="100"/>
      <c:rAngAx val="0"/>
    </c:view3D>
    <c:floor>
      <c:thickness val="0"/>
      <c:spPr>
        <a:noFill/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12700">
          <a:solidFill>
            <a:srgbClr val="808080"/>
          </a:solidFill>
          <a:prstDash val="solid"/>
        </a:ln>
      </c:spPr>
    </c:sideWall>
    <c:backWall>
      <c:thickness val="0"/>
      <c:spPr>
        <a:noFill/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9.8329473610014373E-2"/>
          <c:y val="1.0246242950444347E-2"/>
          <c:w val="0.71968806216691372"/>
          <c:h val="0.88937388809856943"/>
        </c:manualLayout>
      </c:layout>
      <c:surface3DChart>
        <c:wireframe val="0"/>
        <c:ser>
          <c:idx val="0"/>
          <c:order val="0"/>
          <c:tx>
            <c:strRef>
              <c:f>'1.Black-76'!$L$28</c:f>
              <c:strCache>
                <c:ptCount val="1"/>
                <c:pt idx="0">
                  <c:v>150.00</c:v>
                </c:pt>
              </c:strCache>
            </c:strRef>
          </c:tx>
          <c:spPr>
            <a:solidFill>
              <a:srgbClr val="63AAFE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'1.Black-76'!$M$27:$AB$27</c:f>
              <c:numCache>
                <c:formatCode>0.00</c:formatCode>
                <c:ptCount val="16"/>
                <c:pt idx="0">
                  <c:v>10</c:v>
                </c:pt>
                <c:pt idx="1">
                  <c:v>30.882352941176471</c:v>
                </c:pt>
                <c:pt idx="2">
                  <c:v>51.764705882352942</c:v>
                </c:pt>
                <c:pt idx="3">
                  <c:v>72.64705882352942</c:v>
                </c:pt>
                <c:pt idx="4">
                  <c:v>93.529411764705884</c:v>
                </c:pt>
                <c:pt idx="5">
                  <c:v>114.41176470588235</c:v>
                </c:pt>
                <c:pt idx="6">
                  <c:v>135.29411764705881</c:v>
                </c:pt>
                <c:pt idx="7">
                  <c:v>156.17647058823528</c:v>
                </c:pt>
                <c:pt idx="8">
                  <c:v>177.05882352941174</c:v>
                </c:pt>
                <c:pt idx="9">
                  <c:v>197.9411764705882</c:v>
                </c:pt>
                <c:pt idx="10">
                  <c:v>218.82352941176467</c:v>
                </c:pt>
                <c:pt idx="11">
                  <c:v>239.70588235294113</c:v>
                </c:pt>
                <c:pt idx="12">
                  <c:v>260.58823529411762</c:v>
                </c:pt>
                <c:pt idx="13">
                  <c:v>281.47058823529409</c:v>
                </c:pt>
                <c:pt idx="14">
                  <c:v>302.35294117647055</c:v>
                </c:pt>
                <c:pt idx="15">
                  <c:v>323.23529411764702</c:v>
                </c:pt>
              </c:numCache>
            </c:numRef>
          </c:cat>
          <c:val>
            <c:numRef>
              <c:f>'1.Black-76'!$M$28:$AB$28</c:f>
              <c:numCache>
                <c:formatCode>#,##0.0000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7F-4613-AFC1-317EF7A371AB}"/>
            </c:ext>
          </c:extLst>
        </c:ser>
        <c:ser>
          <c:idx val="1"/>
          <c:order val="1"/>
          <c:tx>
            <c:strRef>
              <c:f>'1.Black-76'!$L$29</c:f>
              <c:strCache>
                <c:ptCount val="1"/>
                <c:pt idx="0">
                  <c:v>145.00</c:v>
                </c:pt>
              </c:strCache>
            </c:strRef>
          </c:tx>
          <c:spPr>
            <a:solidFill>
              <a:srgbClr val="DD2D32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'1.Black-76'!$M$27:$AB$27</c:f>
              <c:numCache>
                <c:formatCode>0.00</c:formatCode>
                <c:ptCount val="16"/>
                <c:pt idx="0">
                  <c:v>10</c:v>
                </c:pt>
                <c:pt idx="1">
                  <c:v>30.882352941176471</c:v>
                </c:pt>
                <c:pt idx="2">
                  <c:v>51.764705882352942</c:v>
                </c:pt>
                <c:pt idx="3">
                  <c:v>72.64705882352942</c:v>
                </c:pt>
                <c:pt idx="4">
                  <c:v>93.529411764705884</c:v>
                </c:pt>
                <c:pt idx="5">
                  <c:v>114.41176470588235</c:v>
                </c:pt>
                <c:pt idx="6">
                  <c:v>135.29411764705881</c:v>
                </c:pt>
                <c:pt idx="7">
                  <c:v>156.17647058823528</c:v>
                </c:pt>
                <c:pt idx="8">
                  <c:v>177.05882352941174</c:v>
                </c:pt>
                <c:pt idx="9">
                  <c:v>197.9411764705882</c:v>
                </c:pt>
                <c:pt idx="10">
                  <c:v>218.82352941176467</c:v>
                </c:pt>
                <c:pt idx="11">
                  <c:v>239.70588235294113</c:v>
                </c:pt>
                <c:pt idx="12">
                  <c:v>260.58823529411762</c:v>
                </c:pt>
                <c:pt idx="13">
                  <c:v>281.47058823529409</c:v>
                </c:pt>
                <c:pt idx="14">
                  <c:v>302.35294117647055</c:v>
                </c:pt>
                <c:pt idx="15">
                  <c:v>323.23529411764702</c:v>
                </c:pt>
              </c:numCache>
            </c:numRef>
          </c:cat>
          <c:val>
            <c:numRef>
              <c:f>'1.Black-76'!$M$29:$AB$29</c:f>
              <c:numCache>
                <c:formatCode>#,##0.0000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7F-4613-AFC1-317EF7A371AB}"/>
            </c:ext>
          </c:extLst>
        </c:ser>
        <c:ser>
          <c:idx val="2"/>
          <c:order val="2"/>
          <c:tx>
            <c:strRef>
              <c:f>'1.Black-76'!$L$30</c:f>
              <c:strCache>
                <c:ptCount val="1"/>
                <c:pt idx="0">
                  <c:v>140.00</c:v>
                </c:pt>
              </c:strCache>
            </c:strRef>
          </c:tx>
          <c:spPr>
            <a:solidFill>
              <a:srgbClr val="FFF58C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'1.Black-76'!$M$27:$AB$27</c:f>
              <c:numCache>
                <c:formatCode>0.00</c:formatCode>
                <c:ptCount val="16"/>
                <c:pt idx="0">
                  <c:v>10</c:v>
                </c:pt>
                <c:pt idx="1">
                  <c:v>30.882352941176471</c:v>
                </c:pt>
                <c:pt idx="2">
                  <c:v>51.764705882352942</c:v>
                </c:pt>
                <c:pt idx="3">
                  <c:v>72.64705882352942</c:v>
                </c:pt>
                <c:pt idx="4">
                  <c:v>93.529411764705884</c:v>
                </c:pt>
                <c:pt idx="5">
                  <c:v>114.41176470588235</c:v>
                </c:pt>
                <c:pt idx="6">
                  <c:v>135.29411764705881</c:v>
                </c:pt>
                <c:pt idx="7">
                  <c:v>156.17647058823528</c:v>
                </c:pt>
                <c:pt idx="8">
                  <c:v>177.05882352941174</c:v>
                </c:pt>
                <c:pt idx="9">
                  <c:v>197.9411764705882</c:v>
                </c:pt>
                <c:pt idx="10">
                  <c:v>218.82352941176467</c:v>
                </c:pt>
                <c:pt idx="11">
                  <c:v>239.70588235294113</c:v>
                </c:pt>
                <c:pt idx="12">
                  <c:v>260.58823529411762</c:v>
                </c:pt>
                <c:pt idx="13">
                  <c:v>281.47058823529409</c:v>
                </c:pt>
                <c:pt idx="14">
                  <c:v>302.35294117647055</c:v>
                </c:pt>
                <c:pt idx="15">
                  <c:v>323.23529411764702</c:v>
                </c:pt>
              </c:numCache>
            </c:numRef>
          </c:cat>
          <c:val>
            <c:numRef>
              <c:f>'1.Black-76'!$M$30:$AB$30</c:f>
              <c:numCache>
                <c:formatCode>#,##0.0000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7F-4613-AFC1-317EF7A371AB}"/>
            </c:ext>
          </c:extLst>
        </c:ser>
        <c:ser>
          <c:idx val="3"/>
          <c:order val="3"/>
          <c:tx>
            <c:strRef>
              <c:f>'1.Black-76'!$L$31</c:f>
              <c:strCache>
                <c:ptCount val="1"/>
                <c:pt idx="0">
                  <c:v>135.00</c:v>
                </c:pt>
              </c:strCache>
            </c:strRef>
          </c:tx>
          <c:spPr>
            <a:solidFill>
              <a:srgbClr val="4EE257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'1.Black-76'!$M$27:$AB$27</c:f>
              <c:numCache>
                <c:formatCode>0.00</c:formatCode>
                <c:ptCount val="16"/>
                <c:pt idx="0">
                  <c:v>10</c:v>
                </c:pt>
                <c:pt idx="1">
                  <c:v>30.882352941176471</c:v>
                </c:pt>
                <c:pt idx="2">
                  <c:v>51.764705882352942</c:v>
                </c:pt>
                <c:pt idx="3">
                  <c:v>72.64705882352942</c:v>
                </c:pt>
                <c:pt idx="4">
                  <c:v>93.529411764705884</c:v>
                </c:pt>
                <c:pt idx="5">
                  <c:v>114.41176470588235</c:v>
                </c:pt>
                <c:pt idx="6">
                  <c:v>135.29411764705881</c:v>
                </c:pt>
                <c:pt idx="7">
                  <c:v>156.17647058823528</c:v>
                </c:pt>
                <c:pt idx="8">
                  <c:v>177.05882352941174</c:v>
                </c:pt>
                <c:pt idx="9">
                  <c:v>197.9411764705882</c:v>
                </c:pt>
                <c:pt idx="10">
                  <c:v>218.82352941176467</c:v>
                </c:pt>
                <c:pt idx="11">
                  <c:v>239.70588235294113</c:v>
                </c:pt>
                <c:pt idx="12">
                  <c:v>260.58823529411762</c:v>
                </c:pt>
                <c:pt idx="13">
                  <c:v>281.47058823529409</c:v>
                </c:pt>
                <c:pt idx="14">
                  <c:v>302.35294117647055</c:v>
                </c:pt>
                <c:pt idx="15">
                  <c:v>323.23529411764702</c:v>
                </c:pt>
              </c:numCache>
            </c:numRef>
          </c:cat>
          <c:val>
            <c:numRef>
              <c:f>'1.Black-76'!$M$31:$AB$31</c:f>
              <c:numCache>
                <c:formatCode>#,##0.0000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7F-4613-AFC1-317EF7A371AB}"/>
            </c:ext>
          </c:extLst>
        </c:ser>
        <c:ser>
          <c:idx val="4"/>
          <c:order val="4"/>
          <c:tx>
            <c:strRef>
              <c:f>'1.Black-76'!$L$32</c:f>
              <c:strCache>
                <c:ptCount val="1"/>
                <c:pt idx="0">
                  <c:v>130.00</c:v>
                </c:pt>
              </c:strCache>
            </c:strRef>
          </c:tx>
          <c:spPr>
            <a:solidFill>
              <a:srgbClr val="6711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'1.Black-76'!$M$27:$AB$27</c:f>
              <c:numCache>
                <c:formatCode>0.00</c:formatCode>
                <c:ptCount val="16"/>
                <c:pt idx="0">
                  <c:v>10</c:v>
                </c:pt>
                <c:pt idx="1">
                  <c:v>30.882352941176471</c:v>
                </c:pt>
                <c:pt idx="2">
                  <c:v>51.764705882352942</c:v>
                </c:pt>
                <c:pt idx="3">
                  <c:v>72.64705882352942</c:v>
                </c:pt>
                <c:pt idx="4">
                  <c:v>93.529411764705884</c:v>
                </c:pt>
                <c:pt idx="5">
                  <c:v>114.41176470588235</c:v>
                </c:pt>
                <c:pt idx="6">
                  <c:v>135.29411764705881</c:v>
                </c:pt>
                <c:pt idx="7">
                  <c:v>156.17647058823528</c:v>
                </c:pt>
                <c:pt idx="8">
                  <c:v>177.05882352941174</c:v>
                </c:pt>
                <c:pt idx="9">
                  <c:v>197.9411764705882</c:v>
                </c:pt>
                <c:pt idx="10">
                  <c:v>218.82352941176467</c:v>
                </c:pt>
                <c:pt idx="11">
                  <c:v>239.70588235294113</c:v>
                </c:pt>
                <c:pt idx="12">
                  <c:v>260.58823529411762</c:v>
                </c:pt>
                <c:pt idx="13">
                  <c:v>281.47058823529409</c:v>
                </c:pt>
                <c:pt idx="14">
                  <c:v>302.35294117647055</c:v>
                </c:pt>
                <c:pt idx="15">
                  <c:v>323.23529411764702</c:v>
                </c:pt>
              </c:numCache>
            </c:numRef>
          </c:cat>
          <c:val>
            <c:numRef>
              <c:f>'1.Black-76'!$M$32:$AB$32</c:f>
              <c:numCache>
                <c:formatCode>#,##0.0000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7F-4613-AFC1-317EF7A371AB}"/>
            </c:ext>
          </c:extLst>
        </c:ser>
        <c:ser>
          <c:idx val="5"/>
          <c:order val="5"/>
          <c:tx>
            <c:strRef>
              <c:f>'1.Black-76'!$L$33</c:f>
              <c:strCache>
                <c:ptCount val="1"/>
                <c:pt idx="0">
                  <c:v>125.00</c:v>
                </c:pt>
              </c:strCache>
            </c:strRef>
          </c:tx>
          <c:spPr>
            <a:solidFill>
              <a:srgbClr val="FEA746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'1.Black-76'!$M$27:$AB$27</c:f>
              <c:numCache>
                <c:formatCode>0.00</c:formatCode>
                <c:ptCount val="16"/>
                <c:pt idx="0">
                  <c:v>10</c:v>
                </c:pt>
                <c:pt idx="1">
                  <c:v>30.882352941176471</c:v>
                </c:pt>
                <c:pt idx="2">
                  <c:v>51.764705882352942</c:v>
                </c:pt>
                <c:pt idx="3">
                  <c:v>72.64705882352942</c:v>
                </c:pt>
                <c:pt idx="4">
                  <c:v>93.529411764705884</c:v>
                </c:pt>
                <c:pt idx="5">
                  <c:v>114.41176470588235</c:v>
                </c:pt>
                <c:pt idx="6">
                  <c:v>135.29411764705881</c:v>
                </c:pt>
                <c:pt idx="7">
                  <c:v>156.17647058823528</c:v>
                </c:pt>
                <c:pt idx="8">
                  <c:v>177.05882352941174</c:v>
                </c:pt>
                <c:pt idx="9">
                  <c:v>197.9411764705882</c:v>
                </c:pt>
                <c:pt idx="10">
                  <c:v>218.82352941176467</c:v>
                </c:pt>
                <c:pt idx="11">
                  <c:v>239.70588235294113</c:v>
                </c:pt>
                <c:pt idx="12">
                  <c:v>260.58823529411762</c:v>
                </c:pt>
                <c:pt idx="13">
                  <c:v>281.47058823529409</c:v>
                </c:pt>
                <c:pt idx="14">
                  <c:v>302.35294117647055</c:v>
                </c:pt>
                <c:pt idx="15">
                  <c:v>323.23529411764702</c:v>
                </c:pt>
              </c:numCache>
            </c:numRef>
          </c:cat>
          <c:val>
            <c:numRef>
              <c:f>'1.Black-76'!$M$33:$AB$33</c:f>
              <c:numCache>
                <c:formatCode>#,##0.0000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7F-4613-AFC1-317EF7A371AB}"/>
            </c:ext>
          </c:extLst>
        </c:ser>
        <c:ser>
          <c:idx val="6"/>
          <c:order val="6"/>
          <c:tx>
            <c:strRef>
              <c:f>'1.Black-76'!$L$34</c:f>
              <c:strCache>
                <c:ptCount val="1"/>
                <c:pt idx="0">
                  <c:v>120.00</c:v>
                </c:pt>
              </c:strCache>
            </c:strRef>
          </c:tx>
          <c:spPr>
            <a:solidFill>
              <a:srgbClr val="865357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'1.Black-76'!$M$27:$AB$27</c:f>
              <c:numCache>
                <c:formatCode>0.00</c:formatCode>
                <c:ptCount val="16"/>
                <c:pt idx="0">
                  <c:v>10</c:v>
                </c:pt>
                <c:pt idx="1">
                  <c:v>30.882352941176471</c:v>
                </c:pt>
                <c:pt idx="2">
                  <c:v>51.764705882352942</c:v>
                </c:pt>
                <c:pt idx="3">
                  <c:v>72.64705882352942</c:v>
                </c:pt>
                <c:pt idx="4">
                  <c:v>93.529411764705884</c:v>
                </c:pt>
                <c:pt idx="5">
                  <c:v>114.41176470588235</c:v>
                </c:pt>
                <c:pt idx="6">
                  <c:v>135.29411764705881</c:v>
                </c:pt>
                <c:pt idx="7">
                  <c:v>156.17647058823528</c:v>
                </c:pt>
                <c:pt idx="8">
                  <c:v>177.05882352941174</c:v>
                </c:pt>
                <c:pt idx="9">
                  <c:v>197.9411764705882</c:v>
                </c:pt>
                <c:pt idx="10">
                  <c:v>218.82352941176467</c:v>
                </c:pt>
                <c:pt idx="11">
                  <c:v>239.70588235294113</c:v>
                </c:pt>
                <c:pt idx="12">
                  <c:v>260.58823529411762</c:v>
                </c:pt>
                <c:pt idx="13">
                  <c:v>281.47058823529409</c:v>
                </c:pt>
                <c:pt idx="14">
                  <c:v>302.35294117647055</c:v>
                </c:pt>
                <c:pt idx="15">
                  <c:v>323.23529411764702</c:v>
                </c:pt>
              </c:numCache>
            </c:numRef>
          </c:cat>
          <c:val>
            <c:numRef>
              <c:f>'1.Black-76'!$M$34:$AB$34</c:f>
              <c:numCache>
                <c:formatCode>#,##0.0000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7F-4613-AFC1-317EF7A371AB}"/>
            </c:ext>
          </c:extLst>
        </c:ser>
        <c:ser>
          <c:idx val="7"/>
          <c:order val="7"/>
          <c:tx>
            <c:strRef>
              <c:f>'1.Black-76'!$L$35</c:f>
              <c:strCache>
                <c:ptCount val="1"/>
                <c:pt idx="0">
                  <c:v>115.00</c:v>
                </c:pt>
              </c:strCache>
            </c:strRef>
          </c:tx>
          <c:spPr>
            <a:solidFill>
              <a:srgbClr val="A2BD9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'1.Black-76'!$M$27:$AB$27</c:f>
              <c:numCache>
                <c:formatCode>0.00</c:formatCode>
                <c:ptCount val="16"/>
                <c:pt idx="0">
                  <c:v>10</c:v>
                </c:pt>
                <c:pt idx="1">
                  <c:v>30.882352941176471</c:v>
                </c:pt>
                <c:pt idx="2">
                  <c:v>51.764705882352942</c:v>
                </c:pt>
                <c:pt idx="3">
                  <c:v>72.64705882352942</c:v>
                </c:pt>
                <c:pt idx="4">
                  <c:v>93.529411764705884</c:v>
                </c:pt>
                <c:pt idx="5">
                  <c:v>114.41176470588235</c:v>
                </c:pt>
                <c:pt idx="6">
                  <c:v>135.29411764705881</c:v>
                </c:pt>
                <c:pt idx="7">
                  <c:v>156.17647058823528</c:v>
                </c:pt>
                <c:pt idx="8">
                  <c:v>177.05882352941174</c:v>
                </c:pt>
                <c:pt idx="9">
                  <c:v>197.9411764705882</c:v>
                </c:pt>
                <c:pt idx="10">
                  <c:v>218.82352941176467</c:v>
                </c:pt>
                <c:pt idx="11">
                  <c:v>239.70588235294113</c:v>
                </c:pt>
                <c:pt idx="12">
                  <c:v>260.58823529411762</c:v>
                </c:pt>
                <c:pt idx="13">
                  <c:v>281.47058823529409</c:v>
                </c:pt>
                <c:pt idx="14">
                  <c:v>302.35294117647055</c:v>
                </c:pt>
                <c:pt idx="15">
                  <c:v>323.23529411764702</c:v>
                </c:pt>
              </c:numCache>
            </c:numRef>
          </c:cat>
          <c:val>
            <c:numRef>
              <c:f>'1.Black-76'!$M$35:$AB$35</c:f>
              <c:numCache>
                <c:formatCode>#,##0.0000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D7F-4613-AFC1-317EF7A371AB}"/>
            </c:ext>
          </c:extLst>
        </c:ser>
        <c:ser>
          <c:idx val="8"/>
          <c:order val="8"/>
          <c:tx>
            <c:strRef>
              <c:f>'1.Black-76'!$L$36</c:f>
              <c:strCache>
                <c:ptCount val="1"/>
                <c:pt idx="0">
                  <c:v>110.00</c:v>
                </c:pt>
              </c:strCache>
            </c:strRef>
          </c:tx>
          <c:spPr>
            <a:solidFill>
              <a:srgbClr val="63AAFE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'1.Black-76'!$M$27:$AB$27</c:f>
              <c:numCache>
                <c:formatCode>0.00</c:formatCode>
                <c:ptCount val="16"/>
                <c:pt idx="0">
                  <c:v>10</c:v>
                </c:pt>
                <c:pt idx="1">
                  <c:v>30.882352941176471</c:v>
                </c:pt>
                <c:pt idx="2">
                  <c:v>51.764705882352942</c:v>
                </c:pt>
                <c:pt idx="3">
                  <c:v>72.64705882352942</c:v>
                </c:pt>
                <c:pt idx="4">
                  <c:v>93.529411764705884</c:v>
                </c:pt>
                <c:pt idx="5">
                  <c:v>114.41176470588235</c:v>
                </c:pt>
                <c:pt idx="6">
                  <c:v>135.29411764705881</c:v>
                </c:pt>
                <c:pt idx="7">
                  <c:v>156.17647058823528</c:v>
                </c:pt>
                <c:pt idx="8">
                  <c:v>177.05882352941174</c:v>
                </c:pt>
                <c:pt idx="9">
                  <c:v>197.9411764705882</c:v>
                </c:pt>
                <c:pt idx="10">
                  <c:v>218.82352941176467</c:v>
                </c:pt>
                <c:pt idx="11">
                  <c:v>239.70588235294113</c:v>
                </c:pt>
                <c:pt idx="12">
                  <c:v>260.58823529411762</c:v>
                </c:pt>
                <c:pt idx="13">
                  <c:v>281.47058823529409</c:v>
                </c:pt>
                <c:pt idx="14">
                  <c:v>302.35294117647055</c:v>
                </c:pt>
                <c:pt idx="15">
                  <c:v>323.23529411764702</c:v>
                </c:pt>
              </c:numCache>
            </c:numRef>
          </c:cat>
          <c:val>
            <c:numRef>
              <c:f>'1.Black-76'!$M$36:$AB$36</c:f>
              <c:numCache>
                <c:formatCode>#,##0.0000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D7F-4613-AFC1-317EF7A371AB}"/>
            </c:ext>
          </c:extLst>
        </c:ser>
        <c:ser>
          <c:idx val="9"/>
          <c:order val="9"/>
          <c:tx>
            <c:strRef>
              <c:f>'1.Black-76'!$L$37</c:f>
              <c:strCache>
                <c:ptCount val="1"/>
                <c:pt idx="0">
                  <c:v>105.00</c:v>
                </c:pt>
              </c:strCache>
            </c:strRef>
          </c:tx>
          <c:spPr>
            <a:solidFill>
              <a:srgbClr val="DD2D32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'1.Black-76'!$M$27:$AB$27</c:f>
              <c:numCache>
                <c:formatCode>0.00</c:formatCode>
                <c:ptCount val="16"/>
                <c:pt idx="0">
                  <c:v>10</c:v>
                </c:pt>
                <c:pt idx="1">
                  <c:v>30.882352941176471</c:v>
                </c:pt>
                <c:pt idx="2">
                  <c:v>51.764705882352942</c:v>
                </c:pt>
                <c:pt idx="3">
                  <c:v>72.64705882352942</c:v>
                </c:pt>
                <c:pt idx="4">
                  <c:v>93.529411764705884</c:v>
                </c:pt>
                <c:pt idx="5">
                  <c:v>114.41176470588235</c:v>
                </c:pt>
                <c:pt idx="6">
                  <c:v>135.29411764705881</c:v>
                </c:pt>
                <c:pt idx="7">
                  <c:v>156.17647058823528</c:v>
                </c:pt>
                <c:pt idx="8">
                  <c:v>177.05882352941174</c:v>
                </c:pt>
                <c:pt idx="9">
                  <c:v>197.9411764705882</c:v>
                </c:pt>
                <c:pt idx="10">
                  <c:v>218.82352941176467</c:v>
                </c:pt>
                <c:pt idx="11">
                  <c:v>239.70588235294113</c:v>
                </c:pt>
                <c:pt idx="12">
                  <c:v>260.58823529411762</c:v>
                </c:pt>
                <c:pt idx="13">
                  <c:v>281.47058823529409</c:v>
                </c:pt>
                <c:pt idx="14">
                  <c:v>302.35294117647055</c:v>
                </c:pt>
                <c:pt idx="15">
                  <c:v>323.23529411764702</c:v>
                </c:pt>
              </c:numCache>
            </c:numRef>
          </c:cat>
          <c:val>
            <c:numRef>
              <c:f>'1.Black-76'!$M$37:$AB$37</c:f>
              <c:numCache>
                <c:formatCode>#,##0.0000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D7F-4613-AFC1-317EF7A371AB}"/>
            </c:ext>
          </c:extLst>
        </c:ser>
        <c:ser>
          <c:idx val="10"/>
          <c:order val="10"/>
          <c:tx>
            <c:strRef>
              <c:f>'1.Black-76'!$L$38</c:f>
              <c:strCache>
                <c:ptCount val="1"/>
                <c:pt idx="0">
                  <c:v>100.00</c:v>
                </c:pt>
              </c:strCache>
            </c:strRef>
          </c:tx>
          <c:spPr>
            <a:solidFill>
              <a:srgbClr val="FFF58C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'1.Black-76'!$M$27:$AB$27</c:f>
              <c:numCache>
                <c:formatCode>0.00</c:formatCode>
                <c:ptCount val="16"/>
                <c:pt idx="0">
                  <c:v>10</c:v>
                </c:pt>
                <c:pt idx="1">
                  <c:v>30.882352941176471</c:v>
                </c:pt>
                <c:pt idx="2">
                  <c:v>51.764705882352942</c:v>
                </c:pt>
                <c:pt idx="3">
                  <c:v>72.64705882352942</c:v>
                </c:pt>
                <c:pt idx="4">
                  <c:v>93.529411764705884</c:v>
                </c:pt>
                <c:pt idx="5">
                  <c:v>114.41176470588235</c:v>
                </c:pt>
                <c:pt idx="6">
                  <c:v>135.29411764705881</c:v>
                </c:pt>
                <c:pt idx="7">
                  <c:v>156.17647058823528</c:v>
                </c:pt>
                <c:pt idx="8">
                  <c:v>177.05882352941174</c:v>
                </c:pt>
                <c:pt idx="9">
                  <c:v>197.9411764705882</c:v>
                </c:pt>
                <c:pt idx="10">
                  <c:v>218.82352941176467</c:v>
                </c:pt>
                <c:pt idx="11">
                  <c:v>239.70588235294113</c:v>
                </c:pt>
                <c:pt idx="12">
                  <c:v>260.58823529411762</c:v>
                </c:pt>
                <c:pt idx="13">
                  <c:v>281.47058823529409</c:v>
                </c:pt>
                <c:pt idx="14">
                  <c:v>302.35294117647055</c:v>
                </c:pt>
                <c:pt idx="15">
                  <c:v>323.23529411764702</c:v>
                </c:pt>
              </c:numCache>
            </c:numRef>
          </c:cat>
          <c:val>
            <c:numRef>
              <c:f>'1.Black-76'!$M$38:$AB$38</c:f>
              <c:numCache>
                <c:formatCode>#,##0.0000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D7F-4613-AFC1-317EF7A371AB}"/>
            </c:ext>
          </c:extLst>
        </c:ser>
        <c:ser>
          <c:idx val="11"/>
          <c:order val="11"/>
          <c:tx>
            <c:strRef>
              <c:f>'1.Black-76'!$L$39</c:f>
              <c:strCache>
                <c:ptCount val="1"/>
                <c:pt idx="0">
                  <c:v>95.00</c:v>
                </c:pt>
              </c:strCache>
            </c:strRef>
          </c:tx>
          <c:spPr>
            <a:solidFill>
              <a:srgbClr val="4EE257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'1.Black-76'!$M$27:$AB$27</c:f>
              <c:numCache>
                <c:formatCode>0.00</c:formatCode>
                <c:ptCount val="16"/>
                <c:pt idx="0">
                  <c:v>10</c:v>
                </c:pt>
                <c:pt idx="1">
                  <c:v>30.882352941176471</c:v>
                </c:pt>
                <c:pt idx="2">
                  <c:v>51.764705882352942</c:v>
                </c:pt>
                <c:pt idx="3">
                  <c:v>72.64705882352942</c:v>
                </c:pt>
                <c:pt idx="4">
                  <c:v>93.529411764705884</c:v>
                </c:pt>
                <c:pt idx="5">
                  <c:v>114.41176470588235</c:v>
                </c:pt>
                <c:pt idx="6">
                  <c:v>135.29411764705881</c:v>
                </c:pt>
                <c:pt idx="7">
                  <c:v>156.17647058823528</c:v>
                </c:pt>
                <c:pt idx="8">
                  <c:v>177.05882352941174</c:v>
                </c:pt>
                <c:pt idx="9">
                  <c:v>197.9411764705882</c:v>
                </c:pt>
                <c:pt idx="10">
                  <c:v>218.82352941176467</c:v>
                </c:pt>
                <c:pt idx="11">
                  <c:v>239.70588235294113</c:v>
                </c:pt>
                <c:pt idx="12">
                  <c:v>260.58823529411762</c:v>
                </c:pt>
                <c:pt idx="13">
                  <c:v>281.47058823529409</c:v>
                </c:pt>
                <c:pt idx="14">
                  <c:v>302.35294117647055</c:v>
                </c:pt>
                <c:pt idx="15">
                  <c:v>323.23529411764702</c:v>
                </c:pt>
              </c:numCache>
            </c:numRef>
          </c:cat>
          <c:val>
            <c:numRef>
              <c:f>'1.Black-76'!$M$39:$AB$39</c:f>
              <c:numCache>
                <c:formatCode>#,##0.0000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D7F-4613-AFC1-317EF7A371AB}"/>
            </c:ext>
          </c:extLst>
        </c:ser>
        <c:ser>
          <c:idx val="12"/>
          <c:order val="12"/>
          <c:tx>
            <c:strRef>
              <c:f>'1.Black-76'!$L$40</c:f>
              <c:strCache>
                <c:ptCount val="1"/>
                <c:pt idx="0">
                  <c:v>90.00</c:v>
                </c:pt>
              </c:strCache>
            </c:strRef>
          </c:tx>
          <c:spPr>
            <a:solidFill>
              <a:srgbClr val="6711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'1.Black-76'!$M$27:$AB$27</c:f>
              <c:numCache>
                <c:formatCode>0.00</c:formatCode>
                <c:ptCount val="16"/>
                <c:pt idx="0">
                  <c:v>10</c:v>
                </c:pt>
                <c:pt idx="1">
                  <c:v>30.882352941176471</c:v>
                </c:pt>
                <c:pt idx="2">
                  <c:v>51.764705882352942</c:v>
                </c:pt>
                <c:pt idx="3">
                  <c:v>72.64705882352942</c:v>
                </c:pt>
                <c:pt idx="4">
                  <c:v>93.529411764705884</c:v>
                </c:pt>
                <c:pt idx="5">
                  <c:v>114.41176470588235</c:v>
                </c:pt>
                <c:pt idx="6">
                  <c:v>135.29411764705881</c:v>
                </c:pt>
                <c:pt idx="7">
                  <c:v>156.17647058823528</c:v>
                </c:pt>
                <c:pt idx="8">
                  <c:v>177.05882352941174</c:v>
                </c:pt>
                <c:pt idx="9">
                  <c:v>197.9411764705882</c:v>
                </c:pt>
                <c:pt idx="10">
                  <c:v>218.82352941176467</c:v>
                </c:pt>
                <c:pt idx="11">
                  <c:v>239.70588235294113</c:v>
                </c:pt>
                <c:pt idx="12">
                  <c:v>260.58823529411762</c:v>
                </c:pt>
                <c:pt idx="13">
                  <c:v>281.47058823529409</c:v>
                </c:pt>
                <c:pt idx="14">
                  <c:v>302.35294117647055</c:v>
                </c:pt>
                <c:pt idx="15">
                  <c:v>323.23529411764702</c:v>
                </c:pt>
              </c:numCache>
            </c:numRef>
          </c:cat>
          <c:val>
            <c:numRef>
              <c:f>'1.Black-76'!$M$40:$AB$40</c:f>
              <c:numCache>
                <c:formatCode>#,##0.0000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D7F-4613-AFC1-317EF7A371AB}"/>
            </c:ext>
          </c:extLst>
        </c:ser>
        <c:ser>
          <c:idx val="13"/>
          <c:order val="13"/>
          <c:tx>
            <c:strRef>
              <c:f>'1.Black-76'!$L$41</c:f>
              <c:strCache>
                <c:ptCount val="1"/>
                <c:pt idx="0">
                  <c:v>85.00</c:v>
                </c:pt>
              </c:strCache>
            </c:strRef>
          </c:tx>
          <c:spPr>
            <a:solidFill>
              <a:srgbClr val="FEA746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'1.Black-76'!$M$27:$AB$27</c:f>
              <c:numCache>
                <c:formatCode>0.00</c:formatCode>
                <c:ptCount val="16"/>
                <c:pt idx="0">
                  <c:v>10</c:v>
                </c:pt>
                <c:pt idx="1">
                  <c:v>30.882352941176471</c:v>
                </c:pt>
                <c:pt idx="2">
                  <c:v>51.764705882352942</c:v>
                </c:pt>
                <c:pt idx="3">
                  <c:v>72.64705882352942</c:v>
                </c:pt>
                <c:pt idx="4">
                  <c:v>93.529411764705884</c:v>
                </c:pt>
                <c:pt idx="5">
                  <c:v>114.41176470588235</c:v>
                </c:pt>
                <c:pt idx="6">
                  <c:v>135.29411764705881</c:v>
                </c:pt>
                <c:pt idx="7">
                  <c:v>156.17647058823528</c:v>
                </c:pt>
                <c:pt idx="8">
                  <c:v>177.05882352941174</c:v>
                </c:pt>
                <c:pt idx="9">
                  <c:v>197.9411764705882</c:v>
                </c:pt>
                <c:pt idx="10">
                  <c:v>218.82352941176467</c:v>
                </c:pt>
                <c:pt idx="11">
                  <c:v>239.70588235294113</c:v>
                </c:pt>
                <c:pt idx="12">
                  <c:v>260.58823529411762</c:v>
                </c:pt>
                <c:pt idx="13">
                  <c:v>281.47058823529409</c:v>
                </c:pt>
                <c:pt idx="14">
                  <c:v>302.35294117647055</c:v>
                </c:pt>
                <c:pt idx="15">
                  <c:v>323.23529411764702</c:v>
                </c:pt>
              </c:numCache>
            </c:numRef>
          </c:cat>
          <c:val>
            <c:numRef>
              <c:f>'1.Black-76'!$M$41:$AB$41</c:f>
              <c:numCache>
                <c:formatCode>#,##0.0000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D7F-4613-AFC1-317EF7A371AB}"/>
            </c:ext>
          </c:extLst>
        </c:ser>
        <c:ser>
          <c:idx val="14"/>
          <c:order val="14"/>
          <c:tx>
            <c:strRef>
              <c:f>'1.Black-76'!$L$42</c:f>
              <c:strCache>
                <c:ptCount val="1"/>
                <c:pt idx="0">
                  <c:v>80.00</c:v>
                </c:pt>
              </c:strCache>
            </c:strRef>
          </c:tx>
          <c:spPr>
            <a:solidFill>
              <a:srgbClr val="865357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'1.Black-76'!$M$27:$AB$27</c:f>
              <c:numCache>
                <c:formatCode>0.00</c:formatCode>
                <c:ptCount val="16"/>
                <c:pt idx="0">
                  <c:v>10</c:v>
                </c:pt>
                <c:pt idx="1">
                  <c:v>30.882352941176471</c:v>
                </c:pt>
                <c:pt idx="2">
                  <c:v>51.764705882352942</c:v>
                </c:pt>
                <c:pt idx="3">
                  <c:v>72.64705882352942</c:v>
                </c:pt>
                <c:pt idx="4">
                  <c:v>93.529411764705884</c:v>
                </c:pt>
                <c:pt idx="5">
                  <c:v>114.41176470588235</c:v>
                </c:pt>
                <c:pt idx="6">
                  <c:v>135.29411764705881</c:v>
                </c:pt>
                <c:pt idx="7">
                  <c:v>156.17647058823528</c:v>
                </c:pt>
                <c:pt idx="8">
                  <c:v>177.05882352941174</c:v>
                </c:pt>
                <c:pt idx="9">
                  <c:v>197.9411764705882</c:v>
                </c:pt>
                <c:pt idx="10">
                  <c:v>218.82352941176467</c:v>
                </c:pt>
                <c:pt idx="11">
                  <c:v>239.70588235294113</c:v>
                </c:pt>
                <c:pt idx="12">
                  <c:v>260.58823529411762</c:v>
                </c:pt>
                <c:pt idx="13">
                  <c:v>281.47058823529409</c:v>
                </c:pt>
                <c:pt idx="14">
                  <c:v>302.35294117647055</c:v>
                </c:pt>
                <c:pt idx="15">
                  <c:v>323.23529411764702</c:v>
                </c:pt>
              </c:numCache>
            </c:numRef>
          </c:cat>
          <c:val>
            <c:numRef>
              <c:f>'1.Black-76'!$M$42:$AB$42</c:f>
              <c:numCache>
                <c:formatCode>#,##0.0000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D7F-4613-AFC1-317EF7A371AB}"/>
            </c:ext>
          </c:extLst>
        </c:ser>
        <c:ser>
          <c:idx val="15"/>
          <c:order val="15"/>
          <c:tx>
            <c:strRef>
              <c:f>'1.Black-76'!$L$43</c:f>
              <c:strCache>
                <c:ptCount val="1"/>
                <c:pt idx="0">
                  <c:v>75.00</c:v>
                </c:pt>
              </c:strCache>
            </c:strRef>
          </c:tx>
          <c:spPr>
            <a:solidFill>
              <a:srgbClr val="A2BD9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'1.Black-76'!$M$27:$AB$27</c:f>
              <c:numCache>
                <c:formatCode>0.00</c:formatCode>
                <c:ptCount val="16"/>
                <c:pt idx="0">
                  <c:v>10</c:v>
                </c:pt>
                <c:pt idx="1">
                  <c:v>30.882352941176471</c:v>
                </c:pt>
                <c:pt idx="2">
                  <c:v>51.764705882352942</c:v>
                </c:pt>
                <c:pt idx="3">
                  <c:v>72.64705882352942</c:v>
                </c:pt>
                <c:pt idx="4">
                  <c:v>93.529411764705884</c:v>
                </c:pt>
                <c:pt idx="5">
                  <c:v>114.41176470588235</c:v>
                </c:pt>
                <c:pt idx="6">
                  <c:v>135.29411764705881</c:v>
                </c:pt>
                <c:pt idx="7">
                  <c:v>156.17647058823528</c:v>
                </c:pt>
                <c:pt idx="8">
                  <c:v>177.05882352941174</c:v>
                </c:pt>
                <c:pt idx="9">
                  <c:v>197.9411764705882</c:v>
                </c:pt>
                <c:pt idx="10">
                  <c:v>218.82352941176467</c:v>
                </c:pt>
                <c:pt idx="11">
                  <c:v>239.70588235294113</c:v>
                </c:pt>
                <c:pt idx="12">
                  <c:v>260.58823529411762</c:v>
                </c:pt>
                <c:pt idx="13">
                  <c:v>281.47058823529409</c:v>
                </c:pt>
                <c:pt idx="14">
                  <c:v>302.35294117647055</c:v>
                </c:pt>
                <c:pt idx="15">
                  <c:v>323.23529411764702</c:v>
                </c:pt>
              </c:numCache>
            </c:numRef>
          </c:cat>
          <c:val>
            <c:numRef>
              <c:f>'1.Black-76'!$M$43:$AB$43</c:f>
              <c:numCache>
                <c:formatCode>#,##0.0000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D7F-4613-AFC1-317EF7A371AB}"/>
            </c:ext>
          </c:extLst>
        </c:ser>
        <c:ser>
          <c:idx val="16"/>
          <c:order val="16"/>
          <c:tx>
            <c:strRef>
              <c:f>'1.Black-76'!$L$44</c:f>
              <c:strCache>
                <c:ptCount val="1"/>
                <c:pt idx="0">
                  <c:v>70.00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'1.Black-76'!$M$27:$AB$27</c:f>
              <c:numCache>
                <c:formatCode>0.00</c:formatCode>
                <c:ptCount val="16"/>
                <c:pt idx="0">
                  <c:v>10</c:v>
                </c:pt>
                <c:pt idx="1">
                  <c:v>30.882352941176471</c:v>
                </c:pt>
                <c:pt idx="2">
                  <c:v>51.764705882352942</c:v>
                </c:pt>
                <c:pt idx="3">
                  <c:v>72.64705882352942</c:v>
                </c:pt>
                <c:pt idx="4">
                  <c:v>93.529411764705884</c:v>
                </c:pt>
                <c:pt idx="5">
                  <c:v>114.41176470588235</c:v>
                </c:pt>
                <c:pt idx="6">
                  <c:v>135.29411764705881</c:v>
                </c:pt>
                <c:pt idx="7">
                  <c:v>156.17647058823528</c:v>
                </c:pt>
                <c:pt idx="8">
                  <c:v>177.05882352941174</c:v>
                </c:pt>
                <c:pt idx="9">
                  <c:v>197.9411764705882</c:v>
                </c:pt>
                <c:pt idx="10">
                  <c:v>218.82352941176467</c:v>
                </c:pt>
                <c:pt idx="11">
                  <c:v>239.70588235294113</c:v>
                </c:pt>
                <c:pt idx="12">
                  <c:v>260.58823529411762</c:v>
                </c:pt>
                <c:pt idx="13">
                  <c:v>281.47058823529409</c:v>
                </c:pt>
                <c:pt idx="14">
                  <c:v>302.35294117647055</c:v>
                </c:pt>
                <c:pt idx="15">
                  <c:v>323.23529411764702</c:v>
                </c:pt>
              </c:numCache>
            </c:numRef>
          </c:cat>
          <c:val>
            <c:numRef>
              <c:f>'1.Black-76'!$M$44:$AB$44</c:f>
              <c:numCache>
                <c:formatCode>#,##0.0000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D7F-4613-AFC1-317EF7A371AB}"/>
            </c:ext>
          </c:extLst>
        </c:ser>
        <c:ser>
          <c:idx val="17"/>
          <c:order val="17"/>
          <c:tx>
            <c:strRef>
              <c:f>'1.Black-76'!$L$45</c:f>
              <c:strCache>
                <c:ptCount val="1"/>
                <c:pt idx="0">
                  <c:v>65.00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'1.Black-76'!$M$27:$AB$27</c:f>
              <c:numCache>
                <c:formatCode>0.00</c:formatCode>
                <c:ptCount val="16"/>
                <c:pt idx="0">
                  <c:v>10</c:v>
                </c:pt>
                <c:pt idx="1">
                  <c:v>30.882352941176471</c:v>
                </c:pt>
                <c:pt idx="2">
                  <c:v>51.764705882352942</c:v>
                </c:pt>
                <c:pt idx="3">
                  <c:v>72.64705882352942</c:v>
                </c:pt>
                <c:pt idx="4">
                  <c:v>93.529411764705884</c:v>
                </c:pt>
                <c:pt idx="5">
                  <c:v>114.41176470588235</c:v>
                </c:pt>
                <c:pt idx="6">
                  <c:v>135.29411764705881</c:v>
                </c:pt>
                <c:pt idx="7">
                  <c:v>156.17647058823528</c:v>
                </c:pt>
                <c:pt idx="8">
                  <c:v>177.05882352941174</c:v>
                </c:pt>
                <c:pt idx="9">
                  <c:v>197.9411764705882</c:v>
                </c:pt>
                <c:pt idx="10">
                  <c:v>218.82352941176467</c:v>
                </c:pt>
                <c:pt idx="11">
                  <c:v>239.70588235294113</c:v>
                </c:pt>
                <c:pt idx="12">
                  <c:v>260.58823529411762</c:v>
                </c:pt>
                <c:pt idx="13">
                  <c:v>281.47058823529409</c:v>
                </c:pt>
                <c:pt idx="14">
                  <c:v>302.35294117647055</c:v>
                </c:pt>
                <c:pt idx="15">
                  <c:v>323.23529411764702</c:v>
                </c:pt>
              </c:numCache>
            </c:numRef>
          </c:cat>
          <c:val>
            <c:numRef>
              <c:f>'1.Black-76'!$M$45:$AB$45</c:f>
              <c:numCache>
                <c:formatCode>#,##0.0000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D7F-4613-AFC1-317EF7A371AB}"/>
            </c:ext>
          </c:extLst>
        </c:ser>
        <c:ser>
          <c:idx val="18"/>
          <c:order val="18"/>
          <c:tx>
            <c:strRef>
              <c:f>'1.Black-76'!$L$46</c:f>
              <c:strCache>
                <c:ptCount val="1"/>
                <c:pt idx="0">
                  <c:v>60.00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'1.Black-76'!$M$27:$AB$27</c:f>
              <c:numCache>
                <c:formatCode>0.00</c:formatCode>
                <c:ptCount val="16"/>
                <c:pt idx="0">
                  <c:v>10</c:v>
                </c:pt>
                <c:pt idx="1">
                  <c:v>30.882352941176471</c:v>
                </c:pt>
                <c:pt idx="2">
                  <c:v>51.764705882352942</c:v>
                </c:pt>
                <c:pt idx="3">
                  <c:v>72.64705882352942</c:v>
                </c:pt>
                <c:pt idx="4">
                  <c:v>93.529411764705884</c:v>
                </c:pt>
                <c:pt idx="5">
                  <c:v>114.41176470588235</c:v>
                </c:pt>
                <c:pt idx="6">
                  <c:v>135.29411764705881</c:v>
                </c:pt>
                <c:pt idx="7">
                  <c:v>156.17647058823528</c:v>
                </c:pt>
                <c:pt idx="8">
                  <c:v>177.05882352941174</c:v>
                </c:pt>
                <c:pt idx="9">
                  <c:v>197.9411764705882</c:v>
                </c:pt>
                <c:pt idx="10">
                  <c:v>218.82352941176467</c:v>
                </c:pt>
                <c:pt idx="11">
                  <c:v>239.70588235294113</c:v>
                </c:pt>
                <c:pt idx="12">
                  <c:v>260.58823529411762</c:v>
                </c:pt>
                <c:pt idx="13">
                  <c:v>281.47058823529409</c:v>
                </c:pt>
                <c:pt idx="14">
                  <c:v>302.35294117647055</c:v>
                </c:pt>
                <c:pt idx="15">
                  <c:v>323.23529411764702</c:v>
                </c:pt>
              </c:numCache>
            </c:numRef>
          </c:cat>
          <c:val>
            <c:numRef>
              <c:f>'1.Black-76'!$M$46:$AB$46</c:f>
              <c:numCache>
                <c:formatCode>#,##0.0000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D7F-4613-AFC1-317EF7A371AB}"/>
            </c:ext>
          </c:extLst>
        </c:ser>
        <c:ser>
          <c:idx val="19"/>
          <c:order val="19"/>
          <c:tx>
            <c:strRef>
              <c:f>'1.Black-76'!$L$47</c:f>
              <c:strCache>
                <c:ptCount val="1"/>
                <c:pt idx="0">
                  <c:v>55.00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'1.Black-76'!$M$27:$AB$27</c:f>
              <c:numCache>
                <c:formatCode>0.00</c:formatCode>
                <c:ptCount val="16"/>
                <c:pt idx="0">
                  <c:v>10</c:v>
                </c:pt>
                <c:pt idx="1">
                  <c:v>30.882352941176471</c:v>
                </c:pt>
                <c:pt idx="2">
                  <c:v>51.764705882352942</c:v>
                </c:pt>
                <c:pt idx="3">
                  <c:v>72.64705882352942</c:v>
                </c:pt>
                <c:pt idx="4">
                  <c:v>93.529411764705884</c:v>
                </c:pt>
                <c:pt idx="5">
                  <c:v>114.41176470588235</c:v>
                </c:pt>
                <c:pt idx="6">
                  <c:v>135.29411764705881</c:v>
                </c:pt>
                <c:pt idx="7">
                  <c:v>156.17647058823528</c:v>
                </c:pt>
                <c:pt idx="8">
                  <c:v>177.05882352941174</c:v>
                </c:pt>
                <c:pt idx="9">
                  <c:v>197.9411764705882</c:v>
                </c:pt>
                <c:pt idx="10">
                  <c:v>218.82352941176467</c:v>
                </c:pt>
                <c:pt idx="11">
                  <c:v>239.70588235294113</c:v>
                </c:pt>
                <c:pt idx="12">
                  <c:v>260.58823529411762</c:v>
                </c:pt>
                <c:pt idx="13">
                  <c:v>281.47058823529409</c:v>
                </c:pt>
                <c:pt idx="14">
                  <c:v>302.35294117647055</c:v>
                </c:pt>
                <c:pt idx="15">
                  <c:v>323.23529411764702</c:v>
                </c:pt>
              </c:numCache>
            </c:numRef>
          </c:cat>
          <c:val>
            <c:numRef>
              <c:f>'1.Black-76'!$M$47:$AB$47</c:f>
              <c:numCache>
                <c:formatCode>#,##0.0000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D7F-4613-AFC1-317EF7A371AB}"/>
            </c:ext>
          </c:extLst>
        </c:ser>
        <c:ser>
          <c:idx val="20"/>
          <c:order val="20"/>
          <c:tx>
            <c:strRef>
              <c:f>'1.Black-76'!$L$48</c:f>
              <c:strCache>
                <c:ptCount val="1"/>
                <c:pt idx="0">
                  <c:v>50.00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'1.Black-76'!$M$27:$AB$27</c:f>
              <c:numCache>
                <c:formatCode>0.00</c:formatCode>
                <c:ptCount val="16"/>
                <c:pt idx="0">
                  <c:v>10</c:v>
                </c:pt>
                <c:pt idx="1">
                  <c:v>30.882352941176471</c:v>
                </c:pt>
                <c:pt idx="2">
                  <c:v>51.764705882352942</c:v>
                </c:pt>
                <c:pt idx="3">
                  <c:v>72.64705882352942</c:v>
                </c:pt>
                <c:pt idx="4">
                  <c:v>93.529411764705884</c:v>
                </c:pt>
                <c:pt idx="5">
                  <c:v>114.41176470588235</c:v>
                </c:pt>
                <c:pt idx="6">
                  <c:v>135.29411764705881</c:v>
                </c:pt>
                <c:pt idx="7">
                  <c:v>156.17647058823528</c:v>
                </c:pt>
                <c:pt idx="8">
                  <c:v>177.05882352941174</c:v>
                </c:pt>
                <c:pt idx="9">
                  <c:v>197.9411764705882</c:v>
                </c:pt>
                <c:pt idx="10">
                  <c:v>218.82352941176467</c:v>
                </c:pt>
                <c:pt idx="11">
                  <c:v>239.70588235294113</c:v>
                </c:pt>
                <c:pt idx="12">
                  <c:v>260.58823529411762</c:v>
                </c:pt>
                <c:pt idx="13">
                  <c:v>281.47058823529409</c:v>
                </c:pt>
                <c:pt idx="14">
                  <c:v>302.35294117647055</c:v>
                </c:pt>
                <c:pt idx="15">
                  <c:v>323.23529411764702</c:v>
                </c:pt>
              </c:numCache>
            </c:numRef>
          </c:cat>
          <c:val>
            <c:numRef>
              <c:f>'1.Black-76'!$M$48:$AB$48</c:f>
              <c:numCache>
                <c:formatCode>#,##0.0000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D7F-4613-AFC1-317EF7A371AB}"/>
            </c:ext>
          </c:extLst>
        </c:ser>
        <c:bandFmts>
          <c:bandFmt>
            <c:idx val="0"/>
            <c:spPr>
              <a:solidFill>
                <a:srgbClr val="63AAFE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"/>
            <c:spPr>
              <a:solidFill>
                <a:srgbClr val="DD2D32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"/>
            <c:spPr>
              <a:solidFill>
                <a:srgbClr val="FFF58C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"/>
            <c:spPr>
              <a:solidFill>
                <a:srgbClr val="4EE257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"/>
            <c:spPr>
              <a:solidFill>
                <a:srgbClr val="6711FF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5"/>
            <c:spPr>
              <a:solidFill>
                <a:srgbClr val="FEA746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6"/>
            <c:spPr>
              <a:solidFill>
                <a:srgbClr val="865357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7"/>
            <c:spPr>
              <a:solidFill>
                <a:srgbClr val="A2BD90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8"/>
            <c:spPr>
              <a:solidFill>
                <a:srgbClr val="63AAFE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9"/>
            <c:spPr>
              <a:solidFill>
                <a:srgbClr val="DD2D32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</c:bandFmts>
        <c:axId val="108252623"/>
        <c:axId val="1"/>
        <c:axId val="2"/>
      </c:surface3DChart>
      <c:catAx>
        <c:axId val="1082526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Time to maturity</a:t>
                </a:r>
              </a:p>
            </c:rich>
          </c:tx>
          <c:layout>
            <c:manualLayout>
              <c:xMode val="edge"/>
              <c:yMode val="edge"/>
              <c:x val="0.87450468019119165"/>
              <c:y val="0.670104288959060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08252623"/>
        <c:crosses val="autoZero"/>
        <c:crossBetween val="between"/>
      </c:valAx>
      <c:serAx>
        <c:axId val="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Asset price</a:t>
                </a:r>
              </a:p>
            </c:rich>
          </c:tx>
          <c:layout>
            <c:manualLayout>
              <c:xMode val="edge"/>
              <c:yMode val="edge"/>
              <c:x val="0.20711952951896645"/>
              <c:y val="0.8115024416751923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"/>
        <c:crosses val="autoZero"/>
        <c:tickLblSkip val="2"/>
        <c:tickMarkSkip val="1"/>
      </c:ser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100"/>
      <c:rotY val="290"/>
      <c:depthPercent val="100"/>
      <c:rAngAx val="0"/>
    </c:view3D>
    <c:floor>
      <c:thickness val="0"/>
      <c:spPr>
        <a:noFill/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12700">
          <a:solidFill>
            <a:srgbClr val="808080"/>
          </a:solidFill>
          <a:prstDash val="solid"/>
        </a:ln>
      </c:spPr>
    </c:sideWall>
    <c:backWall>
      <c:thickness val="0"/>
      <c:spPr>
        <a:noFill/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9.8329473610014373E-2"/>
          <c:y val="1.0246242950444347E-2"/>
          <c:w val="0.74479345968436417"/>
          <c:h val="0.90166937963910265"/>
        </c:manualLayout>
      </c:layout>
      <c:surface3DChart>
        <c:wireframe val="0"/>
        <c:ser>
          <c:idx val="0"/>
          <c:order val="0"/>
          <c:tx>
            <c:strRef>
              <c:f>'2.Black-76 modified'!$L$28</c:f>
              <c:strCache>
                <c:ptCount val="1"/>
                <c:pt idx="0">
                  <c:v>28.50</c:v>
                </c:pt>
              </c:strCache>
            </c:strRef>
          </c:tx>
          <c:spPr>
            <a:solidFill>
              <a:srgbClr val="63AAFE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'2.Black-76 modified'!$M$27:$AB$27</c:f>
              <c:numCache>
                <c:formatCode>0.00</c:formatCode>
                <c:ptCount val="16"/>
                <c:pt idx="0">
                  <c:v>0.1</c:v>
                </c:pt>
                <c:pt idx="1">
                  <c:v>0.15294117647058825</c:v>
                </c:pt>
                <c:pt idx="2">
                  <c:v>0.20588235294117649</c:v>
                </c:pt>
                <c:pt idx="3">
                  <c:v>0.25882352941176473</c:v>
                </c:pt>
                <c:pt idx="4">
                  <c:v>0.31176470588235294</c:v>
                </c:pt>
                <c:pt idx="5">
                  <c:v>0.36470588235294116</c:v>
                </c:pt>
                <c:pt idx="6">
                  <c:v>0.41764705882352937</c:v>
                </c:pt>
                <c:pt idx="7">
                  <c:v>0.47058823529411759</c:v>
                </c:pt>
                <c:pt idx="8">
                  <c:v>0.5235294117647058</c:v>
                </c:pt>
                <c:pt idx="9">
                  <c:v>0.57647058823529407</c:v>
                </c:pt>
                <c:pt idx="10">
                  <c:v>0.62941176470588234</c:v>
                </c:pt>
                <c:pt idx="11">
                  <c:v>0.68235294117647061</c:v>
                </c:pt>
                <c:pt idx="12">
                  <c:v>0.73529411764705888</c:v>
                </c:pt>
                <c:pt idx="13">
                  <c:v>0.78823529411764715</c:v>
                </c:pt>
                <c:pt idx="14">
                  <c:v>0.84117647058823541</c:v>
                </c:pt>
                <c:pt idx="15">
                  <c:v>0.89411764705882368</c:v>
                </c:pt>
              </c:numCache>
            </c:numRef>
          </c:cat>
          <c:val>
            <c:numRef>
              <c:f>'2.Black-76 modified'!$M$28:$AB$28</c:f>
              <c:numCache>
                <c:formatCode>#,##0.0000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BF-428D-BD31-E95651A896D2}"/>
            </c:ext>
          </c:extLst>
        </c:ser>
        <c:ser>
          <c:idx val="1"/>
          <c:order val="1"/>
          <c:tx>
            <c:strRef>
              <c:f>'2.Black-76 modified'!$L$29</c:f>
              <c:strCache>
                <c:ptCount val="1"/>
                <c:pt idx="0">
                  <c:v>27.55</c:v>
                </c:pt>
              </c:strCache>
            </c:strRef>
          </c:tx>
          <c:spPr>
            <a:solidFill>
              <a:srgbClr val="DD2D32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'2.Black-76 modified'!$M$27:$AB$27</c:f>
              <c:numCache>
                <c:formatCode>0.00</c:formatCode>
                <c:ptCount val="16"/>
                <c:pt idx="0">
                  <c:v>0.1</c:v>
                </c:pt>
                <c:pt idx="1">
                  <c:v>0.15294117647058825</c:v>
                </c:pt>
                <c:pt idx="2">
                  <c:v>0.20588235294117649</c:v>
                </c:pt>
                <c:pt idx="3">
                  <c:v>0.25882352941176473</c:v>
                </c:pt>
                <c:pt idx="4">
                  <c:v>0.31176470588235294</c:v>
                </c:pt>
                <c:pt idx="5">
                  <c:v>0.36470588235294116</c:v>
                </c:pt>
                <c:pt idx="6">
                  <c:v>0.41764705882352937</c:v>
                </c:pt>
                <c:pt idx="7">
                  <c:v>0.47058823529411759</c:v>
                </c:pt>
                <c:pt idx="8">
                  <c:v>0.5235294117647058</c:v>
                </c:pt>
                <c:pt idx="9">
                  <c:v>0.57647058823529407</c:v>
                </c:pt>
                <c:pt idx="10">
                  <c:v>0.62941176470588234</c:v>
                </c:pt>
                <c:pt idx="11">
                  <c:v>0.68235294117647061</c:v>
                </c:pt>
                <c:pt idx="12">
                  <c:v>0.73529411764705888</c:v>
                </c:pt>
                <c:pt idx="13">
                  <c:v>0.78823529411764715</c:v>
                </c:pt>
                <c:pt idx="14">
                  <c:v>0.84117647058823541</c:v>
                </c:pt>
                <c:pt idx="15">
                  <c:v>0.89411764705882368</c:v>
                </c:pt>
              </c:numCache>
            </c:numRef>
          </c:cat>
          <c:val>
            <c:numRef>
              <c:f>'2.Black-76 modified'!$M$29:$AB$29</c:f>
              <c:numCache>
                <c:formatCode>#,##0.0000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BF-428D-BD31-E95651A896D2}"/>
            </c:ext>
          </c:extLst>
        </c:ser>
        <c:ser>
          <c:idx val="2"/>
          <c:order val="2"/>
          <c:tx>
            <c:strRef>
              <c:f>'2.Black-76 modified'!$L$30</c:f>
              <c:strCache>
                <c:ptCount val="1"/>
                <c:pt idx="0">
                  <c:v>26.60</c:v>
                </c:pt>
              </c:strCache>
            </c:strRef>
          </c:tx>
          <c:spPr>
            <a:solidFill>
              <a:srgbClr val="FFF58C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'2.Black-76 modified'!$M$27:$AB$27</c:f>
              <c:numCache>
                <c:formatCode>0.00</c:formatCode>
                <c:ptCount val="16"/>
                <c:pt idx="0">
                  <c:v>0.1</c:v>
                </c:pt>
                <c:pt idx="1">
                  <c:v>0.15294117647058825</c:v>
                </c:pt>
                <c:pt idx="2">
                  <c:v>0.20588235294117649</c:v>
                </c:pt>
                <c:pt idx="3">
                  <c:v>0.25882352941176473</c:v>
                </c:pt>
                <c:pt idx="4">
                  <c:v>0.31176470588235294</c:v>
                </c:pt>
                <c:pt idx="5">
                  <c:v>0.36470588235294116</c:v>
                </c:pt>
                <c:pt idx="6">
                  <c:v>0.41764705882352937</c:v>
                </c:pt>
                <c:pt idx="7">
                  <c:v>0.47058823529411759</c:v>
                </c:pt>
                <c:pt idx="8">
                  <c:v>0.5235294117647058</c:v>
                </c:pt>
                <c:pt idx="9">
                  <c:v>0.57647058823529407</c:v>
                </c:pt>
                <c:pt idx="10">
                  <c:v>0.62941176470588234</c:v>
                </c:pt>
                <c:pt idx="11">
                  <c:v>0.68235294117647061</c:v>
                </c:pt>
                <c:pt idx="12">
                  <c:v>0.73529411764705888</c:v>
                </c:pt>
                <c:pt idx="13">
                  <c:v>0.78823529411764715</c:v>
                </c:pt>
                <c:pt idx="14">
                  <c:v>0.84117647058823541</c:v>
                </c:pt>
                <c:pt idx="15">
                  <c:v>0.89411764705882368</c:v>
                </c:pt>
              </c:numCache>
            </c:numRef>
          </c:cat>
          <c:val>
            <c:numRef>
              <c:f>'2.Black-76 modified'!$M$30:$AB$30</c:f>
              <c:numCache>
                <c:formatCode>#,##0.0000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BF-428D-BD31-E95651A896D2}"/>
            </c:ext>
          </c:extLst>
        </c:ser>
        <c:ser>
          <c:idx val="3"/>
          <c:order val="3"/>
          <c:tx>
            <c:strRef>
              <c:f>'2.Black-76 modified'!$L$31</c:f>
              <c:strCache>
                <c:ptCount val="1"/>
                <c:pt idx="0">
                  <c:v>25.65</c:v>
                </c:pt>
              </c:strCache>
            </c:strRef>
          </c:tx>
          <c:spPr>
            <a:solidFill>
              <a:srgbClr val="4EE257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'2.Black-76 modified'!$M$27:$AB$27</c:f>
              <c:numCache>
                <c:formatCode>0.00</c:formatCode>
                <c:ptCount val="16"/>
                <c:pt idx="0">
                  <c:v>0.1</c:v>
                </c:pt>
                <c:pt idx="1">
                  <c:v>0.15294117647058825</c:v>
                </c:pt>
                <c:pt idx="2">
                  <c:v>0.20588235294117649</c:v>
                </c:pt>
                <c:pt idx="3">
                  <c:v>0.25882352941176473</c:v>
                </c:pt>
                <c:pt idx="4">
                  <c:v>0.31176470588235294</c:v>
                </c:pt>
                <c:pt idx="5">
                  <c:v>0.36470588235294116</c:v>
                </c:pt>
                <c:pt idx="6">
                  <c:v>0.41764705882352937</c:v>
                </c:pt>
                <c:pt idx="7">
                  <c:v>0.47058823529411759</c:v>
                </c:pt>
                <c:pt idx="8">
                  <c:v>0.5235294117647058</c:v>
                </c:pt>
                <c:pt idx="9">
                  <c:v>0.57647058823529407</c:v>
                </c:pt>
                <c:pt idx="10">
                  <c:v>0.62941176470588234</c:v>
                </c:pt>
                <c:pt idx="11">
                  <c:v>0.68235294117647061</c:v>
                </c:pt>
                <c:pt idx="12">
                  <c:v>0.73529411764705888</c:v>
                </c:pt>
                <c:pt idx="13">
                  <c:v>0.78823529411764715</c:v>
                </c:pt>
                <c:pt idx="14">
                  <c:v>0.84117647058823541</c:v>
                </c:pt>
                <c:pt idx="15">
                  <c:v>0.89411764705882368</c:v>
                </c:pt>
              </c:numCache>
            </c:numRef>
          </c:cat>
          <c:val>
            <c:numRef>
              <c:f>'2.Black-76 modified'!$M$31:$AB$31</c:f>
              <c:numCache>
                <c:formatCode>#,##0.0000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BF-428D-BD31-E95651A896D2}"/>
            </c:ext>
          </c:extLst>
        </c:ser>
        <c:ser>
          <c:idx val="4"/>
          <c:order val="4"/>
          <c:tx>
            <c:strRef>
              <c:f>'2.Black-76 modified'!$L$32</c:f>
              <c:strCache>
                <c:ptCount val="1"/>
                <c:pt idx="0">
                  <c:v>24.70</c:v>
                </c:pt>
              </c:strCache>
            </c:strRef>
          </c:tx>
          <c:spPr>
            <a:solidFill>
              <a:srgbClr val="6711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'2.Black-76 modified'!$M$27:$AB$27</c:f>
              <c:numCache>
                <c:formatCode>0.00</c:formatCode>
                <c:ptCount val="16"/>
                <c:pt idx="0">
                  <c:v>0.1</c:v>
                </c:pt>
                <c:pt idx="1">
                  <c:v>0.15294117647058825</c:v>
                </c:pt>
                <c:pt idx="2">
                  <c:v>0.20588235294117649</c:v>
                </c:pt>
                <c:pt idx="3">
                  <c:v>0.25882352941176473</c:v>
                </c:pt>
                <c:pt idx="4">
                  <c:v>0.31176470588235294</c:v>
                </c:pt>
                <c:pt idx="5">
                  <c:v>0.36470588235294116</c:v>
                </c:pt>
                <c:pt idx="6">
                  <c:v>0.41764705882352937</c:v>
                </c:pt>
                <c:pt idx="7">
                  <c:v>0.47058823529411759</c:v>
                </c:pt>
                <c:pt idx="8">
                  <c:v>0.5235294117647058</c:v>
                </c:pt>
                <c:pt idx="9">
                  <c:v>0.57647058823529407</c:v>
                </c:pt>
                <c:pt idx="10">
                  <c:v>0.62941176470588234</c:v>
                </c:pt>
                <c:pt idx="11">
                  <c:v>0.68235294117647061</c:v>
                </c:pt>
                <c:pt idx="12">
                  <c:v>0.73529411764705888</c:v>
                </c:pt>
                <c:pt idx="13">
                  <c:v>0.78823529411764715</c:v>
                </c:pt>
                <c:pt idx="14">
                  <c:v>0.84117647058823541</c:v>
                </c:pt>
                <c:pt idx="15">
                  <c:v>0.89411764705882368</c:v>
                </c:pt>
              </c:numCache>
            </c:numRef>
          </c:cat>
          <c:val>
            <c:numRef>
              <c:f>'2.Black-76 modified'!$M$32:$AB$32</c:f>
              <c:numCache>
                <c:formatCode>#,##0.0000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BF-428D-BD31-E95651A896D2}"/>
            </c:ext>
          </c:extLst>
        </c:ser>
        <c:ser>
          <c:idx val="5"/>
          <c:order val="5"/>
          <c:tx>
            <c:strRef>
              <c:f>'2.Black-76 modified'!$L$33</c:f>
              <c:strCache>
                <c:ptCount val="1"/>
                <c:pt idx="0">
                  <c:v>23.75</c:v>
                </c:pt>
              </c:strCache>
            </c:strRef>
          </c:tx>
          <c:spPr>
            <a:solidFill>
              <a:srgbClr val="FEA746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'2.Black-76 modified'!$M$27:$AB$27</c:f>
              <c:numCache>
                <c:formatCode>0.00</c:formatCode>
                <c:ptCount val="16"/>
                <c:pt idx="0">
                  <c:v>0.1</c:v>
                </c:pt>
                <c:pt idx="1">
                  <c:v>0.15294117647058825</c:v>
                </c:pt>
                <c:pt idx="2">
                  <c:v>0.20588235294117649</c:v>
                </c:pt>
                <c:pt idx="3">
                  <c:v>0.25882352941176473</c:v>
                </c:pt>
                <c:pt idx="4">
                  <c:v>0.31176470588235294</c:v>
                </c:pt>
                <c:pt idx="5">
                  <c:v>0.36470588235294116</c:v>
                </c:pt>
                <c:pt idx="6">
                  <c:v>0.41764705882352937</c:v>
                </c:pt>
                <c:pt idx="7">
                  <c:v>0.47058823529411759</c:v>
                </c:pt>
                <c:pt idx="8">
                  <c:v>0.5235294117647058</c:v>
                </c:pt>
                <c:pt idx="9">
                  <c:v>0.57647058823529407</c:v>
                </c:pt>
                <c:pt idx="10">
                  <c:v>0.62941176470588234</c:v>
                </c:pt>
                <c:pt idx="11">
                  <c:v>0.68235294117647061</c:v>
                </c:pt>
                <c:pt idx="12">
                  <c:v>0.73529411764705888</c:v>
                </c:pt>
                <c:pt idx="13">
                  <c:v>0.78823529411764715</c:v>
                </c:pt>
                <c:pt idx="14">
                  <c:v>0.84117647058823541</c:v>
                </c:pt>
                <c:pt idx="15">
                  <c:v>0.89411764705882368</c:v>
                </c:pt>
              </c:numCache>
            </c:numRef>
          </c:cat>
          <c:val>
            <c:numRef>
              <c:f>'2.Black-76 modified'!$M$33:$AB$33</c:f>
              <c:numCache>
                <c:formatCode>#,##0.0000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BF-428D-BD31-E95651A896D2}"/>
            </c:ext>
          </c:extLst>
        </c:ser>
        <c:ser>
          <c:idx val="6"/>
          <c:order val="6"/>
          <c:tx>
            <c:strRef>
              <c:f>'2.Black-76 modified'!$L$34</c:f>
              <c:strCache>
                <c:ptCount val="1"/>
                <c:pt idx="0">
                  <c:v>22.80</c:v>
                </c:pt>
              </c:strCache>
            </c:strRef>
          </c:tx>
          <c:spPr>
            <a:solidFill>
              <a:srgbClr val="865357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'2.Black-76 modified'!$M$27:$AB$27</c:f>
              <c:numCache>
                <c:formatCode>0.00</c:formatCode>
                <c:ptCount val="16"/>
                <c:pt idx="0">
                  <c:v>0.1</c:v>
                </c:pt>
                <c:pt idx="1">
                  <c:v>0.15294117647058825</c:v>
                </c:pt>
                <c:pt idx="2">
                  <c:v>0.20588235294117649</c:v>
                </c:pt>
                <c:pt idx="3">
                  <c:v>0.25882352941176473</c:v>
                </c:pt>
                <c:pt idx="4">
                  <c:v>0.31176470588235294</c:v>
                </c:pt>
                <c:pt idx="5">
                  <c:v>0.36470588235294116</c:v>
                </c:pt>
                <c:pt idx="6">
                  <c:v>0.41764705882352937</c:v>
                </c:pt>
                <c:pt idx="7">
                  <c:v>0.47058823529411759</c:v>
                </c:pt>
                <c:pt idx="8">
                  <c:v>0.5235294117647058</c:v>
                </c:pt>
                <c:pt idx="9">
                  <c:v>0.57647058823529407</c:v>
                </c:pt>
                <c:pt idx="10">
                  <c:v>0.62941176470588234</c:v>
                </c:pt>
                <c:pt idx="11">
                  <c:v>0.68235294117647061</c:v>
                </c:pt>
                <c:pt idx="12">
                  <c:v>0.73529411764705888</c:v>
                </c:pt>
                <c:pt idx="13">
                  <c:v>0.78823529411764715</c:v>
                </c:pt>
                <c:pt idx="14">
                  <c:v>0.84117647058823541</c:v>
                </c:pt>
                <c:pt idx="15">
                  <c:v>0.89411764705882368</c:v>
                </c:pt>
              </c:numCache>
            </c:numRef>
          </c:cat>
          <c:val>
            <c:numRef>
              <c:f>'2.Black-76 modified'!$M$34:$AB$34</c:f>
              <c:numCache>
                <c:formatCode>#,##0.0000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BF-428D-BD31-E95651A896D2}"/>
            </c:ext>
          </c:extLst>
        </c:ser>
        <c:ser>
          <c:idx val="7"/>
          <c:order val="7"/>
          <c:tx>
            <c:strRef>
              <c:f>'2.Black-76 modified'!$L$35</c:f>
              <c:strCache>
                <c:ptCount val="1"/>
                <c:pt idx="0">
                  <c:v>21.85</c:v>
                </c:pt>
              </c:strCache>
            </c:strRef>
          </c:tx>
          <c:spPr>
            <a:solidFill>
              <a:srgbClr val="A2BD9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'2.Black-76 modified'!$M$27:$AB$27</c:f>
              <c:numCache>
                <c:formatCode>0.00</c:formatCode>
                <c:ptCount val="16"/>
                <c:pt idx="0">
                  <c:v>0.1</c:v>
                </c:pt>
                <c:pt idx="1">
                  <c:v>0.15294117647058825</c:v>
                </c:pt>
                <c:pt idx="2">
                  <c:v>0.20588235294117649</c:v>
                </c:pt>
                <c:pt idx="3">
                  <c:v>0.25882352941176473</c:v>
                </c:pt>
                <c:pt idx="4">
                  <c:v>0.31176470588235294</c:v>
                </c:pt>
                <c:pt idx="5">
                  <c:v>0.36470588235294116</c:v>
                </c:pt>
                <c:pt idx="6">
                  <c:v>0.41764705882352937</c:v>
                </c:pt>
                <c:pt idx="7">
                  <c:v>0.47058823529411759</c:v>
                </c:pt>
                <c:pt idx="8">
                  <c:v>0.5235294117647058</c:v>
                </c:pt>
                <c:pt idx="9">
                  <c:v>0.57647058823529407</c:v>
                </c:pt>
                <c:pt idx="10">
                  <c:v>0.62941176470588234</c:v>
                </c:pt>
                <c:pt idx="11">
                  <c:v>0.68235294117647061</c:v>
                </c:pt>
                <c:pt idx="12">
                  <c:v>0.73529411764705888</c:v>
                </c:pt>
                <c:pt idx="13">
                  <c:v>0.78823529411764715</c:v>
                </c:pt>
                <c:pt idx="14">
                  <c:v>0.84117647058823541</c:v>
                </c:pt>
                <c:pt idx="15">
                  <c:v>0.89411764705882368</c:v>
                </c:pt>
              </c:numCache>
            </c:numRef>
          </c:cat>
          <c:val>
            <c:numRef>
              <c:f>'2.Black-76 modified'!$M$35:$AB$35</c:f>
              <c:numCache>
                <c:formatCode>#,##0.0000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1BF-428D-BD31-E95651A896D2}"/>
            </c:ext>
          </c:extLst>
        </c:ser>
        <c:ser>
          <c:idx val="8"/>
          <c:order val="8"/>
          <c:tx>
            <c:strRef>
              <c:f>'2.Black-76 modified'!$L$36</c:f>
              <c:strCache>
                <c:ptCount val="1"/>
                <c:pt idx="0">
                  <c:v>20.90</c:v>
                </c:pt>
              </c:strCache>
            </c:strRef>
          </c:tx>
          <c:spPr>
            <a:solidFill>
              <a:srgbClr val="63AAFE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'2.Black-76 modified'!$M$27:$AB$27</c:f>
              <c:numCache>
                <c:formatCode>0.00</c:formatCode>
                <c:ptCount val="16"/>
                <c:pt idx="0">
                  <c:v>0.1</c:v>
                </c:pt>
                <c:pt idx="1">
                  <c:v>0.15294117647058825</c:v>
                </c:pt>
                <c:pt idx="2">
                  <c:v>0.20588235294117649</c:v>
                </c:pt>
                <c:pt idx="3">
                  <c:v>0.25882352941176473</c:v>
                </c:pt>
                <c:pt idx="4">
                  <c:v>0.31176470588235294</c:v>
                </c:pt>
                <c:pt idx="5">
                  <c:v>0.36470588235294116</c:v>
                </c:pt>
                <c:pt idx="6">
                  <c:v>0.41764705882352937</c:v>
                </c:pt>
                <c:pt idx="7">
                  <c:v>0.47058823529411759</c:v>
                </c:pt>
                <c:pt idx="8">
                  <c:v>0.5235294117647058</c:v>
                </c:pt>
                <c:pt idx="9">
                  <c:v>0.57647058823529407</c:v>
                </c:pt>
                <c:pt idx="10">
                  <c:v>0.62941176470588234</c:v>
                </c:pt>
                <c:pt idx="11">
                  <c:v>0.68235294117647061</c:v>
                </c:pt>
                <c:pt idx="12">
                  <c:v>0.73529411764705888</c:v>
                </c:pt>
                <c:pt idx="13">
                  <c:v>0.78823529411764715</c:v>
                </c:pt>
                <c:pt idx="14">
                  <c:v>0.84117647058823541</c:v>
                </c:pt>
                <c:pt idx="15">
                  <c:v>0.89411764705882368</c:v>
                </c:pt>
              </c:numCache>
            </c:numRef>
          </c:cat>
          <c:val>
            <c:numRef>
              <c:f>'2.Black-76 modified'!$M$36:$AB$36</c:f>
              <c:numCache>
                <c:formatCode>#,##0.0000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BF-428D-BD31-E95651A896D2}"/>
            </c:ext>
          </c:extLst>
        </c:ser>
        <c:ser>
          <c:idx val="9"/>
          <c:order val="9"/>
          <c:tx>
            <c:strRef>
              <c:f>'2.Black-76 modified'!$L$37</c:f>
              <c:strCache>
                <c:ptCount val="1"/>
                <c:pt idx="0">
                  <c:v>19.95</c:v>
                </c:pt>
              </c:strCache>
            </c:strRef>
          </c:tx>
          <c:spPr>
            <a:solidFill>
              <a:srgbClr val="DD2D32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'2.Black-76 modified'!$M$27:$AB$27</c:f>
              <c:numCache>
                <c:formatCode>0.00</c:formatCode>
                <c:ptCount val="16"/>
                <c:pt idx="0">
                  <c:v>0.1</c:v>
                </c:pt>
                <c:pt idx="1">
                  <c:v>0.15294117647058825</c:v>
                </c:pt>
                <c:pt idx="2">
                  <c:v>0.20588235294117649</c:v>
                </c:pt>
                <c:pt idx="3">
                  <c:v>0.25882352941176473</c:v>
                </c:pt>
                <c:pt idx="4">
                  <c:v>0.31176470588235294</c:v>
                </c:pt>
                <c:pt idx="5">
                  <c:v>0.36470588235294116</c:v>
                </c:pt>
                <c:pt idx="6">
                  <c:v>0.41764705882352937</c:v>
                </c:pt>
                <c:pt idx="7">
                  <c:v>0.47058823529411759</c:v>
                </c:pt>
                <c:pt idx="8">
                  <c:v>0.5235294117647058</c:v>
                </c:pt>
                <c:pt idx="9">
                  <c:v>0.57647058823529407</c:v>
                </c:pt>
                <c:pt idx="10">
                  <c:v>0.62941176470588234</c:v>
                </c:pt>
                <c:pt idx="11">
                  <c:v>0.68235294117647061</c:v>
                </c:pt>
                <c:pt idx="12">
                  <c:v>0.73529411764705888</c:v>
                </c:pt>
                <c:pt idx="13">
                  <c:v>0.78823529411764715</c:v>
                </c:pt>
                <c:pt idx="14">
                  <c:v>0.84117647058823541</c:v>
                </c:pt>
                <c:pt idx="15">
                  <c:v>0.89411764705882368</c:v>
                </c:pt>
              </c:numCache>
            </c:numRef>
          </c:cat>
          <c:val>
            <c:numRef>
              <c:f>'2.Black-76 modified'!$M$37:$AB$37</c:f>
              <c:numCache>
                <c:formatCode>#,##0.0000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1BF-428D-BD31-E95651A896D2}"/>
            </c:ext>
          </c:extLst>
        </c:ser>
        <c:ser>
          <c:idx val="10"/>
          <c:order val="10"/>
          <c:tx>
            <c:strRef>
              <c:f>'2.Black-76 modified'!$L$38</c:f>
              <c:strCache>
                <c:ptCount val="1"/>
                <c:pt idx="0">
                  <c:v>19.00</c:v>
                </c:pt>
              </c:strCache>
            </c:strRef>
          </c:tx>
          <c:spPr>
            <a:solidFill>
              <a:srgbClr val="FFF58C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'2.Black-76 modified'!$M$27:$AB$27</c:f>
              <c:numCache>
                <c:formatCode>0.00</c:formatCode>
                <c:ptCount val="16"/>
                <c:pt idx="0">
                  <c:v>0.1</c:v>
                </c:pt>
                <c:pt idx="1">
                  <c:v>0.15294117647058825</c:v>
                </c:pt>
                <c:pt idx="2">
                  <c:v>0.20588235294117649</c:v>
                </c:pt>
                <c:pt idx="3">
                  <c:v>0.25882352941176473</c:v>
                </c:pt>
                <c:pt idx="4">
                  <c:v>0.31176470588235294</c:v>
                </c:pt>
                <c:pt idx="5">
                  <c:v>0.36470588235294116</c:v>
                </c:pt>
                <c:pt idx="6">
                  <c:v>0.41764705882352937</c:v>
                </c:pt>
                <c:pt idx="7">
                  <c:v>0.47058823529411759</c:v>
                </c:pt>
                <c:pt idx="8">
                  <c:v>0.5235294117647058</c:v>
                </c:pt>
                <c:pt idx="9">
                  <c:v>0.57647058823529407</c:v>
                </c:pt>
                <c:pt idx="10">
                  <c:v>0.62941176470588234</c:v>
                </c:pt>
                <c:pt idx="11">
                  <c:v>0.68235294117647061</c:v>
                </c:pt>
                <c:pt idx="12">
                  <c:v>0.73529411764705888</c:v>
                </c:pt>
                <c:pt idx="13">
                  <c:v>0.78823529411764715</c:v>
                </c:pt>
                <c:pt idx="14">
                  <c:v>0.84117647058823541</c:v>
                </c:pt>
                <c:pt idx="15">
                  <c:v>0.89411764705882368</c:v>
                </c:pt>
              </c:numCache>
            </c:numRef>
          </c:cat>
          <c:val>
            <c:numRef>
              <c:f>'2.Black-76 modified'!$M$38:$AB$38</c:f>
              <c:numCache>
                <c:formatCode>#,##0.0000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1BF-428D-BD31-E95651A896D2}"/>
            </c:ext>
          </c:extLst>
        </c:ser>
        <c:ser>
          <c:idx val="11"/>
          <c:order val="11"/>
          <c:tx>
            <c:strRef>
              <c:f>'2.Black-76 modified'!$L$39</c:f>
              <c:strCache>
                <c:ptCount val="1"/>
                <c:pt idx="0">
                  <c:v>18.05</c:v>
                </c:pt>
              </c:strCache>
            </c:strRef>
          </c:tx>
          <c:spPr>
            <a:solidFill>
              <a:srgbClr val="4EE257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'2.Black-76 modified'!$M$27:$AB$27</c:f>
              <c:numCache>
                <c:formatCode>0.00</c:formatCode>
                <c:ptCount val="16"/>
                <c:pt idx="0">
                  <c:v>0.1</c:v>
                </c:pt>
                <c:pt idx="1">
                  <c:v>0.15294117647058825</c:v>
                </c:pt>
                <c:pt idx="2">
                  <c:v>0.20588235294117649</c:v>
                </c:pt>
                <c:pt idx="3">
                  <c:v>0.25882352941176473</c:v>
                </c:pt>
                <c:pt idx="4">
                  <c:v>0.31176470588235294</c:v>
                </c:pt>
                <c:pt idx="5">
                  <c:v>0.36470588235294116</c:v>
                </c:pt>
                <c:pt idx="6">
                  <c:v>0.41764705882352937</c:v>
                </c:pt>
                <c:pt idx="7">
                  <c:v>0.47058823529411759</c:v>
                </c:pt>
                <c:pt idx="8">
                  <c:v>0.5235294117647058</c:v>
                </c:pt>
                <c:pt idx="9">
                  <c:v>0.57647058823529407</c:v>
                </c:pt>
                <c:pt idx="10">
                  <c:v>0.62941176470588234</c:v>
                </c:pt>
                <c:pt idx="11">
                  <c:v>0.68235294117647061</c:v>
                </c:pt>
                <c:pt idx="12">
                  <c:v>0.73529411764705888</c:v>
                </c:pt>
                <c:pt idx="13">
                  <c:v>0.78823529411764715</c:v>
                </c:pt>
                <c:pt idx="14">
                  <c:v>0.84117647058823541</c:v>
                </c:pt>
                <c:pt idx="15">
                  <c:v>0.89411764705882368</c:v>
                </c:pt>
              </c:numCache>
            </c:numRef>
          </c:cat>
          <c:val>
            <c:numRef>
              <c:f>'2.Black-76 modified'!$M$39:$AB$39</c:f>
              <c:numCache>
                <c:formatCode>#,##0.0000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1BF-428D-BD31-E95651A896D2}"/>
            </c:ext>
          </c:extLst>
        </c:ser>
        <c:ser>
          <c:idx val="12"/>
          <c:order val="12"/>
          <c:tx>
            <c:strRef>
              <c:f>'2.Black-76 modified'!$L$40</c:f>
              <c:strCache>
                <c:ptCount val="1"/>
                <c:pt idx="0">
                  <c:v>17.10</c:v>
                </c:pt>
              </c:strCache>
            </c:strRef>
          </c:tx>
          <c:spPr>
            <a:solidFill>
              <a:srgbClr val="6711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'2.Black-76 modified'!$M$27:$AB$27</c:f>
              <c:numCache>
                <c:formatCode>0.00</c:formatCode>
                <c:ptCount val="16"/>
                <c:pt idx="0">
                  <c:v>0.1</c:v>
                </c:pt>
                <c:pt idx="1">
                  <c:v>0.15294117647058825</c:v>
                </c:pt>
                <c:pt idx="2">
                  <c:v>0.20588235294117649</c:v>
                </c:pt>
                <c:pt idx="3">
                  <c:v>0.25882352941176473</c:v>
                </c:pt>
                <c:pt idx="4">
                  <c:v>0.31176470588235294</c:v>
                </c:pt>
                <c:pt idx="5">
                  <c:v>0.36470588235294116</c:v>
                </c:pt>
                <c:pt idx="6">
                  <c:v>0.41764705882352937</c:v>
                </c:pt>
                <c:pt idx="7">
                  <c:v>0.47058823529411759</c:v>
                </c:pt>
                <c:pt idx="8">
                  <c:v>0.5235294117647058</c:v>
                </c:pt>
                <c:pt idx="9">
                  <c:v>0.57647058823529407</c:v>
                </c:pt>
                <c:pt idx="10">
                  <c:v>0.62941176470588234</c:v>
                </c:pt>
                <c:pt idx="11">
                  <c:v>0.68235294117647061</c:v>
                </c:pt>
                <c:pt idx="12">
                  <c:v>0.73529411764705888</c:v>
                </c:pt>
                <c:pt idx="13">
                  <c:v>0.78823529411764715</c:v>
                </c:pt>
                <c:pt idx="14">
                  <c:v>0.84117647058823541</c:v>
                </c:pt>
                <c:pt idx="15">
                  <c:v>0.89411764705882368</c:v>
                </c:pt>
              </c:numCache>
            </c:numRef>
          </c:cat>
          <c:val>
            <c:numRef>
              <c:f>'2.Black-76 modified'!$M$40:$AB$40</c:f>
              <c:numCache>
                <c:formatCode>#,##0.0000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1BF-428D-BD31-E95651A896D2}"/>
            </c:ext>
          </c:extLst>
        </c:ser>
        <c:ser>
          <c:idx val="13"/>
          <c:order val="13"/>
          <c:tx>
            <c:strRef>
              <c:f>'2.Black-76 modified'!$L$41</c:f>
              <c:strCache>
                <c:ptCount val="1"/>
                <c:pt idx="0">
                  <c:v>16.15</c:v>
                </c:pt>
              </c:strCache>
            </c:strRef>
          </c:tx>
          <c:spPr>
            <a:solidFill>
              <a:srgbClr val="FEA746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'2.Black-76 modified'!$M$27:$AB$27</c:f>
              <c:numCache>
                <c:formatCode>0.00</c:formatCode>
                <c:ptCount val="16"/>
                <c:pt idx="0">
                  <c:v>0.1</c:v>
                </c:pt>
                <c:pt idx="1">
                  <c:v>0.15294117647058825</c:v>
                </c:pt>
                <c:pt idx="2">
                  <c:v>0.20588235294117649</c:v>
                </c:pt>
                <c:pt idx="3">
                  <c:v>0.25882352941176473</c:v>
                </c:pt>
                <c:pt idx="4">
                  <c:v>0.31176470588235294</c:v>
                </c:pt>
                <c:pt idx="5">
                  <c:v>0.36470588235294116</c:v>
                </c:pt>
                <c:pt idx="6">
                  <c:v>0.41764705882352937</c:v>
                </c:pt>
                <c:pt idx="7">
                  <c:v>0.47058823529411759</c:v>
                </c:pt>
                <c:pt idx="8">
                  <c:v>0.5235294117647058</c:v>
                </c:pt>
                <c:pt idx="9">
                  <c:v>0.57647058823529407</c:v>
                </c:pt>
                <c:pt idx="10">
                  <c:v>0.62941176470588234</c:v>
                </c:pt>
                <c:pt idx="11">
                  <c:v>0.68235294117647061</c:v>
                </c:pt>
                <c:pt idx="12">
                  <c:v>0.73529411764705888</c:v>
                </c:pt>
                <c:pt idx="13">
                  <c:v>0.78823529411764715</c:v>
                </c:pt>
                <c:pt idx="14">
                  <c:v>0.84117647058823541</c:v>
                </c:pt>
                <c:pt idx="15">
                  <c:v>0.89411764705882368</c:v>
                </c:pt>
              </c:numCache>
            </c:numRef>
          </c:cat>
          <c:val>
            <c:numRef>
              <c:f>'2.Black-76 modified'!$M$41:$AB$41</c:f>
              <c:numCache>
                <c:formatCode>#,##0.0000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1BF-428D-BD31-E95651A896D2}"/>
            </c:ext>
          </c:extLst>
        </c:ser>
        <c:ser>
          <c:idx val="14"/>
          <c:order val="14"/>
          <c:tx>
            <c:strRef>
              <c:f>'2.Black-76 modified'!$L$42</c:f>
              <c:strCache>
                <c:ptCount val="1"/>
                <c:pt idx="0">
                  <c:v>15.20</c:v>
                </c:pt>
              </c:strCache>
            </c:strRef>
          </c:tx>
          <c:spPr>
            <a:solidFill>
              <a:srgbClr val="865357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'2.Black-76 modified'!$M$27:$AB$27</c:f>
              <c:numCache>
                <c:formatCode>0.00</c:formatCode>
                <c:ptCount val="16"/>
                <c:pt idx="0">
                  <c:v>0.1</c:v>
                </c:pt>
                <c:pt idx="1">
                  <c:v>0.15294117647058825</c:v>
                </c:pt>
                <c:pt idx="2">
                  <c:v>0.20588235294117649</c:v>
                </c:pt>
                <c:pt idx="3">
                  <c:v>0.25882352941176473</c:v>
                </c:pt>
                <c:pt idx="4">
                  <c:v>0.31176470588235294</c:v>
                </c:pt>
                <c:pt idx="5">
                  <c:v>0.36470588235294116</c:v>
                </c:pt>
                <c:pt idx="6">
                  <c:v>0.41764705882352937</c:v>
                </c:pt>
                <c:pt idx="7">
                  <c:v>0.47058823529411759</c:v>
                </c:pt>
                <c:pt idx="8">
                  <c:v>0.5235294117647058</c:v>
                </c:pt>
                <c:pt idx="9">
                  <c:v>0.57647058823529407</c:v>
                </c:pt>
                <c:pt idx="10">
                  <c:v>0.62941176470588234</c:v>
                </c:pt>
                <c:pt idx="11">
                  <c:v>0.68235294117647061</c:v>
                </c:pt>
                <c:pt idx="12">
                  <c:v>0.73529411764705888</c:v>
                </c:pt>
                <c:pt idx="13">
                  <c:v>0.78823529411764715</c:v>
                </c:pt>
                <c:pt idx="14">
                  <c:v>0.84117647058823541</c:v>
                </c:pt>
                <c:pt idx="15">
                  <c:v>0.89411764705882368</c:v>
                </c:pt>
              </c:numCache>
            </c:numRef>
          </c:cat>
          <c:val>
            <c:numRef>
              <c:f>'2.Black-76 modified'!$M$42:$AB$42</c:f>
              <c:numCache>
                <c:formatCode>#,##0.0000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1BF-428D-BD31-E95651A896D2}"/>
            </c:ext>
          </c:extLst>
        </c:ser>
        <c:ser>
          <c:idx val="15"/>
          <c:order val="15"/>
          <c:tx>
            <c:strRef>
              <c:f>'2.Black-76 modified'!$L$43</c:f>
              <c:strCache>
                <c:ptCount val="1"/>
                <c:pt idx="0">
                  <c:v>14.25</c:v>
                </c:pt>
              </c:strCache>
            </c:strRef>
          </c:tx>
          <c:spPr>
            <a:solidFill>
              <a:srgbClr val="A2BD9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'2.Black-76 modified'!$M$27:$AB$27</c:f>
              <c:numCache>
                <c:formatCode>0.00</c:formatCode>
                <c:ptCount val="16"/>
                <c:pt idx="0">
                  <c:v>0.1</c:v>
                </c:pt>
                <c:pt idx="1">
                  <c:v>0.15294117647058825</c:v>
                </c:pt>
                <c:pt idx="2">
                  <c:v>0.20588235294117649</c:v>
                </c:pt>
                <c:pt idx="3">
                  <c:v>0.25882352941176473</c:v>
                </c:pt>
                <c:pt idx="4">
                  <c:v>0.31176470588235294</c:v>
                </c:pt>
                <c:pt idx="5">
                  <c:v>0.36470588235294116</c:v>
                </c:pt>
                <c:pt idx="6">
                  <c:v>0.41764705882352937</c:v>
                </c:pt>
                <c:pt idx="7">
                  <c:v>0.47058823529411759</c:v>
                </c:pt>
                <c:pt idx="8">
                  <c:v>0.5235294117647058</c:v>
                </c:pt>
                <c:pt idx="9">
                  <c:v>0.57647058823529407</c:v>
                </c:pt>
                <c:pt idx="10">
                  <c:v>0.62941176470588234</c:v>
                </c:pt>
                <c:pt idx="11">
                  <c:v>0.68235294117647061</c:v>
                </c:pt>
                <c:pt idx="12">
                  <c:v>0.73529411764705888</c:v>
                </c:pt>
                <c:pt idx="13">
                  <c:v>0.78823529411764715</c:v>
                </c:pt>
                <c:pt idx="14">
                  <c:v>0.84117647058823541</c:v>
                </c:pt>
                <c:pt idx="15">
                  <c:v>0.89411764705882368</c:v>
                </c:pt>
              </c:numCache>
            </c:numRef>
          </c:cat>
          <c:val>
            <c:numRef>
              <c:f>'2.Black-76 modified'!$M$43:$AB$43</c:f>
              <c:numCache>
                <c:formatCode>#,##0.0000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1BF-428D-BD31-E95651A896D2}"/>
            </c:ext>
          </c:extLst>
        </c:ser>
        <c:ser>
          <c:idx val="16"/>
          <c:order val="16"/>
          <c:tx>
            <c:strRef>
              <c:f>'2.Black-76 modified'!$L$44</c:f>
              <c:strCache>
                <c:ptCount val="1"/>
                <c:pt idx="0">
                  <c:v>13.30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'2.Black-76 modified'!$M$27:$AB$27</c:f>
              <c:numCache>
                <c:formatCode>0.00</c:formatCode>
                <c:ptCount val="16"/>
                <c:pt idx="0">
                  <c:v>0.1</c:v>
                </c:pt>
                <c:pt idx="1">
                  <c:v>0.15294117647058825</c:v>
                </c:pt>
                <c:pt idx="2">
                  <c:v>0.20588235294117649</c:v>
                </c:pt>
                <c:pt idx="3">
                  <c:v>0.25882352941176473</c:v>
                </c:pt>
                <c:pt idx="4">
                  <c:v>0.31176470588235294</c:v>
                </c:pt>
                <c:pt idx="5">
                  <c:v>0.36470588235294116</c:v>
                </c:pt>
                <c:pt idx="6">
                  <c:v>0.41764705882352937</c:v>
                </c:pt>
                <c:pt idx="7">
                  <c:v>0.47058823529411759</c:v>
                </c:pt>
                <c:pt idx="8">
                  <c:v>0.5235294117647058</c:v>
                </c:pt>
                <c:pt idx="9">
                  <c:v>0.57647058823529407</c:v>
                </c:pt>
                <c:pt idx="10">
                  <c:v>0.62941176470588234</c:v>
                </c:pt>
                <c:pt idx="11">
                  <c:v>0.68235294117647061</c:v>
                </c:pt>
                <c:pt idx="12">
                  <c:v>0.73529411764705888</c:v>
                </c:pt>
                <c:pt idx="13">
                  <c:v>0.78823529411764715</c:v>
                </c:pt>
                <c:pt idx="14">
                  <c:v>0.84117647058823541</c:v>
                </c:pt>
                <c:pt idx="15">
                  <c:v>0.89411764705882368</c:v>
                </c:pt>
              </c:numCache>
            </c:numRef>
          </c:cat>
          <c:val>
            <c:numRef>
              <c:f>'2.Black-76 modified'!$M$44:$AB$44</c:f>
              <c:numCache>
                <c:formatCode>#,##0.0000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1BF-428D-BD31-E95651A896D2}"/>
            </c:ext>
          </c:extLst>
        </c:ser>
        <c:ser>
          <c:idx val="17"/>
          <c:order val="17"/>
          <c:tx>
            <c:strRef>
              <c:f>'2.Black-76 modified'!$L$45</c:f>
              <c:strCache>
                <c:ptCount val="1"/>
                <c:pt idx="0">
                  <c:v>12.35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'2.Black-76 modified'!$M$27:$AB$27</c:f>
              <c:numCache>
                <c:formatCode>0.00</c:formatCode>
                <c:ptCount val="16"/>
                <c:pt idx="0">
                  <c:v>0.1</c:v>
                </c:pt>
                <c:pt idx="1">
                  <c:v>0.15294117647058825</c:v>
                </c:pt>
                <c:pt idx="2">
                  <c:v>0.20588235294117649</c:v>
                </c:pt>
                <c:pt idx="3">
                  <c:v>0.25882352941176473</c:v>
                </c:pt>
                <c:pt idx="4">
                  <c:v>0.31176470588235294</c:v>
                </c:pt>
                <c:pt idx="5">
                  <c:v>0.36470588235294116</c:v>
                </c:pt>
                <c:pt idx="6">
                  <c:v>0.41764705882352937</c:v>
                </c:pt>
                <c:pt idx="7">
                  <c:v>0.47058823529411759</c:v>
                </c:pt>
                <c:pt idx="8">
                  <c:v>0.5235294117647058</c:v>
                </c:pt>
                <c:pt idx="9">
                  <c:v>0.57647058823529407</c:v>
                </c:pt>
                <c:pt idx="10">
                  <c:v>0.62941176470588234</c:v>
                </c:pt>
                <c:pt idx="11">
                  <c:v>0.68235294117647061</c:v>
                </c:pt>
                <c:pt idx="12">
                  <c:v>0.73529411764705888</c:v>
                </c:pt>
                <c:pt idx="13">
                  <c:v>0.78823529411764715</c:v>
                </c:pt>
                <c:pt idx="14">
                  <c:v>0.84117647058823541</c:v>
                </c:pt>
                <c:pt idx="15">
                  <c:v>0.89411764705882368</c:v>
                </c:pt>
              </c:numCache>
            </c:numRef>
          </c:cat>
          <c:val>
            <c:numRef>
              <c:f>'2.Black-76 modified'!$M$45:$AB$45</c:f>
              <c:numCache>
                <c:formatCode>#,##0.0000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1BF-428D-BD31-E95651A896D2}"/>
            </c:ext>
          </c:extLst>
        </c:ser>
        <c:ser>
          <c:idx val="18"/>
          <c:order val="18"/>
          <c:tx>
            <c:strRef>
              <c:f>'2.Black-76 modified'!$L$46</c:f>
              <c:strCache>
                <c:ptCount val="1"/>
                <c:pt idx="0">
                  <c:v>11.40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'2.Black-76 modified'!$M$27:$AB$27</c:f>
              <c:numCache>
                <c:formatCode>0.00</c:formatCode>
                <c:ptCount val="16"/>
                <c:pt idx="0">
                  <c:v>0.1</c:v>
                </c:pt>
                <c:pt idx="1">
                  <c:v>0.15294117647058825</c:v>
                </c:pt>
                <c:pt idx="2">
                  <c:v>0.20588235294117649</c:v>
                </c:pt>
                <c:pt idx="3">
                  <c:v>0.25882352941176473</c:v>
                </c:pt>
                <c:pt idx="4">
                  <c:v>0.31176470588235294</c:v>
                </c:pt>
                <c:pt idx="5">
                  <c:v>0.36470588235294116</c:v>
                </c:pt>
                <c:pt idx="6">
                  <c:v>0.41764705882352937</c:v>
                </c:pt>
                <c:pt idx="7">
                  <c:v>0.47058823529411759</c:v>
                </c:pt>
                <c:pt idx="8">
                  <c:v>0.5235294117647058</c:v>
                </c:pt>
                <c:pt idx="9">
                  <c:v>0.57647058823529407</c:v>
                </c:pt>
                <c:pt idx="10">
                  <c:v>0.62941176470588234</c:v>
                </c:pt>
                <c:pt idx="11">
                  <c:v>0.68235294117647061</c:v>
                </c:pt>
                <c:pt idx="12">
                  <c:v>0.73529411764705888</c:v>
                </c:pt>
                <c:pt idx="13">
                  <c:v>0.78823529411764715</c:v>
                </c:pt>
                <c:pt idx="14">
                  <c:v>0.84117647058823541</c:v>
                </c:pt>
                <c:pt idx="15">
                  <c:v>0.89411764705882368</c:v>
                </c:pt>
              </c:numCache>
            </c:numRef>
          </c:cat>
          <c:val>
            <c:numRef>
              <c:f>'2.Black-76 modified'!$M$46:$AB$46</c:f>
              <c:numCache>
                <c:formatCode>#,##0.0000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1BF-428D-BD31-E95651A896D2}"/>
            </c:ext>
          </c:extLst>
        </c:ser>
        <c:ser>
          <c:idx val="19"/>
          <c:order val="19"/>
          <c:tx>
            <c:strRef>
              <c:f>'2.Black-76 modified'!$L$47</c:f>
              <c:strCache>
                <c:ptCount val="1"/>
                <c:pt idx="0">
                  <c:v>10.45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'2.Black-76 modified'!$M$27:$AB$27</c:f>
              <c:numCache>
                <c:formatCode>0.00</c:formatCode>
                <c:ptCount val="16"/>
                <c:pt idx="0">
                  <c:v>0.1</c:v>
                </c:pt>
                <c:pt idx="1">
                  <c:v>0.15294117647058825</c:v>
                </c:pt>
                <c:pt idx="2">
                  <c:v>0.20588235294117649</c:v>
                </c:pt>
                <c:pt idx="3">
                  <c:v>0.25882352941176473</c:v>
                </c:pt>
                <c:pt idx="4">
                  <c:v>0.31176470588235294</c:v>
                </c:pt>
                <c:pt idx="5">
                  <c:v>0.36470588235294116</c:v>
                </c:pt>
                <c:pt idx="6">
                  <c:v>0.41764705882352937</c:v>
                </c:pt>
                <c:pt idx="7">
                  <c:v>0.47058823529411759</c:v>
                </c:pt>
                <c:pt idx="8">
                  <c:v>0.5235294117647058</c:v>
                </c:pt>
                <c:pt idx="9">
                  <c:v>0.57647058823529407</c:v>
                </c:pt>
                <c:pt idx="10">
                  <c:v>0.62941176470588234</c:v>
                </c:pt>
                <c:pt idx="11">
                  <c:v>0.68235294117647061</c:v>
                </c:pt>
                <c:pt idx="12">
                  <c:v>0.73529411764705888</c:v>
                </c:pt>
                <c:pt idx="13">
                  <c:v>0.78823529411764715</c:v>
                </c:pt>
                <c:pt idx="14">
                  <c:v>0.84117647058823541</c:v>
                </c:pt>
                <c:pt idx="15">
                  <c:v>0.89411764705882368</c:v>
                </c:pt>
              </c:numCache>
            </c:numRef>
          </c:cat>
          <c:val>
            <c:numRef>
              <c:f>'2.Black-76 modified'!$M$47:$AB$47</c:f>
              <c:numCache>
                <c:formatCode>#,##0.0000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1BF-428D-BD31-E95651A896D2}"/>
            </c:ext>
          </c:extLst>
        </c:ser>
        <c:ser>
          <c:idx val="20"/>
          <c:order val="20"/>
          <c:tx>
            <c:strRef>
              <c:f>'2.Black-76 modified'!$L$48</c:f>
              <c:strCache>
                <c:ptCount val="1"/>
                <c:pt idx="0">
                  <c:v>9.50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'2.Black-76 modified'!$M$27:$AB$27</c:f>
              <c:numCache>
                <c:formatCode>0.00</c:formatCode>
                <c:ptCount val="16"/>
                <c:pt idx="0">
                  <c:v>0.1</c:v>
                </c:pt>
                <c:pt idx="1">
                  <c:v>0.15294117647058825</c:v>
                </c:pt>
                <c:pt idx="2">
                  <c:v>0.20588235294117649</c:v>
                </c:pt>
                <c:pt idx="3">
                  <c:v>0.25882352941176473</c:v>
                </c:pt>
                <c:pt idx="4">
                  <c:v>0.31176470588235294</c:v>
                </c:pt>
                <c:pt idx="5">
                  <c:v>0.36470588235294116</c:v>
                </c:pt>
                <c:pt idx="6">
                  <c:v>0.41764705882352937</c:v>
                </c:pt>
                <c:pt idx="7">
                  <c:v>0.47058823529411759</c:v>
                </c:pt>
                <c:pt idx="8">
                  <c:v>0.5235294117647058</c:v>
                </c:pt>
                <c:pt idx="9">
                  <c:v>0.57647058823529407</c:v>
                </c:pt>
                <c:pt idx="10">
                  <c:v>0.62941176470588234</c:v>
                </c:pt>
                <c:pt idx="11">
                  <c:v>0.68235294117647061</c:v>
                </c:pt>
                <c:pt idx="12">
                  <c:v>0.73529411764705888</c:v>
                </c:pt>
                <c:pt idx="13">
                  <c:v>0.78823529411764715</c:v>
                </c:pt>
                <c:pt idx="14">
                  <c:v>0.84117647058823541</c:v>
                </c:pt>
                <c:pt idx="15">
                  <c:v>0.89411764705882368</c:v>
                </c:pt>
              </c:numCache>
            </c:numRef>
          </c:cat>
          <c:val>
            <c:numRef>
              <c:f>'2.Black-76 modified'!$M$48:$AB$48</c:f>
              <c:numCache>
                <c:formatCode>#,##0.0000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1BF-428D-BD31-E95651A896D2}"/>
            </c:ext>
          </c:extLst>
        </c:ser>
        <c:bandFmts>
          <c:bandFmt>
            <c:idx val="0"/>
            <c:spPr>
              <a:solidFill>
                <a:srgbClr val="63AAFE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"/>
            <c:spPr>
              <a:solidFill>
                <a:srgbClr val="DD2D32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"/>
            <c:spPr>
              <a:solidFill>
                <a:srgbClr val="FFF58C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"/>
            <c:spPr>
              <a:solidFill>
                <a:srgbClr val="4EE257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"/>
            <c:spPr>
              <a:solidFill>
                <a:srgbClr val="6711FF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5"/>
            <c:spPr>
              <a:solidFill>
                <a:srgbClr val="FEA746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6"/>
            <c:spPr>
              <a:solidFill>
                <a:srgbClr val="865357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7"/>
            <c:spPr>
              <a:solidFill>
                <a:srgbClr val="A2BD90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8"/>
            <c:spPr>
              <a:solidFill>
                <a:srgbClr val="63AAFE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9"/>
            <c:spPr>
              <a:solidFill>
                <a:srgbClr val="DD2D32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</c:bandFmts>
        <c:axId val="108225167"/>
        <c:axId val="1"/>
        <c:axId val="2"/>
      </c:surface3DChart>
      <c:catAx>
        <c:axId val="1082251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Time to maturity</a:t>
                </a:r>
              </a:p>
            </c:rich>
          </c:tx>
          <c:layout>
            <c:manualLayout>
              <c:xMode val="edge"/>
              <c:yMode val="edge"/>
              <c:x val="0.87868891311076669"/>
              <c:y val="0.6803505319095046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08225167"/>
        <c:crosses val="autoZero"/>
        <c:crossBetween val="between"/>
      </c:valAx>
      <c:serAx>
        <c:axId val="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Asset price</a:t>
                </a:r>
              </a:p>
            </c:rich>
          </c:tx>
          <c:layout>
            <c:manualLayout>
              <c:xMode val="edge"/>
              <c:yMode val="edge"/>
              <c:x val="0.23222492703641692"/>
              <c:y val="0.8176501874454589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"/>
        <c:crosses val="autoZero"/>
        <c:tickLblSkip val="2"/>
        <c:tickMarkSkip val="1"/>
      </c:ser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100"/>
      <c:rotY val="290"/>
      <c:depthPercent val="100"/>
      <c:rAngAx val="0"/>
    </c:view3D>
    <c:floor>
      <c:thickness val="0"/>
      <c:spPr>
        <a:noFill/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12700">
          <a:solidFill>
            <a:srgbClr val="808080"/>
          </a:solidFill>
          <a:prstDash val="solid"/>
        </a:ln>
      </c:spPr>
    </c:sideWall>
    <c:backWall>
      <c:thickness val="0"/>
      <c:spPr>
        <a:noFill/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9.8329473610014373E-2"/>
          <c:y val="1.0246242950444347E-2"/>
          <c:w val="0.71968806216691372"/>
          <c:h val="0.89962013104901373"/>
        </c:manualLayout>
      </c:layout>
      <c:surface3DChart>
        <c:wireframe val="0"/>
        <c:ser>
          <c:idx val="0"/>
          <c:order val="0"/>
          <c:tx>
            <c:strRef>
              <c:f>'3.EnergySwaption'!$L$28</c:f>
              <c:strCache>
                <c:ptCount val="1"/>
                <c:pt idx="0">
                  <c:v>52.50</c:v>
                </c:pt>
              </c:strCache>
            </c:strRef>
          </c:tx>
          <c:spPr>
            <a:solidFill>
              <a:srgbClr val="63AAFE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'3.EnergySwaption'!$M$27:$AB$27</c:f>
              <c:numCache>
                <c:formatCode>0.00</c:formatCode>
                <c:ptCount val="16"/>
                <c:pt idx="0">
                  <c:v>20</c:v>
                </c:pt>
                <c:pt idx="1">
                  <c:v>29.411764705882355</c:v>
                </c:pt>
                <c:pt idx="2">
                  <c:v>38.82352941176471</c:v>
                </c:pt>
                <c:pt idx="3">
                  <c:v>48.235294117647065</c:v>
                </c:pt>
                <c:pt idx="4">
                  <c:v>57.64705882352942</c:v>
                </c:pt>
                <c:pt idx="5">
                  <c:v>67.058823529411768</c:v>
                </c:pt>
                <c:pt idx="6">
                  <c:v>76.470588235294116</c:v>
                </c:pt>
                <c:pt idx="7">
                  <c:v>85.882352941176464</c:v>
                </c:pt>
                <c:pt idx="8">
                  <c:v>95.294117647058812</c:v>
                </c:pt>
                <c:pt idx="9">
                  <c:v>104.70588235294116</c:v>
                </c:pt>
                <c:pt idx="10">
                  <c:v>114.11764705882351</c:v>
                </c:pt>
                <c:pt idx="11">
                  <c:v>123.52941176470586</c:v>
                </c:pt>
                <c:pt idx="12">
                  <c:v>132.9411764705882</c:v>
                </c:pt>
                <c:pt idx="13">
                  <c:v>142.35294117647055</c:v>
                </c:pt>
                <c:pt idx="14">
                  <c:v>151.7647058823529</c:v>
                </c:pt>
                <c:pt idx="15">
                  <c:v>161.17647058823525</c:v>
                </c:pt>
              </c:numCache>
            </c:numRef>
          </c:cat>
          <c:val>
            <c:numRef>
              <c:f>'3.EnergySwaption'!$M$28:$AB$28</c:f>
              <c:numCache>
                <c:formatCode>#,##0.0000</c:formatCode>
                <c:ptCount val="16"/>
                <c:pt idx="0">
                  <c:v>1.0658141036401501E-8</c:v>
                </c:pt>
                <c:pt idx="1">
                  <c:v>1.0658141036401501E-8</c:v>
                </c:pt>
                <c:pt idx="2">
                  <c:v>-7.105427357601001E-9</c:v>
                </c:pt>
                <c:pt idx="3">
                  <c:v>7.105427357601001E-9</c:v>
                </c:pt>
                <c:pt idx="4">
                  <c:v>-1.0658141036401501E-8</c:v>
                </c:pt>
                <c:pt idx="5">
                  <c:v>-9.9475983006414013E-8</c:v>
                </c:pt>
                <c:pt idx="6">
                  <c:v>-4.6185277824406507E-7</c:v>
                </c:pt>
                <c:pt idx="7">
                  <c:v>-1.4956924587750107E-6</c:v>
                </c:pt>
                <c:pt idx="8">
                  <c:v>-3.7374547900981266E-6</c:v>
                </c:pt>
                <c:pt idx="9">
                  <c:v>-7.7911010976094968E-6</c:v>
                </c:pt>
                <c:pt idx="10">
                  <c:v>-1.4239276424632406E-5</c:v>
                </c:pt>
                <c:pt idx="11">
                  <c:v>-2.3550938976768517E-5</c:v>
                </c:pt>
                <c:pt idx="12">
                  <c:v>-3.5974778711533866E-5</c:v>
                </c:pt>
                <c:pt idx="13">
                  <c:v>-5.160671889825607E-5</c:v>
                </c:pt>
                <c:pt idx="14">
                  <c:v>-7.0372152549680309E-5</c:v>
                </c:pt>
                <c:pt idx="15">
                  <c:v>-9.2100549409224173E-5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DE-485D-A3D8-8D35D6543D29}"/>
            </c:ext>
          </c:extLst>
        </c:ser>
        <c:ser>
          <c:idx val="1"/>
          <c:order val="1"/>
          <c:tx>
            <c:strRef>
              <c:f>'3.EnergySwaption'!$L$29</c:f>
              <c:strCache>
                <c:ptCount val="1"/>
                <c:pt idx="0">
                  <c:v>50.75</c:v>
                </c:pt>
              </c:strCache>
            </c:strRef>
          </c:tx>
          <c:spPr>
            <a:solidFill>
              <a:srgbClr val="DD2D32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'3.EnergySwaption'!$M$27:$AB$27</c:f>
              <c:numCache>
                <c:formatCode>0.00</c:formatCode>
                <c:ptCount val="16"/>
                <c:pt idx="0">
                  <c:v>20</c:v>
                </c:pt>
                <c:pt idx="1">
                  <c:v>29.411764705882355</c:v>
                </c:pt>
                <c:pt idx="2">
                  <c:v>38.82352941176471</c:v>
                </c:pt>
                <c:pt idx="3">
                  <c:v>48.235294117647065</c:v>
                </c:pt>
                <c:pt idx="4">
                  <c:v>57.64705882352942</c:v>
                </c:pt>
                <c:pt idx="5">
                  <c:v>67.058823529411768</c:v>
                </c:pt>
                <c:pt idx="6">
                  <c:v>76.470588235294116</c:v>
                </c:pt>
                <c:pt idx="7">
                  <c:v>85.882352941176464</c:v>
                </c:pt>
                <c:pt idx="8">
                  <c:v>95.294117647058812</c:v>
                </c:pt>
                <c:pt idx="9">
                  <c:v>104.70588235294116</c:v>
                </c:pt>
                <c:pt idx="10">
                  <c:v>114.11764705882351</c:v>
                </c:pt>
                <c:pt idx="11">
                  <c:v>123.52941176470586</c:v>
                </c:pt>
                <c:pt idx="12">
                  <c:v>132.9411764705882</c:v>
                </c:pt>
                <c:pt idx="13">
                  <c:v>142.35294117647055</c:v>
                </c:pt>
                <c:pt idx="14">
                  <c:v>151.7647058823529</c:v>
                </c:pt>
                <c:pt idx="15">
                  <c:v>161.17647058823525</c:v>
                </c:pt>
              </c:numCache>
            </c:numRef>
          </c:cat>
          <c:val>
            <c:numRef>
              <c:f>'3.EnergySwaption'!$M$29:$AB$29</c:f>
              <c:numCache>
                <c:formatCode>#,##0.0000</c:formatCode>
                <c:ptCount val="16"/>
                <c:pt idx="0">
                  <c:v>1.0658141036401501E-8</c:v>
                </c:pt>
                <c:pt idx="1">
                  <c:v>2.3092638912203253E-8</c:v>
                </c:pt>
                <c:pt idx="2">
                  <c:v>7.105427357601001E-9</c:v>
                </c:pt>
                <c:pt idx="3">
                  <c:v>-1.5987211554602251E-8</c:v>
                </c:pt>
                <c:pt idx="4">
                  <c:v>-1.5631940186722201E-7</c:v>
                </c:pt>
                <c:pt idx="5">
                  <c:v>-9.4857455223973364E-7</c:v>
                </c:pt>
                <c:pt idx="6">
                  <c:v>-3.2756020118540614E-6</c:v>
                </c:pt>
                <c:pt idx="7">
                  <c:v>-8.4181550619177853E-6</c:v>
                </c:pt>
                <c:pt idx="8">
                  <c:v>-1.7720935829856895E-5</c:v>
                </c:pt>
                <c:pt idx="9">
                  <c:v>-3.2152058793144527E-5</c:v>
                </c:pt>
                <c:pt idx="10">
                  <c:v>-5.2324367061373771E-5</c:v>
                </c:pt>
                <c:pt idx="11">
                  <c:v>-7.8346218401748033E-5</c:v>
                </c:pt>
                <c:pt idx="12">
                  <c:v>-1.0996537014307249E-4</c:v>
                </c:pt>
                <c:pt idx="13">
                  <c:v>-1.4658851910098744E-4</c:v>
                </c:pt>
                <c:pt idx="14">
                  <c:v>-1.8749979346921461E-4</c:v>
                </c:pt>
                <c:pt idx="15">
                  <c:v>-2.3183055475328726E-4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DE-485D-A3D8-8D35D6543D29}"/>
            </c:ext>
          </c:extLst>
        </c:ser>
        <c:ser>
          <c:idx val="2"/>
          <c:order val="2"/>
          <c:tx>
            <c:strRef>
              <c:f>'3.EnergySwaption'!$L$30</c:f>
              <c:strCache>
                <c:ptCount val="1"/>
                <c:pt idx="0">
                  <c:v>49.00</c:v>
                </c:pt>
              </c:strCache>
            </c:strRef>
          </c:tx>
          <c:spPr>
            <a:solidFill>
              <a:srgbClr val="FFF58C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'3.EnergySwaption'!$M$27:$AB$27</c:f>
              <c:numCache>
                <c:formatCode>0.00</c:formatCode>
                <c:ptCount val="16"/>
                <c:pt idx="0">
                  <c:v>20</c:v>
                </c:pt>
                <c:pt idx="1">
                  <c:v>29.411764705882355</c:v>
                </c:pt>
                <c:pt idx="2">
                  <c:v>38.82352941176471</c:v>
                </c:pt>
                <c:pt idx="3">
                  <c:v>48.235294117647065</c:v>
                </c:pt>
                <c:pt idx="4">
                  <c:v>57.64705882352942</c:v>
                </c:pt>
                <c:pt idx="5">
                  <c:v>67.058823529411768</c:v>
                </c:pt>
                <c:pt idx="6">
                  <c:v>76.470588235294116</c:v>
                </c:pt>
                <c:pt idx="7">
                  <c:v>85.882352941176464</c:v>
                </c:pt>
                <c:pt idx="8">
                  <c:v>95.294117647058812</c:v>
                </c:pt>
                <c:pt idx="9">
                  <c:v>104.70588235294116</c:v>
                </c:pt>
                <c:pt idx="10">
                  <c:v>114.11764705882351</c:v>
                </c:pt>
                <c:pt idx="11">
                  <c:v>123.52941176470586</c:v>
                </c:pt>
                <c:pt idx="12">
                  <c:v>132.9411764705882</c:v>
                </c:pt>
                <c:pt idx="13">
                  <c:v>142.35294117647055</c:v>
                </c:pt>
                <c:pt idx="14">
                  <c:v>151.7647058823529</c:v>
                </c:pt>
                <c:pt idx="15">
                  <c:v>161.17647058823525</c:v>
                </c:pt>
              </c:numCache>
            </c:numRef>
          </c:cat>
          <c:val>
            <c:numRef>
              <c:f>'3.EnergySwaption'!$M$30:$AB$30</c:f>
              <c:numCache>
                <c:formatCode>#,##0.0000</c:formatCode>
                <c:ptCount val="16"/>
                <c:pt idx="0">
                  <c:v>5.3290705182007506E-9</c:v>
                </c:pt>
                <c:pt idx="1">
                  <c:v>1.9539925233402752E-8</c:v>
                </c:pt>
                <c:pt idx="2">
                  <c:v>1.7763568394002503E-9</c:v>
                </c:pt>
                <c:pt idx="3">
                  <c:v>-3.0908609005564353E-7</c:v>
                </c:pt>
                <c:pt idx="4">
                  <c:v>-2.0143886558798836E-6</c:v>
                </c:pt>
                <c:pt idx="5">
                  <c:v>-7.6241235547058741E-6</c:v>
                </c:pt>
                <c:pt idx="6">
                  <c:v>-2.0303758674344859E-5</c:v>
                </c:pt>
                <c:pt idx="7">
                  <c:v>-4.2716052917057816E-5</c:v>
                </c:pt>
                <c:pt idx="8">
                  <c:v>-7.6381567737371356E-5</c:v>
                </c:pt>
                <c:pt idx="9">
                  <c:v>-1.2149925510129832E-4</c:v>
                </c:pt>
                <c:pt idx="10">
                  <c:v>-1.7713119859763535E-4</c:v>
                </c:pt>
                <c:pt idx="11">
                  <c:v>-2.4162716272257964E-4</c:v>
                </c:pt>
                <c:pt idx="12">
                  <c:v>-3.1307934023061529E-4</c:v>
                </c:pt>
                <c:pt idx="13">
                  <c:v>-3.8940939361964405E-4</c:v>
                </c:pt>
                <c:pt idx="14">
                  <c:v>-4.6872017378518643E-4</c:v>
                </c:pt>
                <c:pt idx="15">
                  <c:v>-5.4930637816141814E-4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DE-485D-A3D8-8D35D6543D29}"/>
            </c:ext>
          </c:extLst>
        </c:ser>
        <c:ser>
          <c:idx val="3"/>
          <c:order val="3"/>
          <c:tx>
            <c:strRef>
              <c:f>'3.EnergySwaption'!$L$31</c:f>
              <c:strCache>
                <c:ptCount val="1"/>
                <c:pt idx="0">
                  <c:v>47.25</c:v>
                </c:pt>
              </c:strCache>
            </c:strRef>
          </c:tx>
          <c:spPr>
            <a:solidFill>
              <a:srgbClr val="4EE257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'3.EnergySwaption'!$M$27:$AB$27</c:f>
              <c:numCache>
                <c:formatCode>0.00</c:formatCode>
                <c:ptCount val="16"/>
                <c:pt idx="0">
                  <c:v>20</c:v>
                </c:pt>
                <c:pt idx="1">
                  <c:v>29.411764705882355</c:v>
                </c:pt>
                <c:pt idx="2">
                  <c:v>38.82352941176471</c:v>
                </c:pt>
                <c:pt idx="3">
                  <c:v>48.235294117647065</c:v>
                </c:pt>
                <c:pt idx="4">
                  <c:v>57.64705882352942</c:v>
                </c:pt>
                <c:pt idx="5">
                  <c:v>67.058823529411768</c:v>
                </c:pt>
                <c:pt idx="6">
                  <c:v>76.470588235294116</c:v>
                </c:pt>
                <c:pt idx="7">
                  <c:v>85.882352941176464</c:v>
                </c:pt>
                <c:pt idx="8">
                  <c:v>95.294117647058812</c:v>
                </c:pt>
                <c:pt idx="9">
                  <c:v>104.70588235294116</c:v>
                </c:pt>
                <c:pt idx="10">
                  <c:v>114.11764705882351</c:v>
                </c:pt>
                <c:pt idx="11">
                  <c:v>123.52941176470586</c:v>
                </c:pt>
                <c:pt idx="12">
                  <c:v>132.9411764705882</c:v>
                </c:pt>
                <c:pt idx="13">
                  <c:v>142.35294117647055</c:v>
                </c:pt>
                <c:pt idx="14">
                  <c:v>151.7647058823529</c:v>
                </c:pt>
                <c:pt idx="15">
                  <c:v>161.17647058823525</c:v>
                </c:pt>
              </c:numCache>
            </c:numRef>
          </c:cat>
          <c:val>
            <c:numRef>
              <c:f>'3.EnergySwaption'!$M$31:$AB$31</c:f>
              <c:numCache>
                <c:formatCode>#,##0.0000</c:formatCode>
                <c:ptCount val="16"/>
                <c:pt idx="0">
                  <c:v>-1.7763568394002503E-9</c:v>
                </c:pt>
                <c:pt idx="1">
                  <c:v>-8.8817841970012507E-9</c:v>
                </c:pt>
                <c:pt idx="2">
                  <c:v>-4.7428727611986682E-7</c:v>
                </c:pt>
                <c:pt idx="3">
                  <c:v>-4.4355630279824246E-6</c:v>
                </c:pt>
                <c:pt idx="4">
                  <c:v>-1.9008794538422077E-5</c:v>
                </c:pt>
                <c:pt idx="5">
                  <c:v>-5.2347459700285974E-5</c:v>
                </c:pt>
                <c:pt idx="6">
                  <c:v>-1.0954082085845583E-4</c:v>
                </c:pt>
                <c:pt idx="7">
                  <c:v>-1.9128520989397654E-4</c:v>
                </c:pt>
                <c:pt idx="8">
                  <c:v>-2.9457147832090408E-4</c:v>
                </c:pt>
                <c:pt idx="9">
                  <c:v>-4.1447911769409979E-4</c:v>
                </c:pt>
                <c:pt idx="10">
                  <c:v>-5.454605656041166E-4</c:v>
                </c:pt>
                <c:pt idx="11">
                  <c:v>-6.823572817893363E-4</c:v>
                </c:pt>
                <c:pt idx="12">
                  <c:v>-8.2073547957861581E-4</c:v>
                </c:pt>
                <c:pt idx="13">
                  <c:v>-9.5709751235517604E-4</c:v>
                </c:pt>
                <c:pt idx="14">
                  <c:v>-1.0888090429261863E-3</c:v>
                </c:pt>
                <c:pt idx="15">
                  <c:v>-1.2140528582449404E-3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DE-485D-A3D8-8D35D6543D29}"/>
            </c:ext>
          </c:extLst>
        </c:ser>
        <c:ser>
          <c:idx val="4"/>
          <c:order val="4"/>
          <c:tx>
            <c:strRef>
              <c:f>'3.EnergySwaption'!$L$32</c:f>
              <c:strCache>
                <c:ptCount val="1"/>
                <c:pt idx="0">
                  <c:v>45.50</c:v>
                </c:pt>
              </c:strCache>
            </c:strRef>
          </c:tx>
          <c:spPr>
            <a:solidFill>
              <a:srgbClr val="6711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'3.EnergySwaption'!$M$27:$AB$27</c:f>
              <c:numCache>
                <c:formatCode>0.00</c:formatCode>
                <c:ptCount val="16"/>
                <c:pt idx="0">
                  <c:v>20</c:v>
                </c:pt>
                <c:pt idx="1">
                  <c:v>29.411764705882355</c:v>
                </c:pt>
                <c:pt idx="2">
                  <c:v>38.82352941176471</c:v>
                </c:pt>
                <c:pt idx="3">
                  <c:v>48.235294117647065</c:v>
                </c:pt>
                <c:pt idx="4">
                  <c:v>57.64705882352942</c:v>
                </c:pt>
                <c:pt idx="5">
                  <c:v>67.058823529411768</c:v>
                </c:pt>
                <c:pt idx="6">
                  <c:v>76.470588235294116</c:v>
                </c:pt>
                <c:pt idx="7">
                  <c:v>85.882352941176464</c:v>
                </c:pt>
                <c:pt idx="8">
                  <c:v>95.294117647058812</c:v>
                </c:pt>
                <c:pt idx="9">
                  <c:v>104.70588235294116</c:v>
                </c:pt>
                <c:pt idx="10">
                  <c:v>114.11764705882351</c:v>
                </c:pt>
                <c:pt idx="11">
                  <c:v>123.52941176470586</c:v>
                </c:pt>
                <c:pt idx="12">
                  <c:v>132.9411764705882</c:v>
                </c:pt>
                <c:pt idx="13">
                  <c:v>142.35294117647055</c:v>
                </c:pt>
                <c:pt idx="14">
                  <c:v>151.7647058823529</c:v>
                </c:pt>
                <c:pt idx="15">
                  <c:v>161.17647058823525</c:v>
                </c:pt>
              </c:numCache>
            </c:numRef>
          </c:cat>
          <c:val>
            <c:numRef>
              <c:f>'3.EnergySwaption'!$M$32:$AB$32</c:f>
              <c:numCache>
                <c:formatCode>#,##0.0000</c:formatCode>
                <c:ptCount val="16"/>
                <c:pt idx="0">
                  <c:v>1.2434497875801752E-8</c:v>
                </c:pt>
                <c:pt idx="1">
                  <c:v>-6.1639582327188681E-7</c:v>
                </c:pt>
                <c:pt idx="2">
                  <c:v>-9.9902308647870069E-6</c:v>
                </c:pt>
                <c:pt idx="3">
                  <c:v>-5.1024073854932788E-5</c:v>
                </c:pt>
                <c:pt idx="4">
                  <c:v>-1.4591705621569415E-4</c:v>
                </c:pt>
                <c:pt idx="5">
                  <c:v>-3.0052227373289492E-4</c:v>
                </c:pt>
                <c:pt idx="6">
                  <c:v>-5.0532555917470734E-4</c:v>
                </c:pt>
                <c:pt idx="7">
                  <c:v>-7.4375883230004536E-4</c:v>
                </c:pt>
                <c:pt idx="8">
                  <c:v>-9.987033422476086E-4</c:v>
                </c:pt>
                <c:pt idx="9">
                  <c:v>-1.2559375761611589E-3</c:v>
                </c:pt>
                <c:pt idx="10">
                  <c:v>-1.5051053736669926E-3</c:v>
                </c:pt>
                <c:pt idx="11">
                  <c:v>-1.7392736140209306E-3</c:v>
                </c:pt>
                <c:pt idx="12">
                  <c:v>-1.9544366125501251E-3</c:v>
                </c:pt>
                <c:pt idx="13">
                  <c:v>-2.1486687984406667E-3</c:v>
                </c:pt>
                <c:pt idx="14">
                  <c:v>-2.3214834499185595E-3</c:v>
                </c:pt>
                <c:pt idx="15">
                  <c:v>-2.4733708414714779E-3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E-485D-A3D8-8D35D6543D29}"/>
            </c:ext>
          </c:extLst>
        </c:ser>
        <c:ser>
          <c:idx val="5"/>
          <c:order val="5"/>
          <c:tx>
            <c:strRef>
              <c:f>'3.EnergySwaption'!$L$33</c:f>
              <c:strCache>
                <c:ptCount val="1"/>
                <c:pt idx="0">
                  <c:v>43.75</c:v>
                </c:pt>
              </c:strCache>
            </c:strRef>
          </c:tx>
          <c:spPr>
            <a:solidFill>
              <a:srgbClr val="FEA746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'3.EnergySwaption'!$M$27:$AB$27</c:f>
              <c:numCache>
                <c:formatCode>0.00</c:formatCode>
                <c:ptCount val="16"/>
                <c:pt idx="0">
                  <c:v>20</c:v>
                </c:pt>
                <c:pt idx="1">
                  <c:v>29.411764705882355</c:v>
                </c:pt>
                <c:pt idx="2">
                  <c:v>38.82352941176471</c:v>
                </c:pt>
                <c:pt idx="3">
                  <c:v>48.235294117647065</c:v>
                </c:pt>
                <c:pt idx="4">
                  <c:v>57.64705882352942</c:v>
                </c:pt>
                <c:pt idx="5">
                  <c:v>67.058823529411768</c:v>
                </c:pt>
                <c:pt idx="6">
                  <c:v>76.470588235294116</c:v>
                </c:pt>
                <c:pt idx="7">
                  <c:v>85.882352941176464</c:v>
                </c:pt>
                <c:pt idx="8">
                  <c:v>95.294117647058812</c:v>
                </c:pt>
                <c:pt idx="9">
                  <c:v>104.70588235294116</c:v>
                </c:pt>
                <c:pt idx="10">
                  <c:v>114.11764705882351</c:v>
                </c:pt>
                <c:pt idx="11">
                  <c:v>123.52941176470586</c:v>
                </c:pt>
                <c:pt idx="12">
                  <c:v>132.9411764705882</c:v>
                </c:pt>
                <c:pt idx="13">
                  <c:v>142.35294117647055</c:v>
                </c:pt>
                <c:pt idx="14">
                  <c:v>151.7647058823529</c:v>
                </c:pt>
                <c:pt idx="15">
                  <c:v>161.17647058823525</c:v>
                </c:pt>
              </c:numCache>
            </c:numRef>
          </c:cat>
          <c:val>
            <c:numRef>
              <c:f>'3.EnergySwaption'!$M$33:$AB$33</c:f>
              <c:numCache>
                <c:formatCode>#,##0.0000</c:formatCode>
                <c:ptCount val="16"/>
                <c:pt idx="0">
                  <c:v>-4.3698378249246156E-7</c:v>
                </c:pt>
                <c:pt idx="1">
                  <c:v>-2.2254198484006334E-5</c:v>
                </c:pt>
                <c:pt idx="2">
                  <c:v>-1.4935963577045183E-4</c:v>
                </c:pt>
                <c:pt idx="3">
                  <c:v>-4.4462922232924024E-4</c:v>
                </c:pt>
                <c:pt idx="4">
                  <c:v>-8.8492768668402267E-4</c:v>
                </c:pt>
                <c:pt idx="5">
                  <c:v>-1.4046115381916022E-3</c:v>
                </c:pt>
                <c:pt idx="6">
                  <c:v>-1.9412293994491845E-3</c:v>
                </c:pt>
                <c:pt idx="7">
                  <c:v>-2.4517685659475315E-3</c:v>
                </c:pt>
                <c:pt idx="8">
                  <c:v>-2.9122357858568644E-3</c:v>
                </c:pt>
                <c:pt idx="9">
                  <c:v>-3.3123619402886102E-3</c:v>
                </c:pt>
                <c:pt idx="10">
                  <c:v>-3.6504825828842509E-3</c:v>
                </c:pt>
                <c:pt idx="11">
                  <c:v>-3.9297258780379698E-3</c:v>
                </c:pt>
                <c:pt idx="12">
                  <c:v>-4.1555452412467267E-3</c:v>
                </c:pt>
                <c:pt idx="13">
                  <c:v>-4.3342573974314283E-3</c:v>
                </c:pt>
                <c:pt idx="14">
                  <c:v>-4.4722110459360911E-3</c:v>
                </c:pt>
                <c:pt idx="15">
                  <c:v>-4.5753640876000637E-3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DE-485D-A3D8-8D35D6543D29}"/>
            </c:ext>
          </c:extLst>
        </c:ser>
        <c:ser>
          <c:idx val="6"/>
          <c:order val="6"/>
          <c:tx>
            <c:strRef>
              <c:f>'3.EnergySwaption'!$L$34</c:f>
              <c:strCache>
                <c:ptCount val="1"/>
                <c:pt idx="0">
                  <c:v>42.00</c:v>
                </c:pt>
              </c:strCache>
            </c:strRef>
          </c:tx>
          <c:spPr>
            <a:solidFill>
              <a:srgbClr val="865357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'3.EnergySwaption'!$M$27:$AB$27</c:f>
              <c:numCache>
                <c:formatCode>0.00</c:formatCode>
                <c:ptCount val="16"/>
                <c:pt idx="0">
                  <c:v>20</c:v>
                </c:pt>
                <c:pt idx="1">
                  <c:v>29.411764705882355</c:v>
                </c:pt>
                <c:pt idx="2">
                  <c:v>38.82352941176471</c:v>
                </c:pt>
                <c:pt idx="3">
                  <c:v>48.235294117647065</c:v>
                </c:pt>
                <c:pt idx="4">
                  <c:v>57.64705882352942</c:v>
                </c:pt>
                <c:pt idx="5">
                  <c:v>67.058823529411768</c:v>
                </c:pt>
                <c:pt idx="6">
                  <c:v>76.470588235294116</c:v>
                </c:pt>
                <c:pt idx="7">
                  <c:v>85.882352941176464</c:v>
                </c:pt>
                <c:pt idx="8">
                  <c:v>95.294117647058812</c:v>
                </c:pt>
                <c:pt idx="9">
                  <c:v>104.70588235294116</c:v>
                </c:pt>
                <c:pt idx="10">
                  <c:v>114.11764705882351</c:v>
                </c:pt>
                <c:pt idx="11">
                  <c:v>123.52941176470586</c:v>
                </c:pt>
                <c:pt idx="12">
                  <c:v>132.9411764705882</c:v>
                </c:pt>
                <c:pt idx="13">
                  <c:v>142.35294117647055</c:v>
                </c:pt>
                <c:pt idx="14">
                  <c:v>151.7647058823529</c:v>
                </c:pt>
                <c:pt idx="15">
                  <c:v>161.17647058823525</c:v>
                </c:pt>
              </c:numCache>
            </c:numRef>
          </c:cat>
          <c:val>
            <c:numRef>
              <c:f>'3.EnergySwaption'!$M$34:$AB$34</c:f>
              <c:numCache>
                <c:formatCode>#,##0.0000</c:formatCode>
                <c:ptCount val="16"/>
                <c:pt idx="0">
                  <c:v>-4.2559733515190594E-5</c:v>
                </c:pt>
                <c:pt idx="1">
                  <c:v>-4.8235904159810156E-4</c:v>
                </c:pt>
                <c:pt idx="2">
                  <c:v>-1.5013847942668688E-3</c:v>
                </c:pt>
                <c:pt idx="3">
                  <c:v>-2.7999753626772868E-3</c:v>
                </c:pt>
                <c:pt idx="4">
                  <c:v>-4.0687426761110137E-3</c:v>
                </c:pt>
                <c:pt idx="5">
                  <c:v>-5.1521054089675991E-3</c:v>
                </c:pt>
                <c:pt idx="6">
                  <c:v>-6.0069780261073893E-3</c:v>
                </c:pt>
                <c:pt idx="7">
                  <c:v>-6.6450436264631199E-3</c:v>
                </c:pt>
                <c:pt idx="8">
                  <c:v>-7.0981212019205478E-3</c:v>
                </c:pt>
                <c:pt idx="9">
                  <c:v>-7.4015700235463546E-3</c:v>
                </c:pt>
                <c:pt idx="10">
                  <c:v>-7.5875670191294367E-3</c:v>
                </c:pt>
                <c:pt idx="11">
                  <c:v>-7.6831296880186519E-3</c:v>
                </c:pt>
                <c:pt idx="12">
                  <c:v>-7.7099384654388805E-3</c:v>
                </c:pt>
                <c:pt idx="13">
                  <c:v>-7.6851023322888059E-3</c:v>
                </c:pt>
                <c:pt idx="14">
                  <c:v>-7.6219208722250178E-3</c:v>
                </c:pt>
                <c:pt idx="15">
                  <c:v>-7.5305823798998963E-3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DE-485D-A3D8-8D35D6543D29}"/>
            </c:ext>
          </c:extLst>
        </c:ser>
        <c:ser>
          <c:idx val="7"/>
          <c:order val="7"/>
          <c:tx>
            <c:strRef>
              <c:f>'3.EnergySwaption'!$L$35</c:f>
              <c:strCache>
                <c:ptCount val="1"/>
                <c:pt idx="0">
                  <c:v>40.25</c:v>
                </c:pt>
              </c:strCache>
            </c:strRef>
          </c:tx>
          <c:spPr>
            <a:solidFill>
              <a:srgbClr val="A2BD9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'3.EnergySwaption'!$M$27:$AB$27</c:f>
              <c:numCache>
                <c:formatCode>0.00</c:formatCode>
                <c:ptCount val="16"/>
                <c:pt idx="0">
                  <c:v>20</c:v>
                </c:pt>
                <c:pt idx="1">
                  <c:v>29.411764705882355</c:v>
                </c:pt>
                <c:pt idx="2">
                  <c:v>38.82352941176471</c:v>
                </c:pt>
                <c:pt idx="3">
                  <c:v>48.235294117647065</c:v>
                </c:pt>
                <c:pt idx="4">
                  <c:v>57.64705882352942</c:v>
                </c:pt>
                <c:pt idx="5">
                  <c:v>67.058823529411768</c:v>
                </c:pt>
                <c:pt idx="6">
                  <c:v>76.470588235294116</c:v>
                </c:pt>
                <c:pt idx="7">
                  <c:v>85.882352941176464</c:v>
                </c:pt>
                <c:pt idx="8">
                  <c:v>95.294117647058812</c:v>
                </c:pt>
                <c:pt idx="9">
                  <c:v>104.70588235294116</c:v>
                </c:pt>
                <c:pt idx="10">
                  <c:v>114.11764705882351</c:v>
                </c:pt>
                <c:pt idx="11">
                  <c:v>123.52941176470586</c:v>
                </c:pt>
                <c:pt idx="12">
                  <c:v>132.9411764705882</c:v>
                </c:pt>
                <c:pt idx="13">
                  <c:v>142.35294117647055</c:v>
                </c:pt>
                <c:pt idx="14">
                  <c:v>151.7647058823529</c:v>
                </c:pt>
                <c:pt idx="15">
                  <c:v>161.17647058823525</c:v>
                </c:pt>
              </c:numCache>
            </c:numRef>
          </c:cat>
          <c:val>
            <c:numRef>
              <c:f>'3.EnergySwaption'!$M$35:$AB$35</c:f>
              <c:numCache>
                <c:formatCode>#,##0.0000</c:formatCode>
                <c:ptCount val="16"/>
                <c:pt idx="0">
                  <c:v>-1.7354917503098475E-3</c:v>
                </c:pt>
                <c:pt idx="1">
                  <c:v>-5.7257292240819871E-3</c:v>
                </c:pt>
                <c:pt idx="2">
                  <c:v>-9.4458956212406502E-3</c:v>
                </c:pt>
                <c:pt idx="3">
                  <c:v>-1.1970425539686856E-2</c:v>
                </c:pt>
                <c:pt idx="4">
                  <c:v>-1.3417555067007923E-2</c:v>
                </c:pt>
                <c:pt idx="5">
                  <c:v>-1.4103473944260257E-2</c:v>
                </c:pt>
                <c:pt idx="6">
                  <c:v>-1.4296217543119381E-2</c:v>
                </c:pt>
                <c:pt idx="7">
                  <c:v>-1.4183160423897332E-2</c:v>
                </c:pt>
                <c:pt idx="8">
                  <c:v>-1.3887226479880608E-2</c:v>
                </c:pt>
                <c:pt idx="9">
                  <c:v>-1.3487066574668914E-2</c:v>
                </c:pt>
                <c:pt idx="10">
                  <c:v>-1.3032529722067919E-2</c:v>
                </c:pt>
                <c:pt idx="11">
                  <c:v>-1.2554854045276896E-2</c:v>
                </c:pt>
                <c:pt idx="12">
                  <c:v>-1.2073516408861449E-2</c:v>
                </c:pt>
                <c:pt idx="13">
                  <c:v>-1.1600456595317608E-2</c:v>
                </c:pt>
                <c:pt idx="14">
                  <c:v>-1.1142693878696262E-2</c:v>
                </c:pt>
                <c:pt idx="15">
                  <c:v>-1.0704177100251398E-2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EDE-485D-A3D8-8D35D6543D29}"/>
            </c:ext>
          </c:extLst>
        </c:ser>
        <c:ser>
          <c:idx val="8"/>
          <c:order val="8"/>
          <c:tx>
            <c:strRef>
              <c:f>'3.EnergySwaption'!$L$36</c:f>
              <c:strCache>
                <c:ptCount val="1"/>
                <c:pt idx="0">
                  <c:v>38.50</c:v>
                </c:pt>
              </c:strCache>
            </c:strRef>
          </c:tx>
          <c:spPr>
            <a:solidFill>
              <a:srgbClr val="63AAFE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'3.EnergySwaption'!$M$27:$AB$27</c:f>
              <c:numCache>
                <c:formatCode>0.00</c:formatCode>
                <c:ptCount val="16"/>
                <c:pt idx="0">
                  <c:v>20</c:v>
                </c:pt>
                <c:pt idx="1">
                  <c:v>29.411764705882355</c:v>
                </c:pt>
                <c:pt idx="2">
                  <c:v>38.82352941176471</c:v>
                </c:pt>
                <c:pt idx="3">
                  <c:v>48.235294117647065</c:v>
                </c:pt>
                <c:pt idx="4">
                  <c:v>57.64705882352942</c:v>
                </c:pt>
                <c:pt idx="5">
                  <c:v>67.058823529411768</c:v>
                </c:pt>
                <c:pt idx="6">
                  <c:v>76.470588235294116</c:v>
                </c:pt>
                <c:pt idx="7">
                  <c:v>85.882352941176464</c:v>
                </c:pt>
                <c:pt idx="8">
                  <c:v>95.294117647058812</c:v>
                </c:pt>
                <c:pt idx="9">
                  <c:v>104.70588235294116</c:v>
                </c:pt>
                <c:pt idx="10">
                  <c:v>114.11764705882351</c:v>
                </c:pt>
                <c:pt idx="11">
                  <c:v>123.52941176470586</c:v>
                </c:pt>
                <c:pt idx="12">
                  <c:v>132.9411764705882</c:v>
                </c:pt>
                <c:pt idx="13">
                  <c:v>142.35294117647055</c:v>
                </c:pt>
                <c:pt idx="14">
                  <c:v>151.7647058823529</c:v>
                </c:pt>
                <c:pt idx="15">
                  <c:v>161.17647058823525</c:v>
                </c:pt>
              </c:numCache>
            </c:numRef>
          </c:cat>
          <c:val>
            <c:numRef>
              <c:f>'3.EnergySwaption'!$M$36:$AB$36</c:f>
              <c:numCache>
                <c:formatCode>#,##0.0000</c:formatCode>
                <c:ptCount val="16"/>
                <c:pt idx="0">
                  <c:v>-2.5392000946311551E-2</c:v>
                </c:pt>
                <c:pt idx="1">
                  <c:v>-3.2767510926845482E-2</c:v>
                </c:pt>
                <c:pt idx="2">
                  <c:v>-3.3391889697753634E-2</c:v>
                </c:pt>
                <c:pt idx="3">
                  <c:v>-3.1590392524094561E-2</c:v>
                </c:pt>
                <c:pt idx="4">
                  <c:v>-2.9115376332100592E-2</c:v>
                </c:pt>
                <c:pt idx="5">
                  <c:v>-2.661064968378923E-2</c:v>
                </c:pt>
                <c:pt idx="6">
                  <c:v>-2.4295850664657333E-2</c:v>
                </c:pt>
                <c:pt idx="7">
                  <c:v>-2.222942052654275E-2</c:v>
                </c:pt>
                <c:pt idx="8">
                  <c:v>-2.0409252066144742E-2</c:v>
                </c:pt>
                <c:pt idx="9">
                  <c:v>-1.8812518653987805E-2</c:v>
                </c:pt>
                <c:pt idx="10">
                  <c:v>-1.7411162733793614E-2</c:v>
                </c:pt>
                <c:pt idx="11">
                  <c:v>-1.6178002493205664E-2</c:v>
                </c:pt>
                <c:pt idx="12">
                  <c:v>-1.5088737370660963E-2</c:v>
                </c:pt>
                <c:pt idx="13">
                  <c:v>-1.4122552460804625E-2</c:v>
                </c:pt>
                <c:pt idx="14">
                  <c:v>-1.3261731712788103E-2</c:v>
                </c:pt>
                <c:pt idx="15">
                  <c:v>-1.2491466083730527E-2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DE-485D-A3D8-8D35D6543D29}"/>
            </c:ext>
          </c:extLst>
        </c:ser>
        <c:ser>
          <c:idx val="9"/>
          <c:order val="9"/>
          <c:tx>
            <c:strRef>
              <c:f>'3.EnergySwaption'!$L$37</c:f>
              <c:strCache>
                <c:ptCount val="1"/>
                <c:pt idx="0">
                  <c:v>36.75</c:v>
                </c:pt>
              </c:strCache>
            </c:strRef>
          </c:tx>
          <c:spPr>
            <a:solidFill>
              <a:srgbClr val="DD2D32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'3.EnergySwaption'!$M$27:$AB$27</c:f>
              <c:numCache>
                <c:formatCode>0.00</c:formatCode>
                <c:ptCount val="16"/>
                <c:pt idx="0">
                  <c:v>20</c:v>
                </c:pt>
                <c:pt idx="1">
                  <c:v>29.411764705882355</c:v>
                </c:pt>
                <c:pt idx="2">
                  <c:v>38.82352941176471</c:v>
                </c:pt>
                <c:pt idx="3">
                  <c:v>48.235294117647065</c:v>
                </c:pt>
                <c:pt idx="4">
                  <c:v>57.64705882352942</c:v>
                </c:pt>
                <c:pt idx="5">
                  <c:v>67.058823529411768</c:v>
                </c:pt>
                <c:pt idx="6">
                  <c:v>76.470588235294116</c:v>
                </c:pt>
                <c:pt idx="7">
                  <c:v>85.882352941176464</c:v>
                </c:pt>
                <c:pt idx="8">
                  <c:v>95.294117647058812</c:v>
                </c:pt>
                <c:pt idx="9">
                  <c:v>104.70588235294116</c:v>
                </c:pt>
                <c:pt idx="10">
                  <c:v>114.11764705882351</c:v>
                </c:pt>
                <c:pt idx="11">
                  <c:v>123.52941176470586</c:v>
                </c:pt>
                <c:pt idx="12">
                  <c:v>132.9411764705882</c:v>
                </c:pt>
                <c:pt idx="13">
                  <c:v>142.35294117647055</c:v>
                </c:pt>
                <c:pt idx="14">
                  <c:v>151.7647058823529</c:v>
                </c:pt>
                <c:pt idx="15">
                  <c:v>161.17647058823525</c:v>
                </c:pt>
              </c:numCache>
            </c:numRef>
          </c:cat>
          <c:val>
            <c:numRef>
              <c:f>'3.EnergySwaption'!$M$37:$AB$37</c:f>
              <c:numCache>
                <c:formatCode>#,##0.0000</c:formatCode>
                <c:ptCount val="16"/>
                <c:pt idx="0">
                  <c:v>-9.9403341780046603E-2</c:v>
                </c:pt>
                <c:pt idx="1">
                  <c:v>-7.0832967713485559E-2</c:v>
                </c:pt>
                <c:pt idx="2">
                  <c:v>-5.3428711899172747E-2</c:v>
                </c:pt>
                <c:pt idx="3">
                  <c:v>-4.2237805697453716E-2</c:v>
                </c:pt>
                <c:pt idx="4">
                  <c:v>-3.4600462051059815E-2</c:v>
                </c:pt>
                <c:pt idx="5">
                  <c:v>-2.9126358658260184E-2</c:v>
                </c:pt>
                <c:pt idx="6">
                  <c:v>-2.5045930218681175E-2</c:v>
                </c:pt>
                <c:pt idx="7">
                  <c:v>-2.1906883418409958E-2</c:v>
                </c:pt>
                <c:pt idx="8">
                  <c:v>-1.942900995643981E-2</c:v>
                </c:pt>
                <c:pt idx="9">
                  <c:v>-1.7430759502445877E-2</c:v>
                </c:pt>
                <c:pt idx="10">
                  <c:v>-1.5790032392715144E-2</c:v>
                </c:pt>
                <c:pt idx="11">
                  <c:v>-1.4422035565786471E-2</c:v>
                </c:pt>
                <c:pt idx="12">
                  <c:v>-1.3266299170311411E-2</c:v>
                </c:pt>
                <c:pt idx="13">
                  <c:v>-1.2278605243665195E-2</c:v>
                </c:pt>
                <c:pt idx="14">
                  <c:v>-1.1425961510269643E-2</c:v>
                </c:pt>
                <c:pt idx="15">
                  <c:v>-1.0683341322703653E-2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EDE-485D-A3D8-8D35D6543D29}"/>
            </c:ext>
          </c:extLst>
        </c:ser>
        <c:ser>
          <c:idx val="10"/>
          <c:order val="10"/>
          <c:tx>
            <c:strRef>
              <c:f>'3.EnergySwaption'!$L$38</c:f>
              <c:strCache>
                <c:ptCount val="1"/>
                <c:pt idx="0">
                  <c:v>35.00</c:v>
                </c:pt>
              </c:strCache>
            </c:strRef>
          </c:tx>
          <c:spPr>
            <a:solidFill>
              <a:srgbClr val="FFF58C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'3.EnergySwaption'!$M$27:$AB$27</c:f>
              <c:numCache>
                <c:formatCode>0.00</c:formatCode>
                <c:ptCount val="16"/>
                <c:pt idx="0">
                  <c:v>20</c:v>
                </c:pt>
                <c:pt idx="1">
                  <c:v>29.411764705882355</c:v>
                </c:pt>
                <c:pt idx="2">
                  <c:v>38.82352941176471</c:v>
                </c:pt>
                <c:pt idx="3">
                  <c:v>48.235294117647065</c:v>
                </c:pt>
                <c:pt idx="4">
                  <c:v>57.64705882352942</c:v>
                </c:pt>
                <c:pt idx="5">
                  <c:v>67.058823529411768</c:v>
                </c:pt>
                <c:pt idx="6">
                  <c:v>76.470588235294116</c:v>
                </c:pt>
                <c:pt idx="7">
                  <c:v>85.882352941176464</c:v>
                </c:pt>
                <c:pt idx="8">
                  <c:v>95.294117647058812</c:v>
                </c:pt>
                <c:pt idx="9">
                  <c:v>104.70588235294116</c:v>
                </c:pt>
                <c:pt idx="10">
                  <c:v>114.11764705882351</c:v>
                </c:pt>
                <c:pt idx="11">
                  <c:v>123.52941176470586</c:v>
                </c:pt>
                <c:pt idx="12">
                  <c:v>132.9411764705882</c:v>
                </c:pt>
                <c:pt idx="13">
                  <c:v>142.35294117647055</c:v>
                </c:pt>
                <c:pt idx="14">
                  <c:v>151.7647058823529</c:v>
                </c:pt>
                <c:pt idx="15">
                  <c:v>161.17647058823525</c:v>
                </c:pt>
              </c:numCache>
            </c:numRef>
          </c:cat>
          <c:val>
            <c:numRef>
              <c:f>'3.EnergySwaption'!$M$38:$AB$38</c:f>
              <c:numCache>
                <c:formatCode>#,##0.0000</c:formatCode>
                <c:ptCount val="16"/>
                <c:pt idx="0">
                  <c:v>-1.1985378800538625E-2</c:v>
                </c:pt>
                <c:pt idx="1">
                  <c:v>-9.721472404855545E-3</c:v>
                </c:pt>
                <c:pt idx="2">
                  <c:v>-8.3884396095967855E-3</c:v>
                </c:pt>
                <c:pt idx="3">
                  <c:v>-7.4854404896740325E-3</c:v>
                </c:pt>
                <c:pt idx="4">
                  <c:v>-6.8221455151729051E-3</c:v>
                </c:pt>
                <c:pt idx="5">
                  <c:v>-6.3084288903780808E-3</c:v>
                </c:pt>
                <c:pt idx="6">
                  <c:v>-5.8954519044362988E-3</c:v>
                </c:pt>
                <c:pt idx="7">
                  <c:v>-5.5540081422833501E-3</c:v>
                </c:pt>
                <c:pt idx="8">
                  <c:v>-5.2656525806327173E-3</c:v>
                </c:pt>
                <c:pt idx="9">
                  <c:v>-5.0178698973724059E-3</c:v>
                </c:pt>
                <c:pt idx="10">
                  <c:v>-4.8019763720930078E-3</c:v>
                </c:pt>
                <c:pt idx="11">
                  <c:v>-4.61165727827506E-3</c:v>
                </c:pt>
                <c:pt idx="12">
                  <c:v>-4.4422479028582975E-3</c:v>
                </c:pt>
                <c:pt idx="13">
                  <c:v>-4.2901568964026629E-3</c:v>
                </c:pt>
                <c:pt idx="14">
                  <c:v>-4.1526542204906028E-3</c:v>
                </c:pt>
                <c:pt idx="15">
                  <c:v>-4.0275118795562994E-3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EDE-485D-A3D8-8D35D6543D29}"/>
            </c:ext>
          </c:extLst>
        </c:ser>
        <c:ser>
          <c:idx val="11"/>
          <c:order val="11"/>
          <c:tx>
            <c:strRef>
              <c:f>'3.EnergySwaption'!$L$39</c:f>
              <c:strCache>
                <c:ptCount val="1"/>
                <c:pt idx="0">
                  <c:v>33.25</c:v>
                </c:pt>
              </c:strCache>
            </c:strRef>
          </c:tx>
          <c:spPr>
            <a:solidFill>
              <a:srgbClr val="4EE257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'3.EnergySwaption'!$M$27:$AB$27</c:f>
              <c:numCache>
                <c:formatCode>0.00</c:formatCode>
                <c:ptCount val="16"/>
                <c:pt idx="0">
                  <c:v>20</c:v>
                </c:pt>
                <c:pt idx="1">
                  <c:v>29.411764705882355</c:v>
                </c:pt>
                <c:pt idx="2">
                  <c:v>38.82352941176471</c:v>
                </c:pt>
                <c:pt idx="3">
                  <c:v>48.235294117647065</c:v>
                </c:pt>
                <c:pt idx="4">
                  <c:v>57.64705882352942</c:v>
                </c:pt>
                <c:pt idx="5">
                  <c:v>67.058823529411768</c:v>
                </c:pt>
                <c:pt idx="6">
                  <c:v>76.470588235294116</c:v>
                </c:pt>
                <c:pt idx="7">
                  <c:v>85.882352941176464</c:v>
                </c:pt>
                <c:pt idx="8">
                  <c:v>95.294117647058812</c:v>
                </c:pt>
                <c:pt idx="9">
                  <c:v>104.70588235294116</c:v>
                </c:pt>
                <c:pt idx="10">
                  <c:v>114.11764705882351</c:v>
                </c:pt>
                <c:pt idx="11">
                  <c:v>123.52941176470586</c:v>
                </c:pt>
                <c:pt idx="12">
                  <c:v>132.9411764705882</c:v>
                </c:pt>
                <c:pt idx="13">
                  <c:v>142.35294117647055</c:v>
                </c:pt>
                <c:pt idx="14">
                  <c:v>151.7647058823529</c:v>
                </c:pt>
                <c:pt idx="15">
                  <c:v>161.17647058823525</c:v>
                </c:pt>
              </c:numCache>
            </c:numRef>
          </c:cat>
          <c:val>
            <c:numRef>
              <c:f>'3.EnergySwaption'!$M$39:$AB$39</c:f>
              <c:numCache>
                <c:formatCode>#,##0.0000</c:formatCode>
                <c:ptCount val="16"/>
                <c:pt idx="0">
                  <c:v>0.11269872735031326</c:v>
                </c:pt>
                <c:pt idx="1">
                  <c:v>7.7918149321565253E-2</c:v>
                </c:pt>
                <c:pt idx="2">
                  <c:v>5.6466623876705306E-2</c:v>
                </c:pt>
                <c:pt idx="3">
                  <c:v>4.2706813141446524E-2</c:v>
                </c:pt>
                <c:pt idx="4">
                  <c:v>3.3392372811302799E-2</c:v>
                </c:pt>
                <c:pt idx="5">
                  <c:v>2.6789035822982751E-2</c:v>
                </c:pt>
                <c:pt idx="6">
                  <c:v>2.192854048344017E-2</c:v>
                </c:pt>
                <c:pt idx="7">
                  <c:v>1.8240020382975782E-2</c:v>
                </c:pt>
                <c:pt idx="8">
                  <c:v>1.5369783112895162E-2</c:v>
                </c:pt>
                <c:pt idx="9">
                  <c:v>1.308914920894466E-2</c:v>
                </c:pt>
                <c:pt idx="10">
                  <c:v>1.1244798536758081E-2</c:v>
                </c:pt>
                <c:pt idx="11">
                  <c:v>9.7306589452728059E-3</c:v>
                </c:pt>
                <c:pt idx="12">
                  <c:v>8.4713652759305074E-3</c:v>
                </c:pt>
                <c:pt idx="13">
                  <c:v>7.4121128124104976E-3</c:v>
                </c:pt>
                <c:pt idx="14">
                  <c:v>6.512268835301426E-3</c:v>
                </c:pt>
                <c:pt idx="15">
                  <c:v>5.7410735054830289E-3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EDE-485D-A3D8-8D35D6543D29}"/>
            </c:ext>
          </c:extLst>
        </c:ser>
        <c:ser>
          <c:idx val="12"/>
          <c:order val="12"/>
          <c:tx>
            <c:strRef>
              <c:f>'3.EnergySwaption'!$L$40</c:f>
              <c:strCache>
                <c:ptCount val="1"/>
                <c:pt idx="0">
                  <c:v>31.50</c:v>
                </c:pt>
              </c:strCache>
            </c:strRef>
          </c:tx>
          <c:spPr>
            <a:solidFill>
              <a:srgbClr val="6711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'3.EnergySwaption'!$M$27:$AB$27</c:f>
              <c:numCache>
                <c:formatCode>0.00</c:formatCode>
                <c:ptCount val="16"/>
                <c:pt idx="0">
                  <c:v>20</c:v>
                </c:pt>
                <c:pt idx="1">
                  <c:v>29.411764705882355</c:v>
                </c:pt>
                <c:pt idx="2">
                  <c:v>38.82352941176471</c:v>
                </c:pt>
                <c:pt idx="3">
                  <c:v>48.235294117647065</c:v>
                </c:pt>
                <c:pt idx="4">
                  <c:v>57.64705882352942</c:v>
                </c:pt>
                <c:pt idx="5">
                  <c:v>67.058823529411768</c:v>
                </c:pt>
                <c:pt idx="6">
                  <c:v>76.470588235294116</c:v>
                </c:pt>
                <c:pt idx="7">
                  <c:v>85.882352941176464</c:v>
                </c:pt>
                <c:pt idx="8">
                  <c:v>95.294117647058812</c:v>
                </c:pt>
                <c:pt idx="9">
                  <c:v>104.70588235294116</c:v>
                </c:pt>
                <c:pt idx="10">
                  <c:v>114.11764705882351</c:v>
                </c:pt>
                <c:pt idx="11">
                  <c:v>123.52941176470586</c:v>
                </c:pt>
                <c:pt idx="12">
                  <c:v>132.9411764705882</c:v>
                </c:pt>
                <c:pt idx="13">
                  <c:v>142.35294117647055</c:v>
                </c:pt>
                <c:pt idx="14">
                  <c:v>151.7647058823529</c:v>
                </c:pt>
                <c:pt idx="15">
                  <c:v>161.17647058823525</c:v>
                </c:pt>
              </c:numCache>
            </c:numRef>
          </c:cat>
          <c:val>
            <c:numRef>
              <c:f>'3.EnergySwaption'!$M$40:$AB$40</c:f>
              <c:numCache>
                <c:formatCode>#,##0.0000</c:formatCode>
                <c:ptCount val="16"/>
                <c:pt idx="0">
                  <c:v>2.5245596611041945E-2</c:v>
                </c:pt>
                <c:pt idx="1">
                  <c:v>3.7908492870816761E-2</c:v>
                </c:pt>
                <c:pt idx="2">
                  <c:v>4.1264327173967656E-2</c:v>
                </c:pt>
                <c:pt idx="3">
                  <c:v>4.0245552307416325E-2</c:v>
                </c:pt>
                <c:pt idx="4">
                  <c:v>3.7553236145737572E-2</c:v>
                </c:pt>
                <c:pt idx="5">
                  <c:v>3.4386058556101766E-2</c:v>
                </c:pt>
                <c:pt idx="6">
                  <c:v>3.1244889925341465E-2</c:v>
                </c:pt>
                <c:pt idx="7">
                  <c:v>2.8323874884383923E-2</c:v>
                </c:pt>
                <c:pt idx="8">
                  <c:v>2.5683591947656122E-2</c:v>
                </c:pt>
                <c:pt idx="9">
                  <c:v>2.3327467096878603E-2</c:v>
                </c:pt>
                <c:pt idx="10">
                  <c:v>2.1235856906276492E-2</c:v>
                </c:pt>
                <c:pt idx="11">
                  <c:v>1.9381392324380183E-2</c:v>
                </c:pt>
                <c:pt idx="12">
                  <c:v>1.773561614237806E-2</c:v>
                </c:pt>
                <c:pt idx="13">
                  <c:v>1.6271965441738697E-2</c:v>
                </c:pt>
                <c:pt idx="14">
                  <c:v>1.496670271050604E-2</c:v>
                </c:pt>
                <c:pt idx="15">
                  <c:v>1.3799094089605999E-2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EDE-485D-A3D8-8D35D6543D29}"/>
            </c:ext>
          </c:extLst>
        </c:ser>
        <c:ser>
          <c:idx val="13"/>
          <c:order val="13"/>
          <c:tx>
            <c:strRef>
              <c:f>'3.EnergySwaption'!$L$41</c:f>
              <c:strCache>
                <c:ptCount val="1"/>
                <c:pt idx="0">
                  <c:v>29.75</c:v>
                </c:pt>
              </c:strCache>
            </c:strRef>
          </c:tx>
          <c:spPr>
            <a:solidFill>
              <a:srgbClr val="FEA746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'3.EnergySwaption'!$M$27:$AB$27</c:f>
              <c:numCache>
                <c:formatCode>0.00</c:formatCode>
                <c:ptCount val="16"/>
                <c:pt idx="0">
                  <c:v>20</c:v>
                </c:pt>
                <c:pt idx="1">
                  <c:v>29.411764705882355</c:v>
                </c:pt>
                <c:pt idx="2">
                  <c:v>38.82352941176471</c:v>
                </c:pt>
                <c:pt idx="3">
                  <c:v>48.235294117647065</c:v>
                </c:pt>
                <c:pt idx="4">
                  <c:v>57.64705882352942</c:v>
                </c:pt>
                <c:pt idx="5">
                  <c:v>67.058823529411768</c:v>
                </c:pt>
                <c:pt idx="6">
                  <c:v>76.470588235294116</c:v>
                </c:pt>
                <c:pt idx="7">
                  <c:v>85.882352941176464</c:v>
                </c:pt>
                <c:pt idx="8">
                  <c:v>95.294117647058812</c:v>
                </c:pt>
                <c:pt idx="9">
                  <c:v>104.70588235294116</c:v>
                </c:pt>
                <c:pt idx="10">
                  <c:v>114.11764705882351</c:v>
                </c:pt>
                <c:pt idx="11">
                  <c:v>123.52941176470586</c:v>
                </c:pt>
                <c:pt idx="12">
                  <c:v>132.9411764705882</c:v>
                </c:pt>
                <c:pt idx="13">
                  <c:v>142.35294117647055</c:v>
                </c:pt>
                <c:pt idx="14">
                  <c:v>151.7647058823529</c:v>
                </c:pt>
                <c:pt idx="15">
                  <c:v>161.17647058823525</c:v>
                </c:pt>
              </c:numCache>
            </c:numRef>
          </c:cat>
          <c:val>
            <c:numRef>
              <c:f>'3.EnergySwaption'!$M$41:$AB$41</c:f>
              <c:numCache>
                <c:formatCode>#,##0.0000</c:formatCode>
                <c:ptCount val="16"/>
                <c:pt idx="0">
                  <c:v>6.1155607208296348E-4</c:v>
                </c:pt>
                <c:pt idx="1">
                  <c:v>3.6589561020795853E-3</c:v>
                </c:pt>
                <c:pt idx="2">
                  <c:v>8.136716453171695E-3</c:v>
                </c:pt>
                <c:pt idx="3">
                  <c:v>1.2290709222075034E-2</c:v>
                </c:pt>
                <c:pt idx="4">
                  <c:v>1.5422334619444309E-2</c:v>
                </c:pt>
                <c:pt idx="5">
                  <c:v>1.7499855255870275E-2</c:v>
                </c:pt>
                <c:pt idx="6">
                  <c:v>1.8715827124204939E-2</c:v>
                </c:pt>
                <c:pt idx="7">
                  <c:v>1.9291243255614706E-2</c:v>
                </c:pt>
                <c:pt idx="8">
                  <c:v>1.9413340185403524E-2</c:v>
                </c:pt>
                <c:pt idx="9">
                  <c:v>1.9224956987473615E-2</c:v>
                </c:pt>
                <c:pt idx="10">
                  <c:v>1.8830081410792229E-2</c:v>
                </c:pt>
                <c:pt idx="11">
                  <c:v>1.8302684659521336E-2</c:v>
                </c:pt>
                <c:pt idx="12">
                  <c:v>1.7694675669144285E-2</c:v>
                </c:pt>
                <c:pt idx="13">
                  <c:v>1.7042166622349694E-2</c:v>
                </c:pt>
                <c:pt idx="14">
                  <c:v>1.6370065636372996E-2</c:v>
                </c:pt>
                <c:pt idx="15">
                  <c:v>1.5695388350112079E-2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EDE-485D-A3D8-8D35D6543D29}"/>
            </c:ext>
          </c:extLst>
        </c:ser>
        <c:ser>
          <c:idx val="14"/>
          <c:order val="14"/>
          <c:tx>
            <c:strRef>
              <c:f>'3.EnergySwaption'!$L$42</c:f>
              <c:strCache>
                <c:ptCount val="1"/>
                <c:pt idx="0">
                  <c:v>28.00</c:v>
                </c:pt>
              </c:strCache>
            </c:strRef>
          </c:tx>
          <c:spPr>
            <a:solidFill>
              <a:srgbClr val="865357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'3.EnergySwaption'!$M$27:$AB$27</c:f>
              <c:numCache>
                <c:formatCode>0.00</c:formatCode>
                <c:ptCount val="16"/>
                <c:pt idx="0">
                  <c:v>20</c:v>
                </c:pt>
                <c:pt idx="1">
                  <c:v>29.411764705882355</c:v>
                </c:pt>
                <c:pt idx="2">
                  <c:v>38.82352941176471</c:v>
                </c:pt>
                <c:pt idx="3">
                  <c:v>48.235294117647065</c:v>
                </c:pt>
                <c:pt idx="4">
                  <c:v>57.64705882352942</c:v>
                </c:pt>
                <c:pt idx="5">
                  <c:v>67.058823529411768</c:v>
                </c:pt>
                <c:pt idx="6">
                  <c:v>76.470588235294116</c:v>
                </c:pt>
                <c:pt idx="7">
                  <c:v>85.882352941176464</c:v>
                </c:pt>
                <c:pt idx="8">
                  <c:v>95.294117647058812</c:v>
                </c:pt>
                <c:pt idx="9">
                  <c:v>104.70588235294116</c:v>
                </c:pt>
                <c:pt idx="10">
                  <c:v>114.11764705882351</c:v>
                </c:pt>
                <c:pt idx="11">
                  <c:v>123.52941176470586</c:v>
                </c:pt>
                <c:pt idx="12">
                  <c:v>132.9411764705882</c:v>
                </c:pt>
                <c:pt idx="13">
                  <c:v>142.35294117647055</c:v>
                </c:pt>
                <c:pt idx="14">
                  <c:v>151.7647058823529</c:v>
                </c:pt>
                <c:pt idx="15">
                  <c:v>161.17647058823525</c:v>
                </c:pt>
              </c:numCache>
            </c:numRef>
          </c:cat>
          <c:val>
            <c:numRef>
              <c:f>'3.EnergySwaption'!$M$42:$AB$42</c:f>
              <c:numCache>
                <c:formatCode>#,##0.0000</c:formatCode>
                <c:ptCount val="16"/>
                <c:pt idx="0">
                  <c:v>1.3657147785745087E-6</c:v>
                </c:pt>
                <c:pt idx="1">
                  <c:v>6.7194733572472522E-5</c:v>
                </c:pt>
                <c:pt idx="2">
                  <c:v>4.4288827218870729E-4</c:v>
                </c:pt>
                <c:pt idx="3">
                  <c:v>1.298775179471665E-3</c:v>
                </c:pt>
                <c:pt idx="4">
                  <c:v>2.5496041960613651E-3</c:v>
                </c:pt>
                <c:pt idx="5">
                  <c:v>3.9944252111685776E-3</c:v>
                </c:pt>
                <c:pt idx="6">
                  <c:v>5.4513032963533761E-3</c:v>
                </c:pt>
                <c:pt idx="7">
                  <c:v>6.8007155002922084E-3</c:v>
                </c:pt>
                <c:pt idx="8">
                  <c:v>7.9806686537065002E-3</c:v>
                </c:pt>
                <c:pt idx="9">
                  <c:v>8.9691662170238145E-3</c:v>
                </c:pt>
                <c:pt idx="10">
                  <c:v>9.7681588477616082E-3</c:v>
                </c:pt>
                <c:pt idx="11">
                  <c:v>1.0392193671576731E-2</c:v>
                </c:pt>
                <c:pt idx="12">
                  <c:v>1.0861305157344734E-2</c:v>
                </c:pt>
                <c:pt idx="13">
                  <c:v>1.1196899487447841E-2</c:v>
                </c:pt>
                <c:pt idx="14">
                  <c:v>1.1419562538639292E-2</c:v>
                </c:pt>
                <c:pt idx="15">
                  <c:v>1.1548019367146887E-2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EDE-485D-A3D8-8D35D6543D29}"/>
            </c:ext>
          </c:extLst>
        </c:ser>
        <c:ser>
          <c:idx val="15"/>
          <c:order val="15"/>
          <c:tx>
            <c:strRef>
              <c:f>'3.EnergySwaption'!$L$43</c:f>
              <c:strCache>
                <c:ptCount val="1"/>
                <c:pt idx="0">
                  <c:v>26.25</c:v>
                </c:pt>
              </c:strCache>
            </c:strRef>
          </c:tx>
          <c:spPr>
            <a:solidFill>
              <a:srgbClr val="A2BD9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'3.EnergySwaption'!$M$27:$AB$27</c:f>
              <c:numCache>
                <c:formatCode>0.00</c:formatCode>
                <c:ptCount val="16"/>
                <c:pt idx="0">
                  <c:v>20</c:v>
                </c:pt>
                <c:pt idx="1">
                  <c:v>29.411764705882355</c:v>
                </c:pt>
                <c:pt idx="2">
                  <c:v>38.82352941176471</c:v>
                </c:pt>
                <c:pt idx="3">
                  <c:v>48.235294117647065</c:v>
                </c:pt>
                <c:pt idx="4">
                  <c:v>57.64705882352942</c:v>
                </c:pt>
                <c:pt idx="5">
                  <c:v>67.058823529411768</c:v>
                </c:pt>
                <c:pt idx="6">
                  <c:v>76.470588235294116</c:v>
                </c:pt>
                <c:pt idx="7">
                  <c:v>85.882352941176464</c:v>
                </c:pt>
                <c:pt idx="8">
                  <c:v>95.294117647058812</c:v>
                </c:pt>
                <c:pt idx="9">
                  <c:v>104.70588235294116</c:v>
                </c:pt>
                <c:pt idx="10">
                  <c:v>114.11764705882351</c:v>
                </c:pt>
                <c:pt idx="11">
                  <c:v>123.52941176470586</c:v>
                </c:pt>
                <c:pt idx="12">
                  <c:v>132.9411764705882</c:v>
                </c:pt>
                <c:pt idx="13">
                  <c:v>142.35294117647055</c:v>
                </c:pt>
                <c:pt idx="14">
                  <c:v>151.7647058823529</c:v>
                </c:pt>
                <c:pt idx="15">
                  <c:v>161.17647058823525</c:v>
                </c:pt>
              </c:numCache>
            </c:numRef>
          </c:cat>
          <c:val>
            <c:numRef>
              <c:f>'3.EnergySwaption'!$M$43:$AB$43</c:f>
              <c:numCache>
                <c:formatCode>#,##0.0000</c:formatCode>
                <c:ptCount val="16"/>
                <c:pt idx="0">
                  <c:v>1.9423662479529728E-10</c:v>
                </c:pt>
                <c:pt idx="1">
                  <c:v>1.8621584806192833E-7</c:v>
                </c:pt>
                <c:pt idx="2">
                  <c:v>5.6709787647561608E-6</c:v>
                </c:pt>
                <c:pt idx="3">
                  <c:v>4.2307969634027875E-5</c:v>
                </c:pt>
                <c:pt idx="4">
                  <c:v>1.558345149800424E-4</c:v>
                </c:pt>
                <c:pt idx="5">
                  <c:v>3.8406146192742746E-4</c:v>
                </c:pt>
                <c:pt idx="6">
                  <c:v>7.3776967635151905E-4</c:v>
                </c:pt>
                <c:pt idx="7">
                  <c:v>1.2023834737107453E-3</c:v>
                </c:pt>
                <c:pt idx="8">
                  <c:v>1.7490135667888593E-3</c:v>
                </c:pt>
                <c:pt idx="9">
                  <c:v>2.3448756465184457E-3</c:v>
                </c:pt>
                <c:pt idx="10">
                  <c:v>2.9598130994734624E-3</c:v>
                </c:pt>
                <c:pt idx="11">
                  <c:v>3.5692602658177193E-3</c:v>
                </c:pt>
                <c:pt idx="12">
                  <c:v>4.1549141792038271E-3</c:v>
                </c:pt>
                <c:pt idx="13">
                  <c:v>4.7042185893214619E-3</c:v>
                </c:pt>
                <c:pt idx="14">
                  <c:v>5.2093768005898036E-3</c:v>
                </c:pt>
                <c:pt idx="15">
                  <c:v>5.6662761444697942E-3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EDE-485D-A3D8-8D35D6543D29}"/>
            </c:ext>
          </c:extLst>
        </c:ser>
        <c:ser>
          <c:idx val="16"/>
          <c:order val="16"/>
          <c:tx>
            <c:strRef>
              <c:f>'3.EnergySwaption'!$L$44</c:f>
              <c:strCache>
                <c:ptCount val="1"/>
                <c:pt idx="0">
                  <c:v>24.50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'3.EnergySwaption'!$M$27:$AB$27</c:f>
              <c:numCache>
                <c:formatCode>0.00</c:formatCode>
                <c:ptCount val="16"/>
                <c:pt idx="0">
                  <c:v>20</c:v>
                </c:pt>
                <c:pt idx="1">
                  <c:v>29.411764705882355</c:v>
                </c:pt>
                <c:pt idx="2">
                  <c:v>38.82352941176471</c:v>
                </c:pt>
                <c:pt idx="3">
                  <c:v>48.235294117647065</c:v>
                </c:pt>
                <c:pt idx="4">
                  <c:v>57.64705882352942</c:v>
                </c:pt>
                <c:pt idx="5">
                  <c:v>67.058823529411768</c:v>
                </c:pt>
                <c:pt idx="6">
                  <c:v>76.470588235294116</c:v>
                </c:pt>
                <c:pt idx="7">
                  <c:v>85.882352941176464</c:v>
                </c:pt>
                <c:pt idx="8">
                  <c:v>95.294117647058812</c:v>
                </c:pt>
                <c:pt idx="9">
                  <c:v>104.70588235294116</c:v>
                </c:pt>
                <c:pt idx="10">
                  <c:v>114.11764705882351</c:v>
                </c:pt>
                <c:pt idx="11">
                  <c:v>123.52941176470586</c:v>
                </c:pt>
                <c:pt idx="12">
                  <c:v>132.9411764705882</c:v>
                </c:pt>
                <c:pt idx="13">
                  <c:v>142.35294117647055</c:v>
                </c:pt>
                <c:pt idx="14">
                  <c:v>151.7647058823529</c:v>
                </c:pt>
                <c:pt idx="15">
                  <c:v>161.17647058823525</c:v>
                </c:pt>
              </c:numCache>
            </c:numRef>
          </c:cat>
          <c:val>
            <c:numRef>
              <c:f>'3.EnergySwaption'!$M$44:$AB$44</c:f>
              <c:numCache>
                <c:formatCode>#,##0.0000</c:formatCode>
                <c:ptCount val="16"/>
                <c:pt idx="0">
                  <c:v>1.0578291340724501E-15</c:v>
                </c:pt>
                <c:pt idx="1">
                  <c:v>5.5590219661538176E-11</c:v>
                </c:pt>
                <c:pt idx="2">
                  <c:v>1.3323929557158149E-8</c:v>
                </c:pt>
                <c:pt idx="3">
                  <c:v>3.4985476754961173E-7</c:v>
                </c:pt>
                <c:pt idx="4">
                  <c:v>3.0081771283198031E-6</c:v>
                </c:pt>
                <c:pt idx="5">
                  <c:v>1.3645171164975572E-5</c:v>
                </c:pt>
                <c:pt idx="6">
                  <c:v>4.1526056882572764E-5</c:v>
                </c:pt>
                <c:pt idx="7">
                  <c:v>9.6951999835849693E-5</c:v>
                </c:pt>
                <c:pt idx="8">
                  <c:v>1.88219445082093E-4</c:v>
                </c:pt>
                <c:pt idx="9">
                  <c:v>3.198063120341031E-4</c:v>
                </c:pt>
                <c:pt idx="10">
                  <c:v>4.9206679497097023E-4</c:v>
                </c:pt>
                <c:pt idx="11">
                  <c:v>7.0192655464082477E-4</c:v>
                </c:pt>
                <c:pt idx="12">
                  <c:v>9.4397455021981425E-4</c:v>
                </c:pt>
                <c:pt idx="13">
                  <c:v>1.2115440724226251E-3</c:v>
                </c:pt>
                <c:pt idx="14">
                  <c:v>1.4975855478676148E-3</c:v>
                </c:pt>
                <c:pt idx="15">
                  <c:v>1.7952823270963451E-3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EDE-485D-A3D8-8D35D6543D29}"/>
            </c:ext>
          </c:extLst>
        </c:ser>
        <c:ser>
          <c:idx val="17"/>
          <c:order val="17"/>
          <c:tx>
            <c:strRef>
              <c:f>'3.EnergySwaption'!$L$45</c:f>
              <c:strCache>
                <c:ptCount val="1"/>
                <c:pt idx="0">
                  <c:v>22.75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'3.EnergySwaption'!$M$27:$AB$27</c:f>
              <c:numCache>
                <c:formatCode>0.00</c:formatCode>
                <c:ptCount val="16"/>
                <c:pt idx="0">
                  <c:v>20</c:v>
                </c:pt>
                <c:pt idx="1">
                  <c:v>29.411764705882355</c:v>
                </c:pt>
                <c:pt idx="2">
                  <c:v>38.82352941176471</c:v>
                </c:pt>
                <c:pt idx="3">
                  <c:v>48.235294117647065</c:v>
                </c:pt>
                <c:pt idx="4">
                  <c:v>57.64705882352942</c:v>
                </c:pt>
                <c:pt idx="5">
                  <c:v>67.058823529411768</c:v>
                </c:pt>
                <c:pt idx="6">
                  <c:v>76.470588235294116</c:v>
                </c:pt>
                <c:pt idx="7">
                  <c:v>85.882352941176464</c:v>
                </c:pt>
                <c:pt idx="8">
                  <c:v>95.294117647058812</c:v>
                </c:pt>
                <c:pt idx="9">
                  <c:v>104.70588235294116</c:v>
                </c:pt>
                <c:pt idx="10">
                  <c:v>114.11764705882351</c:v>
                </c:pt>
                <c:pt idx="11">
                  <c:v>123.52941176470586</c:v>
                </c:pt>
                <c:pt idx="12">
                  <c:v>132.9411764705882</c:v>
                </c:pt>
                <c:pt idx="13">
                  <c:v>142.35294117647055</c:v>
                </c:pt>
                <c:pt idx="14">
                  <c:v>151.7647058823529</c:v>
                </c:pt>
                <c:pt idx="15">
                  <c:v>161.17647058823525</c:v>
                </c:pt>
              </c:numCache>
            </c:numRef>
          </c:cat>
          <c:val>
            <c:numRef>
              <c:f>'3.EnergySwaption'!$M$45:$AB$45</c:f>
              <c:numCache>
                <c:formatCode>#,##0.0000</c:formatCode>
                <c:ptCount val="16"/>
                <c:pt idx="0">
                  <c:v>1.1356177543009749E-22</c:v>
                </c:pt>
                <c:pt idx="1">
                  <c:v>1.1437532656162103E-15</c:v>
                </c:pt>
                <c:pt idx="2">
                  <c:v>4.1111193095524279E-12</c:v>
                </c:pt>
                <c:pt idx="3">
                  <c:v>5.6285720513832705E-10</c:v>
                </c:pt>
                <c:pt idx="4">
                  <c:v>1.4719990456836014E-8</c:v>
                </c:pt>
                <c:pt idx="5">
                  <c:v>1.486453288492784E-7</c:v>
                </c:pt>
                <c:pt idx="6">
                  <c:v>8.2713423147729054E-7</c:v>
                </c:pt>
                <c:pt idx="7">
                  <c:v>3.0939627672906535E-6</c:v>
                </c:pt>
                <c:pt idx="8">
                  <c:v>8.7689511126921715E-6</c:v>
                </c:pt>
                <c:pt idx="9">
                  <c:v>2.0323845776932958E-5</c:v>
                </c:pt>
                <c:pt idx="10">
                  <c:v>4.0530891625270618E-5</c:v>
                </c:pt>
                <c:pt idx="11">
                  <c:v>7.2040624057891607E-5</c:v>
                </c:pt>
                <c:pt idx="12">
                  <c:v>1.170271904285102E-4</c:v>
                </c:pt>
                <c:pt idx="13">
                  <c:v>1.7696933421316354E-4</c:v>
                </c:pt>
                <c:pt idx="14">
                  <c:v>2.5257222286128184E-4</c:v>
                </c:pt>
                <c:pt idx="15">
                  <c:v>3.4380031327797643E-4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EDE-485D-A3D8-8D35D6543D29}"/>
            </c:ext>
          </c:extLst>
        </c:ser>
        <c:ser>
          <c:idx val="18"/>
          <c:order val="18"/>
          <c:tx>
            <c:strRef>
              <c:f>'3.EnergySwaption'!$L$46</c:f>
              <c:strCache>
                <c:ptCount val="1"/>
                <c:pt idx="0">
                  <c:v>21.00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'3.EnergySwaption'!$M$27:$AB$27</c:f>
              <c:numCache>
                <c:formatCode>0.00</c:formatCode>
                <c:ptCount val="16"/>
                <c:pt idx="0">
                  <c:v>20</c:v>
                </c:pt>
                <c:pt idx="1">
                  <c:v>29.411764705882355</c:v>
                </c:pt>
                <c:pt idx="2">
                  <c:v>38.82352941176471</c:v>
                </c:pt>
                <c:pt idx="3">
                  <c:v>48.235294117647065</c:v>
                </c:pt>
                <c:pt idx="4">
                  <c:v>57.64705882352942</c:v>
                </c:pt>
                <c:pt idx="5">
                  <c:v>67.058823529411768</c:v>
                </c:pt>
                <c:pt idx="6">
                  <c:v>76.470588235294116</c:v>
                </c:pt>
                <c:pt idx="7">
                  <c:v>85.882352941176464</c:v>
                </c:pt>
                <c:pt idx="8">
                  <c:v>95.294117647058812</c:v>
                </c:pt>
                <c:pt idx="9">
                  <c:v>104.70588235294116</c:v>
                </c:pt>
                <c:pt idx="10">
                  <c:v>114.11764705882351</c:v>
                </c:pt>
                <c:pt idx="11">
                  <c:v>123.52941176470586</c:v>
                </c:pt>
                <c:pt idx="12">
                  <c:v>132.9411764705882</c:v>
                </c:pt>
                <c:pt idx="13">
                  <c:v>142.35294117647055</c:v>
                </c:pt>
                <c:pt idx="14">
                  <c:v>151.7647058823529</c:v>
                </c:pt>
                <c:pt idx="15">
                  <c:v>161.17647058823525</c:v>
                </c:pt>
              </c:numCache>
            </c:numRef>
          </c:cat>
          <c:val>
            <c:numRef>
              <c:f>'3.EnergySwaption'!$M$46:$AB$46</c:f>
              <c:numCache>
                <c:formatCode>#,##0.0000</c:formatCode>
                <c:ptCount val="16"/>
                <c:pt idx="0">
                  <c:v>1.0115090991516974E-31</c:v>
                </c:pt>
                <c:pt idx="1">
                  <c:v>9.0343545716858128E-22</c:v>
                </c:pt>
                <c:pt idx="2">
                  <c:v>1.0720941855120168E-16</c:v>
                </c:pt>
                <c:pt idx="3">
                  <c:v>1.2382359316744283E-13</c:v>
                </c:pt>
                <c:pt idx="4">
                  <c:v>1.3617786285069418E-11</c:v>
                </c:pt>
                <c:pt idx="5">
                  <c:v>3.8645997326750321E-10</c:v>
                </c:pt>
                <c:pt idx="6">
                  <c:v>4.6867735038970545E-9</c:v>
                </c:pt>
                <c:pt idx="7">
                  <c:v>3.2214187967227303E-8</c:v>
                </c:pt>
                <c:pt idx="8">
                  <c:v>1.4878602006063346E-7</c:v>
                </c:pt>
                <c:pt idx="9">
                  <c:v>5.147715436290192E-7</c:v>
                </c:pt>
                <c:pt idx="10">
                  <c:v>1.4345804914124882E-6</c:v>
                </c:pt>
                <c:pt idx="11">
                  <c:v>3.3863694049921173E-6</c:v>
                </c:pt>
                <c:pt idx="12">
                  <c:v>7.0185318011064867E-6</c:v>
                </c:pt>
                <c:pt idx="13">
                  <c:v>1.3112912988144576E-5</c:v>
                </c:pt>
                <c:pt idx="14">
                  <c:v>2.252501640477534E-5</c:v>
                </c:pt>
                <c:pt idx="15">
                  <c:v>3.6115339324609503E-5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EDE-485D-A3D8-8D35D6543D29}"/>
            </c:ext>
          </c:extLst>
        </c:ser>
        <c:ser>
          <c:idx val="19"/>
          <c:order val="19"/>
          <c:tx>
            <c:strRef>
              <c:f>'3.EnergySwaption'!$L$47</c:f>
              <c:strCache>
                <c:ptCount val="1"/>
                <c:pt idx="0">
                  <c:v>19.25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'3.EnergySwaption'!$M$27:$AB$27</c:f>
              <c:numCache>
                <c:formatCode>0.00</c:formatCode>
                <c:ptCount val="16"/>
                <c:pt idx="0">
                  <c:v>20</c:v>
                </c:pt>
                <c:pt idx="1">
                  <c:v>29.411764705882355</c:v>
                </c:pt>
                <c:pt idx="2">
                  <c:v>38.82352941176471</c:v>
                </c:pt>
                <c:pt idx="3">
                  <c:v>48.235294117647065</c:v>
                </c:pt>
                <c:pt idx="4">
                  <c:v>57.64705882352942</c:v>
                </c:pt>
                <c:pt idx="5">
                  <c:v>67.058823529411768</c:v>
                </c:pt>
                <c:pt idx="6">
                  <c:v>76.470588235294116</c:v>
                </c:pt>
                <c:pt idx="7">
                  <c:v>85.882352941176464</c:v>
                </c:pt>
                <c:pt idx="8">
                  <c:v>95.294117647058812</c:v>
                </c:pt>
                <c:pt idx="9">
                  <c:v>104.70588235294116</c:v>
                </c:pt>
                <c:pt idx="10">
                  <c:v>114.11764705882351</c:v>
                </c:pt>
                <c:pt idx="11">
                  <c:v>123.52941176470586</c:v>
                </c:pt>
                <c:pt idx="12">
                  <c:v>132.9411764705882</c:v>
                </c:pt>
                <c:pt idx="13">
                  <c:v>142.35294117647055</c:v>
                </c:pt>
                <c:pt idx="14">
                  <c:v>151.7647058823529</c:v>
                </c:pt>
                <c:pt idx="15">
                  <c:v>161.17647058823525</c:v>
                </c:pt>
              </c:numCache>
            </c:numRef>
          </c:cat>
          <c:val>
            <c:numRef>
              <c:f>'3.EnergySwaption'!$M$47:$AB$47</c:f>
              <c:numCache>
                <c:formatCode>#,##0.0000</c:formatCode>
                <c:ptCount val="16"/>
                <c:pt idx="0">
                  <c:v>2.3870773164967758E-43</c:v>
                </c:pt>
                <c:pt idx="1">
                  <c:v>1.2637976036783636E-29</c:v>
                </c:pt>
                <c:pt idx="2">
                  <c:v>1.3174924463468374E-22</c:v>
                </c:pt>
                <c:pt idx="3">
                  <c:v>2.3313210220516824E-18</c:v>
                </c:pt>
                <c:pt idx="4">
                  <c:v>1.6114507118587691E-15</c:v>
                </c:pt>
                <c:pt idx="5">
                  <c:v>1.7158868684623222E-13</c:v>
                </c:pt>
                <c:pt idx="6">
                  <c:v>5.6391563853201964E-12</c:v>
                </c:pt>
                <c:pt idx="7">
                  <c:v>8.4427886532439662E-11</c:v>
                </c:pt>
                <c:pt idx="8">
                  <c:v>7.2836322152767803E-10</c:v>
                </c:pt>
                <c:pt idx="9">
                  <c:v>4.20723212376471E-9</c:v>
                </c:pt>
                <c:pt idx="10">
                  <c:v>1.79892912302986E-8</c:v>
                </c:pt>
                <c:pt idx="11">
                  <c:v>6.104187667116229E-8</c:v>
                </c:pt>
                <c:pt idx="12">
                  <c:v>1.7276383486174372E-7</c:v>
                </c:pt>
                <c:pt idx="13">
                  <c:v>4.230082896227785E-7</c:v>
                </c:pt>
                <c:pt idx="14">
                  <c:v>9.2090078764542242E-7</c:v>
                </c:pt>
                <c:pt idx="15">
                  <c:v>1.8202898173367547E-6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EDE-485D-A3D8-8D35D6543D29}"/>
            </c:ext>
          </c:extLst>
        </c:ser>
        <c:ser>
          <c:idx val="20"/>
          <c:order val="20"/>
          <c:tx>
            <c:strRef>
              <c:f>'3.EnergySwaption'!$L$48</c:f>
              <c:strCache>
                <c:ptCount val="1"/>
                <c:pt idx="0">
                  <c:v>17.50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'3.EnergySwaption'!$M$27:$AB$27</c:f>
              <c:numCache>
                <c:formatCode>0.00</c:formatCode>
                <c:ptCount val="16"/>
                <c:pt idx="0">
                  <c:v>20</c:v>
                </c:pt>
                <c:pt idx="1">
                  <c:v>29.411764705882355</c:v>
                </c:pt>
                <c:pt idx="2">
                  <c:v>38.82352941176471</c:v>
                </c:pt>
                <c:pt idx="3">
                  <c:v>48.235294117647065</c:v>
                </c:pt>
                <c:pt idx="4">
                  <c:v>57.64705882352942</c:v>
                </c:pt>
                <c:pt idx="5">
                  <c:v>67.058823529411768</c:v>
                </c:pt>
                <c:pt idx="6">
                  <c:v>76.470588235294116</c:v>
                </c:pt>
                <c:pt idx="7">
                  <c:v>85.882352941176464</c:v>
                </c:pt>
                <c:pt idx="8">
                  <c:v>95.294117647058812</c:v>
                </c:pt>
                <c:pt idx="9">
                  <c:v>104.70588235294116</c:v>
                </c:pt>
                <c:pt idx="10">
                  <c:v>114.11764705882351</c:v>
                </c:pt>
                <c:pt idx="11">
                  <c:v>123.52941176470586</c:v>
                </c:pt>
                <c:pt idx="12">
                  <c:v>132.9411764705882</c:v>
                </c:pt>
                <c:pt idx="13">
                  <c:v>142.35294117647055</c:v>
                </c:pt>
                <c:pt idx="14">
                  <c:v>151.7647058823529</c:v>
                </c:pt>
                <c:pt idx="15">
                  <c:v>161.17647058823525</c:v>
                </c:pt>
              </c:numCache>
            </c:numRef>
          </c:cat>
          <c:val>
            <c:numRef>
              <c:f>'3.EnergySwaption'!$M$48:$AB$48</c:f>
              <c:numCache>
                <c:formatCode>#,##0.0000</c:formatCode>
                <c:ptCount val="16"/>
                <c:pt idx="0">
                  <c:v>3.2170680135404816E-58</c:v>
                </c:pt>
                <c:pt idx="1">
                  <c:v>1.1052319033195704E-39</c:v>
                </c:pt>
                <c:pt idx="2">
                  <c:v>3.4727351965924351E-30</c:v>
                </c:pt>
                <c:pt idx="3">
                  <c:v>1.9965435237368512E-24</c:v>
                </c:pt>
                <c:pt idx="4">
                  <c:v>1.4390211307433722E-20</c:v>
                </c:pt>
                <c:pt idx="5">
                  <c:v>8.2746854621889505E-18</c:v>
                </c:pt>
                <c:pt idx="6">
                  <c:v>9.6970318612267901E-16</c:v>
                </c:pt>
                <c:pt idx="7">
                  <c:v>3.9181548768836708E-14</c:v>
                </c:pt>
                <c:pt idx="8">
                  <c:v>7.4984654818911686E-13</c:v>
                </c:pt>
                <c:pt idx="9">
                  <c:v>8.3265854851704613E-12</c:v>
                </c:pt>
                <c:pt idx="10">
                  <c:v>6.1451581489087708E-11</c:v>
                </c:pt>
                <c:pt idx="11">
                  <c:v>3.3120339714489275E-10</c:v>
                </c:pt>
                <c:pt idx="12">
                  <c:v>1.3945506130366162E-9</c:v>
                </c:pt>
                <c:pt idx="13">
                  <c:v>4.8200470233473502E-9</c:v>
                </c:pt>
                <c:pt idx="14">
                  <c:v>1.4193298353156756E-8</c:v>
                </c:pt>
                <c:pt idx="15">
                  <c:v>3.663333152266316E-8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EDE-485D-A3D8-8D35D6543D29}"/>
            </c:ext>
          </c:extLst>
        </c:ser>
        <c:bandFmts>
          <c:bandFmt>
            <c:idx val="0"/>
            <c:spPr>
              <a:solidFill>
                <a:srgbClr val="63AAFE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"/>
            <c:spPr>
              <a:solidFill>
                <a:srgbClr val="DD2D32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"/>
            <c:spPr>
              <a:solidFill>
                <a:srgbClr val="FFF58C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"/>
            <c:spPr>
              <a:solidFill>
                <a:srgbClr val="4EE257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"/>
            <c:spPr>
              <a:solidFill>
                <a:srgbClr val="6711FF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5"/>
            <c:spPr>
              <a:solidFill>
                <a:srgbClr val="FEA746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6"/>
            <c:spPr>
              <a:solidFill>
                <a:srgbClr val="865357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7"/>
            <c:spPr>
              <a:solidFill>
                <a:srgbClr val="A2BD90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8"/>
            <c:spPr>
              <a:solidFill>
                <a:srgbClr val="63AAFE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9"/>
            <c:spPr>
              <a:solidFill>
                <a:srgbClr val="DD2D32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</c:bandFmts>
        <c:axId val="108227247"/>
        <c:axId val="1"/>
        <c:axId val="2"/>
      </c:surface3DChart>
      <c:catAx>
        <c:axId val="108227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Time to maturity</a:t>
                </a:r>
              </a:p>
            </c:rich>
          </c:tx>
          <c:layout>
            <c:manualLayout>
              <c:xMode val="edge"/>
              <c:yMode val="edge"/>
              <c:x val="0.87450468019119165"/>
              <c:y val="0.6762520347293269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08227247"/>
        <c:crosses val="autoZero"/>
        <c:crossBetween val="between"/>
      </c:valAx>
      <c:serAx>
        <c:axId val="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Asset price</a:t>
                </a:r>
              </a:p>
            </c:rich>
          </c:tx>
          <c:layout>
            <c:manualLayout>
              <c:xMode val="edge"/>
              <c:yMode val="edge"/>
              <c:x val="0.21758011181790415"/>
              <c:y val="0.8074039444950146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"/>
        <c:crosses val="autoZero"/>
        <c:tickLblSkip val="2"/>
        <c:tickMarkSkip val="1"/>
      </c:ser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100"/>
      <c:rotY val="290"/>
      <c:depthPercent val="100"/>
      <c:rAngAx val="0"/>
    </c:view3D>
    <c:floor>
      <c:thickness val="0"/>
      <c:spPr>
        <a:noFill/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12700">
          <a:solidFill>
            <a:srgbClr val="808080"/>
          </a:solidFill>
          <a:prstDash val="solid"/>
        </a:ln>
      </c:spPr>
    </c:sideWall>
    <c:backWall>
      <c:thickness val="0"/>
      <c:spPr>
        <a:noFill/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9.8329473610014373E-2"/>
          <c:y val="1.0246242950444347E-2"/>
          <c:w val="0.74479345968436417"/>
          <c:h val="0.90166937963910265"/>
        </c:manualLayout>
      </c:layout>
      <c:surface3DChart>
        <c:wireframe val="0"/>
        <c:ser>
          <c:idx val="0"/>
          <c:order val="0"/>
          <c:tx>
            <c:strRef>
              <c:f>'4.EnergySwaptionApprox'!$L$28</c:f>
              <c:strCache>
                <c:ptCount val="1"/>
                <c:pt idx="0">
                  <c:v>52.50</c:v>
                </c:pt>
              </c:strCache>
            </c:strRef>
          </c:tx>
          <c:spPr>
            <a:solidFill>
              <a:srgbClr val="63AAFE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'4.EnergySwaptionApprox'!$M$27:$AB$27</c:f>
              <c:numCache>
                <c:formatCode>0.00</c:formatCode>
                <c:ptCount val="16"/>
                <c:pt idx="0">
                  <c:v>0.1</c:v>
                </c:pt>
                <c:pt idx="1">
                  <c:v>0.15294117647058825</c:v>
                </c:pt>
                <c:pt idx="2">
                  <c:v>0.20588235294117649</c:v>
                </c:pt>
                <c:pt idx="3">
                  <c:v>0.25882352941176473</c:v>
                </c:pt>
                <c:pt idx="4">
                  <c:v>0.31176470588235294</c:v>
                </c:pt>
                <c:pt idx="5">
                  <c:v>0.36470588235294116</c:v>
                </c:pt>
                <c:pt idx="6">
                  <c:v>0.41764705882352937</c:v>
                </c:pt>
                <c:pt idx="7">
                  <c:v>0.47058823529411759</c:v>
                </c:pt>
                <c:pt idx="8">
                  <c:v>0.5235294117647058</c:v>
                </c:pt>
                <c:pt idx="9">
                  <c:v>0.57647058823529407</c:v>
                </c:pt>
                <c:pt idx="10">
                  <c:v>0.62941176470588234</c:v>
                </c:pt>
                <c:pt idx="11">
                  <c:v>0.68235294117647061</c:v>
                </c:pt>
                <c:pt idx="12">
                  <c:v>0.73529411764705888</c:v>
                </c:pt>
                <c:pt idx="13">
                  <c:v>0.78823529411764715</c:v>
                </c:pt>
                <c:pt idx="14">
                  <c:v>0.84117647058823541</c:v>
                </c:pt>
                <c:pt idx="15">
                  <c:v>0.89411764705882368</c:v>
                </c:pt>
              </c:numCache>
            </c:numRef>
          </c:cat>
          <c:val>
            <c:numRef>
              <c:f>'4.EnergySwaptionApprox'!$M$28:$AB$28</c:f>
              <c:numCache>
                <c:formatCode>#,##0.0000</c:formatCode>
                <c:ptCount val="16"/>
                <c:pt idx="0">
                  <c:v>0</c:v>
                </c:pt>
                <c:pt idx="1">
                  <c:v>5.3645976549887564E-9</c:v>
                </c:pt>
                <c:pt idx="2">
                  <c:v>3.312194962745707E-7</c:v>
                </c:pt>
                <c:pt idx="3">
                  <c:v>3.6646241596827167E-6</c:v>
                </c:pt>
                <c:pt idx="4">
                  <c:v>1.7590089385066676E-5</c:v>
                </c:pt>
                <c:pt idx="5">
                  <c:v>5.2844022491171927E-5</c:v>
                </c:pt>
                <c:pt idx="6">
                  <c:v>1.1892769435917216E-4</c:v>
                </c:pt>
                <c:pt idx="7">
                  <c:v>2.2126908305608595E-4</c:v>
                </c:pt>
                <c:pt idx="8">
                  <c:v>3.608265686239065E-4</c:v>
                </c:pt>
                <c:pt idx="9">
                  <c:v>5.3508117048295389E-4</c:v>
                </c:pt>
                <c:pt idx="10">
                  <c:v>7.3937602707019323E-4</c:v>
                </c:pt>
                <c:pt idx="11">
                  <c:v>9.6806864746667998E-4</c:v>
                </c:pt>
                <c:pt idx="12">
                  <c:v>1.2153457262797929E-3</c:v>
                </c:pt>
                <c:pt idx="13">
                  <c:v>1.4757229394035676E-3</c:v>
                </c:pt>
                <c:pt idx="14">
                  <c:v>1.7443072053424657E-3</c:v>
                </c:pt>
                <c:pt idx="15">
                  <c:v>2.0169016323734468E-3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AE-41DD-878B-DB08C8300E2C}"/>
            </c:ext>
          </c:extLst>
        </c:ser>
        <c:ser>
          <c:idx val="1"/>
          <c:order val="1"/>
          <c:tx>
            <c:strRef>
              <c:f>'4.EnergySwaptionApprox'!$L$29</c:f>
              <c:strCache>
                <c:ptCount val="1"/>
                <c:pt idx="0">
                  <c:v>50.75</c:v>
                </c:pt>
              </c:strCache>
            </c:strRef>
          </c:tx>
          <c:spPr>
            <a:solidFill>
              <a:srgbClr val="DD2D32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'4.EnergySwaptionApprox'!$M$27:$AB$27</c:f>
              <c:numCache>
                <c:formatCode>0.00</c:formatCode>
                <c:ptCount val="16"/>
                <c:pt idx="0">
                  <c:v>0.1</c:v>
                </c:pt>
                <c:pt idx="1">
                  <c:v>0.15294117647058825</c:v>
                </c:pt>
                <c:pt idx="2">
                  <c:v>0.20588235294117649</c:v>
                </c:pt>
                <c:pt idx="3">
                  <c:v>0.25882352941176473</c:v>
                </c:pt>
                <c:pt idx="4">
                  <c:v>0.31176470588235294</c:v>
                </c:pt>
                <c:pt idx="5">
                  <c:v>0.36470588235294116</c:v>
                </c:pt>
                <c:pt idx="6">
                  <c:v>0.41764705882352937</c:v>
                </c:pt>
                <c:pt idx="7">
                  <c:v>0.47058823529411759</c:v>
                </c:pt>
                <c:pt idx="8">
                  <c:v>0.5235294117647058</c:v>
                </c:pt>
                <c:pt idx="9">
                  <c:v>0.57647058823529407</c:v>
                </c:pt>
                <c:pt idx="10">
                  <c:v>0.62941176470588234</c:v>
                </c:pt>
                <c:pt idx="11">
                  <c:v>0.68235294117647061</c:v>
                </c:pt>
                <c:pt idx="12">
                  <c:v>0.73529411764705888</c:v>
                </c:pt>
                <c:pt idx="13">
                  <c:v>0.78823529411764715</c:v>
                </c:pt>
                <c:pt idx="14">
                  <c:v>0.84117647058823541</c:v>
                </c:pt>
                <c:pt idx="15">
                  <c:v>0.89411764705882368</c:v>
                </c:pt>
              </c:numCache>
            </c:numRef>
          </c:cat>
          <c:val>
            <c:numRef>
              <c:f>'4.EnergySwaptionApprox'!$M$29:$AB$29</c:f>
              <c:numCache>
                <c:formatCode>#,##0.0000</c:formatCode>
                <c:ptCount val="16"/>
                <c:pt idx="0">
                  <c:v>7.1054273576010019E-11</c:v>
                </c:pt>
                <c:pt idx="1">
                  <c:v>8.1303852539349464E-8</c:v>
                </c:pt>
                <c:pt idx="2">
                  <c:v>2.5113777724072861E-6</c:v>
                </c:pt>
                <c:pt idx="3">
                  <c:v>1.8545058821928251E-5</c:v>
                </c:pt>
                <c:pt idx="4">
                  <c:v>6.8178032108789921E-5</c:v>
                </c:pt>
                <c:pt idx="5">
                  <c:v>1.6949883274719468E-4</c:v>
                </c:pt>
                <c:pt idx="6">
                  <c:v>3.3120061360136788E-4</c:v>
                </c:pt>
                <c:pt idx="7">
                  <c:v>5.5229707029980091E-4</c:v>
                </c:pt>
                <c:pt idx="8">
                  <c:v>8.2530066336516938E-4</c:v>
                </c:pt>
                <c:pt idx="9">
                  <c:v>1.1396287291631779E-3</c:v>
                </c:pt>
                <c:pt idx="10">
                  <c:v>1.4840516371350532E-3</c:v>
                </c:pt>
                <c:pt idx="11">
                  <c:v>1.8481063790432017E-3</c:v>
                </c:pt>
                <c:pt idx="12">
                  <c:v>2.222755473013649E-3</c:v>
                </c:pt>
                <c:pt idx="13">
                  <c:v>2.6005792719274723E-3</c:v>
                </c:pt>
                <c:pt idx="14">
                  <c:v>2.9757167574473442E-3</c:v>
                </c:pt>
                <c:pt idx="15">
                  <c:v>3.3436900359617994E-3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AE-41DD-878B-DB08C8300E2C}"/>
            </c:ext>
          </c:extLst>
        </c:ser>
        <c:ser>
          <c:idx val="2"/>
          <c:order val="2"/>
          <c:tx>
            <c:strRef>
              <c:f>'4.EnergySwaptionApprox'!$L$30</c:f>
              <c:strCache>
                <c:ptCount val="1"/>
                <c:pt idx="0">
                  <c:v>49.00</c:v>
                </c:pt>
              </c:strCache>
            </c:strRef>
          </c:tx>
          <c:spPr>
            <a:solidFill>
              <a:srgbClr val="FFF58C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'4.EnergySwaptionApprox'!$M$27:$AB$27</c:f>
              <c:numCache>
                <c:formatCode>0.00</c:formatCode>
                <c:ptCount val="16"/>
                <c:pt idx="0">
                  <c:v>0.1</c:v>
                </c:pt>
                <c:pt idx="1">
                  <c:v>0.15294117647058825</c:v>
                </c:pt>
                <c:pt idx="2">
                  <c:v>0.20588235294117649</c:v>
                </c:pt>
                <c:pt idx="3">
                  <c:v>0.25882352941176473</c:v>
                </c:pt>
                <c:pt idx="4">
                  <c:v>0.31176470588235294</c:v>
                </c:pt>
                <c:pt idx="5">
                  <c:v>0.36470588235294116</c:v>
                </c:pt>
                <c:pt idx="6">
                  <c:v>0.41764705882352937</c:v>
                </c:pt>
                <c:pt idx="7">
                  <c:v>0.47058823529411759</c:v>
                </c:pt>
                <c:pt idx="8">
                  <c:v>0.5235294117647058</c:v>
                </c:pt>
                <c:pt idx="9">
                  <c:v>0.57647058823529407</c:v>
                </c:pt>
                <c:pt idx="10">
                  <c:v>0.62941176470588234</c:v>
                </c:pt>
                <c:pt idx="11">
                  <c:v>0.68235294117647061</c:v>
                </c:pt>
                <c:pt idx="12">
                  <c:v>0.73529411764705888</c:v>
                </c:pt>
                <c:pt idx="13">
                  <c:v>0.78823529411764715</c:v>
                </c:pt>
                <c:pt idx="14">
                  <c:v>0.84117647058823541</c:v>
                </c:pt>
                <c:pt idx="15">
                  <c:v>0.89411764705882368</c:v>
                </c:pt>
              </c:numCache>
            </c:numRef>
          </c:cat>
          <c:val>
            <c:numRef>
              <c:f>'4.EnergySwaptionApprox'!$M$30:$AB$30</c:f>
              <c:numCache>
                <c:formatCode>#,##0.0000</c:formatCode>
                <c:ptCount val="16"/>
                <c:pt idx="0">
                  <c:v>3.0908609005564358E-9</c:v>
                </c:pt>
                <c:pt idx="1">
                  <c:v>1.0510525783047342E-6</c:v>
                </c:pt>
                <c:pt idx="2">
                  <c:v>1.7043415567741249E-5</c:v>
                </c:pt>
                <c:pt idx="3">
                  <c:v>8.5992226672715333E-5</c:v>
                </c:pt>
                <c:pt idx="4">
                  <c:v>2.4582277546869591E-4</c:v>
                </c:pt>
                <c:pt idx="5">
                  <c:v>5.112241829863251E-4</c:v>
                </c:pt>
                <c:pt idx="6">
                  <c:v>8.7429649298087497E-4</c:v>
                </c:pt>
                <c:pt idx="7">
                  <c:v>1.3148790500849827E-3</c:v>
                </c:pt>
                <c:pt idx="8">
                  <c:v>1.8094323905870624E-3</c:v>
                </c:pt>
                <c:pt idx="9">
                  <c:v>2.3360549761264338E-3</c:v>
                </c:pt>
                <c:pt idx="10">
                  <c:v>2.8765508375272475E-3</c:v>
                </c:pt>
                <c:pt idx="11">
                  <c:v>3.4168315110605363E-3</c:v>
                </c:pt>
                <c:pt idx="12">
                  <c:v>3.946550410915961E-3</c:v>
                </c:pt>
                <c:pt idx="13">
                  <c:v>4.45846817243023E-3</c:v>
                </c:pt>
                <c:pt idx="14">
                  <c:v>4.9477910657458324E-3</c:v>
                </c:pt>
                <c:pt idx="15">
                  <c:v>5.4115846914726262E-3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AE-41DD-878B-DB08C8300E2C}"/>
            </c:ext>
          </c:extLst>
        </c:ser>
        <c:ser>
          <c:idx val="3"/>
          <c:order val="3"/>
          <c:tx>
            <c:strRef>
              <c:f>'4.EnergySwaptionApprox'!$L$31</c:f>
              <c:strCache>
                <c:ptCount val="1"/>
                <c:pt idx="0">
                  <c:v>47.25</c:v>
                </c:pt>
              </c:strCache>
            </c:strRef>
          </c:tx>
          <c:spPr>
            <a:solidFill>
              <a:srgbClr val="4EE257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'4.EnergySwaptionApprox'!$M$27:$AB$27</c:f>
              <c:numCache>
                <c:formatCode>0.00</c:formatCode>
                <c:ptCount val="16"/>
                <c:pt idx="0">
                  <c:v>0.1</c:v>
                </c:pt>
                <c:pt idx="1">
                  <c:v>0.15294117647058825</c:v>
                </c:pt>
                <c:pt idx="2">
                  <c:v>0.20588235294117649</c:v>
                </c:pt>
                <c:pt idx="3">
                  <c:v>0.25882352941176473</c:v>
                </c:pt>
                <c:pt idx="4">
                  <c:v>0.31176470588235294</c:v>
                </c:pt>
                <c:pt idx="5">
                  <c:v>0.36470588235294116</c:v>
                </c:pt>
                <c:pt idx="6">
                  <c:v>0.41764705882352937</c:v>
                </c:pt>
                <c:pt idx="7">
                  <c:v>0.47058823529411759</c:v>
                </c:pt>
                <c:pt idx="8">
                  <c:v>0.5235294117647058</c:v>
                </c:pt>
                <c:pt idx="9">
                  <c:v>0.57647058823529407</c:v>
                </c:pt>
                <c:pt idx="10">
                  <c:v>0.62941176470588234</c:v>
                </c:pt>
                <c:pt idx="11">
                  <c:v>0.68235294117647061</c:v>
                </c:pt>
                <c:pt idx="12">
                  <c:v>0.73529411764705888</c:v>
                </c:pt>
                <c:pt idx="13">
                  <c:v>0.78823529411764715</c:v>
                </c:pt>
                <c:pt idx="14">
                  <c:v>0.84117647058823541</c:v>
                </c:pt>
                <c:pt idx="15">
                  <c:v>0.89411764705882368</c:v>
                </c:pt>
              </c:numCache>
            </c:numRef>
          </c:cat>
          <c:val>
            <c:numRef>
              <c:f>'4.EnergySwaptionApprox'!$M$31:$AB$31</c:f>
              <c:numCache>
                <c:formatCode>#,##0.0000</c:formatCode>
                <c:ptCount val="16"/>
                <c:pt idx="0">
                  <c:v>1.1588952020247234E-7</c:v>
                </c:pt>
                <c:pt idx="1">
                  <c:v>1.147656192301838E-5</c:v>
                </c:pt>
                <c:pt idx="2">
                  <c:v>1.0206436584780931E-4</c:v>
                </c:pt>
                <c:pt idx="3">
                  <c:v>3.6109867096456583E-4</c:v>
                </c:pt>
                <c:pt idx="4">
                  <c:v>8.1656583716949172E-4</c:v>
                </c:pt>
                <c:pt idx="5">
                  <c:v>1.4379272172959645E-3</c:v>
                </c:pt>
                <c:pt idx="6">
                  <c:v>2.1719809062403783E-3</c:v>
                </c:pt>
                <c:pt idx="7">
                  <c:v>2.9668031942264861E-3</c:v>
                </c:pt>
                <c:pt idx="8">
                  <c:v>3.7809736852523201E-3</c:v>
                </c:pt>
                <c:pt idx="9">
                  <c:v>4.5848667262760046E-3</c:v>
                </c:pt>
                <c:pt idx="10">
                  <c:v>5.3589133841569492E-3</c:v>
                </c:pt>
                <c:pt idx="11">
                  <c:v>6.0911909827154886E-3</c:v>
                </c:pt>
                <c:pt idx="12">
                  <c:v>6.7752361232464864E-3</c:v>
                </c:pt>
                <c:pt idx="13">
                  <c:v>7.4083207124431283E-3</c:v>
                </c:pt>
                <c:pt idx="14">
                  <c:v>7.9901836080864541E-3</c:v>
                </c:pt>
                <c:pt idx="15">
                  <c:v>8.522131871302463E-3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AE-41DD-878B-DB08C8300E2C}"/>
            </c:ext>
          </c:extLst>
        </c:ser>
        <c:ser>
          <c:idx val="4"/>
          <c:order val="4"/>
          <c:tx>
            <c:strRef>
              <c:f>'4.EnergySwaptionApprox'!$L$32</c:f>
              <c:strCache>
                <c:ptCount val="1"/>
                <c:pt idx="0">
                  <c:v>45.50</c:v>
                </c:pt>
              </c:strCache>
            </c:strRef>
          </c:tx>
          <c:spPr>
            <a:solidFill>
              <a:srgbClr val="6711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'4.EnergySwaptionApprox'!$M$27:$AB$27</c:f>
              <c:numCache>
                <c:formatCode>0.00</c:formatCode>
                <c:ptCount val="16"/>
                <c:pt idx="0">
                  <c:v>0.1</c:v>
                </c:pt>
                <c:pt idx="1">
                  <c:v>0.15294117647058825</c:v>
                </c:pt>
                <c:pt idx="2">
                  <c:v>0.20588235294117649</c:v>
                </c:pt>
                <c:pt idx="3">
                  <c:v>0.25882352941176473</c:v>
                </c:pt>
                <c:pt idx="4">
                  <c:v>0.31176470588235294</c:v>
                </c:pt>
                <c:pt idx="5">
                  <c:v>0.36470588235294116</c:v>
                </c:pt>
                <c:pt idx="6">
                  <c:v>0.41764705882352937</c:v>
                </c:pt>
                <c:pt idx="7">
                  <c:v>0.47058823529411759</c:v>
                </c:pt>
                <c:pt idx="8">
                  <c:v>0.5235294117647058</c:v>
                </c:pt>
                <c:pt idx="9">
                  <c:v>0.57647058823529407</c:v>
                </c:pt>
                <c:pt idx="10">
                  <c:v>0.62941176470588234</c:v>
                </c:pt>
                <c:pt idx="11">
                  <c:v>0.68235294117647061</c:v>
                </c:pt>
                <c:pt idx="12">
                  <c:v>0.73529411764705888</c:v>
                </c:pt>
                <c:pt idx="13">
                  <c:v>0.78823529411764715</c:v>
                </c:pt>
                <c:pt idx="14">
                  <c:v>0.84117647058823541</c:v>
                </c:pt>
                <c:pt idx="15">
                  <c:v>0.89411764705882368</c:v>
                </c:pt>
              </c:numCache>
            </c:numRef>
          </c:cat>
          <c:val>
            <c:numRef>
              <c:f>'4.EnergySwaptionApprox'!$M$32:$AB$32</c:f>
              <c:numCache>
                <c:formatCode>#,##0.0000</c:formatCode>
                <c:ptCount val="16"/>
                <c:pt idx="0">
                  <c:v>3.2448888021008315E-6</c:v>
                </c:pt>
                <c:pt idx="1">
                  <c:v>1.034241847719386E-4</c:v>
                </c:pt>
                <c:pt idx="2">
                  <c:v>5.3025555502017596E-4</c:v>
                </c:pt>
                <c:pt idx="3">
                  <c:v>1.354848819801191E-3</c:v>
                </c:pt>
                <c:pt idx="4">
                  <c:v>2.4712373303259483E-3</c:v>
                </c:pt>
                <c:pt idx="5">
                  <c:v>3.7360922000573282E-3</c:v>
                </c:pt>
                <c:pt idx="6">
                  <c:v>5.0360270620330994E-3</c:v>
                </c:pt>
                <c:pt idx="7">
                  <c:v>6.297933499155306E-3</c:v>
                </c:pt>
                <c:pt idx="8">
                  <c:v>7.4806777128344493E-3</c:v>
                </c:pt>
                <c:pt idx="9">
                  <c:v>8.564602804739252E-3</c:v>
                </c:pt>
                <c:pt idx="10">
                  <c:v>9.5433048130644238E-3</c:v>
                </c:pt>
                <c:pt idx="11">
                  <c:v>1.0418062998951427E-2</c:v>
                </c:pt>
                <c:pt idx="12">
                  <c:v>1.1194308218165361E-2</c:v>
                </c:pt>
                <c:pt idx="13">
                  <c:v>1.1879473404974306E-2</c:v>
                </c:pt>
                <c:pt idx="14">
                  <c:v>1.248172353029986E-2</c:v>
                </c:pt>
                <c:pt idx="15">
                  <c:v>1.3009231611960104E-2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AE-41DD-878B-DB08C8300E2C}"/>
            </c:ext>
          </c:extLst>
        </c:ser>
        <c:ser>
          <c:idx val="5"/>
          <c:order val="5"/>
          <c:tx>
            <c:strRef>
              <c:f>'4.EnergySwaptionApprox'!$L$33</c:f>
              <c:strCache>
                <c:ptCount val="1"/>
                <c:pt idx="0">
                  <c:v>43.75</c:v>
                </c:pt>
              </c:strCache>
            </c:strRef>
          </c:tx>
          <c:spPr>
            <a:solidFill>
              <a:srgbClr val="FEA746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'4.EnergySwaptionApprox'!$M$27:$AB$27</c:f>
              <c:numCache>
                <c:formatCode>0.00</c:formatCode>
                <c:ptCount val="16"/>
                <c:pt idx="0">
                  <c:v>0.1</c:v>
                </c:pt>
                <c:pt idx="1">
                  <c:v>0.15294117647058825</c:v>
                </c:pt>
                <c:pt idx="2">
                  <c:v>0.20588235294117649</c:v>
                </c:pt>
                <c:pt idx="3">
                  <c:v>0.25882352941176473</c:v>
                </c:pt>
                <c:pt idx="4">
                  <c:v>0.31176470588235294</c:v>
                </c:pt>
                <c:pt idx="5">
                  <c:v>0.36470588235294116</c:v>
                </c:pt>
                <c:pt idx="6">
                  <c:v>0.41764705882352937</c:v>
                </c:pt>
                <c:pt idx="7">
                  <c:v>0.47058823529411759</c:v>
                </c:pt>
                <c:pt idx="8">
                  <c:v>0.5235294117647058</c:v>
                </c:pt>
                <c:pt idx="9">
                  <c:v>0.57647058823529407</c:v>
                </c:pt>
                <c:pt idx="10">
                  <c:v>0.62941176470588234</c:v>
                </c:pt>
                <c:pt idx="11">
                  <c:v>0.68235294117647061</c:v>
                </c:pt>
                <c:pt idx="12">
                  <c:v>0.73529411764705888</c:v>
                </c:pt>
                <c:pt idx="13">
                  <c:v>0.78823529411764715</c:v>
                </c:pt>
                <c:pt idx="14">
                  <c:v>0.84117647058823541</c:v>
                </c:pt>
                <c:pt idx="15">
                  <c:v>0.89411764705882368</c:v>
                </c:pt>
              </c:numCache>
            </c:numRef>
          </c:cat>
          <c:val>
            <c:numRef>
              <c:f>'4.EnergySwaptionApprox'!$M$33:$AB$33</c:f>
              <c:numCache>
                <c:formatCode>#,##0.0000</c:formatCode>
                <c:ptCount val="16"/>
                <c:pt idx="0">
                  <c:v>6.500552984789465E-5</c:v>
                </c:pt>
                <c:pt idx="1">
                  <c:v>7.4922791526432775E-4</c:v>
                </c:pt>
                <c:pt idx="2">
                  <c:v>2.3437232954393039E-3</c:v>
                </c:pt>
                <c:pt idx="3">
                  <c:v>4.4721903691424814E-3</c:v>
                </c:pt>
                <c:pt idx="4">
                  <c:v>6.726877082030569E-3</c:v>
                </c:pt>
                <c:pt idx="5">
                  <c:v>8.8694161171076757E-3</c:v>
                </c:pt>
                <c:pt idx="6">
                  <c:v>1.0794648641621052E-2</c:v>
                </c:pt>
                <c:pt idx="7">
                  <c:v>1.2472165629162646E-2</c:v>
                </c:pt>
                <c:pt idx="8">
                  <c:v>1.3907871476703804E-2</c:v>
                </c:pt>
                <c:pt idx="9">
                  <c:v>1.5123069196931738E-2</c:v>
                </c:pt>
                <c:pt idx="10">
                  <c:v>1.6143977408233923E-2</c:v>
                </c:pt>
                <c:pt idx="11">
                  <c:v>1.6996801903701453E-2</c:v>
                </c:pt>
                <c:pt idx="12">
                  <c:v>1.7705627435304905E-2</c:v>
                </c:pt>
                <c:pt idx="13">
                  <c:v>1.8291695820238374E-2</c:v>
                </c:pt>
                <c:pt idx="14">
                  <c:v>1.8773333749777521E-2</c:v>
                </c:pt>
                <c:pt idx="15">
                  <c:v>1.9166166556061626E-2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AE-41DD-878B-DB08C8300E2C}"/>
            </c:ext>
          </c:extLst>
        </c:ser>
        <c:ser>
          <c:idx val="6"/>
          <c:order val="6"/>
          <c:tx>
            <c:strRef>
              <c:f>'4.EnergySwaptionApprox'!$L$34</c:f>
              <c:strCache>
                <c:ptCount val="1"/>
                <c:pt idx="0">
                  <c:v>42.00</c:v>
                </c:pt>
              </c:strCache>
            </c:strRef>
          </c:tx>
          <c:spPr>
            <a:solidFill>
              <a:srgbClr val="865357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'4.EnergySwaptionApprox'!$M$27:$AB$27</c:f>
              <c:numCache>
                <c:formatCode>0.00</c:formatCode>
                <c:ptCount val="16"/>
                <c:pt idx="0">
                  <c:v>0.1</c:v>
                </c:pt>
                <c:pt idx="1">
                  <c:v>0.15294117647058825</c:v>
                </c:pt>
                <c:pt idx="2">
                  <c:v>0.20588235294117649</c:v>
                </c:pt>
                <c:pt idx="3">
                  <c:v>0.25882352941176473</c:v>
                </c:pt>
                <c:pt idx="4">
                  <c:v>0.31176470588235294</c:v>
                </c:pt>
                <c:pt idx="5">
                  <c:v>0.36470588235294116</c:v>
                </c:pt>
                <c:pt idx="6">
                  <c:v>0.41764705882352937</c:v>
                </c:pt>
                <c:pt idx="7">
                  <c:v>0.47058823529411759</c:v>
                </c:pt>
                <c:pt idx="8">
                  <c:v>0.5235294117647058</c:v>
                </c:pt>
                <c:pt idx="9">
                  <c:v>0.57647058823529407</c:v>
                </c:pt>
                <c:pt idx="10">
                  <c:v>0.62941176470588234</c:v>
                </c:pt>
                <c:pt idx="11">
                  <c:v>0.68235294117647061</c:v>
                </c:pt>
                <c:pt idx="12">
                  <c:v>0.73529411764705888</c:v>
                </c:pt>
                <c:pt idx="13">
                  <c:v>0.78823529411764715</c:v>
                </c:pt>
                <c:pt idx="14">
                  <c:v>0.84117647058823541</c:v>
                </c:pt>
                <c:pt idx="15">
                  <c:v>0.89411764705882368</c:v>
                </c:pt>
              </c:numCache>
            </c:numRef>
          </c:cat>
          <c:val>
            <c:numRef>
              <c:f>'4.EnergySwaptionApprox'!$M$34:$AB$34</c:f>
              <c:numCache>
                <c:formatCode>#,##0.0000</c:formatCode>
                <c:ptCount val="16"/>
                <c:pt idx="0">
                  <c:v>8.8891799698842533E-4</c:v>
                </c:pt>
                <c:pt idx="1">
                  <c:v>4.2318557902376597E-3</c:v>
                </c:pt>
                <c:pt idx="2">
                  <c:v>8.6161181034327683E-3</c:v>
                </c:pt>
                <c:pt idx="3">
                  <c:v>1.2755987910395561E-2</c:v>
                </c:pt>
                <c:pt idx="4">
                  <c:v>1.6226547199238439E-2</c:v>
                </c:pt>
                <c:pt idx="5">
                  <c:v>1.8995751238648495E-2</c:v>
                </c:pt>
                <c:pt idx="6">
                  <c:v>2.1155019469532022E-2</c:v>
                </c:pt>
                <c:pt idx="7">
                  <c:v>2.2817364442317967E-2</c:v>
                </c:pt>
                <c:pt idx="8">
                  <c:v>2.4084984495686967E-2</c:v>
                </c:pt>
                <c:pt idx="9">
                  <c:v>2.5041834001982011E-2</c:v>
                </c:pt>
                <c:pt idx="10">
                  <c:v>2.5754361407948068E-2</c:v>
                </c:pt>
                <c:pt idx="11">
                  <c:v>2.6274418702953994E-2</c:v>
                </c:pt>
                <c:pt idx="12">
                  <c:v>2.6642317010328043E-2</c:v>
                </c:pt>
                <c:pt idx="13">
                  <c:v>2.6889439412869365E-2</c:v>
                </c:pt>
                <c:pt idx="14">
                  <c:v>2.7040315746518218E-2</c:v>
                </c:pt>
                <c:pt idx="15">
                  <c:v>2.7114218896784337E-2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EAE-41DD-878B-DB08C8300E2C}"/>
            </c:ext>
          </c:extLst>
        </c:ser>
        <c:ser>
          <c:idx val="7"/>
          <c:order val="7"/>
          <c:tx>
            <c:strRef>
              <c:f>'4.EnergySwaptionApprox'!$L$35</c:f>
              <c:strCache>
                <c:ptCount val="1"/>
                <c:pt idx="0">
                  <c:v>40.25</c:v>
                </c:pt>
              </c:strCache>
            </c:strRef>
          </c:tx>
          <c:spPr>
            <a:solidFill>
              <a:srgbClr val="A2BD9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'4.EnergySwaptionApprox'!$M$27:$AB$27</c:f>
              <c:numCache>
                <c:formatCode>0.00</c:formatCode>
                <c:ptCount val="16"/>
                <c:pt idx="0">
                  <c:v>0.1</c:v>
                </c:pt>
                <c:pt idx="1">
                  <c:v>0.15294117647058825</c:v>
                </c:pt>
                <c:pt idx="2">
                  <c:v>0.20588235294117649</c:v>
                </c:pt>
                <c:pt idx="3">
                  <c:v>0.25882352941176473</c:v>
                </c:pt>
                <c:pt idx="4">
                  <c:v>0.31176470588235294</c:v>
                </c:pt>
                <c:pt idx="5">
                  <c:v>0.36470588235294116</c:v>
                </c:pt>
                <c:pt idx="6">
                  <c:v>0.41764705882352937</c:v>
                </c:pt>
                <c:pt idx="7">
                  <c:v>0.47058823529411759</c:v>
                </c:pt>
                <c:pt idx="8">
                  <c:v>0.5235294117647058</c:v>
                </c:pt>
                <c:pt idx="9">
                  <c:v>0.57647058823529407</c:v>
                </c:pt>
                <c:pt idx="10">
                  <c:v>0.62941176470588234</c:v>
                </c:pt>
                <c:pt idx="11">
                  <c:v>0.68235294117647061</c:v>
                </c:pt>
                <c:pt idx="12">
                  <c:v>0.73529411764705888</c:v>
                </c:pt>
                <c:pt idx="13">
                  <c:v>0.78823529411764715</c:v>
                </c:pt>
                <c:pt idx="14">
                  <c:v>0.84117647058823541</c:v>
                </c:pt>
                <c:pt idx="15">
                  <c:v>0.89411764705882368</c:v>
                </c:pt>
              </c:numCache>
            </c:numRef>
          </c:cat>
          <c:val>
            <c:numRef>
              <c:f>'4.EnergySwaptionApprox'!$M$35:$AB$35</c:f>
              <c:numCache>
                <c:formatCode>#,##0.0000</c:formatCode>
                <c:ptCount val="16"/>
                <c:pt idx="0">
                  <c:v>7.8575655582113768E-3</c:v>
                </c:pt>
                <c:pt idx="1">
                  <c:v>1.7986462950148052E-2</c:v>
                </c:pt>
                <c:pt idx="2">
                  <c:v>2.5660413358608025E-2</c:v>
                </c:pt>
                <c:pt idx="3">
                  <c:v>3.0788782083845945E-2</c:v>
                </c:pt>
                <c:pt idx="4">
                  <c:v>3.4090195413227775E-2</c:v>
                </c:pt>
                <c:pt idx="5">
                  <c:v>3.6164627612578215E-2</c:v>
                </c:pt>
                <c:pt idx="6">
                  <c:v>3.7420508176566614E-2</c:v>
                </c:pt>
                <c:pt idx="7">
                  <c:v>3.8125451142789757E-2</c:v>
                </c:pt>
                <c:pt idx="8">
                  <c:v>3.8455113848812061E-2</c:v>
                </c:pt>
                <c:pt idx="9">
                  <c:v>3.8526372199143566E-2</c:v>
                </c:pt>
                <c:pt idx="10">
                  <c:v>3.8418294741049408E-2</c:v>
                </c:pt>
                <c:pt idx="11">
                  <c:v>3.8185261299616968E-2</c:v>
                </c:pt>
                <c:pt idx="12">
                  <c:v>3.7865242488166473E-2</c:v>
                </c:pt>
                <c:pt idx="13">
                  <c:v>3.7485107942103468E-2</c:v>
                </c:pt>
                <c:pt idx="14">
                  <c:v>3.7064090214755652E-2</c:v>
                </c:pt>
                <c:pt idx="15">
                  <c:v>3.6616085994367609E-2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EAE-41DD-878B-DB08C8300E2C}"/>
            </c:ext>
          </c:extLst>
        </c:ser>
        <c:ser>
          <c:idx val="8"/>
          <c:order val="8"/>
          <c:tx>
            <c:strRef>
              <c:f>'4.EnergySwaptionApprox'!$L$36</c:f>
              <c:strCache>
                <c:ptCount val="1"/>
                <c:pt idx="0">
                  <c:v>38.50</c:v>
                </c:pt>
              </c:strCache>
            </c:strRef>
          </c:tx>
          <c:spPr>
            <a:solidFill>
              <a:srgbClr val="63AAFE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'4.EnergySwaptionApprox'!$M$27:$AB$27</c:f>
              <c:numCache>
                <c:formatCode>0.00</c:formatCode>
                <c:ptCount val="16"/>
                <c:pt idx="0">
                  <c:v>0.1</c:v>
                </c:pt>
                <c:pt idx="1">
                  <c:v>0.15294117647058825</c:v>
                </c:pt>
                <c:pt idx="2">
                  <c:v>0.20588235294117649</c:v>
                </c:pt>
                <c:pt idx="3">
                  <c:v>0.25882352941176473</c:v>
                </c:pt>
                <c:pt idx="4">
                  <c:v>0.31176470588235294</c:v>
                </c:pt>
                <c:pt idx="5">
                  <c:v>0.36470588235294116</c:v>
                </c:pt>
                <c:pt idx="6">
                  <c:v>0.41764705882352937</c:v>
                </c:pt>
                <c:pt idx="7">
                  <c:v>0.47058823529411759</c:v>
                </c:pt>
                <c:pt idx="8">
                  <c:v>0.5235294117647058</c:v>
                </c:pt>
                <c:pt idx="9">
                  <c:v>0.57647058823529407</c:v>
                </c:pt>
                <c:pt idx="10">
                  <c:v>0.62941176470588234</c:v>
                </c:pt>
                <c:pt idx="11">
                  <c:v>0.68235294117647061</c:v>
                </c:pt>
                <c:pt idx="12">
                  <c:v>0.73529411764705888</c:v>
                </c:pt>
                <c:pt idx="13">
                  <c:v>0.78823529411764715</c:v>
                </c:pt>
                <c:pt idx="14">
                  <c:v>0.84117647058823541</c:v>
                </c:pt>
                <c:pt idx="15">
                  <c:v>0.89411764705882368</c:v>
                </c:pt>
              </c:numCache>
            </c:numRef>
          </c:cat>
          <c:val>
            <c:numRef>
              <c:f>'4.EnergySwaptionApprox'!$M$36:$AB$36</c:f>
              <c:numCache>
                <c:formatCode>#,##0.0000</c:formatCode>
                <c:ptCount val="16"/>
                <c:pt idx="0">
                  <c:v>4.2127744013242818E-2</c:v>
                </c:pt>
                <c:pt idx="1">
                  <c:v>5.5183228560018449E-2</c:v>
                </c:pt>
                <c:pt idx="2">
                  <c:v>6.0031405624272338E-2</c:v>
                </c:pt>
                <c:pt idx="3">
                  <c:v>6.1366288557351822E-2</c:v>
                </c:pt>
                <c:pt idx="4">
                  <c:v>6.1125074402035295E-2</c:v>
                </c:pt>
                <c:pt idx="5">
                  <c:v>6.0154211247720468E-2</c:v>
                </c:pt>
                <c:pt idx="6">
                  <c:v>5.885056377774589E-2</c:v>
                </c:pt>
                <c:pt idx="7">
                  <c:v>5.7410534317625661E-2</c:v>
                </c:pt>
                <c:pt idx="8">
                  <c:v>5.5934737983598382E-2</c:v>
                </c:pt>
                <c:pt idx="9">
                  <c:v>5.4475427848643676E-2</c:v>
                </c:pt>
                <c:pt idx="10">
                  <c:v>5.3059392817189632E-2</c:v>
                </c:pt>
                <c:pt idx="11">
                  <c:v>5.1699604242116948E-2</c:v>
                </c:pt>
                <c:pt idx="12">
                  <c:v>5.0401396531896125E-2</c:v>
                </c:pt>
                <c:pt idx="13">
                  <c:v>4.916585597314338E-2</c:v>
                </c:pt>
                <c:pt idx="14">
                  <c:v>4.7991730287577639E-2</c:v>
                </c:pt>
                <c:pt idx="15">
                  <c:v>4.6876523338568177E-2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EAE-41DD-878B-DB08C8300E2C}"/>
            </c:ext>
          </c:extLst>
        </c:ser>
        <c:ser>
          <c:idx val="9"/>
          <c:order val="9"/>
          <c:tx>
            <c:strRef>
              <c:f>'4.EnergySwaptionApprox'!$L$37</c:f>
              <c:strCache>
                <c:ptCount val="1"/>
                <c:pt idx="0">
                  <c:v>36.75</c:v>
                </c:pt>
              </c:strCache>
            </c:strRef>
          </c:tx>
          <c:spPr>
            <a:solidFill>
              <a:srgbClr val="DD2D32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'4.EnergySwaptionApprox'!$M$27:$AB$27</c:f>
              <c:numCache>
                <c:formatCode>0.00</c:formatCode>
                <c:ptCount val="16"/>
                <c:pt idx="0">
                  <c:v>0.1</c:v>
                </c:pt>
                <c:pt idx="1">
                  <c:v>0.15294117647058825</c:v>
                </c:pt>
                <c:pt idx="2">
                  <c:v>0.20588235294117649</c:v>
                </c:pt>
                <c:pt idx="3">
                  <c:v>0.25882352941176473</c:v>
                </c:pt>
                <c:pt idx="4">
                  <c:v>0.31176470588235294</c:v>
                </c:pt>
                <c:pt idx="5">
                  <c:v>0.36470588235294116</c:v>
                </c:pt>
                <c:pt idx="6">
                  <c:v>0.41764705882352937</c:v>
                </c:pt>
                <c:pt idx="7">
                  <c:v>0.47058823529411759</c:v>
                </c:pt>
                <c:pt idx="8">
                  <c:v>0.5235294117647058</c:v>
                </c:pt>
                <c:pt idx="9">
                  <c:v>0.57647058823529407</c:v>
                </c:pt>
                <c:pt idx="10">
                  <c:v>0.62941176470588234</c:v>
                </c:pt>
                <c:pt idx="11">
                  <c:v>0.68235294117647061</c:v>
                </c:pt>
                <c:pt idx="12">
                  <c:v>0.73529411764705888</c:v>
                </c:pt>
                <c:pt idx="13">
                  <c:v>0.78823529411764715</c:v>
                </c:pt>
                <c:pt idx="14">
                  <c:v>0.84117647058823541</c:v>
                </c:pt>
                <c:pt idx="15">
                  <c:v>0.89411764705882368</c:v>
                </c:pt>
              </c:numCache>
            </c:numRef>
          </c:cat>
          <c:val>
            <c:numRef>
              <c:f>'4.EnergySwaptionApprox'!$M$37:$AB$37</c:f>
              <c:numCache>
                <c:formatCode>#,##0.0000</c:formatCode>
                <c:ptCount val="16"/>
                <c:pt idx="0">
                  <c:v>0.12710088262757324</c:v>
                </c:pt>
                <c:pt idx="1">
                  <c:v>0.11637761236027444</c:v>
                </c:pt>
                <c:pt idx="2">
                  <c:v>0.10639063271700167</c:v>
                </c:pt>
                <c:pt idx="3">
                  <c:v>9.8133870221062125E-2</c:v>
                </c:pt>
                <c:pt idx="4">
                  <c:v>9.1333894256528936E-2</c:v>
                </c:pt>
                <c:pt idx="5">
                  <c:v>8.5656396593414286E-2</c:v>
                </c:pt>
                <c:pt idx="6">
                  <c:v>8.0840490017664024E-2</c:v>
                </c:pt>
                <c:pt idx="7">
                  <c:v>7.6695153006234307E-2</c:v>
                </c:pt>
                <c:pt idx="8">
                  <c:v>7.3080842897255138E-2</c:v>
                </c:pt>
                <c:pt idx="9">
                  <c:v>6.9894250791513457E-2</c:v>
                </c:pt>
                <c:pt idx="10">
                  <c:v>6.7057559149930057E-2</c:v>
                </c:pt>
                <c:pt idx="11">
                  <c:v>6.45111159869316E-2</c:v>
                </c:pt>
                <c:pt idx="12">
                  <c:v>6.2208433675436936E-2</c:v>
                </c:pt>
                <c:pt idx="13">
                  <c:v>6.0112731459227575E-2</c:v>
                </c:pt>
                <c:pt idx="14">
                  <c:v>5.8194506968867188E-2</c:v>
                </c:pt>
                <c:pt idx="15">
                  <c:v>5.6429800574520073E-2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EAE-41DD-878B-DB08C8300E2C}"/>
            </c:ext>
          </c:extLst>
        </c:ser>
        <c:ser>
          <c:idx val="10"/>
          <c:order val="10"/>
          <c:tx>
            <c:strRef>
              <c:f>'4.EnergySwaptionApprox'!$L$38</c:f>
              <c:strCache>
                <c:ptCount val="1"/>
                <c:pt idx="0">
                  <c:v>35.00</c:v>
                </c:pt>
              </c:strCache>
            </c:strRef>
          </c:tx>
          <c:spPr>
            <a:solidFill>
              <a:srgbClr val="FFF58C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'4.EnergySwaptionApprox'!$M$27:$AB$27</c:f>
              <c:numCache>
                <c:formatCode>0.00</c:formatCode>
                <c:ptCount val="16"/>
                <c:pt idx="0">
                  <c:v>0.1</c:v>
                </c:pt>
                <c:pt idx="1">
                  <c:v>0.15294117647058825</c:v>
                </c:pt>
                <c:pt idx="2">
                  <c:v>0.20588235294117649</c:v>
                </c:pt>
                <c:pt idx="3">
                  <c:v>0.25882352941176473</c:v>
                </c:pt>
                <c:pt idx="4">
                  <c:v>0.31176470588235294</c:v>
                </c:pt>
                <c:pt idx="5">
                  <c:v>0.36470588235294116</c:v>
                </c:pt>
                <c:pt idx="6">
                  <c:v>0.41764705882352937</c:v>
                </c:pt>
                <c:pt idx="7">
                  <c:v>0.47058823529411759</c:v>
                </c:pt>
                <c:pt idx="8">
                  <c:v>0.5235294117647058</c:v>
                </c:pt>
                <c:pt idx="9">
                  <c:v>0.57647058823529407</c:v>
                </c:pt>
                <c:pt idx="10">
                  <c:v>0.62941176470588234</c:v>
                </c:pt>
                <c:pt idx="11">
                  <c:v>0.68235294117647061</c:v>
                </c:pt>
                <c:pt idx="12">
                  <c:v>0.73529411764705888</c:v>
                </c:pt>
                <c:pt idx="13">
                  <c:v>0.78823529411764715</c:v>
                </c:pt>
                <c:pt idx="14">
                  <c:v>0.84117647058823541</c:v>
                </c:pt>
                <c:pt idx="15">
                  <c:v>0.89411764705882368</c:v>
                </c:pt>
              </c:numCache>
            </c:numRef>
          </c:cat>
          <c:val>
            <c:numRef>
              <c:f>'4.EnergySwaptionApprox'!$M$38:$AB$38</c:f>
              <c:numCache>
                <c:formatCode>#,##0.0000</c:formatCode>
                <c:ptCount val="16"/>
                <c:pt idx="0">
                  <c:v>0.19745731768661123</c:v>
                </c:pt>
                <c:pt idx="1">
                  <c:v>0.15920936661362184</c:v>
                </c:pt>
                <c:pt idx="2">
                  <c:v>0.13682917186397248</c:v>
                </c:pt>
                <c:pt idx="3">
                  <c:v>0.12168687891334073</c:v>
                </c:pt>
                <c:pt idx="4">
                  <c:v>0.11055782715763129</c:v>
                </c:pt>
                <c:pt idx="5">
                  <c:v>0.10192692118549118</c:v>
                </c:pt>
                <c:pt idx="6">
                  <c:v>9.4975784026285481E-2</c:v>
                </c:pt>
                <c:pt idx="7">
                  <c:v>8.9218388061862441E-2</c:v>
                </c:pt>
                <c:pt idx="8">
                  <c:v>8.4345450188649806E-2</c:v>
                </c:pt>
                <c:pt idx="9">
                  <c:v>8.0149519250394263E-2</c:v>
                </c:pt>
                <c:pt idx="10">
                  <c:v>7.6485544497906233E-2</c:v>
                </c:pt>
                <c:pt idx="11">
                  <c:v>7.3248637042500064E-2</c:v>
                </c:pt>
                <c:pt idx="12">
                  <c:v>7.0360808930303165E-2</c:v>
                </c:pt>
                <c:pt idx="13">
                  <c:v>6.7762702724571966E-2</c:v>
                </c:pt>
                <c:pt idx="14">
                  <c:v>6.5408228362429099E-2</c:v>
                </c:pt>
                <c:pt idx="15">
                  <c:v>6.3260977265500173E-2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EAE-41DD-878B-DB08C8300E2C}"/>
            </c:ext>
          </c:extLst>
        </c:ser>
        <c:ser>
          <c:idx val="11"/>
          <c:order val="11"/>
          <c:tx>
            <c:strRef>
              <c:f>'4.EnergySwaptionApprox'!$L$39</c:f>
              <c:strCache>
                <c:ptCount val="1"/>
                <c:pt idx="0">
                  <c:v>33.25</c:v>
                </c:pt>
              </c:strCache>
            </c:strRef>
          </c:tx>
          <c:spPr>
            <a:solidFill>
              <a:srgbClr val="4EE257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'4.EnergySwaptionApprox'!$M$27:$AB$27</c:f>
              <c:numCache>
                <c:formatCode>0.00</c:formatCode>
                <c:ptCount val="16"/>
                <c:pt idx="0">
                  <c:v>0.1</c:v>
                </c:pt>
                <c:pt idx="1">
                  <c:v>0.15294117647058825</c:v>
                </c:pt>
                <c:pt idx="2">
                  <c:v>0.20588235294117649</c:v>
                </c:pt>
                <c:pt idx="3">
                  <c:v>0.25882352941176473</c:v>
                </c:pt>
                <c:pt idx="4">
                  <c:v>0.31176470588235294</c:v>
                </c:pt>
                <c:pt idx="5">
                  <c:v>0.36470588235294116</c:v>
                </c:pt>
                <c:pt idx="6">
                  <c:v>0.41764705882352937</c:v>
                </c:pt>
                <c:pt idx="7">
                  <c:v>0.47058823529411759</c:v>
                </c:pt>
                <c:pt idx="8">
                  <c:v>0.5235294117647058</c:v>
                </c:pt>
                <c:pt idx="9">
                  <c:v>0.57647058823529407</c:v>
                </c:pt>
                <c:pt idx="10">
                  <c:v>0.62941176470588234</c:v>
                </c:pt>
                <c:pt idx="11">
                  <c:v>0.68235294117647061</c:v>
                </c:pt>
                <c:pt idx="12">
                  <c:v>0.73529411764705888</c:v>
                </c:pt>
                <c:pt idx="13">
                  <c:v>0.78823529411764715</c:v>
                </c:pt>
                <c:pt idx="14">
                  <c:v>0.84117647058823541</c:v>
                </c:pt>
                <c:pt idx="15">
                  <c:v>0.89411764705882368</c:v>
                </c:pt>
              </c:numCache>
            </c:numRef>
          </c:cat>
          <c:val>
            <c:numRef>
              <c:f>'4.EnergySwaptionApprox'!$M$39:$AB$39</c:f>
              <c:numCache>
                <c:formatCode>#,##0.0000</c:formatCode>
                <c:ptCount val="16"/>
                <c:pt idx="0">
                  <c:v>0.1420877383559449</c:v>
                </c:pt>
                <c:pt idx="1">
                  <c:v>0.13185285226813281</c:v>
                </c:pt>
                <c:pt idx="2">
                  <c:v>0.1213239362746199</c:v>
                </c:pt>
                <c:pt idx="3">
                  <c:v>0.11233890278905534</c:v>
                </c:pt>
                <c:pt idx="4">
                  <c:v>0.10482016450708009</c:v>
                </c:pt>
                <c:pt idx="5">
                  <c:v>9.8481454038346072E-2</c:v>
                </c:pt>
                <c:pt idx="6">
                  <c:v>9.306945678244638E-2</c:v>
                </c:pt>
                <c:pt idx="7">
                  <c:v>8.8389045201919814E-2</c:v>
                </c:pt>
                <c:pt idx="8">
                  <c:v>8.4293654343259306E-2</c:v>
                </c:pt>
                <c:pt idx="9">
                  <c:v>8.0672836577644347E-2</c:v>
                </c:pt>
                <c:pt idx="10">
                  <c:v>7.7442364705415656E-2</c:v>
                </c:pt>
                <c:pt idx="11">
                  <c:v>7.4537083094572409E-2</c:v>
                </c:pt>
                <c:pt idx="12">
                  <c:v>7.1905858334275763E-2</c:v>
                </c:pt>
                <c:pt idx="13">
                  <c:v>6.9508008035956692E-2</c:v>
                </c:pt>
                <c:pt idx="14">
                  <c:v>6.7310751559190862E-2</c:v>
                </c:pt>
                <c:pt idx="15">
                  <c:v>6.5287366812771808E-2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EAE-41DD-878B-DB08C8300E2C}"/>
            </c:ext>
          </c:extLst>
        </c:ser>
        <c:ser>
          <c:idx val="12"/>
          <c:order val="12"/>
          <c:tx>
            <c:strRef>
              <c:f>'4.EnergySwaptionApprox'!$L$40</c:f>
              <c:strCache>
                <c:ptCount val="1"/>
                <c:pt idx="0">
                  <c:v>31.50</c:v>
                </c:pt>
              </c:strCache>
            </c:strRef>
          </c:tx>
          <c:spPr>
            <a:solidFill>
              <a:srgbClr val="6711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'4.EnergySwaptionApprox'!$M$27:$AB$27</c:f>
              <c:numCache>
                <c:formatCode>0.00</c:formatCode>
                <c:ptCount val="16"/>
                <c:pt idx="0">
                  <c:v>0.1</c:v>
                </c:pt>
                <c:pt idx="1">
                  <c:v>0.15294117647058825</c:v>
                </c:pt>
                <c:pt idx="2">
                  <c:v>0.20588235294117649</c:v>
                </c:pt>
                <c:pt idx="3">
                  <c:v>0.25882352941176473</c:v>
                </c:pt>
                <c:pt idx="4">
                  <c:v>0.31176470588235294</c:v>
                </c:pt>
                <c:pt idx="5">
                  <c:v>0.36470588235294116</c:v>
                </c:pt>
                <c:pt idx="6">
                  <c:v>0.41764705882352937</c:v>
                </c:pt>
                <c:pt idx="7">
                  <c:v>0.47058823529411759</c:v>
                </c:pt>
                <c:pt idx="8">
                  <c:v>0.5235294117647058</c:v>
                </c:pt>
                <c:pt idx="9">
                  <c:v>0.57647058823529407</c:v>
                </c:pt>
                <c:pt idx="10">
                  <c:v>0.62941176470588234</c:v>
                </c:pt>
                <c:pt idx="11">
                  <c:v>0.68235294117647061</c:v>
                </c:pt>
                <c:pt idx="12">
                  <c:v>0.73529411764705888</c:v>
                </c:pt>
                <c:pt idx="13">
                  <c:v>0.78823529411764715</c:v>
                </c:pt>
                <c:pt idx="14">
                  <c:v>0.84117647058823541</c:v>
                </c:pt>
                <c:pt idx="15">
                  <c:v>0.89411764705882368</c:v>
                </c:pt>
              </c:numCache>
            </c:numRef>
          </c:cat>
          <c:val>
            <c:numRef>
              <c:f>'4.EnergySwaptionApprox'!$M$40:$AB$40</c:f>
              <c:numCache>
                <c:formatCode>#,##0.0000</c:formatCode>
                <c:ptCount val="16"/>
                <c:pt idx="0">
                  <c:v>4.1699043853080098E-2</c:v>
                </c:pt>
                <c:pt idx="1">
                  <c:v>6.0834971943729554E-2</c:v>
                </c:pt>
                <c:pt idx="2">
                  <c:v>6.9734970305351807E-2</c:v>
                </c:pt>
                <c:pt idx="3">
                  <c:v>7.3524309460448745E-2</c:v>
                </c:pt>
                <c:pt idx="4">
                  <c:v>7.4746130710734437E-2</c:v>
                </c:pt>
                <c:pt idx="5">
                  <c:v>7.4632662578344444E-2</c:v>
                </c:pt>
                <c:pt idx="6">
                  <c:v>7.3809380337075403E-2</c:v>
                </c:pt>
                <c:pt idx="7">
                  <c:v>7.260950865506377E-2</c:v>
                </c:pt>
                <c:pt idx="8">
                  <c:v>7.1217728778716349E-2</c:v>
                </c:pt>
                <c:pt idx="9">
                  <c:v>6.9739409659375085E-2</c:v>
                </c:pt>
                <c:pt idx="10">
                  <c:v>6.8235773652558507E-2</c:v>
                </c:pt>
                <c:pt idx="11">
                  <c:v>6.674262094774619E-2</c:v>
                </c:pt>
                <c:pt idx="12">
                  <c:v>6.5280710168647005E-2</c:v>
                </c:pt>
                <c:pt idx="13">
                  <c:v>6.3861715370316929E-2</c:v>
                </c:pt>
                <c:pt idx="14">
                  <c:v>6.2491743907377995E-2</c:v>
                </c:pt>
                <c:pt idx="15">
                  <c:v>6.1173465578656661E-2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EAE-41DD-878B-DB08C8300E2C}"/>
            </c:ext>
          </c:extLst>
        </c:ser>
        <c:ser>
          <c:idx val="13"/>
          <c:order val="13"/>
          <c:tx>
            <c:strRef>
              <c:f>'4.EnergySwaptionApprox'!$L$41</c:f>
              <c:strCache>
                <c:ptCount val="1"/>
                <c:pt idx="0">
                  <c:v>29.75</c:v>
                </c:pt>
              </c:strCache>
            </c:strRef>
          </c:tx>
          <c:spPr>
            <a:solidFill>
              <a:srgbClr val="FEA746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'4.EnergySwaptionApprox'!$M$27:$AB$27</c:f>
              <c:numCache>
                <c:formatCode>0.00</c:formatCode>
                <c:ptCount val="16"/>
                <c:pt idx="0">
                  <c:v>0.1</c:v>
                </c:pt>
                <c:pt idx="1">
                  <c:v>0.15294117647058825</c:v>
                </c:pt>
                <c:pt idx="2">
                  <c:v>0.20588235294117649</c:v>
                </c:pt>
                <c:pt idx="3">
                  <c:v>0.25882352941176473</c:v>
                </c:pt>
                <c:pt idx="4">
                  <c:v>0.31176470588235294</c:v>
                </c:pt>
                <c:pt idx="5">
                  <c:v>0.36470588235294116</c:v>
                </c:pt>
                <c:pt idx="6">
                  <c:v>0.41764705882352937</c:v>
                </c:pt>
                <c:pt idx="7">
                  <c:v>0.47058823529411759</c:v>
                </c:pt>
                <c:pt idx="8">
                  <c:v>0.5235294117647058</c:v>
                </c:pt>
                <c:pt idx="9">
                  <c:v>0.57647058823529407</c:v>
                </c:pt>
                <c:pt idx="10">
                  <c:v>0.62941176470588234</c:v>
                </c:pt>
                <c:pt idx="11">
                  <c:v>0.68235294117647061</c:v>
                </c:pt>
                <c:pt idx="12">
                  <c:v>0.73529411764705888</c:v>
                </c:pt>
                <c:pt idx="13">
                  <c:v>0.78823529411764715</c:v>
                </c:pt>
                <c:pt idx="14">
                  <c:v>0.84117647058823541</c:v>
                </c:pt>
                <c:pt idx="15">
                  <c:v>0.89411764705882368</c:v>
                </c:pt>
              </c:numCache>
            </c:numRef>
          </c:cat>
          <c:val>
            <c:numRef>
              <c:f>'4.EnergySwaptionApprox'!$M$41:$AB$41</c:f>
              <c:numCache>
                <c:formatCode>#,##0.0000</c:formatCode>
                <c:ptCount val="16"/>
                <c:pt idx="0">
                  <c:v>4.2773506646700578E-3</c:v>
                </c:pt>
                <c:pt idx="1">
                  <c:v>1.4139011906642157E-2</c:v>
                </c:pt>
                <c:pt idx="2">
                  <c:v>2.4112980267568251E-2</c:v>
                </c:pt>
                <c:pt idx="3">
                  <c:v>3.2150195151889327E-2</c:v>
                </c:pt>
                <c:pt idx="4">
                  <c:v>3.81652835974855E-2</c:v>
                </c:pt>
                <c:pt idx="5">
                  <c:v>4.253919654195748E-2</c:v>
                </c:pt>
                <c:pt idx="6">
                  <c:v>4.5670851654966427E-2</c:v>
                </c:pt>
                <c:pt idx="7">
                  <c:v>4.78809923334933E-2</c:v>
                </c:pt>
                <c:pt idx="8">
                  <c:v>4.9409371412068026E-2</c:v>
                </c:pt>
                <c:pt idx="9">
                  <c:v>5.0431368973924418E-2</c:v>
                </c:pt>
                <c:pt idx="10">
                  <c:v>5.107491378608664E-2</c:v>
                </c:pt>
                <c:pt idx="11">
                  <c:v>5.1433776316334168E-2</c:v>
                </c:pt>
                <c:pt idx="12">
                  <c:v>5.1577241668154805E-2</c:v>
                </c:pt>
                <c:pt idx="13">
                  <c:v>5.1556970523947143E-2</c:v>
                </c:pt>
                <c:pt idx="14">
                  <c:v>5.141183846923969E-2</c:v>
                </c:pt>
                <c:pt idx="15">
                  <c:v>5.1171359072288425E-2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EAE-41DD-878B-DB08C8300E2C}"/>
            </c:ext>
          </c:extLst>
        </c:ser>
        <c:ser>
          <c:idx val="14"/>
          <c:order val="14"/>
          <c:tx>
            <c:strRef>
              <c:f>'4.EnergySwaptionApprox'!$L$42</c:f>
              <c:strCache>
                <c:ptCount val="1"/>
                <c:pt idx="0">
                  <c:v>28.00</c:v>
                </c:pt>
              </c:strCache>
            </c:strRef>
          </c:tx>
          <c:spPr>
            <a:solidFill>
              <a:srgbClr val="865357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'4.EnergySwaptionApprox'!$M$27:$AB$27</c:f>
              <c:numCache>
                <c:formatCode>0.00</c:formatCode>
                <c:ptCount val="16"/>
                <c:pt idx="0">
                  <c:v>0.1</c:v>
                </c:pt>
                <c:pt idx="1">
                  <c:v>0.15294117647058825</c:v>
                </c:pt>
                <c:pt idx="2">
                  <c:v>0.20588235294117649</c:v>
                </c:pt>
                <c:pt idx="3">
                  <c:v>0.25882352941176473</c:v>
                </c:pt>
                <c:pt idx="4">
                  <c:v>0.31176470588235294</c:v>
                </c:pt>
                <c:pt idx="5">
                  <c:v>0.36470588235294116</c:v>
                </c:pt>
                <c:pt idx="6">
                  <c:v>0.41764705882352937</c:v>
                </c:pt>
                <c:pt idx="7">
                  <c:v>0.47058823529411759</c:v>
                </c:pt>
                <c:pt idx="8">
                  <c:v>0.5235294117647058</c:v>
                </c:pt>
                <c:pt idx="9">
                  <c:v>0.57647058823529407</c:v>
                </c:pt>
                <c:pt idx="10">
                  <c:v>0.62941176470588234</c:v>
                </c:pt>
                <c:pt idx="11">
                  <c:v>0.68235294117647061</c:v>
                </c:pt>
                <c:pt idx="12">
                  <c:v>0.73529411764705888</c:v>
                </c:pt>
                <c:pt idx="13">
                  <c:v>0.78823529411764715</c:v>
                </c:pt>
                <c:pt idx="14">
                  <c:v>0.84117647058823541</c:v>
                </c:pt>
                <c:pt idx="15">
                  <c:v>0.89411764705882368</c:v>
                </c:pt>
              </c:numCache>
            </c:numRef>
          </c:cat>
          <c:val>
            <c:numRef>
              <c:f>'4.EnergySwaptionApprox'!$M$42:$AB$42</c:f>
              <c:numCache>
                <c:formatCode>#,##0.0000</c:formatCode>
                <c:ptCount val="16"/>
                <c:pt idx="0">
                  <c:v>1.2696704586047494E-4</c:v>
                </c:pt>
                <c:pt idx="1">
                  <c:v>1.4633485935651967E-3</c:v>
                </c:pt>
                <c:pt idx="2">
                  <c:v>4.5776034223463449E-3</c:v>
                </c:pt>
                <c:pt idx="3">
                  <c:v>8.7347653509976808E-3</c:v>
                </c:pt>
                <c:pt idx="4">
                  <c:v>1.3138446907801776E-2</c:v>
                </c:pt>
                <c:pt idx="5">
                  <c:v>1.7323088747633886E-2</c:v>
                </c:pt>
                <c:pt idx="6">
                  <c:v>2.108330398015168E-2</c:v>
                </c:pt>
                <c:pt idx="7">
                  <c:v>2.43597005031293E-2</c:v>
                </c:pt>
                <c:pt idx="8">
                  <c:v>2.7163809972474695E-2</c:v>
                </c:pt>
                <c:pt idx="9">
                  <c:v>2.9537240466975812E-2</c:v>
                </c:pt>
                <c:pt idx="10">
                  <c:v>3.1531199964074386E-2</c:v>
                </c:pt>
                <c:pt idx="11">
                  <c:v>3.3196871123131189E-2</c:v>
                </c:pt>
                <c:pt idx="12">
                  <c:v>3.4581294956204101E-2</c:v>
                </c:pt>
                <c:pt idx="13">
                  <c:v>3.5725958819898818E-2</c:v>
                </c:pt>
                <c:pt idx="14">
                  <c:v>3.6666657341200004E-2</c:v>
                </c:pt>
                <c:pt idx="15">
                  <c:v>3.7433908455231091E-2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EAE-41DD-878B-DB08C8300E2C}"/>
            </c:ext>
          </c:extLst>
        </c:ser>
        <c:ser>
          <c:idx val="15"/>
          <c:order val="15"/>
          <c:tx>
            <c:strRef>
              <c:f>'4.EnergySwaptionApprox'!$L$43</c:f>
              <c:strCache>
                <c:ptCount val="1"/>
                <c:pt idx="0">
                  <c:v>26.25</c:v>
                </c:pt>
              </c:strCache>
            </c:strRef>
          </c:tx>
          <c:spPr>
            <a:solidFill>
              <a:srgbClr val="A2BD9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'4.EnergySwaptionApprox'!$M$27:$AB$27</c:f>
              <c:numCache>
                <c:formatCode>0.00</c:formatCode>
                <c:ptCount val="16"/>
                <c:pt idx="0">
                  <c:v>0.1</c:v>
                </c:pt>
                <c:pt idx="1">
                  <c:v>0.15294117647058825</c:v>
                </c:pt>
                <c:pt idx="2">
                  <c:v>0.20588235294117649</c:v>
                </c:pt>
                <c:pt idx="3">
                  <c:v>0.25882352941176473</c:v>
                </c:pt>
                <c:pt idx="4">
                  <c:v>0.31176470588235294</c:v>
                </c:pt>
                <c:pt idx="5">
                  <c:v>0.36470588235294116</c:v>
                </c:pt>
                <c:pt idx="6">
                  <c:v>0.41764705882352937</c:v>
                </c:pt>
                <c:pt idx="7">
                  <c:v>0.47058823529411759</c:v>
                </c:pt>
                <c:pt idx="8">
                  <c:v>0.5235294117647058</c:v>
                </c:pt>
                <c:pt idx="9">
                  <c:v>0.57647058823529407</c:v>
                </c:pt>
                <c:pt idx="10">
                  <c:v>0.62941176470588234</c:v>
                </c:pt>
                <c:pt idx="11">
                  <c:v>0.68235294117647061</c:v>
                </c:pt>
                <c:pt idx="12">
                  <c:v>0.73529411764705888</c:v>
                </c:pt>
                <c:pt idx="13">
                  <c:v>0.78823529411764715</c:v>
                </c:pt>
                <c:pt idx="14">
                  <c:v>0.84117647058823541</c:v>
                </c:pt>
                <c:pt idx="15">
                  <c:v>0.89411764705882368</c:v>
                </c:pt>
              </c:numCache>
            </c:numRef>
          </c:cat>
          <c:val>
            <c:numRef>
              <c:f>'4.EnergySwaptionApprox'!$M$43:$AB$43</c:f>
              <c:numCache>
                <c:formatCode>#,##0.0000</c:formatCode>
                <c:ptCount val="16"/>
                <c:pt idx="0">
                  <c:v>8.6341044187959621E-7</c:v>
                </c:pt>
                <c:pt idx="1">
                  <c:v>5.7903178042852452E-5</c:v>
                </c:pt>
                <c:pt idx="2">
                  <c:v>4.2607151638329559E-4</c:v>
                </c:pt>
                <c:pt idx="3">
                  <c:v>1.3477606022058511E-3</c:v>
                </c:pt>
                <c:pt idx="4">
                  <c:v>2.8305441248733035E-3</c:v>
                </c:pt>
                <c:pt idx="5">
                  <c:v>4.7296530321459113E-3</c:v>
                </c:pt>
                <c:pt idx="6">
                  <c:v>6.8697189522810148E-3</c:v>
                </c:pt>
                <c:pt idx="7">
                  <c:v>9.1031027748753046E-3</c:v>
                </c:pt>
                <c:pt idx="8">
                  <c:v>1.1323696496277902E-2</c:v>
                </c:pt>
                <c:pt idx="9">
                  <c:v>1.3462529922618482E-2</c:v>
                </c:pt>
                <c:pt idx="10">
                  <c:v>1.5478763082180103E-2</c:v>
                </c:pt>
                <c:pt idx="11">
                  <c:v>1.73511914844382E-2</c:v>
                </c:pt>
                <c:pt idx="12">
                  <c:v>1.9071627762601295E-2</c:v>
                </c:pt>
                <c:pt idx="13">
                  <c:v>2.064015650296569E-2</c:v>
                </c:pt>
                <c:pt idx="14">
                  <c:v>2.2061880804863376E-2</c:v>
                </c:pt>
                <c:pt idx="15">
                  <c:v>2.3344754555426617E-2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EAE-41DD-878B-DB08C8300E2C}"/>
            </c:ext>
          </c:extLst>
        </c:ser>
        <c:ser>
          <c:idx val="16"/>
          <c:order val="16"/>
          <c:tx>
            <c:strRef>
              <c:f>'4.EnergySwaptionApprox'!$L$44</c:f>
              <c:strCache>
                <c:ptCount val="1"/>
                <c:pt idx="0">
                  <c:v>24.50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'4.EnergySwaptionApprox'!$M$27:$AB$27</c:f>
              <c:numCache>
                <c:formatCode>0.00</c:formatCode>
                <c:ptCount val="16"/>
                <c:pt idx="0">
                  <c:v>0.1</c:v>
                </c:pt>
                <c:pt idx="1">
                  <c:v>0.15294117647058825</c:v>
                </c:pt>
                <c:pt idx="2">
                  <c:v>0.20588235294117649</c:v>
                </c:pt>
                <c:pt idx="3">
                  <c:v>0.25882352941176473</c:v>
                </c:pt>
                <c:pt idx="4">
                  <c:v>0.31176470588235294</c:v>
                </c:pt>
                <c:pt idx="5">
                  <c:v>0.36470588235294116</c:v>
                </c:pt>
                <c:pt idx="6">
                  <c:v>0.41764705882352937</c:v>
                </c:pt>
                <c:pt idx="7">
                  <c:v>0.47058823529411759</c:v>
                </c:pt>
                <c:pt idx="8">
                  <c:v>0.5235294117647058</c:v>
                </c:pt>
                <c:pt idx="9">
                  <c:v>0.57647058823529407</c:v>
                </c:pt>
                <c:pt idx="10">
                  <c:v>0.62941176470588234</c:v>
                </c:pt>
                <c:pt idx="11">
                  <c:v>0.68235294117647061</c:v>
                </c:pt>
                <c:pt idx="12">
                  <c:v>0.73529411764705888</c:v>
                </c:pt>
                <c:pt idx="13">
                  <c:v>0.78823529411764715</c:v>
                </c:pt>
                <c:pt idx="14">
                  <c:v>0.84117647058823541</c:v>
                </c:pt>
                <c:pt idx="15">
                  <c:v>0.89411764705882368</c:v>
                </c:pt>
              </c:numCache>
            </c:numRef>
          </c:cat>
          <c:val>
            <c:numRef>
              <c:f>'4.EnergySwaptionApprox'!$M$44:$AB$44</c:f>
              <c:numCache>
                <c:formatCode>#,##0.0000</c:formatCode>
                <c:ptCount val="16"/>
                <c:pt idx="0">
                  <c:v>1.0039576971684735E-9</c:v>
                </c:pt>
                <c:pt idx="1">
                  <c:v>7.2366954474874325E-7</c:v>
                </c:pt>
                <c:pt idx="2">
                  <c:v>1.6875614538504215E-5</c:v>
                </c:pt>
                <c:pt idx="3">
                  <c:v>1.0553590057954786E-4</c:v>
                </c:pt>
                <c:pt idx="4">
                  <c:v>3.4764523489891905E-4</c:v>
                </c:pt>
                <c:pt idx="5">
                  <c:v>7.9950788549288873E-4</c:v>
                </c:pt>
                <c:pt idx="6">
                  <c:v>1.4739725362499824E-3</c:v>
                </c:pt>
                <c:pt idx="7">
                  <c:v>2.3496142007918032E-3</c:v>
                </c:pt>
                <c:pt idx="8">
                  <c:v>3.3870403161068846E-3</c:v>
                </c:pt>
                <c:pt idx="9">
                  <c:v>4.541760011134155E-3</c:v>
                </c:pt>
                <c:pt idx="10">
                  <c:v>5.7717408171939488E-3</c:v>
                </c:pt>
                <c:pt idx="11">
                  <c:v>7.0408829903889636E-3</c:v>
                </c:pt>
                <c:pt idx="12">
                  <c:v>8.320015313211665E-3</c:v>
                </c:pt>
                <c:pt idx="13">
                  <c:v>9.5866044401426986E-3</c:v>
                </c:pt>
                <c:pt idx="14">
                  <c:v>1.082390810262096E-2</c:v>
                </c:pt>
                <c:pt idx="15">
                  <c:v>1.2019970779715561E-2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EAE-41DD-878B-DB08C8300E2C}"/>
            </c:ext>
          </c:extLst>
        </c:ser>
        <c:ser>
          <c:idx val="17"/>
          <c:order val="17"/>
          <c:tx>
            <c:strRef>
              <c:f>'4.EnergySwaptionApprox'!$L$45</c:f>
              <c:strCache>
                <c:ptCount val="1"/>
                <c:pt idx="0">
                  <c:v>22.75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'4.EnergySwaptionApprox'!$M$27:$AB$27</c:f>
              <c:numCache>
                <c:formatCode>0.00</c:formatCode>
                <c:ptCount val="16"/>
                <c:pt idx="0">
                  <c:v>0.1</c:v>
                </c:pt>
                <c:pt idx="1">
                  <c:v>0.15294117647058825</c:v>
                </c:pt>
                <c:pt idx="2">
                  <c:v>0.20588235294117649</c:v>
                </c:pt>
                <c:pt idx="3">
                  <c:v>0.25882352941176473</c:v>
                </c:pt>
                <c:pt idx="4">
                  <c:v>0.31176470588235294</c:v>
                </c:pt>
                <c:pt idx="5">
                  <c:v>0.36470588235294116</c:v>
                </c:pt>
                <c:pt idx="6">
                  <c:v>0.41764705882352937</c:v>
                </c:pt>
                <c:pt idx="7">
                  <c:v>0.47058823529411759</c:v>
                </c:pt>
                <c:pt idx="8">
                  <c:v>0.5235294117647058</c:v>
                </c:pt>
                <c:pt idx="9">
                  <c:v>0.57647058823529407</c:v>
                </c:pt>
                <c:pt idx="10">
                  <c:v>0.62941176470588234</c:v>
                </c:pt>
                <c:pt idx="11">
                  <c:v>0.68235294117647061</c:v>
                </c:pt>
                <c:pt idx="12">
                  <c:v>0.73529411764705888</c:v>
                </c:pt>
                <c:pt idx="13">
                  <c:v>0.78823529411764715</c:v>
                </c:pt>
                <c:pt idx="14">
                  <c:v>0.84117647058823541</c:v>
                </c:pt>
                <c:pt idx="15">
                  <c:v>0.89411764705882368</c:v>
                </c:pt>
              </c:numCache>
            </c:numRef>
          </c:cat>
          <c:val>
            <c:numRef>
              <c:f>'4.EnergySwaptionApprox'!$M$45:$AB$45</c:f>
              <c:numCache>
                <c:formatCode>#,##0.0000</c:formatCode>
                <c:ptCount val="16"/>
                <c:pt idx="0">
                  <c:v>1.3769491533231158E-13</c:v>
                </c:pt>
                <c:pt idx="1">
                  <c:v>2.2416345983076824E-9</c:v>
                </c:pt>
                <c:pt idx="2">
                  <c:v>2.3760698899312681E-7</c:v>
                </c:pt>
                <c:pt idx="3">
                  <c:v>3.635534536463444E-6</c:v>
                </c:pt>
                <c:pt idx="4">
                  <c:v>2.1622538651085586E-5</c:v>
                </c:pt>
                <c:pt idx="5">
                  <c:v>7.5630732781536817E-5</c:v>
                </c:pt>
                <c:pt idx="6">
                  <c:v>1.90678945883357E-4</c:v>
                </c:pt>
                <c:pt idx="7">
                  <c:v>3.8740193306091185E-4</c:v>
                </c:pt>
                <c:pt idx="8">
                  <c:v>6.7768893970978576E-4</c:v>
                </c:pt>
                <c:pt idx="9">
                  <c:v>1.0642465559653706E-3</c:v>
                </c:pt>
                <c:pt idx="10">
                  <c:v>1.5423801108397153E-3</c:v>
                </c:pt>
                <c:pt idx="11">
                  <c:v>2.10243759195608E-3</c:v>
                </c:pt>
                <c:pt idx="12">
                  <c:v>2.7320527133277081E-3</c:v>
                </c:pt>
                <c:pt idx="13">
                  <c:v>3.4178668220467834E-3</c:v>
                </c:pt>
                <c:pt idx="14">
                  <c:v>4.1467028003699946E-3</c:v>
                </c:pt>
                <c:pt idx="15">
                  <c:v>4.9062831274267193E-3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EAE-41DD-878B-DB08C8300E2C}"/>
            </c:ext>
          </c:extLst>
        </c:ser>
        <c:ser>
          <c:idx val="18"/>
          <c:order val="18"/>
          <c:tx>
            <c:strRef>
              <c:f>'4.EnergySwaptionApprox'!$L$46</c:f>
              <c:strCache>
                <c:ptCount val="1"/>
                <c:pt idx="0">
                  <c:v>21.00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'4.EnergySwaptionApprox'!$M$27:$AB$27</c:f>
              <c:numCache>
                <c:formatCode>0.00</c:formatCode>
                <c:ptCount val="16"/>
                <c:pt idx="0">
                  <c:v>0.1</c:v>
                </c:pt>
                <c:pt idx="1">
                  <c:v>0.15294117647058825</c:v>
                </c:pt>
                <c:pt idx="2">
                  <c:v>0.20588235294117649</c:v>
                </c:pt>
                <c:pt idx="3">
                  <c:v>0.25882352941176473</c:v>
                </c:pt>
                <c:pt idx="4">
                  <c:v>0.31176470588235294</c:v>
                </c:pt>
                <c:pt idx="5">
                  <c:v>0.36470588235294116</c:v>
                </c:pt>
                <c:pt idx="6">
                  <c:v>0.41764705882352937</c:v>
                </c:pt>
                <c:pt idx="7">
                  <c:v>0.47058823529411759</c:v>
                </c:pt>
                <c:pt idx="8">
                  <c:v>0.5235294117647058</c:v>
                </c:pt>
                <c:pt idx="9">
                  <c:v>0.57647058823529407</c:v>
                </c:pt>
                <c:pt idx="10">
                  <c:v>0.62941176470588234</c:v>
                </c:pt>
                <c:pt idx="11">
                  <c:v>0.68235294117647061</c:v>
                </c:pt>
                <c:pt idx="12">
                  <c:v>0.73529411764705888</c:v>
                </c:pt>
                <c:pt idx="13">
                  <c:v>0.78823529411764715</c:v>
                </c:pt>
                <c:pt idx="14">
                  <c:v>0.84117647058823541</c:v>
                </c:pt>
                <c:pt idx="15">
                  <c:v>0.89411764705882368</c:v>
                </c:pt>
              </c:numCache>
            </c:numRef>
          </c:cat>
          <c:val>
            <c:numRef>
              <c:f>'4.EnergySwaptionApprox'!$M$46:$AB$46</c:f>
              <c:numCache>
                <c:formatCode>#,##0.0000</c:formatCode>
                <c:ptCount val="16"/>
                <c:pt idx="0">
                  <c:v>1.3799371413872948E-18</c:v>
                </c:pt>
                <c:pt idx="1">
                  <c:v>1.2588704842955059E-12</c:v>
                </c:pt>
                <c:pt idx="2">
                  <c:v>9.4306463785694547E-10</c:v>
                </c:pt>
                <c:pt idx="3">
                  <c:v>4.5823865113617294E-8</c:v>
                </c:pt>
                <c:pt idx="4">
                  <c:v>5.8456869816782946E-7</c:v>
                </c:pt>
                <c:pt idx="5">
                  <c:v>3.5141359043931459E-6</c:v>
                </c:pt>
                <c:pt idx="6">
                  <c:v>1.3273596275355039E-5</c:v>
                </c:pt>
                <c:pt idx="7">
                  <c:v>3.6890210347566711E-5</c:v>
                </c:pt>
                <c:pt idx="8">
                  <c:v>8.2856170708172608E-5</c:v>
                </c:pt>
                <c:pt idx="9">
                  <c:v>1.5956771413715804E-4</c:v>
                </c:pt>
                <c:pt idx="10">
                  <c:v>2.7402896035888221E-4</c:v>
                </c:pt>
                <c:pt idx="11">
                  <c:v>4.3111576380756682E-4</c:v>
                </c:pt>
                <c:pt idx="12">
                  <c:v>6.3337272894958482E-4</c:v>
                </c:pt>
                <c:pt idx="13">
                  <c:v>8.8118135274108632E-4</c:v>
                </c:pt>
                <c:pt idx="14">
                  <c:v>1.1731273029044753E-3</c:v>
                </c:pt>
                <c:pt idx="15">
                  <c:v>1.5064362304871397E-3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EAE-41DD-878B-DB08C8300E2C}"/>
            </c:ext>
          </c:extLst>
        </c:ser>
        <c:ser>
          <c:idx val="19"/>
          <c:order val="19"/>
          <c:tx>
            <c:strRef>
              <c:f>'4.EnergySwaptionApprox'!$L$47</c:f>
              <c:strCache>
                <c:ptCount val="1"/>
                <c:pt idx="0">
                  <c:v>19.25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'4.EnergySwaptionApprox'!$M$27:$AB$27</c:f>
              <c:numCache>
                <c:formatCode>0.00</c:formatCode>
                <c:ptCount val="16"/>
                <c:pt idx="0">
                  <c:v>0.1</c:v>
                </c:pt>
                <c:pt idx="1">
                  <c:v>0.15294117647058825</c:v>
                </c:pt>
                <c:pt idx="2">
                  <c:v>0.20588235294117649</c:v>
                </c:pt>
                <c:pt idx="3">
                  <c:v>0.25882352941176473</c:v>
                </c:pt>
                <c:pt idx="4">
                  <c:v>0.31176470588235294</c:v>
                </c:pt>
                <c:pt idx="5">
                  <c:v>0.36470588235294116</c:v>
                </c:pt>
                <c:pt idx="6">
                  <c:v>0.41764705882352937</c:v>
                </c:pt>
                <c:pt idx="7">
                  <c:v>0.47058823529411759</c:v>
                </c:pt>
                <c:pt idx="8">
                  <c:v>0.5235294117647058</c:v>
                </c:pt>
                <c:pt idx="9">
                  <c:v>0.57647058823529407</c:v>
                </c:pt>
                <c:pt idx="10">
                  <c:v>0.62941176470588234</c:v>
                </c:pt>
                <c:pt idx="11">
                  <c:v>0.68235294117647061</c:v>
                </c:pt>
                <c:pt idx="12">
                  <c:v>0.73529411764705888</c:v>
                </c:pt>
                <c:pt idx="13">
                  <c:v>0.78823529411764715</c:v>
                </c:pt>
                <c:pt idx="14">
                  <c:v>0.84117647058823541</c:v>
                </c:pt>
                <c:pt idx="15">
                  <c:v>0.89411764705882368</c:v>
                </c:pt>
              </c:numCache>
            </c:numRef>
          </c:cat>
          <c:val>
            <c:numRef>
              <c:f>'4.EnergySwaptionApprox'!$M$47:$AB$47</c:f>
              <c:numCache>
                <c:formatCode>#,##0.0000</c:formatCode>
                <c:ptCount val="16"/>
                <c:pt idx="0">
                  <c:v>5.3879880482002984E-25</c:v>
                </c:pt>
                <c:pt idx="1">
                  <c:v>8.5004869356900905E-17</c:v>
                </c:pt>
                <c:pt idx="2">
                  <c:v>7.7802454601382425E-13</c:v>
                </c:pt>
                <c:pt idx="3">
                  <c:v>1.65904646623207E-10</c:v>
                </c:pt>
                <c:pt idx="4">
                  <c:v>5.6204890101174467E-9</c:v>
                </c:pt>
                <c:pt idx="5">
                  <c:v>6.7574502639807331E-8</c:v>
                </c:pt>
                <c:pt idx="6">
                  <c:v>4.2821575375698557E-7</c:v>
                </c:pt>
                <c:pt idx="7">
                  <c:v>1.7771963953902148E-6</c:v>
                </c:pt>
                <c:pt idx="8">
                  <c:v>5.4963975771480762E-6</c:v>
                </c:pt>
                <c:pt idx="9">
                  <c:v>1.3743894499589938E-5</c:v>
                </c:pt>
                <c:pt idx="10">
                  <c:v>2.9328796959205241E-5</c:v>
                </c:pt>
                <c:pt idx="11">
                  <c:v>5.5435357126514288E-5</c:v>
                </c:pt>
                <c:pt idx="12">
                  <c:v>9.5295280973613965E-5</c:v>
                </c:pt>
                <c:pt idx="13">
                  <c:v>1.518912255308669E-4</c:v>
                </c:pt>
                <c:pt idx="14">
                  <c:v>2.2773740137601401E-4</c:v>
                </c:pt>
                <c:pt idx="15">
                  <c:v>3.2474965793436762E-4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EAE-41DD-878B-DB08C8300E2C}"/>
            </c:ext>
          </c:extLst>
        </c:ser>
        <c:ser>
          <c:idx val="20"/>
          <c:order val="20"/>
          <c:tx>
            <c:strRef>
              <c:f>'4.EnergySwaptionApprox'!$L$48</c:f>
              <c:strCache>
                <c:ptCount val="1"/>
                <c:pt idx="0">
                  <c:v>17.50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'4.EnergySwaptionApprox'!$M$27:$AB$27</c:f>
              <c:numCache>
                <c:formatCode>0.00</c:formatCode>
                <c:ptCount val="16"/>
                <c:pt idx="0">
                  <c:v>0.1</c:v>
                </c:pt>
                <c:pt idx="1">
                  <c:v>0.15294117647058825</c:v>
                </c:pt>
                <c:pt idx="2">
                  <c:v>0.20588235294117649</c:v>
                </c:pt>
                <c:pt idx="3">
                  <c:v>0.25882352941176473</c:v>
                </c:pt>
                <c:pt idx="4">
                  <c:v>0.31176470588235294</c:v>
                </c:pt>
                <c:pt idx="5">
                  <c:v>0.36470588235294116</c:v>
                </c:pt>
                <c:pt idx="6">
                  <c:v>0.41764705882352937</c:v>
                </c:pt>
                <c:pt idx="7">
                  <c:v>0.47058823529411759</c:v>
                </c:pt>
                <c:pt idx="8">
                  <c:v>0.5235294117647058</c:v>
                </c:pt>
                <c:pt idx="9">
                  <c:v>0.57647058823529407</c:v>
                </c:pt>
                <c:pt idx="10">
                  <c:v>0.62941176470588234</c:v>
                </c:pt>
                <c:pt idx="11">
                  <c:v>0.68235294117647061</c:v>
                </c:pt>
                <c:pt idx="12">
                  <c:v>0.73529411764705888</c:v>
                </c:pt>
                <c:pt idx="13">
                  <c:v>0.78823529411764715</c:v>
                </c:pt>
                <c:pt idx="14">
                  <c:v>0.84117647058823541</c:v>
                </c:pt>
                <c:pt idx="15">
                  <c:v>0.89411764705882368</c:v>
                </c:pt>
              </c:numCache>
            </c:numRef>
          </c:cat>
          <c:val>
            <c:numRef>
              <c:f>'4.EnergySwaptionApprox'!$M$48:$AB$48</c:f>
              <c:numCache>
                <c:formatCode>#,##0.0000</c:formatCode>
                <c:ptCount val="16"/>
                <c:pt idx="0">
                  <c:v>3.5255204613029428E-33</c:v>
                </c:pt>
                <c:pt idx="1">
                  <c:v>3.9781313953611121E-22</c:v>
                </c:pt>
                <c:pt idx="2">
                  <c:v>8.8651931185600655E-17</c:v>
                </c:pt>
                <c:pt idx="3">
                  <c:v>1.2468973657375474E-13</c:v>
                </c:pt>
                <c:pt idx="4">
                  <c:v>1.4681842563813254E-11</c:v>
                </c:pt>
                <c:pt idx="5">
                  <c:v>4.2731708739283465E-10</c:v>
                </c:pt>
                <c:pt idx="6">
                  <c:v>5.2390116193028388E-9</c:v>
                </c:pt>
                <c:pt idx="7">
                  <c:v>3.626205923731064E-8</c:v>
                </c:pt>
                <c:pt idx="8">
                  <c:v>1.6865548919856382E-7</c:v>
                </c:pt>
                <c:pt idx="9">
                  <c:v>5.8842306253004099E-7</c:v>
                </c:pt>
                <c:pt idx="10">
                  <c:v>1.6565205953194835E-6</c:v>
                </c:pt>
                <c:pt idx="11">
                  <c:v>3.9567759622619244E-6</c:v>
                </c:pt>
                <c:pt idx="12">
                  <c:v>8.3107493732191445E-6</c:v>
                </c:pt>
                <c:pt idx="13">
                  <c:v>1.5755319773917212E-5</c:v>
                </c:pt>
                <c:pt idx="14">
                  <c:v>2.7489896706787092E-5</c:v>
                </c:pt>
                <c:pt idx="15">
                  <c:v>4.48058109446989E-5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EAE-41DD-878B-DB08C8300E2C}"/>
            </c:ext>
          </c:extLst>
        </c:ser>
        <c:bandFmts>
          <c:bandFmt>
            <c:idx val="0"/>
            <c:spPr>
              <a:solidFill>
                <a:srgbClr val="63AAFE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"/>
            <c:spPr>
              <a:solidFill>
                <a:srgbClr val="DD2D32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"/>
            <c:spPr>
              <a:solidFill>
                <a:srgbClr val="FFF58C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"/>
            <c:spPr>
              <a:solidFill>
                <a:srgbClr val="4EE257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"/>
            <c:spPr>
              <a:solidFill>
                <a:srgbClr val="6711FF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5"/>
            <c:spPr>
              <a:solidFill>
                <a:srgbClr val="FEA746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6"/>
            <c:spPr>
              <a:solidFill>
                <a:srgbClr val="865357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7"/>
            <c:spPr>
              <a:solidFill>
                <a:srgbClr val="A2BD90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8"/>
            <c:spPr>
              <a:solidFill>
                <a:srgbClr val="63AAFE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9"/>
            <c:spPr>
              <a:solidFill>
                <a:srgbClr val="DD2D32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</c:bandFmts>
        <c:axId val="108244719"/>
        <c:axId val="1"/>
        <c:axId val="2"/>
      </c:surface3DChart>
      <c:catAx>
        <c:axId val="1082447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Time to maturity</a:t>
                </a:r>
              </a:p>
            </c:rich>
          </c:tx>
          <c:layout>
            <c:manualLayout>
              <c:xMode val="edge"/>
              <c:yMode val="edge"/>
              <c:x val="0.87868891311076669"/>
              <c:y val="0.6803505319095046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08244719"/>
        <c:crosses val="autoZero"/>
        <c:crossBetween val="between"/>
      </c:valAx>
      <c:serAx>
        <c:axId val="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Asset price</a:t>
                </a:r>
              </a:p>
            </c:rich>
          </c:tx>
          <c:layout>
            <c:manualLayout>
              <c:xMode val="edge"/>
              <c:yMode val="edge"/>
              <c:x val="0.23222492703641692"/>
              <c:y val="0.8176501874454589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"/>
        <c:crosses val="autoZero"/>
        <c:tickLblSkip val="2"/>
        <c:tickMarkSkip val="1"/>
      </c:ser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Drop" dropLines="59" dropStyle="combo" dx="22" fmlaLink="$L$3" fmlaRange="$L$4:$L$5" sel="1" val="0"/>
</file>

<file path=xl/ctrlProps/ctrlProp10.xml><?xml version="1.0" encoding="utf-8"?>
<formControlPr xmlns="http://schemas.microsoft.com/office/spreadsheetml/2009/9/main" objectType="Drop" dropLines="59" dropStyle="combo" dx="22" fmlaLink="$L$6" fmlaRange="$L$7:$L$20" sel="5" val="0"/>
</file>

<file path=xl/ctrlProps/ctrlProp11.xml><?xml version="1.0" encoding="utf-8"?>
<formControlPr xmlns="http://schemas.microsoft.com/office/spreadsheetml/2009/9/main" objectType="Drop" dropLines="59" dropStyle="combo" dx="22" fmlaLink="$M$3" fmlaRange="$M$4:$M$5" sel="1" val="0"/>
</file>

<file path=xl/ctrlProps/ctrlProp12.xml><?xml version="1.0" encoding="utf-8"?>
<formControlPr xmlns="http://schemas.microsoft.com/office/spreadsheetml/2009/9/main" objectType="Drop" dropLines="59" dropStyle="combo" dx="22" fmlaLink="$N$3" fmlaRange="$N$4:$N$5" sel="2" val="0"/>
</file>

<file path=xl/ctrlProps/ctrlProp13.xml><?xml version="1.0" encoding="utf-8"?>
<formControlPr xmlns="http://schemas.microsoft.com/office/spreadsheetml/2009/9/main" objectType="Drop" dropLines="59" dropStyle="combo" dx="22" fmlaLink="$O$3" fmlaRange="$N$4:$N$5" sel="2" val="0"/>
</file>

<file path=xl/ctrlProps/ctrlProp14.xml><?xml version="1.0" encoding="utf-8"?>
<formControlPr xmlns="http://schemas.microsoft.com/office/spreadsheetml/2009/9/main" objectType="Drop" dropLines="59" dropStyle="combo" dx="22" fmlaLink="$N$7" fmlaRange="$N$8:$N$13" sel="1" val="0"/>
</file>

<file path=xl/ctrlProps/ctrlProp15.xml><?xml version="1.0" encoding="utf-8"?>
<formControlPr xmlns="http://schemas.microsoft.com/office/spreadsheetml/2009/9/main" objectType="Drop" dropLines="59" dropStyle="combo" dx="22" fmlaLink="$P$6" fmlaRange="$P$7:$P$8" sel="2" val="0"/>
</file>

<file path=xl/ctrlProps/ctrlProp16.xml><?xml version="1.0" encoding="utf-8"?>
<formControlPr xmlns="http://schemas.microsoft.com/office/spreadsheetml/2009/9/main" objectType="Drop" dropLines="95" dropStyle="combo" dx="22" fmlaLink="$P$5" fmlaRange="$P$7:$P$8" sel="1" val="0"/>
</file>

<file path=xl/ctrlProps/ctrlProp17.xml><?xml version="1.0" encoding="utf-8"?>
<formControlPr xmlns="http://schemas.microsoft.com/office/spreadsheetml/2009/9/main" objectType="Drop" dropLines="59" dropStyle="combo" dx="22" fmlaLink="$L$3" fmlaRange="$L$4:$L$5" sel="1" val="0"/>
</file>

<file path=xl/ctrlProps/ctrlProp18.xml><?xml version="1.0" encoding="utf-8"?>
<formControlPr xmlns="http://schemas.microsoft.com/office/spreadsheetml/2009/9/main" objectType="Drop" dropLines="59" dropStyle="combo" dx="22" fmlaLink="$L$6" fmlaRange="$L$7:$L$20" sel="12" val="0"/>
</file>

<file path=xl/ctrlProps/ctrlProp19.xml><?xml version="1.0" encoding="utf-8"?>
<formControlPr xmlns="http://schemas.microsoft.com/office/spreadsheetml/2009/9/main" objectType="Drop" dropLines="59" dropStyle="combo" dx="22" fmlaLink="$M$3" fmlaRange="$M$4:$M$5" sel="1" val="0"/>
</file>

<file path=xl/ctrlProps/ctrlProp2.xml><?xml version="1.0" encoding="utf-8"?>
<formControlPr xmlns="http://schemas.microsoft.com/office/spreadsheetml/2009/9/main" objectType="Drop" dropLines="59" dropStyle="combo" dx="22" fmlaLink="$L$6" fmlaRange="$L$7:$L$20" sel="10" val="0"/>
</file>

<file path=xl/ctrlProps/ctrlProp20.xml><?xml version="1.0" encoding="utf-8"?>
<formControlPr xmlns="http://schemas.microsoft.com/office/spreadsheetml/2009/9/main" objectType="Drop" dropLines="59" dropStyle="combo" dx="22" fmlaLink="$N$3" fmlaRange="$N$4:$N$5" sel="2" val="0"/>
</file>

<file path=xl/ctrlProps/ctrlProp21.xml><?xml version="1.0" encoding="utf-8"?>
<formControlPr xmlns="http://schemas.microsoft.com/office/spreadsheetml/2009/9/main" objectType="Drop" dropLines="59" dropStyle="combo" dx="22" fmlaLink="$O$3" fmlaRange="$N$4:$N$5" sel="1" val="0"/>
</file>

<file path=xl/ctrlProps/ctrlProp22.xml><?xml version="1.0" encoding="utf-8"?>
<formControlPr xmlns="http://schemas.microsoft.com/office/spreadsheetml/2009/9/main" objectType="Drop" dropLines="59" dropStyle="combo" dx="22" fmlaLink="$N$7" fmlaRange="$N$8:$N$13" sel="1" val="0"/>
</file>

<file path=xl/ctrlProps/ctrlProp23.xml><?xml version="1.0" encoding="utf-8"?>
<formControlPr xmlns="http://schemas.microsoft.com/office/spreadsheetml/2009/9/main" objectType="Drop" dropLines="59" dropStyle="combo" dx="22" fmlaLink="$P$6" fmlaRange="$P$7:$P$8" sel="1" val="0"/>
</file>

<file path=xl/ctrlProps/ctrlProp24.xml><?xml version="1.0" encoding="utf-8"?>
<formControlPr xmlns="http://schemas.microsoft.com/office/spreadsheetml/2009/9/main" objectType="Drop" dropLines="59" dropStyle="combo" dx="22" fmlaLink="$P$4" fmlaRange="$P$7:$P$8" sel="2" val="0"/>
</file>

<file path=xl/ctrlProps/ctrlProp25.xml><?xml version="1.0" encoding="utf-8"?>
<formControlPr xmlns="http://schemas.microsoft.com/office/spreadsheetml/2009/9/main" objectType="Drop" dropLines="59" dropStyle="combo" dx="22" fmlaLink="$L$3" fmlaRange="$L$4:$L$5" sel="1" val="0"/>
</file>

<file path=xl/ctrlProps/ctrlProp26.xml><?xml version="1.0" encoding="utf-8"?>
<formControlPr xmlns="http://schemas.microsoft.com/office/spreadsheetml/2009/9/main" objectType="Drop" dropLines="59" dropStyle="combo" dx="22" fmlaLink="$L$6" fmlaRange="$L$7:$L$20" sel="4" val="0"/>
</file>

<file path=xl/ctrlProps/ctrlProp27.xml><?xml version="1.0" encoding="utf-8"?>
<formControlPr xmlns="http://schemas.microsoft.com/office/spreadsheetml/2009/9/main" objectType="Drop" dropLines="59" dropStyle="combo" dx="22" fmlaLink="$M$3" fmlaRange="$M$4:$M$5" sel="1" val="0"/>
</file>

<file path=xl/ctrlProps/ctrlProp28.xml><?xml version="1.0" encoding="utf-8"?>
<formControlPr xmlns="http://schemas.microsoft.com/office/spreadsheetml/2009/9/main" objectType="Drop" dropLines="59" dropStyle="combo" dx="22" fmlaLink="$N$3" fmlaRange="$N$4:$N$5" sel="2" val="0"/>
</file>

<file path=xl/ctrlProps/ctrlProp29.xml><?xml version="1.0" encoding="utf-8"?>
<formControlPr xmlns="http://schemas.microsoft.com/office/spreadsheetml/2009/9/main" objectType="Drop" dropLines="59" dropStyle="combo" dx="22" fmlaLink="$O$3" fmlaRange="$N$4:$N$5" sel="2" val="0"/>
</file>

<file path=xl/ctrlProps/ctrlProp3.xml><?xml version="1.0" encoding="utf-8"?>
<formControlPr xmlns="http://schemas.microsoft.com/office/spreadsheetml/2009/9/main" objectType="Drop" dropLines="59" dropStyle="combo" dx="22" fmlaLink="$M$3" fmlaRange="$M$4:$M$5" sel="1" val="0"/>
</file>

<file path=xl/ctrlProps/ctrlProp30.xml><?xml version="1.0" encoding="utf-8"?>
<formControlPr xmlns="http://schemas.microsoft.com/office/spreadsheetml/2009/9/main" objectType="Drop" dropLines="59" dropStyle="combo" dx="22" fmlaLink="$N$7" fmlaRange="$N$8:$N$13" sel="1" val="0"/>
</file>

<file path=xl/ctrlProps/ctrlProp31.xml><?xml version="1.0" encoding="utf-8"?>
<formControlPr xmlns="http://schemas.microsoft.com/office/spreadsheetml/2009/9/main" objectType="Drop" dropLines="59" dropStyle="combo" dx="22" fmlaLink="$P$6" fmlaRange="$P$7:$P$8" sel="1" val="0"/>
</file>

<file path=xl/ctrlProps/ctrlProp32.xml><?xml version="1.0" encoding="utf-8"?>
<formControlPr xmlns="http://schemas.microsoft.com/office/spreadsheetml/2009/9/main" objectType="Drop" dropLines="59" dropStyle="combo" dx="22" fmlaLink="$P$4" fmlaRange="$P$7:$P$8" sel="1" val="0"/>
</file>

<file path=xl/ctrlProps/ctrlProp4.xml><?xml version="1.0" encoding="utf-8"?>
<formControlPr xmlns="http://schemas.microsoft.com/office/spreadsheetml/2009/9/main" objectType="Drop" dropLines="59" dropStyle="combo" dx="22" fmlaLink="$N$3" fmlaRange="$N$4:$N$5" sel="2" val="0"/>
</file>

<file path=xl/ctrlProps/ctrlProp5.xml><?xml version="1.0" encoding="utf-8"?>
<formControlPr xmlns="http://schemas.microsoft.com/office/spreadsheetml/2009/9/main" objectType="Drop" dropLines="59" dropStyle="combo" dx="22" fmlaLink="$O$3" fmlaRange="$N$4:$N$5" sel="1" val="0"/>
</file>

<file path=xl/ctrlProps/ctrlProp6.xml><?xml version="1.0" encoding="utf-8"?>
<formControlPr xmlns="http://schemas.microsoft.com/office/spreadsheetml/2009/9/main" objectType="Drop" dropLines="59" dropStyle="combo" dx="22" fmlaLink="$N$7" fmlaRange="$N$8:$N$13" sel="1" val="0"/>
</file>

<file path=xl/ctrlProps/ctrlProp7.xml><?xml version="1.0" encoding="utf-8"?>
<formControlPr xmlns="http://schemas.microsoft.com/office/spreadsheetml/2009/9/main" objectType="Drop" dropLines="59" dropStyle="combo" dx="22" fmlaLink="$P$6" fmlaRange="$P$7:$P$8" sel="2" val="0"/>
</file>

<file path=xl/ctrlProps/ctrlProp8.xml><?xml version="1.0" encoding="utf-8"?>
<formControlPr xmlns="http://schemas.microsoft.com/office/spreadsheetml/2009/9/main" objectType="Drop" dropLines="59" dropStyle="combo" dx="22" fmlaLink="$P$5" fmlaRange="$P$7:$P$8" sel="2" val="0"/>
</file>

<file path=xl/ctrlProps/ctrlProp9.xml><?xml version="1.0" encoding="utf-8"?>
<formControlPr xmlns="http://schemas.microsoft.com/office/spreadsheetml/2009/9/main" objectType="Drop" dropLines="59" dropStyle="combo" dx="22" fmlaLink="$L$3" fmlaRange="$L$4:$L$5" sel="2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695325</xdr:colOff>
          <xdr:row>3</xdr:row>
          <xdr:rowOff>85725</xdr:rowOff>
        </xdr:from>
        <xdr:to>
          <xdr:col>3</xdr:col>
          <xdr:colOff>0</xdr:colOff>
          <xdr:row>4</xdr:row>
          <xdr:rowOff>161925</xdr:rowOff>
        </xdr:to>
        <xdr:sp macro="" textlink="">
          <xdr:nvSpPr>
            <xdr:cNvPr id="54273" name="Drop Down 1" hidden="1">
              <a:extLst>
                <a:ext uri="{63B3BB69-23CF-44E3-9099-C40C66FF867C}">
                  <a14:compatExt spid="_x0000_s54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400050</xdr:colOff>
          <xdr:row>3</xdr:row>
          <xdr:rowOff>76200</xdr:rowOff>
        </xdr:from>
        <xdr:to>
          <xdr:col>7</xdr:col>
          <xdr:colOff>228600</xdr:colOff>
          <xdr:row>4</xdr:row>
          <xdr:rowOff>142875</xdr:rowOff>
        </xdr:to>
        <xdr:sp macro="" textlink="">
          <xdr:nvSpPr>
            <xdr:cNvPr id="54274" name="Drop Down 2" hidden="1">
              <a:extLst>
                <a:ext uri="{63B3BB69-23CF-44E3-9099-C40C66FF867C}">
                  <a14:compatExt spid="_x0000_s54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0</xdr:colOff>
      <xdr:row>8</xdr:row>
      <xdr:rowOff>0</xdr:rowOff>
    </xdr:from>
    <xdr:to>
      <xdr:col>9</xdr:col>
      <xdr:colOff>0</xdr:colOff>
      <xdr:row>36</xdr:row>
      <xdr:rowOff>66675</xdr:rowOff>
    </xdr:to>
    <xdr:graphicFrame macro="">
      <xdr:nvGraphicFramePr>
        <xdr:cNvPr id="5427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3</xdr:row>
          <xdr:rowOff>85725</xdr:rowOff>
        </xdr:from>
        <xdr:to>
          <xdr:col>2</xdr:col>
          <xdr:colOff>685800</xdr:colOff>
          <xdr:row>4</xdr:row>
          <xdr:rowOff>161925</xdr:rowOff>
        </xdr:to>
        <xdr:sp macro="" textlink="">
          <xdr:nvSpPr>
            <xdr:cNvPr id="54276" name="Drop Down 4" hidden="1">
              <a:extLst>
                <a:ext uri="{63B3BB69-23CF-44E3-9099-C40C66FF867C}">
                  <a14:compatExt spid="_x0000_s54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847725</xdr:colOff>
          <xdr:row>3</xdr:row>
          <xdr:rowOff>85725</xdr:rowOff>
        </xdr:from>
        <xdr:to>
          <xdr:col>1</xdr:col>
          <xdr:colOff>1504950</xdr:colOff>
          <xdr:row>4</xdr:row>
          <xdr:rowOff>161925</xdr:rowOff>
        </xdr:to>
        <xdr:sp macro="" textlink="">
          <xdr:nvSpPr>
            <xdr:cNvPr id="54277" name="Drop Down 5" hidden="1">
              <a:extLst>
                <a:ext uri="{63B3BB69-23CF-44E3-9099-C40C66FF867C}">
                  <a14:compatExt spid="_x0000_s54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3</xdr:row>
          <xdr:rowOff>76200</xdr:rowOff>
        </xdr:from>
        <xdr:to>
          <xdr:col>9</xdr:col>
          <xdr:colOff>0</xdr:colOff>
          <xdr:row>4</xdr:row>
          <xdr:rowOff>142875</xdr:rowOff>
        </xdr:to>
        <xdr:sp macro="" textlink="">
          <xdr:nvSpPr>
            <xdr:cNvPr id="54278" name="Drop Down 6" hidden="1">
              <a:extLst>
                <a:ext uri="{63B3BB69-23CF-44E3-9099-C40C66FF867C}">
                  <a14:compatExt spid="_x0000_s54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114300</xdr:rowOff>
        </xdr:from>
        <xdr:to>
          <xdr:col>3</xdr:col>
          <xdr:colOff>1009650</xdr:colOff>
          <xdr:row>9</xdr:row>
          <xdr:rowOff>9525</xdr:rowOff>
        </xdr:to>
        <xdr:sp macro="" textlink="">
          <xdr:nvSpPr>
            <xdr:cNvPr id="54280" name="Drop Down 8" hidden="1">
              <a:extLst>
                <a:ext uri="{63B3BB69-23CF-44E3-9099-C40C66FF867C}">
                  <a14:compatExt spid="_x0000_s54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409575</xdr:colOff>
          <xdr:row>2</xdr:row>
          <xdr:rowOff>104775</xdr:rowOff>
        </xdr:from>
        <xdr:to>
          <xdr:col>7</xdr:col>
          <xdr:colOff>161925</xdr:colOff>
          <xdr:row>3</xdr:row>
          <xdr:rowOff>38100</xdr:rowOff>
        </xdr:to>
        <xdr:sp macro="" textlink="">
          <xdr:nvSpPr>
            <xdr:cNvPr id="54282" name="Drop Down 10" hidden="1">
              <a:extLst>
                <a:ext uri="{63B3BB69-23CF-44E3-9099-C40C66FF867C}">
                  <a14:compatExt spid="_x0000_s54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13</xdr:row>
          <xdr:rowOff>47625</xdr:rowOff>
        </xdr:from>
        <xdr:to>
          <xdr:col>3</xdr:col>
          <xdr:colOff>847725</xdr:colOff>
          <xdr:row>14</xdr:row>
          <xdr:rowOff>123825</xdr:rowOff>
        </xdr:to>
        <xdr:sp macro="" textlink="">
          <xdr:nvSpPr>
            <xdr:cNvPr id="54283" name="Drop Down 11" hidden="1">
              <a:extLst>
                <a:ext uri="{63B3BB69-23CF-44E3-9099-C40C66FF867C}">
                  <a14:compatExt spid="_x0000_s54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695325</xdr:colOff>
          <xdr:row>3</xdr:row>
          <xdr:rowOff>85725</xdr:rowOff>
        </xdr:from>
        <xdr:to>
          <xdr:col>3</xdr:col>
          <xdr:colOff>0</xdr:colOff>
          <xdr:row>4</xdr:row>
          <xdr:rowOff>161925</xdr:rowOff>
        </xdr:to>
        <xdr:sp macro="" textlink="">
          <xdr:nvSpPr>
            <xdr:cNvPr id="67585" name="Drop Down 1" hidden="1">
              <a:extLst>
                <a:ext uri="{63B3BB69-23CF-44E3-9099-C40C66FF867C}">
                  <a14:compatExt spid="_x0000_s67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400050</xdr:colOff>
          <xdr:row>3</xdr:row>
          <xdr:rowOff>76200</xdr:rowOff>
        </xdr:from>
        <xdr:to>
          <xdr:col>7</xdr:col>
          <xdr:colOff>228600</xdr:colOff>
          <xdr:row>4</xdr:row>
          <xdr:rowOff>142875</xdr:rowOff>
        </xdr:to>
        <xdr:sp macro="" textlink="">
          <xdr:nvSpPr>
            <xdr:cNvPr id="67586" name="Drop Down 2" hidden="1">
              <a:extLst>
                <a:ext uri="{63B3BB69-23CF-44E3-9099-C40C66FF867C}">
                  <a14:compatExt spid="_x0000_s67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0</xdr:colOff>
      <xdr:row>8</xdr:row>
      <xdr:rowOff>0</xdr:rowOff>
    </xdr:from>
    <xdr:to>
      <xdr:col>9</xdr:col>
      <xdr:colOff>0</xdr:colOff>
      <xdr:row>36</xdr:row>
      <xdr:rowOff>66675</xdr:rowOff>
    </xdr:to>
    <xdr:graphicFrame macro="">
      <xdr:nvGraphicFramePr>
        <xdr:cNvPr id="6758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3</xdr:row>
          <xdr:rowOff>85725</xdr:rowOff>
        </xdr:from>
        <xdr:to>
          <xdr:col>2</xdr:col>
          <xdr:colOff>685800</xdr:colOff>
          <xdr:row>4</xdr:row>
          <xdr:rowOff>161925</xdr:rowOff>
        </xdr:to>
        <xdr:sp macro="" textlink="">
          <xdr:nvSpPr>
            <xdr:cNvPr id="67588" name="Drop Down 4" hidden="1">
              <a:extLst>
                <a:ext uri="{63B3BB69-23CF-44E3-9099-C40C66FF867C}">
                  <a14:compatExt spid="_x0000_s67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847725</xdr:colOff>
          <xdr:row>3</xdr:row>
          <xdr:rowOff>85725</xdr:rowOff>
        </xdr:from>
        <xdr:to>
          <xdr:col>1</xdr:col>
          <xdr:colOff>1504950</xdr:colOff>
          <xdr:row>4</xdr:row>
          <xdr:rowOff>161925</xdr:rowOff>
        </xdr:to>
        <xdr:sp macro="" textlink="">
          <xdr:nvSpPr>
            <xdr:cNvPr id="67589" name="Drop Down 5" hidden="1">
              <a:extLst>
                <a:ext uri="{63B3BB69-23CF-44E3-9099-C40C66FF867C}">
                  <a14:compatExt spid="_x0000_s67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3</xdr:row>
          <xdr:rowOff>76200</xdr:rowOff>
        </xdr:from>
        <xdr:to>
          <xdr:col>9</xdr:col>
          <xdr:colOff>0</xdr:colOff>
          <xdr:row>4</xdr:row>
          <xdr:rowOff>142875</xdr:rowOff>
        </xdr:to>
        <xdr:sp macro="" textlink="">
          <xdr:nvSpPr>
            <xdr:cNvPr id="67590" name="Drop Down 6" hidden="1">
              <a:extLst>
                <a:ext uri="{63B3BB69-23CF-44E3-9099-C40C66FF867C}">
                  <a14:compatExt spid="_x0000_s67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114300</xdr:rowOff>
        </xdr:from>
        <xdr:to>
          <xdr:col>3</xdr:col>
          <xdr:colOff>1009650</xdr:colOff>
          <xdr:row>9</xdr:row>
          <xdr:rowOff>190500</xdr:rowOff>
        </xdr:to>
        <xdr:sp macro="" textlink="">
          <xdr:nvSpPr>
            <xdr:cNvPr id="67591" name="Drop Down 7" hidden="1">
              <a:extLst>
                <a:ext uri="{63B3BB69-23CF-44E3-9099-C40C66FF867C}">
                  <a14:compatExt spid="_x0000_s67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409575</xdr:colOff>
          <xdr:row>2</xdr:row>
          <xdr:rowOff>104775</xdr:rowOff>
        </xdr:from>
        <xdr:to>
          <xdr:col>7</xdr:col>
          <xdr:colOff>161925</xdr:colOff>
          <xdr:row>3</xdr:row>
          <xdr:rowOff>38100</xdr:rowOff>
        </xdr:to>
        <xdr:sp macro="" textlink="">
          <xdr:nvSpPr>
            <xdr:cNvPr id="67593" name="Drop Down 9" hidden="1">
              <a:extLst>
                <a:ext uri="{63B3BB69-23CF-44E3-9099-C40C66FF867C}">
                  <a14:compatExt spid="_x0000_s67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14</xdr:row>
          <xdr:rowOff>38100</xdr:rowOff>
        </xdr:from>
        <xdr:to>
          <xdr:col>3</xdr:col>
          <xdr:colOff>866775</xdr:colOff>
          <xdr:row>15</xdr:row>
          <xdr:rowOff>114300</xdr:rowOff>
        </xdr:to>
        <xdr:sp macro="" textlink="">
          <xdr:nvSpPr>
            <xdr:cNvPr id="67594" name="Drop Down 10" hidden="1">
              <a:extLst>
                <a:ext uri="{63B3BB69-23CF-44E3-9099-C40C66FF867C}">
                  <a14:compatExt spid="_x0000_s67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695325</xdr:colOff>
          <xdr:row>3</xdr:row>
          <xdr:rowOff>85725</xdr:rowOff>
        </xdr:from>
        <xdr:to>
          <xdr:col>3</xdr:col>
          <xdr:colOff>0</xdr:colOff>
          <xdr:row>4</xdr:row>
          <xdr:rowOff>161925</xdr:rowOff>
        </xdr:to>
        <xdr:sp macro="" textlink="">
          <xdr:nvSpPr>
            <xdr:cNvPr id="65537" name="Drop Down 1" hidden="1">
              <a:extLst>
                <a:ext uri="{63B3BB69-23CF-44E3-9099-C40C66FF867C}">
                  <a14:compatExt spid="_x0000_s655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400050</xdr:colOff>
          <xdr:row>3</xdr:row>
          <xdr:rowOff>76200</xdr:rowOff>
        </xdr:from>
        <xdr:to>
          <xdr:col>7</xdr:col>
          <xdr:colOff>228600</xdr:colOff>
          <xdr:row>4</xdr:row>
          <xdr:rowOff>142875</xdr:rowOff>
        </xdr:to>
        <xdr:sp macro="" textlink="">
          <xdr:nvSpPr>
            <xdr:cNvPr id="65538" name="Drop Down 2" hidden="1">
              <a:extLst>
                <a:ext uri="{63B3BB69-23CF-44E3-9099-C40C66FF867C}">
                  <a14:compatExt spid="_x0000_s655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0</xdr:colOff>
      <xdr:row>8</xdr:row>
      <xdr:rowOff>0</xdr:rowOff>
    </xdr:from>
    <xdr:to>
      <xdr:col>9</xdr:col>
      <xdr:colOff>0</xdr:colOff>
      <xdr:row>36</xdr:row>
      <xdr:rowOff>66675</xdr:rowOff>
    </xdr:to>
    <xdr:graphicFrame macro="">
      <xdr:nvGraphicFramePr>
        <xdr:cNvPr id="6553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3</xdr:row>
          <xdr:rowOff>85725</xdr:rowOff>
        </xdr:from>
        <xdr:to>
          <xdr:col>2</xdr:col>
          <xdr:colOff>685800</xdr:colOff>
          <xdr:row>4</xdr:row>
          <xdr:rowOff>161925</xdr:rowOff>
        </xdr:to>
        <xdr:sp macro="" textlink="">
          <xdr:nvSpPr>
            <xdr:cNvPr id="65540" name="Drop Down 4" hidden="1">
              <a:extLst>
                <a:ext uri="{63B3BB69-23CF-44E3-9099-C40C66FF867C}">
                  <a14:compatExt spid="_x0000_s655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847725</xdr:colOff>
          <xdr:row>3</xdr:row>
          <xdr:rowOff>85725</xdr:rowOff>
        </xdr:from>
        <xdr:to>
          <xdr:col>1</xdr:col>
          <xdr:colOff>1504950</xdr:colOff>
          <xdr:row>4</xdr:row>
          <xdr:rowOff>161925</xdr:rowOff>
        </xdr:to>
        <xdr:sp macro="" textlink="">
          <xdr:nvSpPr>
            <xdr:cNvPr id="65541" name="Drop Down 5" hidden="1">
              <a:extLst>
                <a:ext uri="{63B3BB69-23CF-44E3-9099-C40C66FF867C}">
                  <a14:compatExt spid="_x0000_s655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3</xdr:row>
          <xdr:rowOff>76200</xdr:rowOff>
        </xdr:from>
        <xdr:to>
          <xdr:col>9</xdr:col>
          <xdr:colOff>0</xdr:colOff>
          <xdr:row>4</xdr:row>
          <xdr:rowOff>142875</xdr:rowOff>
        </xdr:to>
        <xdr:sp macro="" textlink="">
          <xdr:nvSpPr>
            <xdr:cNvPr id="65542" name="Drop Down 6" hidden="1">
              <a:extLst>
                <a:ext uri="{63B3BB69-23CF-44E3-9099-C40C66FF867C}">
                  <a14:compatExt spid="_x0000_s655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10</xdr:row>
          <xdr:rowOff>0</xdr:rowOff>
        </xdr:from>
        <xdr:to>
          <xdr:col>3</xdr:col>
          <xdr:colOff>1038225</xdr:colOff>
          <xdr:row>11</xdr:row>
          <xdr:rowOff>76200</xdr:rowOff>
        </xdr:to>
        <xdr:sp macro="" textlink="">
          <xdr:nvSpPr>
            <xdr:cNvPr id="65543" name="Drop Down 7" hidden="1">
              <a:extLst>
                <a:ext uri="{63B3BB69-23CF-44E3-9099-C40C66FF867C}">
                  <a14:compatExt spid="_x0000_s655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409575</xdr:colOff>
          <xdr:row>2</xdr:row>
          <xdr:rowOff>104775</xdr:rowOff>
        </xdr:from>
        <xdr:to>
          <xdr:col>7</xdr:col>
          <xdr:colOff>161925</xdr:colOff>
          <xdr:row>3</xdr:row>
          <xdr:rowOff>38100</xdr:rowOff>
        </xdr:to>
        <xdr:sp macro="" textlink="">
          <xdr:nvSpPr>
            <xdr:cNvPr id="65545" name="Drop Down 9" hidden="1">
              <a:extLst>
                <a:ext uri="{63B3BB69-23CF-44E3-9099-C40C66FF867C}">
                  <a14:compatExt spid="_x0000_s655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17</xdr:row>
          <xdr:rowOff>38100</xdr:rowOff>
        </xdr:from>
        <xdr:to>
          <xdr:col>3</xdr:col>
          <xdr:colOff>866775</xdr:colOff>
          <xdr:row>18</xdr:row>
          <xdr:rowOff>114300</xdr:rowOff>
        </xdr:to>
        <xdr:sp macro="" textlink="">
          <xdr:nvSpPr>
            <xdr:cNvPr id="65546" name="Drop Down 10" hidden="1">
              <a:extLst>
                <a:ext uri="{63B3BB69-23CF-44E3-9099-C40C66FF867C}">
                  <a14:compatExt spid="_x0000_s655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695325</xdr:colOff>
          <xdr:row>3</xdr:row>
          <xdr:rowOff>85725</xdr:rowOff>
        </xdr:from>
        <xdr:to>
          <xdr:col>3</xdr:col>
          <xdr:colOff>0</xdr:colOff>
          <xdr:row>4</xdr:row>
          <xdr:rowOff>161925</xdr:rowOff>
        </xdr:to>
        <xdr:sp macro="" textlink="">
          <xdr:nvSpPr>
            <xdr:cNvPr id="66561" name="Drop Down 1" hidden="1">
              <a:extLst>
                <a:ext uri="{63B3BB69-23CF-44E3-9099-C40C66FF867C}">
                  <a14:compatExt spid="_x0000_s665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400050</xdr:colOff>
          <xdr:row>3</xdr:row>
          <xdr:rowOff>76200</xdr:rowOff>
        </xdr:from>
        <xdr:to>
          <xdr:col>7</xdr:col>
          <xdr:colOff>228600</xdr:colOff>
          <xdr:row>4</xdr:row>
          <xdr:rowOff>142875</xdr:rowOff>
        </xdr:to>
        <xdr:sp macro="" textlink="">
          <xdr:nvSpPr>
            <xdr:cNvPr id="66562" name="Drop Down 2" hidden="1">
              <a:extLst>
                <a:ext uri="{63B3BB69-23CF-44E3-9099-C40C66FF867C}">
                  <a14:compatExt spid="_x0000_s665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0</xdr:colOff>
      <xdr:row>8</xdr:row>
      <xdr:rowOff>0</xdr:rowOff>
    </xdr:from>
    <xdr:to>
      <xdr:col>9</xdr:col>
      <xdr:colOff>0</xdr:colOff>
      <xdr:row>36</xdr:row>
      <xdr:rowOff>66675</xdr:rowOff>
    </xdr:to>
    <xdr:graphicFrame macro="">
      <xdr:nvGraphicFramePr>
        <xdr:cNvPr id="6656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3</xdr:row>
          <xdr:rowOff>85725</xdr:rowOff>
        </xdr:from>
        <xdr:to>
          <xdr:col>2</xdr:col>
          <xdr:colOff>685800</xdr:colOff>
          <xdr:row>4</xdr:row>
          <xdr:rowOff>161925</xdr:rowOff>
        </xdr:to>
        <xdr:sp macro="" textlink="">
          <xdr:nvSpPr>
            <xdr:cNvPr id="66564" name="Drop Down 4" hidden="1">
              <a:extLst>
                <a:ext uri="{63B3BB69-23CF-44E3-9099-C40C66FF867C}">
                  <a14:compatExt spid="_x0000_s665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847725</xdr:colOff>
          <xdr:row>3</xdr:row>
          <xdr:rowOff>85725</xdr:rowOff>
        </xdr:from>
        <xdr:to>
          <xdr:col>1</xdr:col>
          <xdr:colOff>1504950</xdr:colOff>
          <xdr:row>4</xdr:row>
          <xdr:rowOff>161925</xdr:rowOff>
        </xdr:to>
        <xdr:sp macro="" textlink="">
          <xdr:nvSpPr>
            <xdr:cNvPr id="66565" name="Drop Down 5" hidden="1">
              <a:extLst>
                <a:ext uri="{63B3BB69-23CF-44E3-9099-C40C66FF867C}">
                  <a14:compatExt spid="_x0000_s665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3</xdr:row>
          <xdr:rowOff>76200</xdr:rowOff>
        </xdr:from>
        <xdr:to>
          <xdr:col>9</xdr:col>
          <xdr:colOff>0</xdr:colOff>
          <xdr:row>4</xdr:row>
          <xdr:rowOff>142875</xdr:rowOff>
        </xdr:to>
        <xdr:sp macro="" textlink="">
          <xdr:nvSpPr>
            <xdr:cNvPr id="66566" name="Drop Down 6" hidden="1">
              <a:extLst>
                <a:ext uri="{63B3BB69-23CF-44E3-9099-C40C66FF867C}">
                  <a14:compatExt spid="_x0000_s665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114300</xdr:rowOff>
        </xdr:from>
        <xdr:to>
          <xdr:col>3</xdr:col>
          <xdr:colOff>1009650</xdr:colOff>
          <xdr:row>9</xdr:row>
          <xdr:rowOff>190500</xdr:rowOff>
        </xdr:to>
        <xdr:sp macro="" textlink="">
          <xdr:nvSpPr>
            <xdr:cNvPr id="66567" name="Drop Down 7" hidden="1">
              <a:extLst>
                <a:ext uri="{63B3BB69-23CF-44E3-9099-C40C66FF867C}">
                  <a14:compatExt spid="_x0000_s665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409575</xdr:colOff>
          <xdr:row>2</xdr:row>
          <xdr:rowOff>104775</xdr:rowOff>
        </xdr:from>
        <xdr:to>
          <xdr:col>7</xdr:col>
          <xdr:colOff>161925</xdr:colOff>
          <xdr:row>3</xdr:row>
          <xdr:rowOff>38100</xdr:rowOff>
        </xdr:to>
        <xdr:sp macro="" textlink="">
          <xdr:nvSpPr>
            <xdr:cNvPr id="66569" name="Drop Down 9" hidden="1">
              <a:extLst>
                <a:ext uri="{63B3BB69-23CF-44E3-9099-C40C66FF867C}">
                  <a14:compatExt spid="_x0000_s665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14</xdr:row>
          <xdr:rowOff>9525</xdr:rowOff>
        </xdr:from>
        <xdr:to>
          <xdr:col>3</xdr:col>
          <xdr:colOff>781050</xdr:colOff>
          <xdr:row>15</xdr:row>
          <xdr:rowOff>85725</xdr:rowOff>
        </xdr:to>
        <xdr:sp macro="" textlink="">
          <xdr:nvSpPr>
            <xdr:cNvPr id="66570" name="Drop Down 10" hidden="1">
              <a:extLst>
                <a:ext uri="{63B3BB69-23CF-44E3-9099-C40C66FF867C}">
                  <a14:compatExt spid="_x0000_s665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1.xml"/><Relationship Id="rId11" Type="http://schemas.openxmlformats.org/officeDocument/2006/relationships/ctrlProp" Target="../ctrlProps/ctrlProp16.xml"/><Relationship Id="rId5" Type="http://schemas.openxmlformats.org/officeDocument/2006/relationships/ctrlProp" Target="../ctrlProps/ctrlProp10.xml"/><Relationship Id="rId10" Type="http://schemas.openxmlformats.org/officeDocument/2006/relationships/ctrlProp" Target="../ctrlProps/ctrlProp15.xml"/><Relationship Id="rId4" Type="http://schemas.openxmlformats.org/officeDocument/2006/relationships/ctrlProp" Target="../ctrlProps/ctrlProp9.xml"/><Relationship Id="rId9" Type="http://schemas.openxmlformats.org/officeDocument/2006/relationships/ctrlProp" Target="../ctrlProps/ctrlProp1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1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20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9.xml"/><Relationship Id="rId11" Type="http://schemas.openxmlformats.org/officeDocument/2006/relationships/ctrlProp" Target="../ctrlProps/ctrlProp24.xml"/><Relationship Id="rId5" Type="http://schemas.openxmlformats.org/officeDocument/2006/relationships/ctrlProp" Target="../ctrlProps/ctrlProp18.xml"/><Relationship Id="rId10" Type="http://schemas.openxmlformats.org/officeDocument/2006/relationships/ctrlProp" Target="../ctrlProps/ctrlProp23.xml"/><Relationship Id="rId4" Type="http://schemas.openxmlformats.org/officeDocument/2006/relationships/ctrlProp" Target="../ctrlProps/ctrlProp17.xml"/><Relationship Id="rId9" Type="http://schemas.openxmlformats.org/officeDocument/2006/relationships/ctrlProp" Target="../ctrlProps/ctrlProp2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9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28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7.xml"/><Relationship Id="rId11" Type="http://schemas.openxmlformats.org/officeDocument/2006/relationships/ctrlProp" Target="../ctrlProps/ctrlProp32.xml"/><Relationship Id="rId5" Type="http://schemas.openxmlformats.org/officeDocument/2006/relationships/ctrlProp" Target="../ctrlProps/ctrlProp26.xml"/><Relationship Id="rId10" Type="http://schemas.openxmlformats.org/officeDocument/2006/relationships/ctrlProp" Target="../ctrlProps/ctrlProp31.xml"/><Relationship Id="rId4" Type="http://schemas.openxmlformats.org/officeDocument/2006/relationships/ctrlProp" Target="../ctrlProps/ctrlProp25.xml"/><Relationship Id="rId9" Type="http://schemas.openxmlformats.org/officeDocument/2006/relationships/ctrlProp" Target="../ctrlProps/ctrlProp3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10"/>
  <sheetViews>
    <sheetView showGridLines="0" tabSelected="1" workbookViewId="0">
      <selection activeCell="H11" sqref="H11"/>
    </sheetView>
  </sheetViews>
  <sheetFormatPr defaultRowHeight="12"/>
  <cols>
    <col min="1" max="256" width="11.42578125" customWidth="1"/>
  </cols>
  <sheetData>
    <row r="1" spans="1:3" ht="30">
      <c r="A1" s="52" t="s">
        <v>97</v>
      </c>
    </row>
    <row r="3" spans="1:3" ht="23.25">
      <c r="B3" s="48" t="s">
        <v>31</v>
      </c>
    </row>
    <row r="4" spans="1:3" ht="12.75">
      <c r="B4" s="49"/>
    </row>
    <row r="5" spans="1:3">
      <c r="B5" s="50" t="s">
        <v>39</v>
      </c>
    </row>
    <row r="6" spans="1:3">
      <c r="B6" s="73"/>
    </row>
    <row r="7" spans="1:3" ht="12.75">
      <c r="B7" s="49">
        <v>1</v>
      </c>
      <c r="C7" s="51" t="s">
        <v>9</v>
      </c>
    </row>
    <row r="8" spans="1:3" ht="12.75">
      <c r="B8" s="49">
        <v>2</v>
      </c>
      <c r="C8" s="51" t="s">
        <v>10</v>
      </c>
    </row>
    <row r="9" spans="1:3" ht="12.75">
      <c r="B9" s="49">
        <v>3</v>
      </c>
      <c r="C9" s="51" t="s">
        <v>11</v>
      </c>
    </row>
    <row r="10" spans="1:3" ht="12.75">
      <c r="B10" s="49">
        <v>4</v>
      </c>
      <c r="C10" s="51" t="s">
        <v>96</v>
      </c>
    </row>
  </sheetData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42"/>
  <dimension ref="A1:AD48"/>
  <sheetViews>
    <sheetView showGridLines="0" workbookViewId="0">
      <selection activeCell="A3" sqref="A3"/>
    </sheetView>
  </sheetViews>
  <sheetFormatPr defaultColWidth="10" defaultRowHeight="12.75"/>
  <cols>
    <col min="1" max="1" width="3.42578125" style="2" customWidth="1"/>
    <col min="2" max="2" width="29.7109375" style="2" bestFit="1" customWidth="1"/>
    <col min="3" max="3" width="20.28515625" style="2" customWidth="1"/>
    <col min="4" max="4" width="15.7109375" style="2" customWidth="1"/>
    <col min="5" max="5" width="3.28515625" style="2" customWidth="1"/>
    <col min="6" max="6" width="17" style="2" customWidth="1"/>
    <col min="7" max="7" width="17.85546875" style="2" customWidth="1"/>
    <col min="8" max="8" width="22.42578125" style="2" customWidth="1"/>
    <col min="9" max="11" width="11" style="2" customWidth="1"/>
    <col min="12" max="12" width="13.7109375" style="2" customWidth="1"/>
    <col min="13" max="13" width="10" style="2" customWidth="1"/>
    <col min="14" max="14" width="11" style="2" customWidth="1"/>
    <col min="15" max="16384" width="10" style="2"/>
  </cols>
  <sheetData>
    <row r="1" spans="1:16" ht="18">
      <c r="A1" s="47" t="s">
        <v>3</v>
      </c>
      <c r="B1" s="1"/>
      <c r="L1" s="10" t="s">
        <v>92</v>
      </c>
      <c r="M1" s="4"/>
    </row>
    <row r="2" spans="1:16">
      <c r="B2" s="72"/>
      <c r="F2" s="112">
        <f>425000*6.5</f>
        <v>2762500</v>
      </c>
      <c r="L2" s="26" t="str">
        <f>IF(L3=1,"c","p")</f>
        <v>c</v>
      </c>
      <c r="M2" s="66">
        <f>IF(M3=1,1,-1)</f>
        <v>1</v>
      </c>
      <c r="N2" s="66">
        <f>IF(N3=1,365,1)</f>
        <v>1</v>
      </c>
      <c r="O2" s="33">
        <f>IF(O3=1,365,1)</f>
        <v>365</v>
      </c>
    </row>
    <row r="3" spans="1:16" ht="23.25">
      <c r="A3" s="20"/>
      <c r="B3" s="76"/>
      <c r="C3" s="4"/>
      <c r="D3" s="75"/>
      <c r="E3" s="4"/>
      <c r="F3" s="4"/>
      <c r="G3" s="4"/>
      <c r="H3" s="4"/>
      <c r="I3" s="4"/>
      <c r="J3" s="4"/>
      <c r="K3" s="4"/>
      <c r="L3" s="27">
        <v>1</v>
      </c>
      <c r="M3" s="21">
        <v>1</v>
      </c>
      <c r="N3" s="21">
        <v>2</v>
      </c>
      <c r="O3" s="22">
        <v>1</v>
      </c>
    </row>
    <row r="4" spans="1:16">
      <c r="B4" s="4"/>
      <c r="C4" s="4"/>
      <c r="D4" s="4"/>
      <c r="F4" s="4"/>
      <c r="H4" s="4"/>
      <c r="J4" s="4"/>
      <c r="K4" s="4"/>
      <c r="L4" s="28" t="s">
        <v>13</v>
      </c>
      <c r="M4" s="23" t="s">
        <v>72</v>
      </c>
      <c r="N4" s="23" t="s">
        <v>47</v>
      </c>
      <c r="O4" s="24"/>
    </row>
    <row r="5" spans="1:16" ht="13.5" thickBot="1">
      <c r="B5" s="53" t="s">
        <v>49</v>
      </c>
      <c r="C5" s="4"/>
      <c r="D5"/>
      <c r="F5" s="46" t="s">
        <v>74</v>
      </c>
      <c r="G5" s="35"/>
      <c r="H5" s="63" t="s">
        <v>49</v>
      </c>
      <c r="I5" s="35"/>
      <c r="J5" s="4"/>
      <c r="K5" s="4"/>
      <c r="L5" s="28" t="s">
        <v>14</v>
      </c>
      <c r="M5" s="23" t="s">
        <v>73</v>
      </c>
      <c r="N5" s="30" t="s">
        <v>48</v>
      </c>
      <c r="O5" s="31"/>
      <c r="P5" s="68">
        <v>2</v>
      </c>
    </row>
    <row r="6" spans="1:16">
      <c r="B6" s="5" t="s">
        <v>79</v>
      </c>
      <c r="C6" s="87">
        <v>120</v>
      </c>
      <c r="D6"/>
      <c r="F6" s="36" t="s">
        <v>68</v>
      </c>
      <c r="G6" s="37"/>
      <c r="H6" s="45" t="s">
        <v>69</v>
      </c>
      <c r="I6" s="38"/>
      <c r="K6"/>
      <c r="L6" s="32">
        <v>10</v>
      </c>
      <c r="M6" s="33" t="str">
        <f>INDEX(M7:M20,L6)</f>
        <v>Fr</v>
      </c>
      <c r="N6" s="61">
        <f>INDEX(O8:O13,N7)</f>
        <v>0</v>
      </c>
      <c r="O6" s="67"/>
      <c r="P6" s="68">
        <v>2</v>
      </c>
    </row>
    <row r="7" spans="1:16">
      <c r="B7" s="6" t="s">
        <v>46</v>
      </c>
      <c r="C7" s="88">
        <v>100</v>
      </c>
      <c r="D7"/>
      <c r="F7" s="39" t="s">
        <v>66</v>
      </c>
      <c r="G7" s="34">
        <f>50%*C7</f>
        <v>50</v>
      </c>
      <c r="H7" s="12" t="s">
        <v>21</v>
      </c>
      <c r="I7" s="40">
        <v>10</v>
      </c>
      <c r="K7"/>
      <c r="L7" s="21" t="s">
        <v>15</v>
      </c>
      <c r="M7" s="22" t="s">
        <v>63</v>
      </c>
      <c r="N7" s="59">
        <v>1</v>
      </c>
      <c r="O7" s="22"/>
      <c r="P7" s="28" t="s">
        <v>12</v>
      </c>
    </row>
    <row r="8" spans="1:16" ht="13.5" thickBot="1">
      <c r="B8" s="6" t="s">
        <v>80</v>
      </c>
      <c r="C8" s="91">
        <v>0.25</v>
      </c>
      <c r="D8"/>
      <c r="F8" s="41" t="s">
        <v>67</v>
      </c>
      <c r="G8" s="42">
        <f>C7*1.5</f>
        <v>150</v>
      </c>
      <c r="H8" s="43" t="s">
        <v>22</v>
      </c>
      <c r="I8" s="44">
        <v>365</v>
      </c>
      <c r="K8"/>
      <c r="L8" s="23" t="s">
        <v>71</v>
      </c>
      <c r="M8" s="22" t="s">
        <v>64</v>
      </c>
      <c r="N8" s="59" t="s">
        <v>32</v>
      </c>
      <c r="O8" s="22">
        <v>0</v>
      </c>
      <c r="P8" s="29" t="s">
        <v>40</v>
      </c>
    </row>
    <row r="9" spans="1:16">
      <c r="B9" s="6" t="s">
        <v>8</v>
      </c>
      <c r="C9" s="89">
        <v>0.1</v>
      </c>
      <c r="D9"/>
      <c r="K9"/>
      <c r="L9" s="23" t="s">
        <v>41</v>
      </c>
      <c r="M9" s="24" t="s">
        <v>20</v>
      </c>
      <c r="N9" s="60" t="s">
        <v>38</v>
      </c>
      <c r="O9" s="71">
        <f>MAX(1/C8,1)</f>
        <v>4</v>
      </c>
    </row>
    <row r="10" spans="1:16" ht="15.95" customHeight="1">
      <c r="B10" s="7" t="s">
        <v>24</v>
      </c>
      <c r="C10" s="90">
        <v>0.4</v>
      </c>
      <c r="D10"/>
      <c r="K10"/>
      <c r="L10" s="23" t="s">
        <v>76</v>
      </c>
      <c r="M10" s="24" t="s">
        <v>77</v>
      </c>
      <c r="N10" s="59" t="s">
        <v>33</v>
      </c>
      <c r="O10" s="22">
        <v>1</v>
      </c>
    </row>
    <row r="11" spans="1:16">
      <c r="B11" s="8" t="s">
        <v>15</v>
      </c>
      <c r="C11" s="83">
        <f>GBlackScholesNGreeks("p",$L$2,$C$6,$C$7,$C$8/$N$2,$O$14,$O$15,$C$10)</f>
        <v>21.600480054610166</v>
      </c>
      <c r="D11"/>
      <c r="K11"/>
      <c r="L11" s="23" t="s">
        <v>52</v>
      </c>
      <c r="M11" s="24" t="s">
        <v>53</v>
      </c>
      <c r="N11" s="59" t="s">
        <v>34</v>
      </c>
      <c r="O11" s="22">
        <v>2</v>
      </c>
    </row>
    <row r="12" spans="1:16">
      <c r="C12" s="78"/>
      <c r="D12"/>
      <c r="F12" s="4"/>
      <c r="G12" s="9"/>
      <c r="H12" s="4"/>
      <c r="L12" s="23" t="s">
        <v>45</v>
      </c>
      <c r="M12" s="24" t="s">
        <v>44</v>
      </c>
      <c r="N12" s="59" t="s">
        <v>35</v>
      </c>
      <c r="O12" s="22">
        <v>4</v>
      </c>
    </row>
    <row r="13" spans="1:16">
      <c r="B13" s="10" t="s">
        <v>16</v>
      </c>
      <c r="C13" s="74" t="s">
        <v>28</v>
      </c>
      <c r="D13"/>
      <c r="F13" s="4"/>
      <c r="G13" s="4"/>
      <c r="L13" s="21" t="s">
        <v>17</v>
      </c>
      <c r="M13" s="22" t="s">
        <v>65</v>
      </c>
      <c r="N13" s="62" t="s">
        <v>89</v>
      </c>
      <c r="O13" s="25">
        <v>12</v>
      </c>
    </row>
    <row r="14" spans="1:16">
      <c r="B14" s="79" t="s">
        <v>59</v>
      </c>
      <c r="C14" s="84" t="str">
        <f>IF($P$5=1,$M$2*CGBlackScholes("d",$L$2,$C$6,$C$7,$C$8/$N$2,$O$14,$O$15,$C$10),"")</f>
        <v/>
      </c>
      <c r="D14"/>
      <c r="F14" s="4"/>
      <c r="I14" s="4"/>
      <c r="L14" s="23" t="s">
        <v>23</v>
      </c>
      <c r="M14" s="24" t="s">
        <v>27</v>
      </c>
      <c r="N14" s="69" t="s">
        <v>90</v>
      </c>
      <c r="O14" s="64">
        <f>ConvertingToCCRate(C9,N6)</f>
        <v>0.1</v>
      </c>
    </row>
    <row r="15" spans="1:16">
      <c r="B15" s="80" t="s">
        <v>60</v>
      </c>
      <c r="C15" s="85" t="str">
        <f>IF($P$5=1,$M$2*CGBlackScholes("e",$L$2,$C$6,$C$7,$C$8/$N$2,$O$14,$O$15,$C$10),"")</f>
        <v/>
      </c>
      <c r="D15"/>
      <c r="F15" s="4"/>
      <c r="I15" s="4"/>
      <c r="J15" s="4"/>
      <c r="K15" s="4"/>
      <c r="L15" s="23" t="s">
        <v>18</v>
      </c>
      <c r="M15" s="24" t="s">
        <v>19</v>
      </c>
      <c r="N15" s="70" t="s">
        <v>91</v>
      </c>
      <c r="O15" s="65">
        <v>0</v>
      </c>
    </row>
    <row r="16" spans="1:16">
      <c r="B16" s="80" t="s">
        <v>61</v>
      </c>
      <c r="C16" s="85" t="str">
        <f>IF($P$5=1,$M$2*CGBlackScholes("g",$L$2,$C$6,$C$7,$C$8/$N$2,$O$14,$O$15,$C$10),"")</f>
        <v/>
      </c>
      <c r="D16"/>
      <c r="F16" s="4"/>
      <c r="I16" s="4"/>
      <c r="J16" s="4"/>
      <c r="K16" s="4"/>
      <c r="L16" s="23" t="s">
        <v>78</v>
      </c>
      <c r="M16" s="24" t="s">
        <v>4</v>
      </c>
    </row>
    <row r="17" spans="1:30">
      <c r="A17" s="4"/>
      <c r="B17" s="80" t="s">
        <v>51</v>
      </c>
      <c r="C17" s="85" t="str">
        <f>IF($P$5=1,CGBlackScholes("gv",$L$2,$C$6,$C$7,$C$8/$N$2,$O$14,$O$15,$C$10),"")</f>
        <v/>
      </c>
      <c r="D17"/>
      <c r="F17" s="4"/>
      <c r="I17" s="4"/>
      <c r="J17" s="4"/>
      <c r="K17" s="4"/>
      <c r="L17" s="23" t="s">
        <v>56</v>
      </c>
      <c r="M17" s="24" t="s">
        <v>57</v>
      </c>
    </row>
    <row r="18" spans="1:30">
      <c r="A18" s="4"/>
      <c r="B18" s="80" t="s">
        <v>43</v>
      </c>
      <c r="C18" s="85" t="str">
        <f>IF($P$5=1,$M$2*CGBlackScholes("gp",$L$2,$C$6,$C$7,$C$8/$N$2,$O$14,$O$15,$C$10),"")</f>
        <v/>
      </c>
      <c r="D18"/>
      <c r="F18" s="4"/>
      <c r="I18" s="4"/>
      <c r="J18" s="4"/>
      <c r="K18" s="4"/>
      <c r="L18" s="23" t="s">
        <v>62</v>
      </c>
      <c r="M18" s="24" t="s">
        <v>30</v>
      </c>
    </row>
    <row r="19" spans="1:30">
      <c r="A19" s="4"/>
      <c r="B19" s="80" t="s">
        <v>17</v>
      </c>
      <c r="C19" s="85" t="str">
        <f>IF($P$5=1,$M$2*CGBlackScholes("v",$L$2,$C$6,$C$7,$C$8/$N$2,$O$14,$O$15,$C$10),"")</f>
        <v/>
      </c>
      <c r="D19"/>
      <c r="F19" s="4"/>
      <c r="I19" s="4"/>
      <c r="J19" s="4"/>
      <c r="K19" s="4"/>
      <c r="L19" s="23" t="s">
        <v>1</v>
      </c>
      <c r="M19" s="24" t="s">
        <v>2</v>
      </c>
      <c r="N19" s="4"/>
      <c r="O19" s="4"/>
    </row>
    <row r="20" spans="1:30">
      <c r="A20" s="4"/>
      <c r="B20" s="80" t="s">
        <v>23</v>
      </c>
      <c r="C20" s="85" t="str">
        <f>IF($P$5=1,$M$2*CGBlackScholes("dvdv",$L$2,$C$6,$C$7,$C$8/$N$2,$O$14,$O$15,$C$10),"")</f>
        <v/>
      </c>
      <c r="D20"/>
      <c r="F20" s="4"/>
      <c r="I20" s="4"/>
      <c r="J20" s="4"/>
      <c r="K20" s="4"/>
      <c r="L20" s="30" t="s">
        <v>75</v>
      </c>
      <c r="M20" s="31" t="s">
        <v>58</v>
      </c>
    </row>
    <row r="21" spans="1:30">
      <c r="A21" s="4"/>
      <c r="B21" s="80" t="s">
        <v>26</v>
      </c>
      <c r="C21" s="85" t="str">
        <f>IF($P$5=1,$M$2*CGBlackScholes("vp",$L$2,$C$6,$C$7,$C$8/$N$2,$O$14,$O$15,$C$10),"")</f>
        <v/>
      </c>
      <c r="D21"/>
      <c r="F21" s="4"/>
      <c r="I21" s="4"/>
      <c r="J21" s="4"/>
      <c r="K21" s="4"/>
    </row>
    <row r="22" spans="1:30">
      <c r="A22" s="4"/>
      <c r="B22" s="81" t="s">
        <v>50</v>
      </c>
      <c r="C22" s="85" t="str">
        <f>IF($P$5=1,$M$2*CGBlackScholes("t",$L$2,$C$6,$C$7,$C$8/$N$2,$O$14,$O$15,$C$10),"")</f>
        <v/>
      </c>
      <c r="D22"/>
      <c r="F22" s="4"/>
      <c r="G22" s="4"/>
      <c r="H22" s="4"/>
      <c r="I22" s="4"/>
      <c r="J22" s="4"/>
      <c r="K22" s="4"/>
    </row>
    <row r="23" spans="1:30">
      <c r="A23" s="4"/>
      <c r="B23" s="81" t="s">
        <v>42</v>
      </c>
      <c r="C23" s="85" t="str">
        <f>IF($P$5=1,$M$2*CGBlackScholes("fr",$L$2,$C$6,$C$7,$C$8/$N$2,$O$14,$O$15,$C$10),"")</f>
        <v/>
      </c>
      <c r="D23"/>
      <c r="H23" s="4"/>
      <c r="I23" s="4"/>
      <c r="J23" s="4"/>
      <c r="K23" s="4"/>
    </row>
    <row r="24" spans="1:30">
      <c r="A24" s="4"/>
      <c r="B24" s="81" t="s">
        <v>56</v>
      </c>
      <c r="C24" s="85" t="str">
        <f>IF($P$5=1,$M$2*CGBlackScholes("dddv",$L$2,$C$6,$C$7,$C$8/$N$2,$O$14,$O$15,$C$10),"")</f>
        <v/>
      </c>
      <c r="D24"/>
    </row>
    <row r="25" spans="1:30" ht="13.5" thickBot="1">
      <c r="A25" s="4"/>
      <c r="B25" s="81" t="s">
        <v>62</v>
      </c>
      <c r="C25" s="85" t="str">
        <f>IF($P$5=1,$M$2*CGBlackScholes("s",$L$2,$C$6,$C$7,$C$8/$N$2,$O$14,$O$15,$C$10),"")</f>
        <v/>
      </c>
      <c r="D25"/>
      <c r="L25" s="13" t="s">
        <v>25</v>
      </c>
    </row>
    <row r="26" spans="1:30">
      <c r="B26" s="81" t="s">
        <v>0</v>
      </c>
      <c r="C26" s="85" t="str">
        <f>IF($P$5=1,$M$2*CGBlackScholes("dx",$L$2,$C$6,$C$7,$C$8/$N$2,$O$14,$O$15,$C$10),"")</f>
        <v/>
      </c>
      <c r="D26"/>
      <c r="L26" s="14"/>
      <c r="M26" s="18" t="s">
        <v>93</v>
      </c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6"/>
      <c r="AD26" s="17"/>
    </row>
    <row r="27" spans="1:30">
      <c r="B27" s="82" t="s">
        <v>94</v>
      </c>
      <c r="C27" s="86" t="str">
        <f>IF($P$5=1,CGBlackScholes("dxdx",$L$2,$C$6,$C$7,$C$8/$N$2,$O$14,$O$15,$C$10),"")</f>
        <v/>
      </c>
      <c r="D27"/>
      <c r="L27" s="19" t="s">
        <v>70</v>
      </c>
      <c r="M27" s="54">
        <f>I7</f>
        <v>10</v>
      </c>
      <c r="N27" s="54">
        <f t="shared" ref="N27:AD27" si="0">M27+($I$8-$I$7)/17</f>
        <v>30.882352941176471</v>
      </c>
      <c r="O27" s="54">
        <f t="shared" si="0"/>
        <v>51.764705882352942</v>
      </c>
      <c r="P27" s="54">
        <f t="shared" si="0"/>
        <v>72.64705882352942</v>
      </c>
      <c r="Q27" s="54">
        <f t="shared" si="0"/>
        <v>93.529411764705884</v>
      </c>
      <c r="R27" s="54">
        <f t="shared" si="0"/>
        <v>114.41176470588235</v>
      </c>
      <c r="S27" s="54">
        <f t="shared" si="0"/>
        <v>135.29411764705881</v>
      </c>
      <c r="T27" s="54">
        <f t="shared" si="0"/>
        <v>156.17647058823528</v>
      </c>
      <c r="U27" s="54">
        <f t="shared" si="0"/>
        <v>177.05882352941174</v>
      </c>
      <c r="V27" s="54">
        <f t="shared" si="0"/>
        <v>197.9411764705882</v>
      </c>
      <c r="W27" s="54">
        <f t="shared" si="0"/>
        <v>218.82352941176467</v>
      </c>
      <c r="X27" s="54">
        <f t="shared" si="0"/>
        <v>239.70588235294113</v>
      </c>
      <c r="Y27" s="54">
        <f t="shared" si="0"/>
        <v>260.58823529411762</v>
      </c>
      <c r="Z27" s="54">
        <f t="shared" si="0"/>
        <v>281.47058823529409</v>
      </c>
      <c r="AA27" s="54">
        <f t="shared" si="0"/>
        <v>302.35294117647055</v>
      </c>
      <c r="AB27" s="54">
        <f t="shared" si="0"/>
        <v>323.23529411764702</v>
      </c>
      <c r="AC27" s="54">
        <f t="shared" si="0"/>
        <v>344.11764705882348</v>
      </c>
      <c r="AD27" s="55">
        <f t="shared" si="0"/>
        <v>364.99999999999994</v>
      </c>
    </row>
    <row r="28" spans="1:30">
      <c r="L28" s="56">
        <f>G8</f>
        <v>150</v>
      </c>
      <c r="M28" s="92" t="str">
        <f t="shared" ref="M28:V37" si="1">IF($P$6=1,$M$2*CGBlackScholes($M$6,$L$2,$L28,$C$7,M$27/$O$2,$O$14,$O$15,$C$10),"")</f>
        <v/>
      </c>
      <c r="N28" s="94" t="str">
        <f t="shared" si="1"/>
        <v/>
      </c>
      <c r="O28" s="94" t="str">
        <f t="shared" si="1"/>
        <v/>
      </c>
      <c r="P28" s="94" t="str">
        <f t="shared" si="1"/>
        <v/>
      </c>
      <c r="Q28" s="94" t="str">
        <f t="shared" si="1"/>
        <v/>
      </c>
      <c r="R28" s="94" t="str">
        <f t="shared" si="1"/>
        <v/>
      </c>
      <c r="S28" s="94" t="str">
        <f t="shared" si="1"/>
        <v/>
      </c>
      <c r="T28" s="94" t="str">
        <f t="shared" si="1"/>
        <v/>
      </c>
      <c r="U28" s="94" t="str">
        <f t="shared" si="1"/>
        <v/>
      </c>
      <c r="V28" s="94" t="str">
        <f t="shared" si="1"/>
        <v/>
      </c>
      <c r="W28" s="94" t="str">
        <f t="shared" ref="W28:AD37" si="2">IF($P$6=1,$M$2*CGBlackScholes($M$6,$L$2,$L28,$C$7,W$27/$O$2,$O$14,$O$15,$C$10),"")</f>
        <v/>
      </c>
      <c r="X28" s="94" t="str">
        <f t="shared" si="2"/>
        <v/>
      </c>
      <c r="Y28" s="94" t="str">
        <f t="shared" si="2"/>
        <v/>
      </c>
      <c r="Z28" s="94" t="str">
        <f t="shared" si="2"/>
        <v/>
      </c>
      <c r="AA28" s="94" t="str">
        <f t="shared" si="2"/>
        <v/>
      </c>
      <c r="AB28" s="94" t="str">
        <f t="shared" si="2"/>
        <v/>
      </c>
      <c r="AC28" s="94" t="str">
        <f t="shared" si="2"/>
        <v/>
      </c>
      <c r="AD28" s="95" t="str">
        <f t="shared" si="2"/>
        <v/>
      </c>
    </row>
    <row r="29" spans="1:30">
      <c r="B29"/>
      <c r="C29"/>
      <c r="L29" s="57">
        <f t="shared" ref="L29:L48" si="3">L28-($G$8-$G$7)/20</f>
        <v>145</v>
      </c>
      <c r="M29" s="96" t="str">
        <f t="shared" si="1"/>
        <v/>
      </c>
      <c r="N29" s="93" t="str">
        <f t="shared" si="1"/>
        <v/>
      </c>
      <c r="O29" s="93" t="str">
        <f t="shared" si="1"/>
        <v/>
      </c>
      <c r="P29" s="93" t="str">
        <f t="shared" si="1"/>
        <v/>
      </c>
      <c r="Q29" s="93" t="str">
        <f t="shared" si="1"/>
        <v/>
      </c>
      <c r="R29" s="93" t="str">
        <f t="shared" si="1"/>
        <v/>
      </c>
      <c r="S29" s="93" t="str">
        <f t="shared" si="1"/>
        <v/>
      </c>
      <c r="T29" s="93" t="str">
        <f t="shared" si="1"/>
        <v/>
      </c>
      <c r="U29" s="93" t="str">
        <f t="shared" si="1"/>
        <v/>
      </c>
      <c r="V29" s="93" t="str">
        <f t="shared" si="1"/>
        <v/>
      </c>
      <c r="W29" s="93" t="str">
        <f t="shared" si="2"/>
        <v/>
      </c>
      <c r="X29" s="93" t="str">
        <f t="shared" si="2"/>
        <v/>
      </c>
      <c r="Y29" s="93" t="str">
        <f t="shared" si="2"/>
        <v/>
      </c>
      <c r="Z29" s="93" t="str">
        <f t="shared" si="2"/>
        <v/>
      </c>
      <c r="AA29" s="93" t="str">
        <f t="shared" si="2"/>
        <v/>
      </c>
      <c r="AB29" s="93" t="str">
        <f t="shared" si="2"/>
        <v/>
      </c>
      <c r="AC29" s="93" t="str">
        <f t="shared" si="2"/>
        <v/>
      </c>
      <c r="AD29" s="97" t="str">
        <f t="shared" si="2"/>
        <v/>
      </c>
    </row>
    <row r="30" spans="1:30">
      <c r="B30"/>
      <c r="C30"/>
      <c r="L30" s="57">
        <f t="shared" si="3"/>
        <v>140</v>
      </c>
      <c r="M30" s="96" t="str">
        <f t="shared" si="1"/>
        <v/>
      </c>
      <c r="N30" s="93" t="str">
        <f t="shared" si="1"/>
        <v/>
      </c>
      <c r="O30" s="93" t="str">
        <f t="shared" si="1"/>
        <v/>
      </c>
      <c r="P30" s="93" t="str">
        <f t="shared" si="1"/>
        <v/>
      </c>
      <c r="Q30" s="93" t="str">
        <f t="shared" si="1"/>
        <v/>
      </c>
      <c r="R30" s="93" t="str">
        <f t="shared" si="1"/>
        <v/>
      </c>
      <c r="S30" s="93" t="str">
        <f t="shared" si="1"/>
        <v/>
      </c>
      <c r="T30" s="93" t="str">
        <f t="shared" si="1"/>
        <v/>
      </c>
      <c r="U30" s="93" t="str">
        <f t="shared" si="1"/>
        <v/>
      </c>
      <c r="V30" s="93" t="str">
        <f t="shared" si="1"/>
        <v/>
      </c>
      <c r="W30" s="93" t="str">
        <f t="shared" si="2"/>
        <v/>
      </c>
      <c r="X30" s="93" t="str">
        <f t="shared" si="2"/>
        <v/>
      </c>
      <c r="Y30" s="93" t="str">
        <f t="shared" si="2"/>
        <v/>
      </c>
      <c r="Z30" s="93" t="str">
        <f t="shared" si="2"/>
        <v/>
      </c>
      <c r="AA30" s="93" t="str">
        <f t="shared" si="2"/>
        <v/>
      </c>
      <c r="AB30" s="93" t="str">
        <f t="shared" si="2"/>
        <v/>
      </c>
      <c r="AC30" s="93" t="str">
        <f t="shared" si="2"/>
        <v/>
      </c>
      <c r="AD30" s="97" t="str">
        <f t="shared" si="2"/>
        <v/>
      </c>
    </row>
    <row r="31" spans="1:30">
      <c r="B31"/>
      <c r="C31"/>
      <c r="K31" s="3"/>
      <c r="L31" s="57">
        <f t="shared" si="3"/>
        <v>135</v>
      </c>
      <c r="M31" s="96" t="str">
        <f t="shared" si="1"/>
        <v/>
      </c>
      <c r="N31" s="93" t="str">
        <f t="shared" si="1"/>
        <v/>
      </c>
      <c r="O31" s="93" t="str">
        <f t="shared" si="1"/>
        <v/>
      </c>
      <c r="P31" s="93" t="str">
        <f t="shared" si="1"/>
        <v/>
      </c>
      <c r="Q31" s="93" t="str">
        <f t="shared" si="1"/>
        <v/>
      </c>
      <c r="R31" s="93" t="str">
        <f t="shared" si="1"/>
        <v/>
      </c>
      <c r="S31" s="93" t="str">
        <f t="shared" si="1"/>
        <v/>
      </c>
      <c r="T31" s="93" t="str">
        <f t="shared" si="1"/>
        <v/>
      </c>
      <c r="U31" s="93" t="str">
        <f t="shared" si="1"/>
        <v/>
      </c>
      <c r="V31" s="93" t="str">
        <f t="shared" si="1"/>
        <v/>
      </c>
      <c r="W31" s="93" t="str">
        <f t="shared" si="2"/>
        <v/>
      </c>
      <c r="X31" s="93" t="str">
        <f t="shared" si="2"/>
        <v/>
      </c>
      <c r="Y31" s="93" t="str">
        <f t="shared" si="2"/>
        <v/>
      </c>
      <c r="Z31" s="93" t="str">
        <f t="shared" si="2"/>
        <v/>
      </c>
      <c r="AA31" s="93" t="str">
        <f t="shared" si="2"/>
        <v/>
      </c>
      <c r="AB31" s="93" t="str">
        <f t="shared" si="2"/>
        <v/>
      </c>
      <c r="AC31" s="93" t="str">
        <f t="shared" si="2"/>
        <v/>
      </c>
      <c r="AD31" s="97" t="str">
        <f t="shared" si="2"/>
        <v/>
      </c>
    </row>
    <row r="32" spans="1:30">
      <c r="B32"/>
      <c r="C32"/>
      <c r="D32"/>
      <c r="L32" s="57">
        <f t="shared" si="3"/>
        <v>130</v>
      </c>
      <c r="M32" s="96" t="str">
        <f t="shared" si="1"/>
        <v/>
      </c>
      <c r="N32" s="93" t="str">
        <f t="shared" si="1"/>
        <v/>
      </c>
      <c r="O32" s="93" t="str">
        <f t="shared" si="1"/>
        <v/>
      </c>
      <c r="P32" s="93" t="str">
        <f t="shared" si="1"/>
        <v/>
      </c>
      <c r="Q32" s="93" t="str">
        <f t="shared" si="1"/>
        <v/>
      </c>
      <c r="R32" s="93" t="str">
        <f t="shared" si="1"/>
        <v/>
      </c>
      <c r="S32" s="93" t="str">
        <f t="shared" si="1"/>
        <v/>
      </c>
      <c r="T32" s="93" t="str">
        <f t="shared" si="1"/>
        <v/>
      </c>
      <c r="U32" s="93" t="str">
        <f t="shared" si="1"/>
        <v/>
      </c>
      <c r="V32" s="93" t="str">
        <f t="shared" si="1"/>
        <v/>
      </c>
      <c r="W32" s="93" t="str">
        <f t="shared" si="2"/>
        <v/>
      </c>
      <c r="X32" s="93" t="str">
        <f t="shared" si="2"/>
        <v/>
      </c>
      <c r="Y32" s="93" t="str">
        <f t="shared" si="2"/>
        <v/>
      </c>
      <c r="Z32" s="93" t="str">
        <f t="shared" si="2"/>
        <v/>
      </c>
      <c r="AA32" s="93" t="str">
        <f t="shared" si="2"/>
        <v/>
      </c>
      <c r="AB32" s="93" t="str">
        <f t="shared" si="2"/>
        <v/>
      </c>
      <c r="AC32" s="93" t="str">
        <f t="shared" si="2"/>
        <v/>
      </c>
      <c r="AD32" s="97" t="str">
        <f t="shared" si="2"/>
        <v/>
      </c>
    </row>
    <row r="33" spans="2:30">
      <c r="B33"/>
      <c r="C33"/>
      <c r="L33" s="57">
        <f t="shared" si="3"/>
        <v>125</v>
      </c>
      <c r="M33" s="96" t="str">
        <f t="shared" si="1"/>
        <v/>
      </c>
      <c r="N33" s="93" t="str">
        <f t="shared" si="1"/>
        <v/>
      </c>
      <c r="O33" s="93" t="str">
        <f t="shared" si="1"/>
        <v/>
      </c>
      <c r="P33" s="93" t="str">
        <f t="shared" si="1"/>
        <v/>
      </c>
      <c r="Q33" s="93" t="str">
        <f t="shared" si="1"/>
        <v/>
      </c>
      <c r="R33" s="93" t="str">
        <f t="shared" si="1"/>
        <v/>
      </c>
      <c r="S33" s="93" t="str">
        <f t="shared" si="1"/>
        <v/>
      </c>
      <c r="T33" s="93" t="str">
        <f t="shared" si="1"/>
        <v/>
      </c>
      <c r="U33" s="93" t="str">
        <f t="shared" si="1"/>
        <v/>
      </c>
      <c r="V33" s="93" t="str">
        <f t="shared" si="1"/>
        <v/>
      </c>
      <c r="W33" s="93" t="str">
        <f t="shared" si="2"/>
        <v/>
      </c>
      <c r="X33" s="93" t="str">
        <f t="shared" si="2"/>
        <v/>
      </c>
      <c r="Y33" s="93" t="str">
        <f t="shared" si="2"/>
        <v/>
      </c>
      <c r="Z33" s="93" t="str">
        <f t="shared" si="2"/>
        <v/>
      </c>
      <c r="AA33" s="93" t="str">
        <f t="shared" si="2"/>
        <v/>
      </c>
      <c r="AB33" s="93" t="str">
        <f t="shared" si="2"/>
        <v/>
      </c>
      <c r="AC33" s="93" t="str">
        <f t="shared" si="2"/>
        <v/>
      </c>
      <c r="AD33" s="97" t="str">
        <f t="shared" si="2"/>
        <v/>
      </c>
    </row>
    <row r="34" spans="2:30">
      <c r="B34"/>
      <c r="L34" s="57">
        <f t="shared" si="3"/>
        <v>120</v>
      </c>
      <c r="M34" s="96" t="str">
        <f t="shared" si="1"/>
        <v/>
      </c>
      <c r="N34" s="93" t="str">
        <f t="shared" si="1"/>
        <v/>
      </c>
      <c r="O34" s="93" t="str">
        <f t="shared" si="1"/>
        <v/>
      </c>
      <c r="P34" s="93" t="str">
        <f t="shared" si="1"/>
        <v/>
      </c>
      <c r="Q34" s="93" t="str">
        <f t="shared" si="1"/>
        <v/>
      </c>
      <c r="R34" s="93" t="str">
        <f t="shared" si="1"/>
        <v/>
      </c>
      <c r="S34" s="93" t="str">
        <f t="shared" si="1"/>
        <v/>
      </c>
      <c r="T34" s="93" t="str">
        <f t="shared" si="1"/>
        <v/>
      </c>
      <c r="U34" s="93" t="str">
        <f t="shared" si="1"/>
        <v/>
      </c>
      <c r="V34" s="93" t="str">
        <f t="shared" si="1"/>
        <v/>
      </c>
      <c r="W34" s="93" t="str">
        <f t="shared" si="2"/>
        <v/>
      </c>
      <c r="X34" s="93" t="str">
        <f t="shared" si="2"/>
        <v/>
      </c>
      <c r="Y34" s="93" t="str">
        <f t="shared" si="2"/>
        <v/>
      </c>
      <c r="Z34" s="93" t="str">
        <f t="shared" si="2"/>
        <v/>
      </c>
      <c r="AA34" s="93" t="str">
        <f t="shared" si="2"/>
        <v/>
      </c>
      <c r="AB34" s="93" t="str">
        <f t="shared" si="2"/>
        <v/>
      </c>
      <c r="AC34" s="93" t="str">
        <f t="shared" si="2"/>
        <v/>
      </c>
      <c r="AD34" s="97" t="str">
        <f t="shared" si="2"/>
        <v/>
      </c>
    </row>
    <row r="35" spans="2:30">
      <c r="B35"/>
      <c r="C35"/>
      <c r="D35" s="11"/>
      <c r="L35" s="57">
        <f t="shared" si="3"/>
        <v>115</v>
      </c>
      <c r="M35" s="96" t="str">
        <f t="shared" si="1"/>
        <v/>
      </c>
      <c r="N35" s="93" t="str">
        <f t="shared" si="1"/>
        <v/>
      </c>
      <c r="O35" s="93" t="str">
        <f t="shared" si="1"/>
        <v/>
      </c>
      <c r="P35" s="93" t="str">
        <f t="shared" si="1"/>
        <v/>
      </c>
      <c r="Q35" s="93" t="str">
        <f t="shared" si="1"/>
        <v/>
      </c>
      <c r="R35" s="93" t="str">
        <f t="shared" si="1"/>
        <v/>
      </c>
      <c r="S35" s="93" t="str">
        <f t="shared" si="1"/>
        <v/>
      </c>
      <c r="T35" s="93" t="str">
        <f t="shared" si="1"/>
        <v/>
      </c>
      <c r="U35" s="93" t="str">
        <f t="shared" si="1"/>
        <v/>
      </c>
      <c r="V35" s="93" t="str">
        <f t="shared" si="1"/>
        <v/>
      </c>
      <c r="W35" s="93" t="str">
        <f t="shared" si="2"/>
        <v/>
      </c>
      <c r="X35" s="93" t="str">
        <f t="shared" si="2"/>
        <v/>
      </c>
      <c r="Y35" s="93" t="str">
        <f t="shared" si="2"/>
        <v/>
      </c>
      <c r="Z35" s="93" t="str">
        <f t="shared" si="2"/>
        <v/>
      </c>
      <c r="AA35" s="93" t="str">
        <f t="shared" si="2"/>
        <v/>
      </c>
      <c r="AB35" s="93" t="str">
        <f t="shared" si="2"/>
        <v/>
      </c>
      <c r="AC35" s="93" t="str">
        <f t="shared" si="2"/>
        <v/>
      </c>
      <c r="AD35" s="97" t="str">
        <f t="shared" si="2"/>
        <v/>
      </c>
    </row>
    <row r="36" spans="2:30">
      <c r="B36"/>
      <c r="C36"/>
      <c r="D36" s="11"/>
      <c r="L36" s="57">
        <f t="shared" si="3"/>
        <v>110</v>
      </c>
      <c r="M36" s="96" t="str">
        <f t="shared" si="1"/>
        <v/>
      </c>
      <c r="N36" s="93" t="str">
        <f t="shared" si="1"/>
        <v/>
      </c>
      <c r="O36" s="93" t="str">
        <f t="shared" si="1"/>
        <v/>
      </c>
      <c r="P36" s="93" t="str">
        <f t="shared" si="1"/>
        <v/>
      </c>
      <c r="Q36" s="93" t="str">
        <f t="shared" si="1"/>
        <v/>
      </c>
      <c r="R36" s="93" t="str">
        <f t="shared" si="1"/>
        <v/>
      </c>
      <c r="S36" s="93" t="str">
        <f t="shared" si="1"/>
        <v/>
      </c>
      <c r="T36" s="93" t="str">
        <f t="shared" si="1"/>
        <v/>
      </c>
      <c r="U36" s="93" t="str">
        <f t="shared" si="1"/>
        <v/>
      </c>
      <c r="V36" s="93" t="str">
        <f t="shared" si="1"/>
        <v/>
      </c>
      <c r="W36" s="93" t="str">
        <f t="shared" si="2"/>
        <v/>
      </c>
      <c r="X36" s="93" t="str">
        <f t="shared" si="2"/>
        <v/>
      </c>
      <c r="Y36" s="93" t="str">
        <f t="shared" si="2"/>
        <v/>
      </c>
      <c r="Z36" s="93" t="str">
        <f t="shared" si="2"/>
        <v/>
      </c>
      <c r="AA36" s="93" t="str">
        <f t="shared" si="2"/>
        <v/>
      </c>
      <c r="AB36" s="93" t="str">
        <f t="shared" si="2"/>
        <v/>
      </c>
      <c r="AC36" s="93" t="str">
        <f t="shared" si="2"/>
        <v/>
      </c>
      <c r="AD36" s="97" t="str">
        <f t="shared" si="2"/>
        <v/>
      </c>
    </row>
    <row r="37" spans="2:30">
      <c r="B37"/>
      <c r="C37"/>
      <c r="L37" s="57">
        <f t="shared" si="3"/>
        <v>105</v>
      </c>
      <c r="M37" s="96" t="str">
        <f t="shared" si="1"/>
        <v/>
      </c>
      <c r="N37" s="93" t="str">
        <f t="shared" si="1"/>
        <v/>
      </c>
      <c r="O37" s="93" t="str">
        <f t="shared" si="1"/>
        <v/>
      </c>
      <c r="P37" s="93" t="str">
        <f t="shared" si="1"/>
        <v/>
      </c>
      <c r="Q37" s="93" t="str">
        <f t="shared" si="1"/>
        <v/>
      </c>
      <c r="R37" s="93" t="str">
        <f t="shared" si="1"/>
        <v/>
      </c>
      <c r="S37" s="93" t="str">
        <f t="shared" si="1"/>
        <v/>
      </c>
      <c r="T37" s="93" t="str">
        <f t="shared" si="1"/>
        <v/>
      </c>
      <c r="U37" s="93" t="str">
        <f t="shared" si="1"/>
        <v/>
      </c>
      <c r="V37" s="93" t="str">
        <f t="shared" si="1"/>
        <v/>
      </c>
      <c r="W37" s="93" t="str">
        <f t="shared" si="2"/>
        <v/>
      </c>
      <c r="X37" s="93" t="str">
        <f t="shared" si="2"/>
        <v/>
      </c>
      <c r="Y37" s="93" t="str">
        <f t="shared" si="2"/>
        <v/>
      </c>
      <c r="Z37" s="93" t="str">
        <f t="shared" si="2"/>
        <v/>
      </c>
      <c r="AA37" s="93" t="str">
        <f t="shared" si="2"/>
        <v/>
      </c>
      <c r="AB37" s="93" t="str">
        <f t="shared" si="2"/>
        <v/>
      </c>
      <c r="AC37" s="93" t="str">
        <f t="shared" si="2"/>
        <v/>
      </c>
      <c r="AD37" s="97" t="str">
        <f t="shared" si="2"/>
        <v/>
      </c>
    </row>
    <row r="38" spans="2:30">
      <c r="B38"/>
      <c r="C38"/>
      <c r="L38" s="57">
        <f t="shared" si="3"/>
        <v>100</v>
      </c>
      <c r="M38" s="96" t="str">
        <f t="shared" ref="M38:V48" si="4">IF($P$6=1,$M$2*CGBlackScholes($M$6,$L$2,$L38,$C$7,M$27/$O$2,$O$14,$O$15,$C$10),"")</f>
        <v/>
      </c>
      <c r="N38" s="93" t="str">
        <f t="shared" si="4"/>
        <v/>
      </c>
      <c r="O38" s="93" t="str">
        <f t="shared" si="4"/>
        <v/>
      </c>
      <c r="P38" s="93" t="str">
        <f t="shared" si="4"/>
        <v/>
      </c>
      <c r="Q38" s="93" t="str">
        <f t="shared" si="4"/>
        <v/>
      </c>
      <c r="R38" s="93" t="str">
        <f t="shared" si="4"/>
        <v/>
      </c>
      <c r="S38" s="93" t="str">
        <f t="shared" si="4"/>
        <v/>
      </c>
      <c r="T38" s="93" t="str">
        <f t="shared" si="4"/>
        <v/>
      </c>
      <c r="U38" s="93" t="str">
        <f t="shared" si="4"/>
        <v/>
      </c>
      <c r="V38" s="93" t="str">
        <f t="shared" si="4"/>
        <v/>
      </c>
      <c r="W38" s="93" t="str">
        <f t="shared" ref="W38:AD48" si="5">IF($P$6=1,$M$2*CGBlackScholes($M$6,$L$2,$L38,$C$7,W$27/$O$2,$O$14,$O$15,$C$10),"")</f>
        <v/>
      </c>
      <c r="X38" s="93" t="str">
        <f t="shared" si="5"/>
        <v/>
      </c>
      <c r="Y38" s="93" t="str">
        <f t="shared" si="5"/>
        <v/>
      </c>
      <c r="Z38" s="93" t="str">
        <f t="shared" si="5"/>
        <v/>
      </c>
      <c r="AA38" s="93" t="str">
        <f t="shared" si="5"/>
        <v/>
      </c>
      <c r="AB38" s="93" t="str">
        <f t="shared" si="5"/>
        <v/>
      </c>
      <c r="AC38" s="93" t="str">
        <f t="shared" si="5"/>
        <v/>
      </c>
      <c r="AD38" s="97" t="str">
        <f t="shared" si="5"/>
        <v/>
      </c>
    </row>
    <row r="39" spans="2:30">
      <c r="B39"/>
      <c r="C39"/>
      <c r="L39" s="57">
        <f t="shared" si="3"/>
        <v>95</v>
      </c>
      <c r="M39" s="96" t="str">
        <f t="shared" si="4"/>
        <v/>
      </c>
      <c r="N39" s="93" t="str">
        <f t="shared" si="4"/>
        <v/>
      </c>
      <c r="O39" s="93" t="str">
        <f t="shared" si="4"/>
        <v/>
      </c>
      <c r="P39" s="93" t="str">
        <f t="shared" si="4"/>
        <v/>
      </c>
      <c r="Q39" s="93" t="str">
        <f t="shared" si="4"/>
        <v/>
      </c>
      <c r="R39" s="93" t="str">
        <f t="shared" si="4"/>
        <v/>
      </c>
      <c r="S39" s="93" t="str">
        <f t="shared" si="4"/>
        <v/>
      </c>
      <c r="T39" s="93" t="str">
        <f t="shared" si="4"/>
        <v/>
      </c>
      <c r="U39" s="93" t="str">
        <f t="shared" si="4"/>
        <v/>
      </c>
      <c r="V39" s="93" t="str">
        <f t="shared" si="4"/>
        <v/>
      </c>
      <c r="W39" s="93" t="str">
        <f t="shared" si="5"/>
        <v/>
      </c>
      <c r="X39" s="93" t="str">
        <f t="shared" si="5"/>
        <v/>
      </c>
      <c r="Y39" s="93" t="str">
        <f t="shared" si="5"/>
        <v/>
      </c>
      <c r="Z39" s="93" t="str">
        <f t="shared" si="5"/>
        <v/>
      </c>
      <c r="AA39" s="93" t="str">
        <f t="shared" si="5"/>
        <v/>
      </c>
      <c r="AB39" s="93" t="str">
        <f t="shared" si="5"/>
        <v/>
      </c>
      <c r="AC39" s="93" t="str">
        <f t="shared" si="5"/>
        <v/>
      </c>
      <c r="AD39" s="97" t="str">
        <f t="shared" si="5"/>
        <v/>
      </c>
    </row>
    <row r="40" spans="2:30">
      <c r="B40"/>
      <c r="C40"/>
      <c r="L40" s="57">
        <f t="shared" si="3"/>
        <v>90</v>
      </c>
      <c r="M40" s="96" t="str">
        <f t="shared" si="4"/>
        <v/>
      </c>
      <c r="N40" s="93" t="str">
        <f t="shared" si="4"/>
        <v/>
      </c>
      <c r="O40" s="93" t="str">
        <f t="shared" si="4"/>
        <v/>
      </c>
      <c r="P40" s="93" t="str">
        <f t="shared" si="4"/>
        <v/>
      </c>
      <c r="Q40" s="93" t="str">
        <f t="shared" si="4"/>
        <v/>
      </c>
      <c r="R40" s="93" t="str">
        <f t="shared" si="4"/>
        <v/>
      </c>
      <c r="S40" s="93" t="str">
        <f t="shared" si="4"/>
        <v/>
      </c>
      <c r="T40" s="93" t="str">
        <f t="shared" si="4"/>
        <v/>
      </c>
      <c r="U40" s="93" t="str">
        <f t="shared" si="4"/>
        <v/>
      </c>
      <c r="V40" s="93" t="str">
        <f t="shared" si="4"/>
        <v/>
      </c>
      <c r="W40" s="93" t="str">
        <f t="shared" si="5"/>
        <v/>
      </c>
      <c r="X40" s="93" t="str">
        <f t="shared" si="5"/>
        <v/>
      </c>
      <c r="Y40" s="93" t="str">
        <f t="shared" si="5"/>
        <v/>
      </c>
      <c r="Z40" s="93" t="str">
        <f t="shared" si="5"/>
        <v/>
      </c>
      <c r="AA40" s="93" t="str">
        <f t="shared" si="5"/>
        <v/>
      </c>
      <c r="AB40" s="93" t="str">
        <f t="shared" si="5"/>
        <v/>
      </c>
      <c r="AC40" s="93" t="str">
        <f t="shared" si="5"/>
        <v/>
      </c>
      <c r="AD40" s="97" t="str">
        <f t="shared" si="5"/>
        <v/>
      </c>
    </row>
    <row r="41" spans="2:30">
      <c r="B41"/>
      <c r="C41"/>
      <c r="L41" s="57">
        <f t="shared" si="3"/>
        <v>85</v>
      </c>
      <c r="M41" s="96" t="str">
        <f t="shared" si="4"/>
        <v/>
      </c>
      <c r="N41" s="93" t="str">
        <f t="shared" si="4"/>
        <v/>
      </c>
      <c r="O41" s="93" t="str">
        <f t="shared" si="4"/>
        <v/>
      </c>
      <c r="P41" s="93" t="str">
        <f t="shared" si="4"/>
        <v/>
      </c>
      <c r="Q41" s="93" t="str">
        <f t="shared" si="4"/>
        <v/>
      </c>
      <c r="R41" s="93" t="str">
        <f t="shared" si="4"/>
        <v/>
      </c>
      <c r="S41" s="93" t="str">
        <f t="shared" si="4"/>
        <v/>
      </c>
      <c r="T41" s="93" t="str">
        <f t="shared" si="4"/>
        <v/>
      </c>
      <c r="U41" s="93" t="str">
        <f t="shared" si="4"/>
        <v/>
      </c>
      <c r="V41" s="93" t="str">
        <f t="shared" si="4"/>
        <v/>
      </c>
      <c r="W41" s="93" t="str">
        <f t="shared" si="5"/>
        <v/>
      </c>
      <c r="X41" s="93" t="str">
        <f t="shared" si="5"/>
        <v/>
      </c>
      <c r="Y41" s="93" t="str">
        <f t="shared" si="5"/>
        <v/>
      </c>
      <c r="Z41" s="93" t="str">
        <f t="shared" si="5"/>
        <v/>
      </c>
      <c r="AA41" s="93" t="str">
        <f t="shared" si="5"/>
        <v/>
      </c>
      <c r="AB41" s="93" t="str">
        <f t="shared" si="5"/>
        <v/>
      </c>
      <c r="AC41" s="93" t="str">
        <f t="shared" si="5"/>
        <v/>
      </c>
      <c r="AD41" s="97" t="str">
        <f t="shared" si="5"/>
        <v/>
      </c>
    </row>
    <row r="42" spans="2:30">
      <c r="C42" s="77"/>
      <c r="D42" s="11"/>
      <c r="L42" s="57">
        <f t="shared" si="3"/>
        <v>80</v>
      </c>
      <c r="M42" s="96" t="str">
        <f t="shared" si="4"/>
        <v/>
      </c>
      <c r="N42" s="93" t="str">
        <f t="shared" si="4"/>
        <v/>
      </c>
      <c r="O42" s="93" t="str">
        <f t="shared" si="4"/>
        <v/>
      </c>
      <c r="P42" s="93" t="str">
        <f t="shared" si="4"/>
        <v/>
      </c>
      <c r="Q42" s="93" t="str">
        <f t="shared" si="4"/>
        <v/>
      </c>
      <c r="R42" s="93" t="str">
        <f t="shared" si="4"/>
        <v/>
      </c>
      <c r="S42" s="93" t="str">
        <f t="shared" si="4"/>
        <v/>
      </c>
      <c r="T42" s="93" t="str">
        <f t="shared" si="4"/>
        <v/>
      </c>
      <c r="U42" s="93" t="str">
        <f t="shared" si="4"/>
        <v/>
      </c>
      <c r="V42" s="93" t="str">
        <f t="shared" si="4"/>
        <v/>
      </c>
      <c r="W42" s="93" t="str">
        <f t="shared" si="5"/>
        <v/>
      </c>
      <c r="X42" s="93" t="str">
        <f t="shared" si="5"/>
        <v/>
      </c>
      <c r="Y42" s="93" t="str">
        <f t="shared" si="5"/>
        <v/>
      </c>
      <c r="Z42" s="93" t="str">
        <f t="shared" si="5"/>
        <v/>
      </c>
      <c r="AA42" s="93" t="str">
        <f t="shared" si="5"/>
        <v/>
      </c>
      <c r="AB42" s="93" t="str">
        <f t="shared" si="5"/>
        <v/>
      </c>
      <c r="AC42" s="93" t="str">
        <f t="shared" si="5"/>
        <v/>
      </c>
      <c r="AD42" s="97" t="str">
        <f t="shared" si="5"/>
        <v/>
      </c>
    </row>
    <row r="43" spans="2:30">
      <c r="L43" s="57">
        <f t="shared" si="3"/>
        <v>75</v>
      </c>
      <c r="M43" s="96" t="str">
        <f t="shared" si="4"/>
        <v/>
      </c>
      <c r="N43" s="93" t="str">
        <f t="shared" si="4"/>
        <v/>
      </c>
      <c r="O43" s="93" t="str">
        <f t="shared" si="4"/>
        <v/>
      </c>
      <c r="P43" s="93" t="str">
        <f t="shared" si="4"/>
        <v/>
      </c>
      <c r="Q43" s="93" t="str">
        <f t="shared" si="4"/>
        <v/>
      </c>
      <c r="R43" s="93" t="str">
        <f t="shared" si="4"/>
        <v/>
      </c>
      <c r="S43" s="93" t="str">
        <f t="shared" si="4"/>
        <v/>
      </c>
      <c r="T43" s="93" t="str">
        <f t="shared" si="4"/>
        <v/>
      </c>
      <c r="U43" s="93" t="str">
        <f t="shared" si="4"/>
        <v/>
      </c>
      <c r="V43" s="93" t="str">
        <f t="shared" si="4"/>
        <v/>
      </c>
      <c r="W43" s="93" t="str">
        <f t="shared" si="5"/>
        <v/>
      </c>
      <c r="X43" s="93" t="str">
        <f t="shared" si="5"/>
        <v/>
      </c>
      <c r="Y43" s="93" t="str">
        <f t="shared" si="5"/>
        <v/>
      </c>
      <c r="Z43" s="93" t="str">
        <f t="shared" si="5"/>
        <v/>
      </c>
      <c r="AA43" s="93" t="str">
        <f t="shared" si="5"/>
        <v/>
      </c>
      <c r="AB43" s="93" t="str">
        <f t="shared" si="5"/>
        <v/>
      </c>
      <c r="AC43" s="93" t="str">
        <f t="shared" si="5"/>
        <v/>
      </c>
      <c r="AD43" s="97" t="str">
        <f t="shared" si="5"/>
        <v/>
      </c>
    </row>
    <row r="44" spans="2:30">
      <c r="L44" s="57">
        <f t="shared" si="3"/>
        <v>70</v>
      </c>
      <c r="M44" s="96" t="str">
        <f t="shared" si="4"/>
        <v/>
      </c>
      <c r="N44" s="93" t="str">
        <f t="shared" si="4"/>
        <v/>
      </c>
      <c r="O44" s="93" t="str">
        <f t="shared" si="4"/>
        <v/>
      </c>
      <c r="P44" s="93" t="str">
        <f t="shared" si="4"/>
        <v/>
      </c>
      <c r="Q44" s="93" t="str">
        <f t="shared" si="4"/>
        <v/>
      </c>
      <c r="R44" s="93" t="str">
        <f t="shared" si="4"/>
        <v/>
      </c>
      <c r="S44" s="93" t="str">
        <f t="shared" si="4"/>
        <v/>
      </c>
      <c r="T44" s="93" t="str">
        <f t="shared" si="4"/>
        <v/>
      </c>
      <c r="U44" s="93" t="str">
        <f t="shared" si="4"/>
        <v/>
      </c>
      <c r="V44" s="93" t="str">
        <f t="shared" si="4"/>
        <v/>
      </c>
      <c r="W44" s="93" t="str">
        <f t="shared" si="5"/>
        <v/>
      </c>
      <c r="X44" s="93" t="str">
        <f t="shared" si="5"/>
        <v/>
      </c>
      <c r="Y44" s="93" t="str">
        <f t="shared" si="5"/>
        <v/>
      </c>
      <c r="Z44" s="93" t="str">
        <f t="shared" si="5"/>
        <v/>
      </c>
      <c r="AA44" s="93" t="str">
        <f t="shared" si="5"/>
        <v/>
      </c>
      <c r="AB44" s="93" t="str">
        <f t="shared" si="5"/>
        <v/>
      </c>
      <c r="AC44" s="93" t="str">
        <f t="shared" si="5"/>
        <v/>
      </c>
      <c r="AD44" s="97" t="str">
        <f t="shared" si="5"/>
        <v/>
      </c>
    </row>
    <row r="45" spans="2:30">
      <c r="L45" s="57">
        <f t="shared" si="3"/>
        <v>65</v>
      </c>
      <c r="M45" s="96" t="str">
        <f t="shared" si="4"/>
        <v/>
      </c>
      <c r="N45" s="93" t="str">
        <f t="shared" si="4"/>
        <v/>
      </c>
      <c r="O45" s="93" t="str">
        <f t="shared" si="4"/>
        <v/>
      </c>
      <c r="P45" s="93" t="str">
        <f t="shared" si="4"/>
        <v/>
      </c>
      <c r="Q45" s="93" t="str">
        <f t="shared" si="4"/>
        <v/>
      </c>
      <c r="R45" s="93" t="str">
        <f t="shared" si="4"/>
        <v/>
      </c>
      <c r="S45" s="93" t="str">
        <f t="shared" si="4"/>
        <v/>
      </c>
      <c r="T45" s="93" t="str">
        <f t="shared" si="4"/>
        <v/>
      </c>
      <c r="U45" s="93" t="str">
        <f t="shared" si="4"/>
        <v/>
      </c>
      <c r="V45" s="93" t="str">
        <f t="shared" si="4"/>
        <v/>
      </c>
      <c r="W45" s="93" t="str">
        <f t="shared" si="5"/>
        <v/>
      </c>
      <c r="X45" s="93" t="str">
        <f t="shared" si="5"/>
        <v/>
      </c>
      <c r="Y45" s="93" t="str">
        <f t="shared" si="5"/>
        <v/>
      </c>
      <c r="Z45" s="93" t="str">
        <f t="shared" si="5"/>
        <v/>
      </c>
      <c r="AA45" s="93" t="str">
        <f t="shared" si="5"/>
        <v/>
      </c>
      <c r="AB45" s="93" t="str">
        <f t="shared" si="5"/>
        <v/>
      </c>
      <c r="AC45" s="93" t="str">
        <f t="shared" si="5"/>
        <v/>
      </c>
      <c r="AD45" s="97" t="str">
        <f t="shared" si="5"/>
        <v/>
      </c>
    </row>
    <row r="46" spans="2:30">
      <c r="L46" s="57">
        <f t="shared" si="3"/>
        <v>60</v>
      </c>
      <c r="M46" s="96" t="str">
        <f t="shared" si="4"/>
        <v/>
      </c>
      <c r="N46" s="93" t="str">
        <f t="shared" si="4"/>
        <v/>
      </c>
      <c r="O46" s="93" t="str">
        <f t="shared" si="4"/>
        <v/>
      </c>
      <c r="P46" s="93" t="str">
        <f t="shared" si="4"/>
        <v/>
      </c>
      <c r="Q46" s="93" t="str">
        <f t="shared" si="4"/>
        <v/>
      </c>
      <c r="R46" s="93" t="str">
        <f t="shared" si="4"/>
        <v/>
      </c>
      <c r="S46" s="93" t="str">
        <f t="shared" si="4"/>
        <v/>
      </c>
      <c r="T46" s="93" t="str">
        <f t="shared" si="4"/>
        <v/>
      </c>
      <c r="U46" s="93" t="str">
        <f t="shared" si="4"/>
        <v/>
      </c>
      <c r="V46" s="93" t="str">
        <f t="shared" si="4"/>
        <v/>
      </c>
      <c r="W46" s="93" t="str">
        <f t="shared" si="5"/>
        <v/>
      </c>
      <c r="X46" s="93" t="str">
        <f t="shared" si="5"/>
        <v/>
      </c>
      <c r="Y46" s="93" t="str">
        <f t="shared" si="5"/>
        <v/>
      </c>
      <c r="Z46" s="93" t="str">
        <f t="shared" si="5"/>
        <v/>
      </c>
      <c r="AA46" s="93" t="str">
        <f t="shared" si="5"/>
        <v/>
      </c>
      <c r="AB46" s="93" t="str">
        <f t="shared" si="5"/>
        <v/>
      </c>
      <c r="AC46" s="93" t="str">
        <f t="shared" si="5"/>
        <v/>
      </c>
      <c r="AD46" s="97" t="str">
        <f t="shared" si="5"/>
        <v/>
      </c>
    </row>
    <row r="47" spans="2:30">
      <c r="L47" s="57">
        <f t="shared" si="3"/>
        <v>55</v>
      </c>
      <c r="M47" s="96" t="str">
        <f t="shared" si="4"/>
        <v/>
      </c>
      <c r="N47" s="93" t="str">
        <f t="shared" si="4"/>
        <v/>
      </c>
      <c r="O47" s="93" t="str">
        <f t="shared" si="4"/>
        <v/>
      </c>
      <c r="P47" s="93" t="str">
        <f t="shared" si="4"/>
        <v/>
      </c>
      <c r="Q47" s="93" t="str">
        <f t="shared" si="4"/>
        <v/>
      </c>
      <c r="R47" s="93" t="str">
        <f t="shared" si="4"/>
        <v/>
      </c>
      <c r="S47" s="93" t="str">
        <f t="shared" si="4"/>
        <v/>
      </c>
      <c r="T47" s="93" t="str">
        <f t="shared" si="4"/>
        <v/>
      </c>
      <c r="U47" s="93" t="str">
        <f t="shared" si="4"/>
        <v/>
      </c>
      <c r="V47" s="93" t="str">
        <f t="shared" si="4"/>
        <v/>
      </c>
      <c r="W47" s="93" t="str">
        <f t="shared" si="5"/>
        <v/>
      </c>
      <c r="X47" s="93" t="str">
        <f t="shared" si="5"/>
        <v/>
      </c>
      <c r="Y47" s="93" t="str">
        <f t="shared" si="5"/>
        <v/>
      </c>
      <c r="Z47" s="93" t="str">
        <f t="shared" si="5"/>
        <v/>
      </c>
      <c r="AA47" s="93" t="str">
        <f t="shared" si="5"/>
        <v/>
      </c>
      <c r="AB47" s="93" t="str">
        <f t="shared" si="5"/>
        <v/>
      </c>
      <c r="AC47" s="93" t="str">
        <f t="shared" si="5"/>
        <v/>
      </c>
      <c r="AD47" s="97" t="str">
        <f t="shared" si="5"/>
        <v/>
      </c>
    </row>
    <row r="48" spans="2:30" ht="13.5" thickBot="1">
      <c r="L48" s="58">
        <f t="shared" si="3"/>
        <v>50</v>
      </c>
      <c r="M48" s="98" t="str">
        <f t="shared" si="4"/>
        <v/>
      </c>
      <c r="N48" s="99" t="str">
        <f t="shared" si="4"/>
        <v/>
      </c>
      <c r="O48" s="99" t="str">
        <f t="shared" si="4"/>
        <v/>
      </c>
      <c r="P48" s="99" t="str">
        <f t="shared" si="4"/>
        <v/>
      </c>
      <c r="Q48" s="99" t="str">
        <f t="shared" si="4"/>
        <v/>
      </c>
      <c r="R48" s="99" t="str">
        <f t="shared" si="4"/>
        <v/>
      </c>
      <c r="S48" s="99" t="str">
        <f t="shared" si="4"/>
        <v/>
      </c>
      <c r="T48" s="99" t="str">
        <f t="shared" si="4"/>
        <v/>
      </c>
      <c r="U48" s="99" t="str">
        <f t="shared" si="4"/>
        <v/>
      </c>
      <c r="V48" s="99" t="str">
        <f t="shared" si="4"/>
        <v/>
      </c>
      <c r="W48" s="99" t="str">
        <f t="shared" si="5"/>
        <v/>
      </c>
      <c r="X48" s="99" t="str">
        <f t="shared" si="5"/>
        <v/>
      </c>
      <c r="Y48" s="99" t="str">
        <f t="shared" si="5"/>
        <v/>
      </c>
      <c r="Z48" s="99" t="str">
        <f t="shared" si="5"/>
        <v/>
      </c>
      <c r="AA48" s="99" t="str">
        <f t="shared" si="5"/>
        <v/>
      </c>
      <c r="AB48" s="99" t="str">
        <f t="shared" si="5"/>
        <v/>
      </c>
      <c r="AC48" s="99" t="str">
        <f t="shared" si="5"/>
        <v/>
      </c>
      <c r="AD48" s="100" t="str">
        <f t="shared" si="5"/>
        <v/>
      </c>
    </row>
  </sheetData>
  <phoneticPr fontId="20"/>
  <printOptions gridLinesSet="0"/>
  <pageMargins left="0.75" right="0.75" top="0.75" bottom="0.75" header="0.5" footer="0.5"/>
  <pageSetup scale="85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4273" r:id="rId4" name="Drop Down 1">
              <controlPr defaultSize="0" autoFill="0" autoLine="0" autoPict="0">
                <anchor moveWithCells="1">
                  <from>
                    <xdr:col>2</xdr:col>
                    <xdr:colOff>695325</xdr:colOff>
                    <xdr:row>3</xdr:row>
                    <xdr:rowOff>85725</xdr:rowOff>
                  </from>
                  <to>
                    <xdr:col>3</xdr:col>
                    <xdr:colOff>0</xdr:colOff>
                    <xdr:row>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74" r:id="rId5" name="Drop Down 2">
              <controlPr defaultSize="0" autoLine="0" autoPict="0">
                <anchor moveWithCells="1">
                  <from>
                    <xdr:col>6</xdr:col>
                    <xdr:colOff>400050</xdr:colOff>
                    <xdr:row>3</xdr:row>
                    <xdr:rowOff>76200</xdr:rowOff>
                  </from>
                  <to>
                    <xdr:col>7</xdr:col>
                    <xdr:colOff>228600</xdr:colOff>
                    <xdr:row>4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76" r:id="rId6" name="Drop Down 4">
              <controlPr defaultSize="0" autoFill="0" autoLine="0" autoPict="0">
                <anchor moveWithCells="1">
                  <from>
                    <xdr:col>2</xdr:col>
                    <xdr:colOff>28575</xdr:colOff>
                    <xdr:row>3</xdr:row>
                    <xdr:rowOff>85725</xdr:rowOff>
                  </from>
                  <to>
                    <xdr:col>2</xdr:col>
                    <xdr:colOff>685800</xdr:colOff>
                    <xdr:row>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77" r:id="rId7" name="Drop Down 5">
              <controlPr defaultSize="0" autoFill="0" autoLine="0" autoPict="0">
                <anchor moveWithCells="1">
                  <from>
                    <xdr:col>1</xdr:col>
                    <xdr:colOff>847725</xdr:colOff>
                    <xdr:row>3</xdr:row>
                    <xdr:rowOff>85725</xdr:rowOff>
                  </from>
                  <to>
                    <xdr:col>1</xdr:col>
                    <xdr:colOff>1504950</xdr:colOff>
                    <xdr:row>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78" r:id="rId8" name="Drop Down 6">
              <controlPr defaultSize="0" autoFill="0" autoLine="0" autoPict="0">
                <anchor moveWithCells="1">
                  <from>
                    <xdr:col>8</xdr:col>
                    <xdr:colOff>76200</xdr:colOff>
                    <xdr:row>3</xdr:row>
                    <xdr:rowOff>76200</xdr:rowOff>
                  </from>
                  <to>
                    <xdr:col>9</xdr:col>
                    <xdr:colOff>0</xdr:colOff>
                    <xdr:row>4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80" r:id="rId9" name="Drop Down 8">
              <controlPr defaultSize="0" autoLine="0" autoPict="0">
                <anchor moveWithCells="1">
                  <from>
                    <xdr:col>3</xdr:col>
                    <xdr:colOff>0</xdr:colOff>
                    <xdr:row>7</xdr:row>
                    <xdr:rowOff>114300</xdr:rowOff>
                  </from>
                  <to>
                    <xdr:col>3</xdr:col>
                    <xdr:colOff>1009650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82" r:id="rId10" name="Drop Down 10">
              <controlPr defaultSize="0" autoLine="0" autoPict="0">
                <anchor moveWithCells="1">
                  <from>
                    <xdr:col>6</xdr:col>
                    <xdr:colOff>409575</xdr:colOff>
                    <xdr:row>2</xdr:row>
                    <xdr:rowOff>104775</xdr:rowOff>
                  </from>
                  <to>
                    <xdr:col>7</xdr:col>
                    <xdr:colOff>161925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83" r:id="rId11" name="Drop Down 11">
              <controlPr defaultSize="0" autoLine="0" autoPict="0">
                <anchor moveWithCells="1">
                  <from>
                    <xdr:col>3</xdr:col>
                    <xdr:colOff>152400</xdr:colOff>
                    <xdr:row>13</xdr:row>
                    <xdr:rowOff>47625</xdr:rowOff>
                  </from>
                  <to>
                    <xdr:col>3</xdr:col>
                    <xdr:colOff>847725</xdr:colOff>
                    <xdr:row>14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4222"/>
  <dimension ref="A1:AD58"/>
  <sheetViews>
    <sheetView showGridLines="0" workbookViewId="0">
      <selection activeCell="A3" sqref="A3"/>
    </sheetView>
  </sheetViews>
  <sheetFormatPr defaultColWidth="10" defaultRowHeight="12.75"/>
  <cols>
    <col min="1" max="1" width="3.42578125" style="2" customWidth="1"/>
    <col min="2" max="2" width="29.7109375" style="2" bestFit="1" customWidth="1"/>
    <col min="3" max="3" width="20.28515625" style="2" customWidth="1"/>
    <col min="4" max="4" width="15.7109375" style="2" customWidth="1"/>
    <col min="5" max="5" width="3.28515625" style="2" customWidth="1"/>
    <col min="6" max="6" width="17" style="2" customWidth="1"/>
    <col min="7" max="7" width="17.85546875" style="2" customWidth="1"/>
    <col min="8" max="8" width="22.42578125" style="2" customWidth="1"/>
    <col min="9" max="11" width="11" style="2" customWidth="1"/>
    <col min="12" max="12" width="13.7109375" style="2" customWidth="1"/>
    <col min="13" max="13" width="10" style="2" customWidth="1"/>
    <col min="14" max="14" width="11" style="2" customWidth="1"/>
    <col min="15" max="16384" width="10" style="2"/>
  </cols>
  <sheetData>
    <row r="1" spans="1:16" ht="18">
      <c r="A1" s="47" t="s">
        <v>5</v>
      </c>
      <c r="B1" s="1"/>
      <c r="L1" s="10" t="s">
        <v>92</v>
      </c>
      <c r="M1" s="4"/>
    </row>
    <row r="2" spans="1:16">
      <c r="B2" s="72"/>
      <c r="F2" s="3"/>
      <c r="L2" s="26" t="str">
        <f>IF(L3=1,"c","p")</f>
        <v>p</v>
      </c>
      <c r="M2" s="66">
        <f>IF(M3=1,1,-1)</f>
        <v>1</v>
      </c>
      <c r="N2" s="66">
        <f>IF(N3=1,365,1)</f>
        <v>1</v>
      </c>
      <c r="O2" s="33">
        <f>IF(O3=1,365,1)</f>
        <v>1</v>
      </c>
    </row>
    <row r="3" spans="1:16" ht="23.25">
      <c r="A3" s="20"/>
      <c r="B3" s="76"/>
      <c r="C3" s="4"/>
      <c r="D3" s="75"/>
      <c r="E3" s="4"/>
      <c r="F3" s="4"/>
      <c r="G3" s="4"/>
      <c r="H3" s="4"/>
      <c r="I3" s="4"/>
      <c r="J3" s="4"/>
      <c r="K3" s="4"/>
      <c r="L3" s="27">
        <v>2</v>
      </c>
      <c r="M3" s="21">
        <v>1</v>
      </c>
      <c r="N3" s="21">
        <v>2</v>
      </c>
      <c r="O3" s="22">
        <v>2</v>
      </c>
    </row>
    <row r="4" spans="1:16">
      <c r="B4" s="4"/>
      <c r="C4" s="4"/>
      <c r="D4" s="4"/>
      <c r="F4" s="4"/>
      <c r="H4" s="4"/>
      <c r="J4" s="4"/>
      <c r="K4" s="4"/>
      <c r="L4" s="28" t="s">
        <v>13</v>
      </c>
      <c r="M4" s="23" t="s">
        <v>72</v>
      </c>
      <c r="N4" s="23" t="s">
        <v>47</v>
      </c>
      <c r="O4" s="24"/>
    </row>
    <row r="5" spans="1:16" ht="13.5" thickBot="1">
      <c r="B5" s="53" t="s">
        <v>49</v>
      </c>
      <c r="C5" s="4"/>
      <c r="D5"/>
      <c r="F5" s="46" t="s">
        <v>74</v>
      </c>
      <c r="G5" s="35"/>
      <c r="H5" s="63" t="s">
        <v>49</v>
      </c>
      <c r="I5" s="35"/>
      <c r="J5" s="4"/>
      <c r="K5" s="4"/>
      <c r="L5" s="28" t="s">
        <v>14</v>
      </c>
      <c r="M5" s="23" t="s">
        <v>73</v>
      </c>
      <c r="N5" s="30" t="s">
        <v>48</v>
      </c>
      <c r="O5" s="31"/>
      <c r="P5" s="68">
        <v>1</v>
      </c>
    </row>
    <row r="6" spans="1:16">
      <c r="B6" s="5" t="s">
        <v>79</v>
      </c>
      <c r="C6" s="87">
        <v>19</v>
      </c>
      <c r="D6"/>
      <c r="F6" s="36" t="s">
        <v>68</v>
      </c>
      <c r="G6" s="37"/>
      <c r="H6" s="45" t="s">
        <v>69</v>
      </c>
      <c r="I6" s="38"/>
      <c r="K6"/>
      <c r="L6" s="32">
        <v>5</v>
      </c>
      <c r="M6" s="33" t="str">
        <f>INDEX(M7:M20,L6)</f>
        <v>gv</v>
      </c>
      <c r="N6" s="61">
        <f>INDEX(O8:O13,N7)</f>
        <v>0</v>
      </c>
      <c r="O6" s="67"/>
      <c r="P6" s="68">
        <v>2</v>
      </c>
    </row>
    <row r="7" spans="1:16">
      <c r="B7" s="6" t="s">
        <v>46</v>
      </c>
      <c r="C7" s="88">
        <v>19</v>
      </c>
      <c r="D7"/>
      <c r="F7" s="39" t="s">
        <v>66</v>
      </c>
      <c r="G7" s="34">
        <f>50%*C7</f>
        <v>9.5</v>
      </c>
      <c r="H7" s="12" t="s">
        <v>21</v>
      </c>
      <c r="I7" s="40">
        <v>0.1</v>
      </c>
      <c r="K7"/>
      <c r="L7" s="21" t="s">
        <v>15</v>
      </c>
      <c r="M7" s="22" t="s">
        <v>63</v>
      </c>
      <c r="N7" s="59">
        <v>1</v>
      </c>
      <c r="O7" s="22"/>
      <c r="P7" s="28" t="s">
        <v>12</v>
      </c>
    </row>
    <row r="8" spans="1:16" ht="13.5" thickBot="1">
      <c r="B8" s="6" t="s">
        <v>80</v>
      </c>
      <c r="C8" s="91">
        <v>0.75</v>
      </c>
      <c r="D8"/>
      <c r="F8" s="41" t="s">
        <v>67</v>
      </c>
      <c r="G8" s="42">
        <f>C7*1.5</f>
        <v>28.5</v>
      </c>
      <c r="H8" s="43" t="s">
        <v>22</v>
      </c>
      <c r="I8" s="44">
        <v>1</v>
      </c>
      <c r="K8"/>
      <c r="L8" s="23" t="s">
        <v>71</v>
      </c>
      <c r="M8" s="22" t="s">
        <v>64</v>
      </c>
      <c r="N8" s="59" t="s">
        <v>32</v>
      </c>
      <c r="O8" s="22">
        <v>0</v>
      </c>
      <c r="P8" s="29" t="s">
        <v>40</v>
      </c>
    </row>
    <row r="9" spans="1:16">
      <c r="B9" s="101" t="s">
        <v>6</v>
      </c>
      <c r="C9" s="102">
        <v>1</v>
      </c>
      <c r="K9"/>
      <c r="L9" s="23" t="s">
        <v>41</v>
      </c>
      <c r="M9" s="24" t="s">
        <v>20</v>
      </c>
      <c r="N9" s="60" t="s">
        <v>38</v>
      </c>
      <c r="O9" s="71">
        <f>MAX(1/C8,1)</f>
        <v>1.3333333333333333</v>
      </c>
    </row>
    <row r="10" spans="1:16" ht="15.95" customHeight="1">
      <c r="B10" s="6" t="s">
        <v>8</v>
      </c>
      <c r="C10" s="89">
        <v>0.1</v>
      </c>
      <c r="D10"/>
      <c r="K10"/>
      <c r="L10" s="23" t="s">
        <v>76</v>
      </c>
      <c r="M10" s="24" t="s">
        <v>77</v>
      </c>
      <c r="N10" s="59" t="s">
        <v>33</v>
      </c>
      <c r="O10" s="22">
        <v>1</v>
      </c>
    </row>
    <row r="11" spans="1:16">
      <c r="B11" s="7" t="s">
        <v>24</v>
      </c>
      <c r="C11" s="90">
        <v>0.28000000000000003</v>
      </c>
      <c r="D11"/>
      <c r="K11"/>
      <c r="L11" s="23" t="s">
        <v>52</v>
      </c>
      <c r="M11" s="24" t="s">
        <v>53</v>
      </c>
      <c r="N11" s="59" t="s">
        <v>34</v>
      </c>
      <c r="O11" s="22">
        <v>2</v>
      </c>
    </row>
    <row r="12" spans="1:16">
      <c r="B12" s="8" t="s">
        <v>15</v>
      </c>
      <c r="C12" s="83">
        <f>EBlackScholesForward("p",$L$2,$C$6,$C$7,$C$8/$N$2,$C$9/$N$2,$O$14,$C$11)</f>
        <v>1.6590516331859182</v>
      </c>
      <c r="D12"/>
      <c r="F12" s="4"/>
      <c r="G12" s="9"/>
      <c r="H12" s="4"/>
      <c r="L12" s="23" t="s">
        <v>45</v>
      </c>
      <c r="M12" s="24" t="s">
        <v>44</v>
      </c>
      <c r="N12" s="59" t="s">
        <v>35</v>
      </c>
      <c r="O12" s="22">
        <v>4</v>
      </c>
    </row>
    <row r="13" spans="1:16">
      <c r="C13" s="78"/>
      <c r="D13"/>
      <c r="F13" s="4"/>
      <c r="G13" s="4"/>
      <c r="L13" s="21" t="s">
        <v>17</v>
      </c>
      <c r="M13" s="22" t="s">
        <v>65</v>
      </c>
      <c r="N13" s="62" t="s">
        <v>89</v>
      </c>
      <c r="O13" s="25">
        <v>12</v>
      </c>
    </row>
    <row r="14" spans="1:16">
      <c r="B14" s="10" t="s">
        <v>16</v>
      </c>
      <c r="C14" s="74" t="s">
        <v>29</v>
      </c>
      <c r="D14"/>
      <c r="F14" s="4"/>
      <c r="I14" s="4"/>
      <c r="L14" s="23" t="s">
        <v>23</v>
      </c>
      <c r="M14" s="24" t="s">
        <v>27</v>
      </c>
      <c r="N14" s="69" t="s">
        <v>90</v>
      </c>
      <c r="O14" s="64">
        <f>ConvertingToCCRate(C10,N6)</f>
        <v>0.1</v>
      </c>
    </row>
    <row r="15" spans="1:16">
      <c r="B15" s="79" t="s">
        <v>59</v>
      </c>
      <c r="C15" s="84">
        <f>IF($P$5=1,$M$2*EBlackScholesForward("d",$L$2,$C$6,$C$7,$C$8/$N$2,$C$9/$N$2,$O$14,$C$11),"")</f>
        <v>-0.40875955784992479</v>
      </c>
      <c r="D15"/>
      <c r="F15" s="4"/>
      <c r="I15" s="4"/>
      <c r="J15" s="4"/>
      <c r="K15" s="4"/>
      <c r="L15" s="23" t="s">
        <v>18</v>
      </c>
      <c r="M15" s="24" t="s">
        <v>19</v>
      </c>
      <c r="N15" s="70" t="s">
        <v>91</v>
      </c>
      <c r="O15" s="65">
        <v>0</v>
      </c>
    </row>
    <row r="16" spans="1:16">
      <c r="B16" s="80" t="s">
        <v>60</v>
      </c>
      <c r="C16" s="85">
        <f>IF($P$5=1,$M$2*EBlackScholesForward("e",$L$2,$C$6,$C$7,$C$8/$N$2,$C$9/$N$2,$O$14,$C$11),"")</f>
        <v>-4.6812476741513462</v>
      </c>
      <c r="D16"/>
      <c r="F16" s="4"/>
      <c r="I16" s="4"/>
      <c r="J16" s="4"/>
      <c r="K16" s="4"/>
      <c r="L16" s="23" t="s">
        <v>78</v>
      </c>
      <c r="M16" s="24" t="s">
        <v>7</v>
      </c>
    </row>
    <row r="17" spans="1:30">
      <c r="A17" s="4"/>
      <c r="B17" s="80" t="s">
        <v>61</v>
      </c>
      <c r="C17" s="85">
        <f>IF($P$5=1,$M$2*EBlackScholesForward("g",$L$2,$C$6,$C$7,$C$8/$N$2,$C$9/$N$2,$O$14,$C$11),"")</f>
        <v>7.7776098910131708E-2</v>
      </c>
      <c r="D17"/>
      <c r="F17" s="4"/>
      <c r="I17" s="4"/>
      <c r="J17" s="4"/>
      <c r="K17" s="4"/>
      <c r="L17" s="23" t="s">
        <v>56</v>
      </c>
      <c r="M17" s="24" t="s">
        <v>57</v>
      </c>
    </row>
    <row r="18" spans="1:30">
      <c r="A18" s="4"/>
      <c r="B18" s="80" t="s">
        <v>51</v>
      </c>
      <c r="C18" s="85">
        <f>IF($P$5=1,$M$2*EBlackScholesForward("gv",$L$2,$C$6,$C$7,$C$8/$N$2,$C$9/$N$2,$O$14,$C$11),"")</f>
        <v>-2.8221217196477961E-3</v>
      </c>
      <c r="D18"/>
      <c r="F18" s="4"/>
      <c r="I18" s="4"/>
      <c r="J18" s="4"/>
      <c r="K18" s="4"/>
      <c r="L18" s="23" t="s">
        <v>62</v>
      </c>
      <c r="M18" s="24" t="s">
        <v>30</v>
      </c>
    </row>
    <row r="19" spans="1:30">
      <c r="A19" s="4"/>
      <c r="B19" s="80" t="s">
        <v>43</v>
      </c>
      <c r="C19" s="85">
        <f>IF($P$5=1,$M$2*EBlackScholesForward("gp",$L$2,$C$6,$C$7,$C$8/$N$2,$C$9/$N$2,$O$14,$C$11),"")</f>
        <v>1.4777458792925023E-2</v>
      </c>
      <c r="D19"/>
      <c r="F19" s="4"/>
      <c r="I19" s="4"/>
      <c r="J19" s="4"/>
      <c r="K19" s="4"/>
      <c r="L19" s="23" t="s">
        <v>1</v>
      </c>
      <c r="M19" s="24" t="s">
        <v>2</v>
      </c>
      <c r="N19" s="4"/>
      <c r="O19" s="4"/>
    </row>
    <row r="20" spans="1:30">
      <c r="A20" s="4"/>
      <c r="B20" s="80" t="s">
        <v>17</v>
      </c>
      <c r="C20" s="85">
        <f>IF($P$5=1,$M$2*EBlackScholesForward("v",$L$2,$C$6,$C$7,$C$8/$N$2,$C$9/$N$2,$O$14,$C$11),"")</f>
        <v>5.896189711510802E-2</v>
      </c>
      <c r="D20"/>
      <c r="F20" s="4"/>
      <c r="I20" s="4"/>
      <c r="J20" s="4"/>
      <c r="K20" s="4"/>
      <c r="L20" s="30" t="s">
        <v>55</v>
      </c>
      <c r="M20" s="31" t="s">
        <v>58</v>
      </c>
    </row>
    <row r="21" spans="1:30">
      <c r="A21" s="4"/>
      <c r="B21" s="80" t="s">
        <v>23</v>
      </c>
      <c r="C21" s="85">
        <f>IF($P$5=1,$M$2*EBlackScholesForward("dvdv",$L$2,$C$6,$C$7,$C$8/$N$2,$C$9/$N$2,$O$14,$C$11),"")</f>
        <v>-3.0954946914629744E-5</v>
      </c>
      <c r="D21"/>
      <c r="F21" s="4"/>
      <c r="I21" s="4"/>
      <c r="J21" s="4"/>
      <c r="K21" s="4"/>
    </row>
    <row r="22" spans="1:30">
      <c r="A22" s="4"/>
      <c r="B22" s="80" t="s">
        <v>26</v>
      </c>
      <c r="C22" s="85">
        <f>IF($P$5=1,$M$2*EBlackScholesForward("vp",$L$2,$C$6,$C$7,$C$8/$N$2,$C$9/$N$2,$O$14,$C$11),"")</f>
        <v>0.16509331192230245</v>
      </c>
      <c r="D22"/>
      <c r="F22" s="4"/>
      <c r="G22" s="4"/>
      <c r="H22" s="4"/>
      <c r="I22" s="4"/>
      <c r="J22" s="4"/>
      <c r="K22" s="4"/>
    </row>
    <row r="23" spans="1:30">
      <c r="A23" s="4"/>
      <c r="B23" s="81" t="s">
        <v>50</v>
      </c>
      <c r="C23" s="85">
        <f>IF($P$5=1,$M$2*EBlackScholesForward("t",$L$2,$C$6,$C$7,$C$8/$N$2,$C$9/$N$2,$O$14,$C$11),"")</f>
        <v>-2.5644416709973417E-3</v>
      </c>
      <c r="D23"/>
      <c r="H23" s="4"/>
      <c r="I23" s="4"/>
      <c r="J23" s="4"/>
      <c r="K23" s="4"/>
    </row>
    <row r="24" spans="1:30">
      <c r="A24" s="4"/>
      <c r="B24" s="81" t="s">
        <v>42</v>
      </c>
      <c r="C24" s="85">
        <f>IF($P$5=1,$M$2*EBlackScholesForward("fr",$L$2,$C$6,$C$7,$C$8/$N$2,$C$9/$N$2,$O$14,$C$11),"")</f>
        <v>-1.6590792841847279E-2</v>
      </c>
      <c r="D24"/>
    </row>
    <row r="25" spans="1:30" ht="13.5" thickBot="1">
      <c r="A25" s="4"/>
      <c r="B25" s="81" t="s">
        <v>56</v>
      </c>
      <c r="C25" s="85">
        <f>IF($P$5=1,$M$2*EBlackScholesForward("dddv",$L$2,$C$6,$C$7,$C$8/$N$2,$C$9/$N$2,$O$14,$C$11),"")</f>
        <v>1.5516325846787193E-3</v>
      </c>
      <c r="D25"/>
      <c r="L25" s="13" t="s">
        <v>25</v>
      </c>
    </row>
    <row r="26" spans="1:30">
      <c r="B26" s="81" t="s">
        <v>62</v>
      </c>
      <c r="C26" s="85">
        <f>IF($P$5=1,$M$2*EBlackScholesForward("s",$L$2,$C$6,$C$7,$C$8/$N$2,$C$9/$N$2,$O$14,$C$11),"")</f>
        <v>-6.1544644935906936E-3</v>
      </c>
      <c r="D26"/>
      <c r="L26" s="14"/>
      <c r="M26" s="18" t="s">
        <v>93</v>
      </c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6"/>
      <c r="AD26" s="17"/>
    </row>
    <row r="27" spans="1:30">
      <c r="B27" s="81" t="s">
        <v>0</v>
      </c>
      <c r="C27" s="85">
        <f>IF($P$5=1,$M$2*EBlackScholesForward("dx",$L$2,$C$6,$C$7,$C$8/$N$2,$C$9/$N$2,$O$14,$C$11),"")</f>
        <v>0.49607786018589506</v>
      </c>
      <c r="D27"/>
      <c r="L27" s="19" t="s">
        <v>70</v>
      </c>
      <c r="M27" s="54">
        <f>I7</f>
        <v>0.1</v>
      </c>
      <c r="N27" s="54">
        <f t="shared" ref="N27:AD27" si="0">M27+($I$8-$I$7)/17</f>
        <v>0.15294117647058825</v>
      </c>
      <c r="O27" s="54">
        <f t="shared" si="0"/>
        <v>0.20588235294117649</v>
      </c>
      <c r="P27" s="54">
        <f t="shared" si="0"/>
        <v>0.25882352941176473</v>
      </c>
      <c r="Q27" s="54">
        <f t="shared" si="0"/>
        <v>0.31176470588235294</v>
      </c>
      <c r="R27" s="54">
        <f t="shared" si="0"/>
        <v>0.36470588235294116</v>
      </c>
      <c r="S27" s="54">
        <f t="shared" si="0"/>
        <v>0.41764705882352937</v>
      </c>
      <c r="T27" s="54">
        <f t="shared" si="0"/>
        <v>0.47058823529411759</v>
      </c>
      <c r="U27" s="54">
        <f t="shared" si="0"/>
        <v>0.5235294117647058</v>
      </c>
      <c r="V27" s="54">
        <f t="shared" si="0"/>
        <v>0.57647058823529407</v>
      </c>
      <c r="W27" s="54">
        <f t="shared" si="0"/>
        <v>0.62941176470588234</v>
      </c>
      <c r="X27" s="54">
        <f t="shared" si="0"/>
        <v>0.68235294117647061</v>
      </c>
      <c r="Y27" s="54">
        <f t="shared" si="0"/>
        <v>0.73529411764705888</v>
      </c>
      <c r="Z27" s="54">
        <f t="shared" si="0"/>
        <v>0.78823529411764715</v>
      </c>
      <c r="AA27" s="54">
        <f t="shared" si="0"/>
        <v>0.84117647058823541</v>
      </c>
      <c r="AB27" s="54">
        <f t="shared" si="0"/>
        <v>0.89411764705882368</v>
      </c>
      <c r="AC27" s="54">
        <f t="shared" si="0"/>
        <v>0.94705882352941195</v>
      </c>
      <c r="AD27" s="55">
        <f t="shared" si="0"/>
        <v>1.0000000000000002</v>
      </c>
    </row>
    <row r="28" spans="1:30">
      <c r="B28" s="82" t="s">
        <v>54</v>
      </c>
      <c r="C28" s="86">
        <f>IF($P$5=1,$M$2*EBlackScholesForward("dxdx",$L$2,$C$6,$C$7,$C$8/$N$2,$C$9/$N$2,$O$14,$C$11),"")</f>
        <v>7.777609889236814E-2</v>
      </c>
      <c r="D28"/>
      <c r="L28" s="56">
        <f>G8</f>
        <v>28.5</v>
      </c>
      <c r="M28" s="92" t="str">
        <f t="shared" ref="M28:V37" si="1">IF($P$6=1,$M$2*EBlackScholesForward($M$6,$L$2,$L28,$C$7,M$27/$O$2,($C$9-$C$8)/$N$2+M$27/$O$2,$O$14,$C$11),"")</f>
        <v/>
      </c>
      <c r="N28" s="94" t="str">
        <f t="shared" si="1"/>
        <v/>
      </c>
      <c r="O28" s="94" t="str">
        <f t="shared" si="1"/>
        <v/>
      </c>
      <c r="P28" s="94" t="str">
        <f t="shared" si="1"/>
        <v/>
      </c>
      <c r="Q28" s="94" t="str">
        <f t="shared" si="1"/>
        <v/>
      </c>
      <c r="R28" s="94" t="str">
        <f t="shared" si="1"/>
        <v/>
      </c>
      <c r="S28" s="94" t="str">
        <f t="shared" si="1"/>
        <v/>
      </c>
      <c r="T28" s="94" t="str">
        <f t="shared" si="1"/>
        <v/>
      </c>
      <c r="U28" s="94" t="str">
        <f t="shared" si="1"/>
        <v/>
      </c>
      <c r="V28" s="94" t="str">
        <f t="shared" si="1"/>
        <v/>
      </c>
      <c r="W28" s="94" t="str">
        <f t="shared" ref="W28:AD37" si="2">IF($P$6=1,$M$2*EBlackScholesForward($M$6,$L$2,$L28,$C$7,W$27/$O$2,($C$9-$C$8)/$N$2+W$27/$O$2,$O$14,$C$11),"")</f>
        <v/>
      </c>
      <c r="X28" s="94" t="str">
        <f t="shared" si="2"/>
        <v/>
      </c>
      <c r="Y28" s="94" t="str">
        <f t="shared" si="2"/>
        <v/>
      </c>
      <c r="Z28" s="94" t="str">
        <f t="shared" si="2"/>
        <v/>
      </c>
      <c r="AA28" s="94" t="str">
        <f t="shared" si="2"/>
        <v/>
      </c>
      <c r="AB28" s="94" t="str">
        <f t="shared" si="2"/>
        <v/>
      </c>
      <c r="AC28" s="94" t="str">
        <f t="shared" si="2"/>
        <v/>
      </c>
      <c r="AD28" s="95" t="str">
        <f t="shared" si="2"/>
        <v/>
      </c>
    </row>
    <row r="29" spans="1:30">
      <c r="L29" s="57">
        <f t="shared" ref="L29:L48" si="3">L28-($G$8-$G$7)/20</f>
        <v>27.55</v>
      </c>
      <c r="M29" s="96" t="str">
        <f t="shared" si="1"/>
        <v/>
      </c>
      <c r="N29" s="93" t="str">
        <f t="shared" si="1"/>
        <v/>
      </c>
      <c r="O29" s="93" t="str">
        <f t="shared" si="1"/>
        <v/>
      </c>
      <c r="P29" s="93" t="str">
        <f t="shared" si="1"/>
        <v/>
      </c>
      <c r="Q29" s="93" t="str">
        <f t="shared" si="1"/>
        <v/>
      </c>
      <c r="R29" s="93" t="str">
        <f t="shared" si="1"/>
        <v/>
      </c>
      <c r="S29" s="93" t="str">
        <f t="shared" si="1"/>
        <v/>
      </c>
      <c r="T29" s="93" t="str">
        <f t="shared" si="1"/>
        <v/>
      </c>
      <c r="U29" s="93" t="str">
        <f t="shared" si="1"/>
        <v/>
      </c>
      <c r="V29" s="93" t="str">
        <f t="shared" si="1"/>
        <v/>
      </c>
      <c r="W29" s="93" t="str">
        <f t="shared" si="2"/>
        <v/>
      </c>
      <c r="X29" s="93" t="str">
        <f t="shared" si="2"/>
        <v/>
      </c>
      <c r="Y29" s="93" t="str">
        <f t="shared" si="2"/>
        <v/>
      </c>
      <c r="Z29" s="93" t="str">
        <f t="shared" si="2"/>
        <v/>
      </c>
      <c r="AA29" s="93" t="str">
        <f t="shared" si="2"/>
        <v/>
      </c>
      <c r="AB29" s="93" t="str">
        <f t="shared" si="2"/>
        <v/>
      </c>
      <c r="AC29" s="93" t="str">
        <f t="shared" si="2"/>
        <v/>
      </c>
      <c r="AD29" s="97" t="str">
        <f t="shared" si="2"/>
        <v/>
      </c>
    </row>
    <row r="30" spans="1:30">
      <c r="L30" s="57">
        <f t="shared" si="3"/>
        <v>26.6</v>
      </c>
      <c r="M30" s="96" t="str">
        <f t="shared" si="1"/>
        <v/>
      </c>
      <c r="N30" s="93" t="str">
        <f t="shared" si="1"/>
        <v/>
      </c>
      <c r="O30" s="93" t="str">
        <f t="shared" si="1"/>
        <v/>
      </c>
      <c r="P30" s="93" t="str">
        <f t="shared" si="1"/>
        <v/>
      </c>
      <c r="Q30" s="93" t="str">
        <f t="shared" si="1"/>
        <v/>
      </c>
      <c r="R30" s="93" t="str">
        <f t="shared" si="1"/>
        <v/>
      </c>
      <c r="S30" s="93" t="str">
        <f t="shared" si="1"/>
        <v/>
      </c>
      <c r="T30" s="93" t="str">
        <f t="shared" si="1"/>
        <v/>
      </c>
      <c r="U30" s="93" t="str">
        <f t="shared" si="1"/>
        <v/>
      </c>
      <c r="V30" s="93" t="str">
        <f t="shared" si="1"/>
        <v/>
      </c>
      <c r="W30" s="93" t="str">
        <f t="shared" si="2"/>
        <v/>
      </c>
      <c r="X30" s="93" t="str">
        <f t="shared" si="2"/>
        <v/>
      </c>
      <c r="Y30" s="93" t="str">
        <f t="shared" si="2"/>
        <v/>
      </c>
      <c r="Z30" s="93" t="str">
        <f t="shared" si="2"/>
        <v/>
      </c>
      <c r="AA30" s="93" t="str">
        <f t="shared" si="2"/>
        <v/>
      </c>
      <c r="AB30" s="93" t="str">
        <f t="shared" si="2"/>
        <v/>
      </c>
      <c r="AC30" s="93" t="str">
        <f t="shared" si="2"/>
        <v/>
      </c>
      <c r="AD30" s="97" t="str">
        <f t="shared" si="2"/>
        <v/>
      </c>
    </row>
    <row r="31" spans="1:30">
      <c r="K31" s="3"/>
      <c r="L31" s="57">
        <f t="shared" si="3"/>
        <v>25.650000000000002</v>
      </c>
      <c r="M31" s="96" t="str">
        <f t="shared" si="1"/>
        <v/>
      </c>
      <c r="N31" s="93" t="str">
        <f t="shared" si="1"/>
        <v/>
      </c>
      <c r="O31" s="93" t="str">
        <f t="shared" si="1"/>
        <v/>
      </c>
      <c r="P31" s="93" t="str">
        <f t="shared" si="1"/>
        <v/>
      </c>
      <c r="Q31" s="93" t="str">
        <f t="shared" si="1"/>
        <v/>
      </c>
      <c r="R31" s="93" t="str">
        <f t="shared" si="1"/>
        <v/>
      </c>
      <c r="S31" s="93" t="str">
        <f t="shared" si="1"/>
        <v/>
      </c>
      <c r="T31" s="93" t="str">
        <f t="shared" si="1"/>
        <v/>
      </c>
      <c r="U31" s="93" t="str">
        <f t="shared" si="1"/>
        <v/>
      </c>
      <c r="V31" s="93" t="str">
        <f t="shared" si="1"/>
        <v/>
      </c>
      <c r="W31" s="93" t="str">
        <f t="shared" si="2"/>
        <v/>
      </c>
      <c r="X31" s="93" t="str">
        <f t="shared" si="2"/>
        <v/>
      </c>
      <c r="Y31" s="93" t="str">
        <f t="shared" si="2"/>
        <v/>
      </c>
      <c r="Z31" s="93" t="str">
        <f t="shared" si="2"/>
        <v/>
      </c>
      <c r="AA31" s="93" t="str">
        <f t="shared" si="2"/>
        <v/>
      </c>
      <c r="AB31" s="93" t="str">
        <f t="shared" si="2"/>
        <v/>
      </c>
      <c r="AC31" s="93" t="str">
        <f t="shared" si="2"/>
        <v/>
      </c>
      <c r="AD31" s="97" t="str">
        <f t="shared" si="2"/>
        <v/>
      </c>
    </row>
    <row r="32" spans="1:30">
      <c r="L32" s="57">
        <f t="shared" si="3"/>
        <v>24.700000000000003</v>
      </c>
      <c r="M32" s="96" t="str">
        <f t="shared" si="1"/>
        <v/>
      </c>
      <c r="N32" s="93" t="str">
        <f t="shared" si="1"/>
        <v/>
      </c>
      <c r="O32" s="93" t="str">
        <f t="shared" si="1"/>
        <v/>
      </c>
      <c r="P32" s="93" t="str">
        <f t="shared" si="1"/>
        <v/>
      </c>
      <c r="Q32" s="93" t="str">
        <f t="shared" si="1"/>
        <v/>
      </c>
      <c r="R32" s="93" t="str">
        <f t="shared" si="1"/>
        <v/>
      </c>
      <c r="S32" s="93" t="str">
        <f t="shared" si="1"/>
        <v/>
      </c>
      <c r="T32" s="93" t="str">
        <f t="shared" si="1"/>
        <v/>
      </c>
      <c r="U32" s="93" t="str">
        <f t="shared" si="1"/>
        <v/>
      </c>
      <c r="V32" s="93" t="str">
        <f t="shared" si="1"/>
        <v/>
      </c>
      <c r="W32" s="93" t="str">
        <f t="shared" si="2"/>
        <v/>
      </c>
      <c r="X32" s="93" t="str">
        <f t="shared" si="2"/>
        <v/>
      </c>
      <c r="Y32" s="93" t="str">
        <f t="shared" si="2"/>
        <v/>
      </c>
      <c r="Z32" s="93" t="str">
        <f t="shared" si="2"/>
        <v/>
      </c>
      <c r="AA32" s="93" t="str">
        <f t="shared" si="2"/>
        <v/>
      </c>
      <c r="AB32" s="93" t="str">
        <f t="shared" si="2"/>
        <v/>
      </c>
      <c r="AC32" s="93" t="str">
        <f t="shared" si="2"/>
        <v/>
      </c>
      <c r="AD32" s="97" t="str">
        <f t="shared" si="2"/>
        <v/>
      </c>
    </row>
    <row r="33" spans="2:30">
      <c r="B33"/>
      <c r="D33"/>
      <c r="L33" s="57">
        <f t="shared" si="3"/>
        <v>23.750000000000004</v>
      </c>
      <c r="M33" s="96" t="str">
        <f t="shared" si="1"/>
        <v/>
      </c>
      <c r="N33" s="93" t="str">
        <f t="shared" si="1"/>
        <v/>
      </c>
      <c r="O33" s="93" t="str">
        <f t="shared" si="1"/>
        <v/>
      </c>
      <c r="P33" s="93" t="str">
        <f t="shared" si="1"/>
        <v/>
      </c>
      <c r="Q33" s="93" t="str">
        <f t="shared" si="1"/>
        <v/>
      </c>
      <c r="R33" s="93" t="str">
        <f t="shared" si="1"/>
        <v/>
      </c>
      <c r="S33" s="93" t="str">
        <f t="shared" si="1"/>
        <v/>
      </c>
      <c r="T33" s="93" t="str">
        <f t="shared" si="1"/>
        <v/>
      </c>
      <c r="U33" s="93" t="str">
        <f t="shared" si="1"/>
        <v/>
      </c>
      <c r="V33" s="93" t="str">
        <f t="shared" si="1"/>
        <v/>
      </c>
      <c r="W33" s="93" t="str">
        <f t="shared" si="2"/>
        <v/>
      </c>
      <c r="X33" s="93" t="str">
        <f t="shared" si="2"/>
        <v/>
      </c>
      <c r="Y33" s="93" t="str">
        <f t="shared" si="2"/>
        <v/>
      </c>
      <c r="Z33" s="93" t="str">
        <f t="shared" si="2"/>
        <v/>
      </c>
      <c r="AA33" s="93" t="str">
        <f t="shared" si="2"/>
        <v/>
      </c>
      <c r="AB33" s="93" t="str">
        <f t="shared" si="2"/>
        <v/>
      </c>
      <c r="AC33" s="93" t="str">
        <f t="shared" si="2"/>
        <v/>
      </c>
      <c r="AD33" s="97" t="str">
        <f t="shared" si="2"/>
        <v/>
      </c>
    </row>
    <row r="34" spans="2:30">
      <c r="B34"/>
      <c r="L34" s="57">
        <f t="shared" si="3"/>
        <v>22.800000000000004</v>
      </c>
      <c r="M34" s="96" t="str">
        <f t="shared" si="1"/>
        <v/>
      </c>
      <c r="N34" s="93" t="str">
        <f t="shared" si="1"/>
        <v/>
      </c>
      <c r="O34" s="93" t="str">
        <f t="shared" si="1"/>
        <v/>
      </c>
      <c r="P34" s="93" t="str">
        <f t="shared" si="1"/>
        <v/>
      </c>
      <c r="Q34" s="93" t="str">
        <f t="shared" si="1"/>
        <v/>
      </c>
      <c r="R34" s="93" t="str">
        <f t="shared" si="1"/>
        <v/>
      </c>
      <c r="S34" s="93" t="str">
        <f t="shared" si="1"/>
        <v/>
      </c>
      <c r="T34" s="93" t="str">
        <f t="shared" si="1"/>
        <v/>
      </c>
      <c r="U34" s="93" t="str">
        <f t="shared" si="1"/>
        <v/>
      </c>
      <c r="V34" s="93" t="str">
        <f t="shared" si="1"/>
        <v/>
      </c>
      <c r="W34" s="93" t="str">
        <f t="shared" si="2"/>
        <v/>
      </c>
      <c r="X34" s="93" t="str">
        <f t="shared" si="2"/>
        <v/>
      </c>
      <c r="Y34" s="93" t="str">
        <f t="shared" si="2"/>
        <v/>
      </c>
      <c r="Z34" s="93" t="str">
        <f t="shared" si="2"/>
        <v/>
      </c>
      <c r="AA34" s="93" t="str">
        <f t="shared" si="2"/>
        <v/>
      </c>
      <c r="AB34" s="93" t="str">
        <f t="shared" si="2"/>
        <v/>
      </c>
      <c r="AC34" s="93" t="str">
        <f t="shared" si="2"/>
        <v/>
      </c>
      <c r="AD34" s="97" t="str">
        <f t="shared" si="2"/>
        <v/>
      </c>
    </row>
    <row r="35" spans="2:30">
      <c r="B35"/>
      <c r="L35" s="57">
        <f t="shared" si="3"/>
        <v>21.850000000000005</v>
      </c>
      <c r="M35" s="96" t="str">
        <f t="shared" si="1"/>
        <v/>
      </c>
      <c r="N35" s="93" t="str">
        <f t="shared" si="1"/>
        <v/>
      </c>
      <c r="O35" s="93" t="str">
        <f t="shared" si="1"/>
        <v/>
      </c>
      <c r="P35" s="93" t="str">
        <f t="shared" si="1"/>
        <v/>
      </c>
      <c r="Q35" s="93" t="str">
        <f t="shared" si="1"/>
        <v/>
      </c>
      <c r="R35" s="93" t="str">
        <f t="shared" si="1"/>
        <v/>
      </c>
      <c r="S35" s="93" t="str">
        <f t="shared" si="1"/>
        <v/>
      </c>
      <c r="T35" s="93" t="str">
        <f t="shared" si="1"/>
        <v/>
      </c>
      <c r="U35" s="93" t="str">
        <f t="shared" si="1"/>
        <v/>
      </c>
      <c r="V35" s="93" t="str">
        <f t="shared" si="1"/>
        <v/>
      </c>
      <c r="W35" s="93" t="str">
        <f t="shared" si="2"/>
        <v/>
      </c>
      <c r="X35" s="93" t="str">
        <f t="shared" si="2"/>
        <v/>
      </c>
      <c r="Y35" s="93" t="str">
        <f t="shared" si="2"/>
        <v/>
      </c>
      <c r="Z35" s="93" t="str">
        <f t="shared" si="2"/>
        <v/>
      </c>
      <c r="AA35" s="93" t="str">
        <f t="shared" si="2"/>
        <v/>
      </c>
      <c r="AB35" s="93" t="str">
        <f t="shared" si="2"/>
        <v/>
      </c>
      <c r="AC35" s="93" t="str">
        <f t="shared" si="2"/>
        <v/>
      </c>
      <c r="AD35" s="97" t="str">
        <f t="shared" si="2"/>
        <v/>
      </c>
    </row>
    <row r="36" spans="2:30">
      <c r="B36"/>
      <c r="D36" s="11"/>
      <c r="L36" s="57">
        <f t="shared" si="3"/>
        <v>20.900000000000006</v>
      </c>
      <c r="M36" s="96" t="str">
        <f t="shared" si="1"/>
        <v/>
      </c>
      <c r="N36" s="93" t="str">
        <f t="shared" si="1"/>
        <v/>
      </c>
      <c r="O36" s="93" t="str">
        <f t="shared" si="1"/>
        <v/>
      </c>
      <c r="P36" s="93" t="str">
        <f t="shared" si="1"/>
        <v/>
      </c>
      <c r="Q36" s="93" t="str">
        <f t="shared" si="1"/>
        <v/>
      </c>
      <c r="R36" s="93" t="str">
        <f t="shared" si="1"/>
        <v/>
      </c>
      <c r="S36" s="93" t="str">
        <f t="shared" si="1"/>
        <v/>
      </c>
      <c r="T36" s="93" t="str">
        <f t="shared" si="1"/>
        <v/>
      </c>
      <c r="U36" s="93" t="str">
        <f t="shared" si="1"/>
        <v/>
      </c>
      <c r="V36" s="93" t="str">
        <f t="shared" si="1"/>
        <v/>
      </c>
      <c r="W36" s="93" t="str">
        <f t="shared" si="2"/>
        <v/>
      </c>
      <c r="X36" s="93" t="str">
        <f t="shared" si="2"/>
        <v/>
      </c>
      <c r="Y36" s="93" t="str">
        <f t="shared" si="2"/>
        <v/>
      </c>
      <c r="Z36" s="93" t="str">
        <f t="shared" si="2"/>
        <v/>
      </c>
      <c r="AA36" s="93" t="str">
        <f t="shared" si="2"/>
        <v/>
      </c>
      <c r="AB36" s="93" t="str">
        <f t="shared" si="2"/>
        <v/>
      </c>
      <c r="AC36" s="93" t="str">
        <f t="shared" si="2"/>
        <v/>
      </c>
      <c r="AD36" s="97" t="str">
        <f t="shared" si="2"/>
        <v/>
      </c>
    </row>
    <row r="37" spans="2:30">
      <c r="B37"/>
      <c r="C37"/>
      <c r="D37" s="11"/>
      <c r="L37" s="57">
        <f t="shared" si="3"/>
        <v>19.950000000000006</v>
      </c>
      <c r="M37" s="96" t="str">
        <f t="shared" si="1"/>
        <v/>
      </c>
      <c r="N37" s="93" t="str">
        <f t="shared" si="1"/>
        <v/>
      </c>
      <c r="O37" s="93" t="str">
        <f t="shared" si="1"/>
        <v/>
      </c>
      <c r="P37" s="93" t="str">
        <f t="shared" si="1"/>
        <v/>
      </c>
      <c r="Q37" s="93" t="str">
        <f t="shared" si="1"/>
        <v/>
      </c>
      <c r="R37" s="93" t="str">
        <f t="shared" si="1"/>
        <v/>
      </c>
      <c r="S37" s="93" t="str">
        <f t="shared" si="1"/>
        <v/>
      </c>
      <c r="T37" s="93" t="str">
        <f t="shared" si="1"/>
        <v/>
      </c>
      <c r="U37" s="93" t="str">
        <f t="shared" si="1"/>
        <v/>
      </c>
      <c r="V37" s="93" t="str">
        <f t="shared" si="1"/>
        <v/>
      </c>
      <c r="W37" s="93" t="str">
        <f t="shared" si="2"/>
        <v/>
      </c>
      <c r="X37" s="93" t="str">
        <f t="shared" si="2"/>
        <v/>
      </c>
      <c r="Y37" s="93" t="str">
        <f t="shared" si="2"/>
        <v/>
      </c>
      <c r="Z37" s="93" t="str">
        <f t="shared" si="2"/>
        <v/>
      </c>
      <c r="AA37" s="93" t="str">
        <f t="shared" si="2"/>
        <v/>
      </c>
      <c r="AB37" s="93" t="str">
        <f t="shared" si="2"/>
        <v/>
      </c>
      <c r="AC37" s="93" t="str">
        <f t="shared" si="2"/>
        <v/>
      </c>
      <c r="AD37" s="97" t="str">
        <f t="shared" si="2"/>
        <v/>
      </c>
    </row>
    <row r="38" spans="2:30">
      <c r="B38"/>
      <c r="C38"/>
      <c r="L38" s="57">
        <f t="shared" si="3"/>
        <v>19.000000000000007</v>
      </c>
      <c r="M38" s="96" t="str">
        <f t="shared" ref="M38:V48" si="4">IF($P$6=1,$M$2*EBlackScholesForward($M$6,$L$2,$L38,$C$7,M$27/$O$2,($C$9-$C$8)/$N$2+M$27/$O$2,$O$14,$C$11),"")</f>
        <v/>
      </c>
      <c r="N38" s="93" t="str">
        <f t="shared" si="4"/>
        <v/>
      </c>
      <c r="O38" s="93" t="str">
        <f t="shared" si="4"/>
        <v/>
      </c>
      <c r="P38" s="93" t="str">
        <f t="shared" si="4"/>
        <v/>
      </c>
      <c r="Q38" s="93" t="str">
        <f t="shared" si="4"/>
        <v/>
      </c>
      <c r="R38" s="93" t="str">
        <f t="shared" si="4"/>
        <v/>
      </c>
      <c r="S38" s="93" t="str">
        <f t="shared" si="4"/>
        <v/>
      </c>
      <c r="T38" s="93" t="str">
        <f t="shared" si="4"/>
        <v/>
      </c>
      <c r="U38" s="93" t="str">
        <f t="shared" si="4"/>
        <v/>
      </c>
      <c r="V38" s="93" t="str">
        <f t="shared" si="4"/>
        <v/>
      </c>
      <c r="W38" s="93" t="str">
        <f t="shared" ref="W38:AD48" si="5">IF($P$6=1,$M$2*EBlackScholesForward($M$6,$L$2,$L38,$C$7,W$27/$O$2,($C$9-$C$8)/$N$2+W$27/$O$2,$O$14,$C$11),"")</f>
        <v/>
      </c>
      <c r="X38" s="93" t="str">
        <f t="shared" si="5"/>
        <v/>
      </c>
      <c r="Y38" s="93" t="str">
        <f t="shared" si="5"/>
        <v/>
      </c>
      <c r="Z38" s="93" t="str">
        <f t="shared" si="5"/>
        <v/>
      </c>
      <c r="AA38" s="93" t="str">
        <f t="shared" si="5"/>
        <v/>
      </c>
      <c r="AB38" s="93" t="str">
        <f t="shared" si="5"/>
        <v/>
      </c>
      <c r="AC38" s="93" t="str">
        <f t="shared" si="5"/>
        <v/>
      </c>
      <c r="AD38" s="97" t="str">
        <f t="shared" si="5"/>
        <v/>
      </c>
    </row>
    <row r="39" spans="2:30">
      <c r="B39"/>
      <c r="C39"/>
      <c r="L39" s="57">
        <f t="shared" si="3"/>
        <v>18.050000000000008</v>
      </c>
      <c r="M39" s="96" t="str">
        <f t="shared" si="4"/>
        <v/>
      </c>
      <c r="N39" s="93" t="str">
        <f t="shared" si="4"/>
        <v/>
      </c>
      <c r="O39" s="93" t="str">
        <f t="shared" si="4"/>
        <v/>
      </c>
      <c r="P39" s="93" t="str">
        <f t="shared" si="4"/>
        <v/>
      </c>
      <c r="Q39" s="93" t="str">
        <f t="shared" si="4"/>
        <v/>
      </c>
      <c r="R39" s="93" t="str">
        <f t="shared" si="4"/>
        <v/>
      </c>
      <c r="S39" s="93" t="str">
        <f t="shared" si="4"/>
        <v/>
      </c>
      <c r="T39" s="93" t="str">
        <f t="shared" si="4"/>
        <v/>
      </c>
      <c r="U39" s="93" t="str">
        <f t="shared" si="4"/>
        <v/>
      </c>
      <c r="V39" s="93" t="str">
        <f t="shared" si="4"/>
        <v/>
      </c>
      <c r="W39" s="93" t="str">
        <f t="shared" si="5"/>
        <v/>
      </c>
      <c r="X39" s="93" t="str">
        <f t="shared" si="5"/>
        <v/>
      </c>
      <c r="Y39" s="93" t="str">
        <f t="shared" si="5"/>
        <v/>
      </c>
      <c r="Z39" s="93" t="str">
        <f t="shared" si="5"/>
        <v/>
      </c>
      <c r="AA39" s="93" t="str">
        <f t="shared" si="5"/>
        <v/>
      </c>
      <c r="AB39" s="93" t="str">
        <f t="shared" si="5"/>
        <v/>
      </c>
      <c r="AC39" s="93" t="str">
        <f t="shared" si="5"/>
        <v/>
      </c>
      <c r="AD39" s="97" t="str">
        <f t="shared" si="5"/>
        <v/>
      </c>
    </row>
    <row r="40" spans="2:30">
      <c r="B40"/>
      <c r="C40"/>
      <c r="L40" s="57">
        <f t="shared" si="3"/>
        <v>17.100000000000009</v>
      </c>
      <c r="M40" s="96" t="str">
        <f t="shared" si="4"/>
        <v/>
      </c>
      <c r="N40" s="93" t="str">
        <f t="shared" si="4"/>
        <v/>
      </c>
      <c r="O40" s="93" t="str">
        <f t="shared" si="4"/>
        <v/>
      </c>
      <c r="P40" s="93" t="str">
        <f t="shared" si="4"/>
        <v/>
      </c>
      <c r="Q40" s="93" t="str">
        <f t="shared" si="4"/>
        <v/>
      </c>
      <c r="R40" s="93" t="str">
        <f t="shared" si="4"/>
        <v/>
      </c>
      <c r="S40" s="93" t="str">
        <f t="shared" si="4"/>
        <v/>
      </c>
      <c r="T40" s="93" t="str">
        <f t="shared" si="4"/>
        <v/>
      </c>
      <c r="U40" s="93" t="str">
        <f t="shared" si="4"/>
        <v/>
      </c>
      <c r="V40" s="93" t="str">
        <f t="shared" si="4"/>
        <v/>
      </c>
      <c r="W40" s="93" t="str">
        <f t="shared" si="5"/>
        <v/>
      </c>
      <c r="X40" s="93" t="str">
        <f t="shared" si="5"/>
        <v/>
      </c>
      <c r="Y40" s="93" t="str">
        <f t="shared" si="5"/>
        <v/>
      </c>
      <c r="Z40" s="93" t="str">
        <f t="shared" si="5"/>
        <v/>
      </c>
      <c r="AA40" s="93" t="str">
        <f t="shared" si="5"/>
        <v/>
      </c>
      <c r="AB40" s="93" t="str">
        <f t="shared" si="5"/>
        <v/>
      </c>
      <c r="AC40" s="93" t="str">
        <f t="shared" si="5"/>
        <v/>
      </c>
      <c r="AD40" s="97" t="str">
        <f t="shared" si="5"/>
        <v/>
      </c>
    </row>
    <row r="41" spans="2:30">
      <c r="B41"/>
      <c r="C41"/>
      <c r="L41" s="57">
        <f t="shared" si="3"/>
        <v>16.150000000000009</v>
      </c>
      <c r="M41" s="96" t="str">
        <f t="shared" si="4"/>
        <v/>
      </c>
      <c r="N41" s="93" t="str">
        <f t="shared" si="4"/>
        <v/>
      </c>
      <c r="O41" s="93" t="str">
        <f t="shared" si="4"/>
        <v/>
      </c>
      <c r="P41" s="93" t="str">
        <f t="shared" si="4"/>
        <v/>
      </c>
      <c r="Q41" s="93" t="str">
        <f t="shared" si="4"/>
        <v/>
      </c>
      <c r="R41" s="93" t="str">
        <f t="shared" si="4"/>
        <v/>
      </c>
      <c r="S41" s="93" t="str">
        <f t="shared" si="4"/>
        <v/>
      </c>
      <c r="T41" s="93" t="str">
        <f t="shared" si="4"/>
        <v/>
      </c>
      <c r="U41" s="93" t="str">
        <f t="shared" si="4"/>
        <v/>
      </c>
      <c r="V41" s="93" t="str">
        <f t="shared" si="4"/>
        <v/>
      </c>
      <c r="W41" s="93" t="str">
        <f t="shared" si="5"/>
        <v/>
      </c>
      <c r="X41" s="93" t="str">
        <f t="shared" si="5"/>
        <v/>
      </c>
      <c r="Y41" s="93" t="str">
        <f t="shared" si="5"/>
        <v/>
      </c>
      <c r="Z41" s="93" t="str">
        <f t="shared" si="5"/>
        <v/>
      </c>
      <c r="AA41" s="93" t="str">
        <f t="shared" si="5"/>
        <v/>
      </c>
      <c r="AB41" s="93" t="str">
        <f t="shared" si="5"/>
        <v/>
      </c>
      <c r="AC41" s="93" t="str">
        <f t="shared" si="5"/>
        <v/>
      </c>
      <c r="AD41" s="97" t="str">
        <f t="shared" si="5"/>
        <v/>
      </c>
    </row>
    <row r="42" spans="2:30">
      <c r="B42"/>
      <c r="C42"/>
      <c r="L42" s="57">
        <f t="shared" si="3"/>
        <v>15.20000000000001</v>
      </c>
      <c r="M42" s="96" t="str">
        <f t="shared" si="4"/>
        <v/>
      </c>
      <c r="N42" s="93" t="str">
        <f t="shared" si="4"/>
        <v/>
      </c>
      <c r="O42" s="93" t="str">
        <f t="shared" si="4"/>
        <v/>
      </c>
      <c r="P42" s="93" t="str">
        <f t="shared" si="4"/>
        <v/>
      </c>
      <c r="Q42" s="93" t="str">
        <f t="shared" si="4"/>
        <v/>
      </c>
      <c r="R42" s="93" t="str">
        <f t="shared" si="4"/>
        <v/>
      </c>
      <c r="S42" s="93" t="str">
        <f t="shared" si="4"/>
        <v/>
      </c>
      <c r="T42" s="93" t="str">
        <f t="shared" si="4"/>
        <v/>
      </c>
      <c r="U42" s="93" t="str">
        <f t="shared" si="4"/>
        <v/>
      </c>
      <c r="V42" s="93" t="str">
        <f t="shared" si="4"/>
        <v/>
      </c>
      <c r="W42" s="93" t="str">
        <f t="shared" si="5"/>
        <v/>
      </c>
      <c r="X42" s="93" t="str">
        <f t="shared" si="5"/>
        <v/>
      </c>
      <c r="Y42" s="93" t="str">
        <f t="shared" si="5"/>
        <v/>
      </c>
      <c r="Z42" s="93" t="str">
        <f t="shared" si="5"/>
        <v/>
      </c>
      <c r="AA42" s="93" t="str">
        <f t="shared" si="5"/>
        <v/>
      </c>
      <c r="AB42" s="93" t="str">
        <f t="shared" si="5"/>
        <v/>
      </c>
      <c r="AC42" s="93" t="str">
        <f t="shared" si="5"/>
        <v/>
      </c>
      <c r="AD42" s="97" t="str">
        <f t="shared" si="5"/>
        <v/>
      </c>
    </row>
    <row r="43" spans="2:30">
      <c r="B43"/>
      <c r="C43"/>
      <c r="D43" s="11"/>
      <c r="L43" s="57">
        <f t="shared" si="3"/>
        <v>14.250000000000011</v>
      </c>
      <c r="M43" s="96" t="str">
        <f t="shared" si="4"/>
        <v/>
      </c>
      <c r="N43" s="93" t="str">
        <f t="shared" si="4"/>
        <v/>
      </c>
      <c r="O43" s="93" t="str">
        <f t="shared" si="4"/>
        <v/>
      </c>
      <c r="P43" s="93" t="str">
        <f t="shared" si="4"/>
        <v/>
      </c>
      <c r="Q43" s="93" t="str">
        <f t="shared" si="4"/>
        <v/>
      </c>
      <c r="R43" s="93" t="str">
        <f t="shared" si="4"/>
        <v/>
      </c>
      <c r="S43" s="93" t="str">
        <f t="shared" si="4"/>
        <v/>
      </c>
      <c r="T43" s="93" t="str">
        <f t="shared" si="4"/>
        <v/>
      </c>
      <c r="U43" s="93" t="str">
        <f t="shared" si="4"/>
        <v/>
      </c>
      <c r="V43" s="93" t="str">
        <f t="shared" si="4"/>
        <v/>
      </c>
      <c r="W43" s="93" t="str">
        <f t="shared" si="5"/>
        <v/>
      </c>
      <c r="X43" s="93" t="str">
        <f t="shared" si="5"/>
        <v/>
      </c>
      <c r="Y43" s="93" t="str">
        <f t="shared" si="5"/>
        <v/>
      </c>
      <c r="Z43" s="93" t="str">
        <f t="shared" si="5"/>
        <v/>
      </c>
      <c r="AA43" s="93" t="str">
        <f t="shared" si="5"/>
        <v/>
      </c>
      <c r="AB43" s="93" t="str">
        <f t="shared" si="5"/>
        <v/>
      </c>
      <c r="AC43" s="93" t="str">
        <f t="shared" si="5"/>
        <v/>
      </c>
      <c r="AD43" s="97" t="str">
        <f t="shared" si="5"/>
        <v/>
      </c>
    </row>
    <row r="44" spans="2:30">
      <c r="B44"/>
      <c r="C44"/>
      <c r="L44" s="57">
        <f t="shared" si="3"/>
        <v>13.300000000000011</v>
      </c>
      <c r="M44" s="96" t="str">
        <f t="shared" si="4"/>
        <v/>
      </c>
      <c r="N44" s="93" t="str">
        <f t="shared" si="4"/>
        <v/>
      </c>
      <c r="O44" s="93" t="str">
        <f t="shared" si="4"/>
        <v/>
      </c>
      <c r="P44" s="93" t="str">
        <f t="shared" si="4"/>
        <v/>
      </c>
      <c r="Q44" s="93" t="str">
        <f t="shared" si="4"/>
        <v/>
      </c>
      <c r="R44" s="93" t="str">
        <f t="shared" si="4"/>
        <v/>
      </c>
      <c r="S44" s="93" t="str">
        <f t="shared" si="4"/>
        <v/>
      </c>
      <c r="T44" s="93" t="str">
        <f t="shared" si="4"/>
        <v/>
      </c>
      <c r="U44" s="93" t="str">
        <f t="shared" si="4"/>
        <v/>
      </c>
      <c r="V44" s="93" t="str">
        <f t="shared" si="4"/>
        <v/>
      </c>
      <c r="W44" s="93" t="str">
        <f t="shared" si="5"/>
        <v/>
      </c>
      <c r="X44" s="93" t="str">
        <f t="shared" si="5"/>
        <v/>
      </c>
      <c r="Y44" s="93" t="str">
        <f t="shared" si="5"/>
        <v/>
      </c>
      <c r="Z44" s="93" t="str">
        <f t="shared" si="5"/>
        <v/>
      </c>
      <c r="AA44" s="93" t="str">
        <f t="shared" si="5"/>
        <v/>
      </c>
      <c r="AB44" s="93" t="str">
        <f t="shared" si="5"/>
        <v/>
      </c>
      <c r="AC44" s="93" t="str">
        <f t="shared" si="5"/>
        <v/>
      </c>
      <c r="AD44" s="97" t="str">
        <f t="shared" si="5"/>
        <v/>
      </c>
    </row>
    <row r="45" spans="2:30">
      <c r="B45"/>
      <c r="C45"/>
      <c r="L45" s="57">
        <f t="shared" si="3"/>
        <v>12.350000000000012</v>
      </c>
      <c r="M45" s="96" t="str">
        <f t="shared" si="4"/>
        <v/>
      </c>
      <c r="N45" s="93" t="str">
        <f t="shared" si="4"/>
        <v/>
      </c>
      <c r="O45" s="93" t="str">
        <f t="shared" si="4"/>
        <v/>
      </c>
      <c r="P45" s="93" t="str">
        <f t="shared" si="4"/>
        <v/>
      </c>
      <c r="Q45" s="93" t="str">
        <f t="shared" si="4"/>
        <v/>
      </c>
      <c r="R45" s="93" t="str">
        <f t="shared" si="4"/>
        <v/>
      </c>
      <c r="S45" s="93" t="str">
        <f t="shared" si="4"/>
        <v/>
      </c>
      <c r="T45" s="93" t="str">
        <f t="shared" si="4"/>
        <v/>
      </c>
      <c r="U45" s="93" t="str">
        <f t="shared" si="4"/>
        <v/>
      </c>
      <c r="V45" s="93" t="str">
        <f t="shared" si="4"/>
        <v/>
      </c>
      <c r="W45" s="93" t="str">
        <f t="shared" si="5"/>
        <v/>
      </c>
      <c r="X45" s="93" t="str">
        <f t="shared" si="5"/>
        <v/>
      </c>
      <c r="Y45" s="93" t="str">
        <f t="shared" si="5"/>
        <v/>
      </c>
      <c r="Z45" s="93" t="str">
        <f t="shared" si="5"/>
        <v/>
      </c>
      <c r="AA45" s="93" t="str">
        <f t="shared" si="5"/>
        <v/>
      </c>
      <c r="AB45" s="93" t="str">
        <f t="shared" si="5"/>
        <v/>
      </c>
      <c r="AC45" s="93" t="str">
        <f t="shared" si="5"/>
        <v/>
      </c>
      <c r="AD45" s="97" t="str">
        <f t="shared" si="5"/>
        <v/>
      </c>
    </row>
    <row r="46" spans="2:30">
      <c r="B46"/>
      <c r="C46"/>
      <c r="L46" s="57">
        <f t="shared" si="3"/>
        <v>11.400000000000013</v>
      </c>
      <c r="M46" s="96" t="str">
        <f t="shared" si="4"/>
        <v/>
      </c>
      <c r="N46" s="93" t="str">
        <f t="shared" si="4"/>
        <v/>
      </c>
      <c r="O46" s="93" t="str">
        <f t="shared" si="4"/>
        <v/>
      </c>
      <c r="P46" s="93" t="str">
        <f t="shared" si="4"/>
        <v/>
      </c>
      <c r="Q46" s="93" t="str">
        <f t="shared" si="4"/>
        <v/>
      </c>
      <c r="R46" s="93" t="str">
        <f t="shared" si="4"/>
        <v/>
      </c>
      <c r="S46" s="93" t="str">
        <f t="shared" si="4"/>
        <v/>
      </c>
      <c r="T46" s="93" t="str">
        <f t="shared" si="4"/>
        <v/>
      </c>
      <c r="U46" s="93" t="str">
        <f t="shared" si="4"/>
        <v/>
      </c>
      <c r="V46" s="93" t="str">
        <f t="shared" si="4"/>
        <v/>
      </c>
      <c r="W46" s="93" t="str">
        <f t="shared" si="5"/>
        <v/>
      </c>
      <c r="X46" s="93" t="str">
        <f t="shared" si="5"/>
        <v/>
      </c>
      <c r="Y46" s="93" t="str">
        <f t="shared" si="5"/>
        <v/>
      </c>
      <c r="Z46" s="93" t="str">
        <f t="shared" si="5"/>
        <v/>
      </c>
      <c r="AA46" s="93" t="str">
        <f t="shared" si="5"/>
        <v/>
      </c>
      <c r="AB46" s="93" t="str">
        <f t="shared" si="5"/>
        <v/>
      </c>
      <c r="AC46" s="93" t="str">
        <f t="shared" si="5"/>
        <v/>
      </c>
      <c r="AD46" s="97" t="str">
        <f t="shared" si="5"/>
        <v/>
      </c>
    </row>
    <row r="47" spans="2:30">
      <c r="B47"/>
      <c r="C47"/>
      <c r="L47" s="57">
        <f t="shared" si="3"/>
        <v>10.450000000000014</v>
      </c>
      <c r="M47" s="96" t="str">
        <f t="shared" si="4"/>
        <v/>
      </c>
      <c r="N47" s="93" t="str">
        <f t="shared" si="4"/>
        <v/>
      </c>
      <c r="O47" s="93" t="str">
        <f t="shared" si="4"/>
        <v/>
      </c>
      <c r="P47" s="93" t="str">
        <f t="shared" si="4"/>
        <v/>
      </c>
      <c r="Q47" s="93" t="str">
        <f t="shared" si="4"/>
        <v/>
      </c>
      <c r="R47" s="93" t="str">
        <f t="shared" si="4"/>
        <v/>
      </c>
      <c r="S47" s="93" t="str">
        <f t="shared" si="4"/>
        <v/>
      </c>
      <c r="T47" s="93" t="str">
        <f t="shared" si="4"/>
        <v/>
      </c>
      <c r="U47" s="93" t="str">
        <f t="shared" si="4"/>
        <v/>
      </c>
      <c r="V47" s="93" t="str">
        <f t="shared" si="4"/>
        <v/>
      </c>
      <c r="W47" s="93" t="str">
        <f t="shared" si="5"/>
        <v/>
      </c>
      <c r="X47" s="93" t="str">
        <f t="shared" si="5"/>
        <v/>
      </c>
      <c r="Y47" s="93" t="str">
        <f t="shared" si="5"/>
        <v/>
      </c>
      <c r="Z47" s="93" t="str">
        <f t="shared" si="5"/>
        <v/>
      </c>
      <c r="AA47" s="93" t="str">
        <f t="shared" si="5"/>
        <v/>
      </c>
      <c r="AB47" s="93" t="str">
        <f t="shared" si="5"/>
        <v/>
      </c>
      <c r="AC47" s="93" t="str">
        <f t="shared" si="5"/>
        <v/>
      </c>
      <c r="AD47" s="97" t="str">
        <f t="shared" si="5"/>
        <v/>
      </c>
    </row>
    <row r="48" spans="2:30" ht="13.5" thickBot="1">
      <c r="B48"/>
      <c r="C48"/>
      <c r="L48" s="58">
        <f t="shared" si="3"/>
        <v>9.5000000000000142</v>
      </c>
      <c r="M48" s="98" t="str">
        <f t="shared" si="4"/>
        <v/>
      </c>
      <c r="N48" s="99" t="str">
        <f t="shared" si="4"/>
        <v/>
      </c>
      <c r="O48" s="99" t="str">
        <f t="shared" si="4"/>
        <v/>
      </c>
      <c r="P48" s="99" t="str">
        <f t="shared" si="4"/>
        <v/>
      </c>
      <c r="Q48" s="99" t="str">
        <f t="shared" si="4"/>
        <v/>
      </c>
      <c r="R48" s="99" t="str">
        <f t="shared" si="4"/>
        <v/>
      </c>
      <c r="S48" s="99" t="str">
        <f t="shared" si="4"/>
        <v/>
      </c>
      <c r="T48" s="99" t="str">
        <f t="shared" si="4"/>
        <v/>
      </c>
      <c r="U48" s="99" t="str">
        <f t="shared" si="4"/>
        <v/>
      </c>
      <c r="V48" s="99" t="str">
        <f t="shared" si="4"/>
        <v/>
      </c>
      <c r="W48" s="99" t="str">
        <f t="shared" si="5"/>
        <v/>
      </c>
      <c r="X48" s="99" t="str">
        <f t="shared" si="5"/>
        <v/>
      </c>
      <c r="Y48" s="99" t="str">
        <f t="shared" si="5"/>
        <v/>
      </c>
      <c r="Z48" s="99" t="str">
        <f t="shared" si="5"/>
        <v/>
      </c>
      <c r="AA48" s="99" t="str">
        <f t="shared" si="5"/>
        <v/>
      </c>
      <c r="AB48" s="99" t="str">
        <f t="shared" si="5"/>
        <v/>
      </c>
      <c r="AC48" s="99" t="str">
        <f t="shared" si="5"/>
        <v/>
      </c>
      <c r="AD48" s="100" t="str">
        <f t="shared" si="5"/>
        <v/>
      </c>
    </row>
    <row r="49" spans="2:3">
      <c r="B49"/>
      <c r="C49"/>
    </row>
    <row r="50" spans="2:3">
      <c r="B50"/>
      <c r="C50"/>
    </row>
    <row r="51" spans="2:3">
      <c r="B51"/>
      <c r="C51"/>
    </row>
    <row r="52" spans="2:3">
      <c r="B52"/>
      <c r="C52"/>
    </row>
    <row r="53" spans="2:3">
      <c r="B53"/>
      <c r="C53"/>
    </row>
    <row r="54" spans="2:3">
      <c r="B54"/>
      <c r="C54"/>
    </row>
    <row r="55" spans="2:3">
      <c r="B55"/>
      <c r="C55"/>
    </row>
    <row r="56" spans="2:3">
      <c r="B56"/>
      <c r="C56"/>
    </row>
    <row r="57" spans="2:3">
      <c r="B57"/>
      <c r="C57"/>
    </row>
    <row r="58" spans="2:3">
      <c r="B58"/>
      <c r="C58"/>
    </row>
  </sheetData>
  <phoneticPr fontId="20"/>
  <printOptions gridLinesSet="0"/>
  <pageMargins left="0.75" right="0.75" top="0.75" bottom="0.75" header="0.5" footer="0.5"/>
  <pageSetup scale="85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7585" r:id="rId4" name="Drop Down 1">
              <controlPr defaultSize="0" autoFill="0" autoLine="0" autoPict="0">
                <anchor moveWithCells="1">
                  <from>
                    <xdr:col>2</xdr:col>
                    <xdr:colOff>695325</xdr:colOff>
                    <xdr:row>3</xdr:row>
                    <xdr:rowOff>85725</xdr:rowOff>
                  </from>
                  <to>
                    <xdr:col>3</xdr:col>
                    <xdr:colOff>0</xdr:colOff>
                    <xdr:row>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86" r:id="rId5" name="Drop Down 2">
              <controlPr defaultSize="0" autoLine="0" autoPict="0">
                <anchor moveWithCells="1">
                  <from>
                    <xdr:col>6</xdr:col>
                    <xdr:colOff>400050</xdr:colOff>
                    <xdr:row>3</xdr:row>
                    <xdr:rowOff>76200</xdr:rowOff>
                  </from>
                  <to>
                    <xdr:col>7</xdr:col>
                    <xdr:colOff>228600</xdr:colOff>
                    <xdr:row>4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88" r:id="rId6" name="Drop Down 4">
              <controlPr defaultSize="0" autoFill="0" autoLine="0" autoPict="0">
                <anchor moveWithCells="1">
                  <from>
                    <xdr:col>2</xdr:col>
                    <xdr:colOff>28575</xdr:colOff>
                    <xdr:row>3</xdr:row>
                    <xdr:rowOff>85725</xdr:rowOff>
                  </from>
                  <to>
                    <xdr:col>2</xdr:col>
                    <xdr:colOff>685800</xdr:colOff>
                    <xdr:row>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89" r:id="rId7" name="Drop Down 5">
              <controlPr defaultSize="0" autoFill="0" autoLine="0" autoPict="0">
                <anchor moveWithCells="1">
                  <from>
                    <xdr:col>1</xdr:col>
                    <xdr:colOff>847725</xdr:colOff>
                    <xdr:row>3</xdr:row>
                    <xdr:rowOff>85725</xdr:rowOff>
                  </from>
                  <to>
                    <xdr:col>1</xdr:col>
                    <xdr:colOff>1504950</xdr:colOff>
                    <xdr:row>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90" r:id="rId8" name="Drop Down 6">
              <controlPr defaultSize="0" autoFill="0" autoLine="0" autoPict="0">
                <anchor moveWithCells="1">
                  <from>
                    <xdr:col>8</xdr:col>
                    <xdr:colOff>76200</xdr:colOff>
                    <xdr:row>3</xdr:row>
                    <xdr:rowOff>76200</xdr:rowOff>
                  </from>
                  <to>
                    <xdr:col>9</xdr:col>
                    <xdr:colOff>0</xdr:colOff>
                    <xdr:row>4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91" r:id="rId9" name="Drop Down 7">
              <controlPr defaultSize="0" autoLine="0" autoPict="0">
                <anchor moveWithCells="1">
                  <from>
                    <xdr:col>3</xdr:col>
                    <xdr:colOff>0</xdr:colOff>
                    <xdr:row>8</xdr:row>
                    <xdr:rowOff>114300</xdr:rowOff>
                  </from>
                  <to>
                    <xdr:col>3</xdr:col>
                    <xdr:colOff>1009650</xdr:colOff>
                    <xdr:row>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93" r:id="rId10" name="Drop Down 9">
              <controlPr defaultSize="0" autoLine="0" autoPict="0">
                <anchor moveWithCells="1">
                  <from>
                    <xdr:col>6</xdr:col>
                    <xdr:colOff>409575</xdr:colOff>
                    <xdr:row>2</xdr:row>
                    <xdr:rowOff>104775</xdr:rowOff>
                  </from>
                  <to>
                    <xdr:col>7</xdr:col>
                    <xdr:colOff>161925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94" r:id="rId11" name="Drop Down 10">
              <controlPr defaultSize="0" autoLine="0" autoPict="0">
                <anchor moveWithCells="1">
                  <from>
                    <xdr:col>3</xdr:col>
                    <xdr:colOff>180975</xdr:colOff>
                    <xdr:row>14</xdr:row>
                    <xdr:rowOff>38100</xdr:rowOff>
                  </from>
                  <to>
                    <xdr:col>3</xdr:col>
                    <xdr:colOff>866775</xdr:colOff>
                    <xdr:row>15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422"/>
  <dimension ref="A1:AD48"/>
  <sheetViews>
    <sheetView showGridLines="0" workbookViewId="0">
      <selection activeCell="A3" sqref="A3"/>
    </sheetView>
  </sheetViews>
  <sheetFormatPr defaultColWidth="10" defaultRowHeight="12.75"/>
  <cols>
    <col min="1" max="1" width="3.42578125" style="2" customWidth="1"/>
    <col min="2" max="2" width="29.7109375" style="2" bestFit="1" customWidth="1"/>
    <col min="3" max="3" width="20.28515625" style="2" customWidth="1"/>
    <col min="4" max="4" width="15.7109375" style="2" customWidth="1"/>
    <col min="5" max="5" width="3.28515625" style="2" customWidth="1"/>
    <col min="6" max="6" width="17" style="2" customWidth="1"/>
    <col min="7" max="7" width="17.85546875" style="2" customWidth="1"/>
    <col min="8" max="8" width="22.42578125" style="2" customWidth="1"/>
    <col min="9" max="11" width="11" style="2" customWidth="1"/>
    <col min="12" max="12" width="13.7109375" style="2" customWidth="1"/>
    <col min="13" max="13" width="10" style="2" customWidth="1"/>
    <col min="14" max="14" width="11" style="2" customWidth="1"/>
    <col min="15" max="16384" width="10" style="2"/>
  </cols>
  <sheetData>
    <row r="1" spans="1:16" ht="18">
      <c r="A1" s="47" t="s">
        <v>86</v>
      </c>
      <c r="B1" s="1"/>
      <c r="D1" s="110"/>
      <c r="L1" s="10" t="s">
        <v>92</v>
      </c>
      <c r="M1" s="4"/>
    </row>
    <row r="2" spans="1:16">
      <c r="B2" s="72"/>
      <c r="F2" s="3"/>
      <c r="L2" s="26" t="str">
        <f>IF(L3=1,"c","p")</f>
        <v>c</v>
      </c>
      <c r="M2" s="66">
        <f>IF(M3=1,1,-1)</f>
        <v>1</v>
      </c>
      <c r="N2" s="66">
        <f>IF(N3=1,365,1)</f>
        <v>1</v>
      </c>
      <c r="O2" s="33">
        <f>IF(O3=1,365,1)</f>
        <v>365</v>
      </c>
    </row>
    <row r="3" spans="1:16" ht="23.25">
      <c r="A3" s="20"/>
      <c r="B3" s="76"/>
      <c r="C3" s="4"/>
      <c r="D3" s="75"/>
      <c r="E3" s="4"/>
      <c r="F3" s="4"/>
      <c r="G3" s="4"/>
      <c r="H3" s="4"/>
      <c r="I3" s="4"/>
      <c r="J3" s="4"/>
      <c r="K3" s="4"/>
      <c r="L3" s="27">
        <v>1</v>
      </c>
      <c r="M3" s="21">
        <v>1</v>
      </c>
      <c r="N3" s="21">
        <v>2</v>
      </c>
      <c r="O3" s="22">
        <v>1</v>
      </c>
    </row>
    <row r="4" spans="1:16">
      <c r="B4" s="4"/>
      <c r="C4" s="4"/>
      <c r="D4" s="4"/>
      <c r="F4" s="4"/>
      <c r="H4" s="4"/>
      <c r="J4" s="4"/>
      <c r="K4" s="4"/>
      <c r="L4" s="28" t="s">
        <v>13</v>
      </c>
      <c r="M4" s="23" t="s">
        <v>72</v>
      </c>
      <c r="N4" s="23" t="s">
        <v>47</v>
      </c>
      <c r="O4" s="24"/>
      <c r="P4" s="68">
        <v>2</v>
      </c>
    </row>
    <row r="5" spans="1:16" ht="13.5" thickBot="1">
      <c r="B5" s="53" t="s">
        <v>49</v>
      </c>
      <c r="C5" s="4"/>
      <c r="D5"/>
      <c r="F5" s="46" t="s">
        <v>74</v>
      </c>
      <c r="G5" s="35"/>
      <c r="H5" s="63" t="s">
        <v>49</v>
      </c>
      <c r="I5" s="35"/>
      <c r="J5" s="4"/>
      <c r="K5" s="4"/>
      <c r="L5" s="28" t="s">
        <v>14</v>
      </c>
      <c r="M5" s="23" t="s">
        <v>73</v>
      </c>
      <c r="N5" s="30" t="s">
        <v>48</v>
      </c>
      <c r="O5" s="31"/>
      <c r="P5" s="68">
        <v>2</v>
      </c>
    </row>
    <row r="6" spans="1:16">
      <c r="B6" s="5" t="s">
        <v>95</v>
      </c>
      <c r="C6" s="87">
        <v>35</v>
      </c>
      <c r="D6"/>
      <c r="F6" s="36" t="s">
        <v>68</v>
      </c>
      <c r="G6" s="37"/>
      <c r="H6" s="45" t="s">
        <v>69</v>
      </c>
      <c r="I6" s="38"/>
      <c r="K6"/>
      <c r="L6" s="32">
        <v>12</v>
      </c>
      <c r="M6" s="33" t="str">
        <f>INDEX(M7:M20,L6)</f>
        <v>s</v>
      </c>
      <c r="N6" s="104">
        <f>INDEX(O8:O13,N7)</f>
        <v>0</v>
      </c>
      <c r="O6" s="105"/>
      <c r="P6" s="68">
        <v>1</v>
      </c>
    </row>
    <row r="7" spans="1:16">
      <c r="B7" s="6" t="s">
        <v>46</v>
      </c>
      <c r="C7" s="88">
        <v>35</v>
      </c>
      <c r="D7"/>
      <c r="F7" s="39" t="s">
        <v>66</v>
      </c>
      <c r="G7" s="34">
        <f>50%*C7</f>
        <v>17.5</v>
      </c>
      <c r="H7" s="12" t="s">
        <v>21</v>
      </c>
      <c r="I7" s="40">
        <v>20</v>
      </c>
      <c r="K7"/>
      <c r="L7" s="21" t="s">
        <v>15</v>
      </c>
      <c r="M7" s="22" t="s">
        <v>63</v>
      </c>
      <c r="N7" s="21">
        <v>1</v>
      </c>
      <c r="O7" s="22"/>
      <c r="P7" s="28" t="s">
        <v>12</v>
      </c>
    </row>
    <row r="8" spans="1:16" ht="13.5" thickBot="1">
      <c r="B8" s="6" t="s">
        <v>80</v>
      </c>
      <c r="C8" s="111">
        <v>0.25</v>
      </c>
      <c r="D8"/>
      <c r="F8" s="41" t="s">
        <v>67</v>
      </c>
      <c r="G8" s="42">
        <f>C7*1.5</f>
        <v>52.5</v>
      </c>
      <c r="H8" s="43" t="s">
        <v>22</v>
      </c>
      <c r="I8" s="44">
        <v>180</v>
      </c>
      <c r="K8"/>
      <c r="L8" s="23" t="s">
        <v>71</v>
      </c>
      <c r="M8" s="22" t="s">
        <v>64</v>
      </c>
      <c r="N8" s="21" t="s">
        <v>32</v>
      </c>
      <c r="O8" s="22">
        <v>0</v>
      </c>
      <c r="P8" s="29" t="s">
        <v>40</v>
      </c>
    </row>
    <row r="9" spans="1:16">
      <c r="B9" s="101" t="s">
        <v>84</v>
      </c>
      <c r="C9" s="103">
        <v>0.5</v>
      </c>
      <c r="K9"/>
      <c r="L9" s="23" t="s">
        <v>41</v>
      </c>
      <c r="M9" s="24" t="s">
        <v>20</v>
      </c>
      <c r="N9" s="23" t="s">
        <v>38</v>
      </c>
      <c r="O9" s="71">
        <f>MAX(1/C8,1)</f>
        <v>4</v>
      </c>
    </row>
    <row r="10" spans="1:16" ht="15.95" customHeight="1">
      <c r="B10" s="6" t="s">
        <v>83</v>
      </c>
      <c r="C10" s="89">
        <v>0.05</v>
      </c>
      <c r="K10"/>
      <c r="L10" s="23" t="s">
        <v>76</v>
      </c>
      <c r="M10" s="24" t="s">
        <v>77</v>
      </c>
      <c r="N10" s="21" t="s">
        <v>33</v>
      </c>
      <c r="O10" s="22">
        <v>1</v>
      </c>
    </row>
    <row r="11" spans="1:16">
      <c r="B11" s="6" t="s">
        <v>82</v>
      </c>
      <c r="C11" s="89">
        <v>0.04</v>
      </c>
      <c r="D11"/>
      <c r="K11"/>
      <c r="L11" s="23" t="s">
        <v>52</v>
      </c>
      <c r="M11" s="24" t="s">
        <v>53</v>
      </c>
      <c r="N11" s="21" t="s">
        <v>34</v>
      </c>
      <c r="O11" s="22">
        <v>2</v>
      </c>
    </row>
    <row r="12" spans="1:16">
      <c r="B12" s="101" t="s">
        <v>81</v>
      </c>
      <c r="C12" s="102">
        <v>365</v>
      </c>
      <c r="F12" s="4"/>
      <c r="G12" s="9"/>
      <c r="H12" s="4"/>
      <c r="L12" s="23" t="s">
        <v>45</v>
      </c>
      <c r="M12" s="24" t="s">
        <v>44</v>
      </c>
      <c r="N12" s="21" t="s">
        <v>35</v>
      </c>
      <c r="O12" s="22">
        <v>4</v>
      </c>
    </row>
    <row r="13" spans="1:16">
      <c r="B13" s="101" t="s">
        <v>85</v>
      </c>
      <c r="C13" s="102">
        <v>90</v>
      </c>
      <c r="F13" s="4"/>
      <c r="G13" s="4"/>
      <c r="L13" s="21" t="s">
        <v>17</v>
      </c>
      <c r="M13" s="22" t="s">
        <v>65</v>
      </c>
      <c r="N13" s="30" t="s">
        <v>89</v>
      </c>
      <c r="O13" s="25">
        <v>12</v>
      </c>
    </row>
    <row r="14" spans="1:16">
      <c r="B14" s="6" t="s">
        <v>24</v>
      </c>
      <c r="C14" s="89">
        <v>0.18</v>
      </c>
      <c r="D14" s="113"/>
      <c r="F14" s="4"/>
      <c r="I14" s="4"/>
      <c r="L14" s="23" t="s">
        <v>23</v>
      </c>
      <c r="M14" s="24" t="s">
        <v>27</v>
      </c>
      <c r="N14" s="106" t="s">
        <v>90</v>
      </c>
      <c r="O14" s="65">
        <f>ConvertingToCCRate(C11,N6)</f>
        <v>0.04</v>
      </c>
    </row>
    <row r="15" spans="1:16">
      <c r="B15" s="79" t="s">
        <v>37</v>
      </c>
      <c r="C15" s="114">
        <f>EEnergySwaption("p",$L$2,$C$6,$C$7,$C$8/$N$2,$C$9/$N$2,$C$10,$O$14,$C$12,$C$13,$C$14)</f>
        <v>1.2237260540180654</v>
      </c>
      <c r="D15"/>
      <c r="F15" s="4"/>
      <c r="I15" s="4"/>
      <c r="J15" s="4"/>
      <c r="K15" s="4"/>
      <c r="L15" s="23" t="s">
        <v>18</v>
      </c>
      <c r="M15" s="24" t="s">
        <v>19</v>
      </c>
      <c r="N15"/>
      <c r="O15"/>
    </row>
    <row r="16" spans="1:16">
      <c r="B16" s="82" t="s">
        <v>36</v>
      </c>
      <c r="C16" s="115">
        <f>C6*EXP(-C11*C9)*(1-1/(1+C10/C12)^C13)/C10*C12/C13</f>
        <v>34.094017985664259</v>
      </c>
      <c r="D16"/>
      <c r="F16" s="4"/>
      <c r="I16" s="4"/>
      <c r="J16" s="4"/>
      <c r="K16" s="4"/>
      <c r="L16" s="23" t="s">
        <v>78</v>
      </c>
      <c r="M16" s="24" t="s">
        <v>7</v>
      </c>
    </row>
    <row r="17" spans="1:30">
      <c r="A17" s="4"/>
      <c r="B17" s="10" t="s">
        <v>16</v>
      </c>
      <c r="C17" s="74" t="s">
        <v>29</v>
      </c>
      <c r="D17"/>
      <c r="F17" s="4"/>
      <c r="I17" s="4"/>
      <c r="J17" s="4"/>
      <c r="K17" s="4"/>
      <c r="L17" s="23" t="s">
        <v>56</v>
      </c>
      <c r="M17" s="24" t="s">
        <v>57</v>
      </c>
    </row>
    <row r="18" spans="1:30">
      <c r="A18" s="4"/>
      <c r="B18" s="79" t="s">
        <v>59</v>
      </c>
      <c r="C18" s="84" t="str">
        <f>IF($P$4=1,$M$2*EEnergySwaption("d",$L$2,$C$6,$C$7,$C$8/$N$2,$C$9/$N$2,$C$10,$O$14,$C$12,$C$13,$C$14),"")</f>
        <v/>
      </c>
      <c r="D18"/>
      <c r="F18" s="4"/>
      <c r="I18" s="4"/>
      <c r="J18" s="4"/>
      <c r="K18" s="4"/>
      <c r="L18" s="23" t="s">
        <v>62</v>
      </c>
      <c r="M18" s="24" t="s">
        <v>30</v>
      </c>
    </row>
    <row r="19" spans="1:30">
      <c r="A19" s="4"/>
      <c r="B19" s="80" t="s">
        <v>60</v>
      </c>
      <c r="C19" s="85" t="str">
        <f>IF($P$4=1,$M$2*EEnergySwaption("e",$L$2,$C$6,$C$7,$C$8/$N$2,$C$9/$N$2,$C$10,$O$14,$C$12,$C$13,$C$14),"")</f>
        <v/>
      </c>
      <c r="D19"/>
      <c r="F19" s="4"/>
      <c r="I19" s="4"/>
      <c r="J19" s="4"/>
      <c r="K19" s="4"/>
      <c r="L19" s="23" t="s">
        <v>1</v>
      </c>
      <c r="M19" s="24" t="s">
        <v>2</v>
      </c>
      <c r="N19" s="4"/>
      <c r="O19" s="4"/>
    </row>
    <row r="20" spans="1:30">
      <c r="A20" s="4"/>
      <c r="B20" s="80" t="s">
        <v>61</v>
      </c>
      <c r="C20" s="85" t="str">
        <f>IF($P$4=1,$M$2*EEnergySwaption("g",$L$2,$C$6,$C$7,$C$8/$N$2,$C$9/$N$2,$C$10,$O$14,$C$12,$C$13,$C$14),"")</f>
        <v/>
      </c>
      <c r="D20"/>
      <c r="F20" s="4"/>
      <c r="I20" s="4"/>
      <c r="J20" s="4"/>
      <c r="K20" s="4"/>
      <c r="L20" s="30" t="s">
        <v>55</v>
      </c>
      <c r="M20" s="31" t="s">
        <v>58</v>
      </c>
    </row>
    <row r="21" spans="1:30">
      <c r="A21" s="4"/>
      <c r="B21" s="80" t="s">
        <v>51</v>
      </c>
      <c r="C21" s="85" t="str">
        <f>IF($P$4=1,$M$2*EEnergySwaption("gv",$L$2,$C$6,$C$7,$C$8/$N$2,$C$9/$N$2,$C$10,$O$14,$C$12,$C$13,$C$14),"")</f>
        <v/>
      </c>
      <c r="D21"/>
      <c r="F21" s="4"/>
      <c r="I21" s="4"/>
      <c r="J21" s="4"/>
      <c r="K21" s="4"/>
    </row>
    <row r="22" spans="1:30">
      <c r="A22" s="4"/>
      <c r="B22" s="80" t="s">
        <v>43</v>
      </c>
      <c r="C22" s="85" t="str">
        <f>IF($P$4=1,$M$2*EEnergySwaption("gp",$L$2,$C$6,$C$7,$C$8/$N$2,$C$9/$N$2,$C$10,$O$14,$C$12,$C$13,$C$14),"")</f>
        <v/>
      </c>
      <c r="D22"/>
      <c r="F22" s="4"/>
      <c r="G22" s="4"/>
      <c r="H22" s="4"/>
      <c r="I22" s="4"/>
      <c r="J22" s="4"/>
      <c r="K22" s="4"/>
    </row>
    <row r="23" spans="1:30">
      <c r="A23" s="4"/>
      <c r="B23" s="80" t="s">
        <v>17</v>
      </c>
      <c r="C23" s="85" t="str">
        <f>IF($P$4=1,$M$2*EEnergySwaption("v",$L$2,$C$6,$C$7,$C$8/$N$2,$C$9/$N$2,$C$10,$O$14,$C$12,$C$13,$C$14),"")</f>
        <v/>
      </c>
      <c r="D23"/>
      <c r="H23" s="4"/>
      <c r="I23" s="4"/>
      <c r="J23" s="4"/>
      <c r="K23" s="4"/>
    </row>
    <row r="24" spans="1:30">
      <c r="A24" s="4"/>
      <c r="B24" s="80" t="s">
        <v>23</v>
      </c>
      <c r="C24" s="85" t="str">
        <f>IF($P$4=1,$M$2*EEnergySwaption("dvdv",$L$2,$C$6,$C$7,$C$8/$N$2,$C$9/$N$2,$C$10,$O$14,$C$12,$C$13,$C$14),"")</f>
        <v/>
      </c>
      <c r="D24"/>
    </row>
    <row r="25" spans="1:30" ht="13.5" thickBot="1">
      <c r="A25" s="4"/>
      <c r="B25" s="80" t="s">
        <v>26</v>
      </c>
      <c r="C25" s="85" t="str">
        <f>IF($P$4=1,$M$2*EEnergySwaption("vp",$L$2,$C$6,$C$7,$C$8/$N$2,$C$9/$N$2,$C$10,$O$14,$C$12,$C$13,$C$14),"")</f>
        <v/>
      </c>
      <c r="D25"/>
      <c r="L25" s="13" t="s">
        <v>25</v>
      </c>
    </row>
    <row r="26" spans="1:30">
      <c r="B26" s="81" t="s">
        <v>50</v>
      </c>
      <c r="C26" s="85" t="str">
        <f>IF($P$4=1,$M$2*EEnergySwaption("t",$L$2,$C$6,$C$7,$C$8/$N$2,$C$9/$N$2,$C$10,$O$14,$C$12,$C$13,$C$14),"")</f>
        <v/>
      </c>
      <c r="D26"/>
      <c r="L26" s="14"/>
      <c r="M26" s="18" t="s">
        <v>93</v>
      </c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6"/>
      <c r="AD26" s="17"/>
    </row>
    <row r="27" spans="1:30">
      <c r="B27" s="81" t="s">
        <v>42</v>
      </c>
      <c r="C27" s="85" t="str">
        <f>IF($P$4=1,$M$2*EEnergySwaption("fr",$L$2,$C$6,$C$7,$C$8/$N$2,$C$9/$N$2,$C$10,$O$14,$C$12,$C$13,$C$14),"")</f>
        <v/>
      </c>
      <c r="D27"/>
      <c r="L27" s="19" t="s">
        <v>70</v>
      </c>
      <c r="M27" s="54">
        <f>I7</f>
        <v>20</v>
      </c>
      <c r="N27" s="54">
        <f t="shared" ref="N27:AD27" si="0">M27+($I$8-$I$7)/17</f>
        <v>29.411764705882355</v>
      </c>
      <c r="O27" s="54">
        <f t="shared" si="0"/>
        <v>38.82352941176471</v>
      </c>
      <c r="P27" s="54">
        <f t="shared" si="0"/>
        <v>48.235294117647065</v>
      </c>
      <c r="Q27" s="54">
        <f t="shared" si="0"/>
        <v>57.64705882352942</v>
      </c>
      <c r="R27" s="54">
        <f t="shared" si="0"/>
        <v>67.058823529411768</v>
      </c>
      <c r="S27" s="54">
        <f t="shared" si="0"/>
        <v>76.470588235294116</v>
      </c>
      <c r="T27" s="54">
        <f t="shared" si="0"/>
        <v>85.882352941176464</v>
      </c>
      <c r="U27" s="54">
        <f t="shared" si="0"/>
        <v>95.294117647058812</v>
      </c>
      <c r="V27" s="54">
        <f t="shared" si="0"/>
        <v>104.70588235294116</v>
      </c>
      <c r="W27" s="54">
        <f t="shared" si="0"/>
        <v>114.11764705882351</v>
      </c>
      <c r="X27" s="54">
        <f t="shared" si="0"/>
        <v>123.52941176470586</v>
      </c>
      <c r="Y27" s="54">
        <f t="shared" si="0"/>
        <v>132.9411764705882</v>
      </c>
      <c r="Z27" s="54">
        <f t="shared" si="0"/>
        <v>142.35294117647055</v>
      </c>
      <c r="AA27" s="54">
        <f t="shared" si="0"/>
        <v>151.7647058823529</v>
      </c>
      <c r="AB27" s="54">
        <f t="shared" si="0"/>
        <v>161.17647058823525</v>
      </c>
      <c r="AC27" s="54">
        <f t="shared" si="0"/>
        <v>170.5882352941176</v>
      </c>
      <c r="AD27" s="55">
        <f t="shared" si="0"/>
        <v>179.99999999999994</v>
      </c>
    </row>
    <row r="28" spans="1:30">
      <c r="B28" s="81" t="s">
        <v>56</v>
      </c>
      <c r="C28" s="85" t="str">
        <f>IF($P$4=1,$M$2*EEnergySwaption("dddv",$L$2,$C$6,$C$7,$C$8/$N$2,$C$9/$N$2,$C$10,$O$14,$C$12,$C$13,$C$14),"")</f>
        <v/>
      </c>
      <c r="D28"/>
      <c r="L28" s="56">
        <f>G8</f>
        <v>52.5</v>
      </c>
      <c r="M28" s="92">
        <f t="shared" ref="M28:M44" si="1">IF($P$6=1,$M$2*EEnergySwaption($M$6,$L$2,$L28,$C$7,M$27/$O$2,$M$27/$O$2+($C$9-$C$8)/$N$2,$C$10,$O$14,$C$12,$C$13,$C$14),"")</f>
        <v>1.0658141036401501E-8</v>
      </c>
      <c r="N28" s="94">
        <f t="shared" ref="N28:AC43" si="2">IF($P$6=1,$M$2*EEnergySwaption($M$6,$L$2,$L28,$C$7,N$27/$O$2,$M$27/$O$2+($C$9-$C$8)/$N$2,$C$10,$O$14,$C$12,$C$13,$C$14),"")</f>
        <v>1.0658141036401501E-8</v>
      </c>
      <c r="O28" s="94">
        <f t="shared" si="2"/>
        <v>-7.105427357601001E-9</v>
      </c>
      <c r="P28" s="94">
        <f t="shared" si="2"/>
        <v>7.105427357601001E-9</v>
      </c>
      <c r="Q28" s="94">
        <f t="shared" si="2"/>
        <v>-1.0658141036401501E-8</v>
      </c>
      <c r="R28" s="94">
        <f t="shared" si="2"/>
        <v>-9.9475983006414013E-8</v>
      </c>
      <c r="S28" s="94">
        <f t="shared" si="2"/>
        <v>-4.6185277824406507E-7</v>
      </c>
      <c r="T28" s="94">
        <f t="shared" si="2"/>
        <v>-1.4956924587750107E-6</v>
      </c>
      <c r="U28" s="94">
        <f t="shared" si="2"/>
        <v>-3.7374547900981266E-6</v>
      </c>
      <c r="V28" s="94">
        <f t="shared" si="2"/>
        <v>-7.7911010976094968E-6</v>
      </c>
      <c r="W28" s="94">
        <f t="shared" si="2"/>
        <v>-1.4239276424632406E-5</v>
      </c>
      <c r="X28" s="94">
        <f t="shared" si="2"/>
        <v>-2.3550938976768517E-5</v>
      </c>
      <c r="Y28" s="94">
        <f t="shared" si="2"/>
        <v>-3.5974778711533866E-5</v>
      </c>
      <c r="Z28" s="94">
        <f t="shared" si="2"/>
        <v>-5.160671889825607E-5</v>
      </c>
      <c r="AA28" s="94">
        <f t="shared" si="2"/>
        <v>-7.0372152549680309E-5</v>
      </c>
      <c r="AB28" s="94">
        <f t="shared" si="2"/>
        <v>-9.2100549409224173E-5</v>
      </c>
      <c r="AC28" s="94">
        <f t="shared" si="2"/>
        <v>-1.1649348152786841E-4</v>
      </c>
      <c r="AD28" s="95">
        <f t="shared" ref="AD28:AD48" si="3">IF($P$6=1,$M$2*EEnergySwaption($M$6,$L$2,$L28,$C$7,AD$27/$O$2,$M$27/$O$2+($C$9-$C$8)/$N$2,$C$10,$O$14,$C$12,$C$13,$C$14),"")</f>
        <v>-1.4318857211037536E-4</v>
      </c>
    </row>
    <row r="29" spans="1:30">
      <c r="B29" s="81" t="s">
        <v>62</v>
      </c>
      <c r="C29" s="85" t="str">
        <f>IF($P$4=1,$M$2*EEnergySwaption("s",$L$2,$C$6,$C$7,$C$8/$N$2,$C$9/$N$2,$C$10,$O$14,$C$12,$C$13,$C$14),"")</f>
        <v/>
      </c>
      <c r="D29"/>
      <c r="L29" s="57">
        <f t="shared" ref="L29:L48" si="4">L28-($G$8-$G$7)/20</f>
        <v>50.75</v>
      </c>
      <c r="M29" s="96">
        <f t="shared" si="1"/>
        <v>1.0658141036401501E-8</v>
      </c>
      <c r="N29" s="93">
        <f t="shared" si="2"/>
        <v>2.3092638912203253E-8</v>
      </c>
      <c r="O29" s="93">
        <f t="shared" si="2"/>
        <v>7.105427357601001E-9</v>
      </c>
      <c r="P29" s="93">
        <f t="shared" si="2"/>
        <v>-1.5987211554602251E-8</v>
      </c>
      <c r="Q29" s="93">
        <f t="shared" si="2"/>
        <v>-1.5631940186722201E-7</v>
      </c>
      <c r="R29" s="93">
        <f t="shared" si="2"/>
        <v>-9.4857455223973364E-7</v>
      </c>
      <c r="S29" s="93">
        <f t="shared" si="2"/>
        <v>-3.2756020118540614E-6</v>
      </c>
      <c r="T29" s="93">
        <f t="shared" si="2"/>
        <v>-8.4181550619177853E-6</v>
      </c>
      <c r="U29" s="93">
        <f t="shared" si="2"/>
        <v>-1.7720935829856895E-5</v>
      </c>
      <c r="V29" s="93">
        <f t="shared" si="2"/>
        <v>-3.2152058793144527E-5</v>
      </c>
      <c r="W29" s="93">
        <f t="shared" si="2"/>
        <v>-5.2324367061373771E-5</v>
      </c>
      <c r="X29" s="93">
        <f t="shared" si="2"/>
        <v>-7.8346218401748033E-5</v>
      </c>
      <c r="Y29" s="93">
        <f t="shared" si="2"/>
        <v>-1.0996537014307249E-4</v>
      </c>
      <c r="Z29" s="93">
        <f t="shared" si="2"/>
        <v>-1.4658851910098744E-4</v>
      </c>
      <c r="AA29" s="93">
        <f t="shared" si="2"/>
        <v>-1.8749979346921461E-4</v>
      </c>
      <c r="AB29" s="93">
        <f t="shared" si="2"/>
        <v>-2.3183055475328726E-4</v>
      </c>
      <c r="AC29" s="93">
        <f t="shared" si="2"/>
        <v>-2.7873703345449025E-4</v>
      </c>
      <c r="AD29" s="97">
        <f t="shared" si="3"/>
        <v>-3.2741986899509351E-4</v>
      </c>
    </row>
    <row r="30" spans="1:30">
      <c r="B30" s="81" t="s">
        <v>0</v>
      </c>
      <c r="C30" s="85" t="str">
        <f>IF($P$4=1,$M$2*EEnergySwaption("dx",$L$2,$C$6,$C$7,$C$8/$N$2,$C$9/$N$2,$C$10,$O$14,$C$12,$C$13,$C$14),"")</f>
        <v/>
      </c>
      <c r="D30"/>
      <c r="L30" s="57">
        <f t="shared" si="4"/>
        <v>49</v>
      </c>
      <c r="M30" s="96">
        <f t="shared" si="1"/>
        <v>5.3290705182007506E-9</v>
      </c>
      <c r="N30" s="93">
        <f t="shared" si="2"/>
        <v>1.9539925233402752E-8</v>
      </c>
      <c r="O30" s="93">
        <f t="shared" si="2"/>
        <v>1.7763568394002503E-9</v>
      </c>
      <c r="P30" s="93">
        <f t="shared" si="2"/>
        <v>-3.0908609005564353E-7</v>
      </c>
      <c r="Q30" s="93">
        <f t="shared" si="2"/>
        <v>-2.0143886558798836E-6</v>
      </c>
      <c r="R30" s="93">
        <f t="shared" si="2"/>
        <v>-7.6241235547058741E-6</v>
      </c>
      <c r="S30" s="93">
        <f t="shared" si="2"/>
        <v>-2.0303758674344859E-5</v>
      </c>
      <c r="T30" s="93">
        <f t="shared" si="2"/>
        <v>-4.2716052917057816E-5</v>
      </c>
      <c r="U30" s="93">
        <f t="shared" si="2"/>
        <v>-7.6381567737371356E-5</v>
      </c>
      <c r="V30" s="93">
        <f t="shared" si="2"/>
        <v>-1.2149925510129832E-4</v>
      </c>
      <c r="W30" s="93">
        <f t="shared" si="2"/>
        <v>-1.7713119859763535E-4</v>
      </c>
      <c r="X30" s="93">
        <f t="shared" si="2"/>
        <v>-2.4162716272257964E-4</v>
      </c>
      <c r="Y30" s="93">
        <f t="shared" si="2"/>
        <v>-3.1307934023061529E-4</v>
      </c>
      <c r="Z30" s="93">
        <f t="shared" si="2"/>
        <v>-3.8940939361964405E-4</v>
      </c>
      <c r="AA30" s="93">
        <f t="shared" si="2"/>
        <v>-4.6872017378518643E-4</v>
      </c>
      <c r="AB30" s="93">
        <f t="shared" si="2"/>
        <v>-5.4930637816141814E-4</v>
      </c>
      <c r="AC30" s="93">
        <f t="shared" si="2"/>
        <v>-6.2976468484521309E-4</v>
      </c>
      <c r="AD30" s="97">
        <f t="shared" si="3"/>
        <v>-7.0893513282044285E-4</v>
      </c>
    </row>
    <row r="31" spans="1:30">
      <c r="B31" s="82" t="s">
        <v>54</v>
      </c>
      <c r="C31" s="86" t="str">
        <f>IF($P$4=1,$M$2*EEnergySwaption("dxdx",$L$2,$C$6,$C$7,$C$8/$N$2,$C$9/$N$2,$C$10,$O$14,$C$12,$C$13,$C$14),"")</f>
        <v/>
      </c>
      <c r="D31"/>
      <c r="K31" s="3"/>
      <c r="L31" s="57">
        <f t="shared" si="4"/>
        <v>47.25</v>
      </c>
      <c r="M31" s="96">
        <f t="shared" si="1"/>
        <v>-1.7763568394002503E-9</v>
      </c>
      <c r="N31" s="93">
        <f t="shared" si="2"/>
        <v>-8.8817841970012507E-9</v>
      </c>
      <c r="O31" s="93">
        <f t="shared" si="2"/>
        <v>-4.7428727611986682E-7</v>
      </c>
      <c r="P31" s="93">
        <f t="shared" si="2"/>
        <v>-4.4355630279824246E-6</v>
      </c>
      <c r="Q31" s="93">
        <f t="shared" si="2"/>
        <v>-1.9008794538422077E-5</v>
      </c>
      <c r="R31" s="93">
        <f t="shared" si="2"/>
        <v>-5.2347459700285974E-5</v>
      </c>
      <c r="S31" s="93">
        <f t="shared" si="2"/>
        <v>-1.0954082085845583E-4</v>
      </c>
      <c r="T31" s="93">
        <f t="shared" si="2"/>
        <v>-1.9128520989397654E-4</v>
      </c>
      <c r="U31" s="93">
        <f t="shared" si="2"/>
        <v>-2.9457147832090408E-4</v>
      </c>
      <c r="V31" s="93">
        <f t="shared" si="2"/>
        <v>-4.1447911769409979E-4</v>
      </c>
      <c r="W31" s="93">
        <f t="shared" si="2"/>
        <v>-5.454605656041166E-4</v>
      </c>
      <c r="X31" s="93">
        <f t="shared" si="2"/>
        <v>-6.823572817893363E-4</v>
      </c>
      <c r="Y31" s="93">
        <f t="shared" si="2"/>
        <v>-8.2073547957861581E-4</v>
      </c>
      <c r="Z31" s="93">
        <f t="shared" si="2"/>
        <v>-9.5709751235517604E-4</v>
      </c>
      <c r="AA31" s="93">
        <f t="shared" si="2"/>
        <v>-1.0888090429261863E-3</v>
      </c>
      <c r="AB31" s="93">
        <f t="shared" si="2"/>
        <v>-1.2140528582449404E-3</v>
      </c>
      <c r="AC31" s="93">
        <f t="shared" si="2"/>
        <v>-1.3315997193785731E-3</v>
      </c>
      <c r="AD31" s="97">
        <f t="shared" si="3"/>
        <v>-1.4408136905785793E-3</v>
      </c>
    </row>
    <row r="32" spans="1:30">
      <c r="L32" s="57">
        <f t="shared" si="4"/>
        <v>45.5</v>
      </c>
      <c r="M32" s="96">
        <f t="shared" si="1"/>
        <v>1.2434497875801752E-8</v>
      </c>
      <c r="N32" s="93">
        <f t="shared" si="2"/>
        <v>-6.1639582327188681E-7</v>
      </c>
      <c r="O32" s="93">
        <f t="shared" si="2"/>
        <v>-9.9902308647870069E-6</v>
      </c>
      <c r="P32" s="93">
        <f t="shared" si="2"/>
        <v>-5.1024073854932788E-5</v>
      </c>
      <c r="Q32" s="93">
        <f t="shared" si="2"/>
        <v>-1.4591705621569415E-4</v>
      </c>
      <c r="R32" s="93">
        <f t="shared" si="2"/>
        <v>-3.0052227373289492E-4</v>
      </c>
      <c r="S32" s="93">
        <f t="shared" si="2"/>
        <v>-5.0532555917470734E-4</v>
      </c>
      <c r="T32" s="93">
        <f t="shared" si="2"/>
        <v>-7.4375883230004536E-4</v>
      </c>
      <c r="U32" s="93">
        <f t="shared" si="2"/>
        <v>-9.987033422476086E-4</v>
      </c>
      <c r="V32" s="93">
        <f t="shared" si="2"/>
        <v>-1.2559375761611589E-3</v>
      </c>
      <c r="W32" s="93">
        <f t="shared" si="2"/>
        <v>-1.5051053736669926E-3</v>
      </c>
      <c r="X32" s="93">
        <f t="shared" si="2"/>
        <v>-1.7392736140209306E-3</v>
      </c>
      <c r="Y32" s="93">
        <f t="shared" si="2"/>
        <v>-1.9544366125501251E-3</v>
      </c>
      <c r="Z32" s="93">
        <f t="shared" si="2"/>
        <v>-2.1486687984406667E-3</v>
      </c>
      <c r="AA32" s="93">
        <f t="shared" si="2"/>
        <v>-2.3214834499185595E-3</v>
      </c>
      <c r="AB32" s="93">
        <f t="shared" si="2"/>
        <v>-2.4733708414714779E-3</v>
      </c>
      <c r="AC32" s="93">
        <f t="shared" si="2"/>
        <v>-2.6054038926304197E-3</v>
      </c>
      <c r="AD32" s="97">
        <f t="shared" si="3"/>
        <v>-2.7189805962279929E-3</v>
      </c>
    </row>
    <row r="33" spans="2:30">
      <c r="L33" s="57">
        <f t="shared" si="4"/>
        <v>43.75</v>
      </c>
      <c r="M33" s="96">
        <f t="shared" si="1"/>
        <v>-4.3698378249246156E-7</v>
      </c>
      <c r="N33" s="93">
        <f t="shared" si="2"/>
        <v>-2.2254198484006334E-5</v>
      </c>
      <c r="O33" s="93">
        <f t="shared" si="2"/>
        <v>-1.4935963577045183E-4</v>
      </c>
      <c r="P33" s="93">
        <f t="shared" si="2"/>
        <v>-4.4462922232924024E-4</v>
      </c>
      <c r="Q33" s="93">
        <f t="shared" si="2"/>
        <v>-8.8492768668402267E-4</v>
      </c>
      <c r="R33" s="93">
        <f t="shared" si="2"/>
        <v>-1.4046115381916022E-3</v>
      </c>
      <c r="S33" s="93">
        <f t="shared" si="2"/>
        <v>-1.9412293994491845E-3</v>
      </c>
      <c r="T33" s="93">
        <f t="shared" si="2"/>
        <v>-2.4517685659475315E-3</v>
      </c>
      <c r="U33" s="93">
        <f t="shared" si="2"/>
        <v>-2.9122357858568644E-3</v>
      </c>
      <c r="V33" s="93">
        <f t="shared" si="2"/>
        <v>-3.3123619402886102E-3</v>
      </c>
      <c r="W33" s="93">
        <f t="shared" si="2"/>
        <v>-3.6504825828842509E-3</v>
      </c>
      <c r="X33" s="93">
        <f t="shared" si="2"/>
        <v>-3.9297258780379698E-3</v>
      </c>
      <c r="Y33" s="93">
        <f t="shared" si="2"/>
        <v>-4.1555452412467267E-3</v>
      </c>
      <c r="Z33" s="93">
        <f t="shared" si="2"/>
        <v>-4.3342573974314283E-3</v>
      </c>
      <c r="AA33" s="93">
        <f t="shared" si="2"/>
        <v>-4.4722110459360911E-3</v>
      </c>
      <c r="AB33" s="93">
        <f t="shared" si="2"/>
        <v>-4.5753640876000637E-3</v>
      </c>
      <c r="AC33" s="93">
        <f t="shared" si="2"/>
        <v>-4.6490757910078164E-3</v>
      </c>
      <c r="AD33" s="97">
        <f t="shared" si="3"/>
        <v>-4.6980410672858844E-3</v>
      </c>
    </row>
    <row r="34" spans="2:30">
      <c r="L34" s="57">
        <f t="shared" si="4"/>
        <v>42</v>
      </c>
      <c r="M34" s="96">
        <f t="shared" si="1"/>
        <v>-4.2559733515190594E-5</v>
      </c>
      <c r="N34" s="93">
        <f t="shared" si="2"/>
        <v>-4.8235904159810156E-4</v>
      </c>
      <c r="O34" s="93">
        <f t="shared" si="2"/>
        <v>-1.5013847942668688E-3</v>
      </c>
      <c r="P34" s="93">
        <f t="shared" si="2"/>
        <v>-2.7999753626772868E-3</v>
      </c>
      <c r="Q34" s="93">
        <f t="shared" si="2"/>
        <v>-4.0687426761110137E-3</v>
      </c>
      <c r="R34" s="93">
        <f t="shared" si="2"/>
        <v>-5.1521054089675991E-3</v>
      </c>
      <c r="S34" s="93">
        <f t="shared" si="2"/>
        <v>-6.0069780261073893E-3</v>
      </c>
      <c r="T34" s="93">
        <f t="shared" si="2"/>
        <v>-6.6450436264631199E-3</v>
      </c>
      <c r="U34" s="93">
        <f t="shared" si="2"/>
        <v>-7.0981212019205478E-3</v>
      </c>
      <c r="V34" s="93">
        <f t="shared" si="2"/>
        <v>-7.4015700235463546E-3</v>
      </c>
      <c r="W34" s="93">
        <f t="shared" si="2"/>
        <v>-7.5875670191294367E-3</v>
      </c>
      <c r="X34" s="93">
        <f t="shared" si="2"/>
        <v>-7.6831296880186519E-3</v>
      </c>
      <c r="Y34" s="93">
        <f t="shared" si="2"/>
        <v>-7.7099384654388805E-3</v>
      </c>
      <c r="Z34" s="93">
        <f t="shared" si="2"/>
        <v>-7.6851023322888059E-3</v>
      </c>
      <c r="AA34" s="93">
        <f t="shared" si="2"/>
        <v>-7.6219208722250178E-3</v>
      </c>
      <c r="AB34" s="93">
        <f t="shared" si="2"/>
        <v>-7.5305823798998963E-3</v>
      </c>
      <c r="AC34" s="93">
        <f t="shared" si="2"/>
        <v>-7.418984537821415E-3</v>
      </c>
      <c r="AD34" s="97">
        <f t="shared" si="3"/>
        <v>-7.2931625183514362E-3</v>
      </c>
    </row>
    <row r="35" spans="2:30">
      <c r="B35"/>
      <c r="L35" s="57">
        <f t="shared" si="4"/>
        <v>40.25</v>
      </c>
      <c r="M35" s="96">
        <f t="shared" si="1"/>
        <v>-1.7354917503098475E-3</v>
      </c>
      <c r="N35" s="93">
        <f t="shared" si="2"/>
        <v>-5.7257292240819871E-3</v>
      </c>
      <c r="O35" s="93">
        <f t="shared" si="2"/>
        <v>-9.4458956212406502E-3</v>
      </c>
      <c r="P35" s="93">
        <f t="shared" si="2"/>
        <v>-1.1970425539686856E-2</v>
      </c>
      <c r="Q35" s="93">
        <f t="shared" si="2"/>
        <v>-1.3417555067007923E-2</v>
      </c>
      <c r="R35" s="93">
        <f t="shared" si="2"/>
        <v>-1.4103473944260257E-2</v>
      </c>
      <c r="S35" s="93">
        <f t="shared" si="2"/>
        <v>-1.4296217543119381E-2</v>
      </c>
      <c r="T35" s="93">
        <f t="shared" si="2"/>
        <v>-1.4183160423897332E-2</v>
      </c>
      <c r="U35" s="93">
        <f t="shared" si="2"/>
        <v>-1.3887226479880608E-2</v>
      </c>
      <c r="V35" s="93">
        <f t="shared" si="2"/>
        <v>-1.3487066574668914E-2</v>
      </c>
      <c r="W35" s="93">
        <f t="shared" si="2"/>
        <v>-1.3032529722067919E-2</v>
      </c>
      <c r="X35" s="93">
        <f t="shared" si="2"/>
        <v>-1.2554854045276896E-2</v>
      </c>
      <c r="Y35" s="93">
        <f t="shared" si="2"/>
        <v>-1.2073516408861449E-2</v>
      </c>
      <c r="Z35" s="93">
        <f t="shared" si="2"/>
        <v>-1.1600456595317608E-2</v>
      </c>
      <c r="AA35" s="93">
        <f t="shared" si="2"/>
        <v>-1.1142693878696262E-2</v>
      </c>
      <c r="AB35" s="93">
        <f t="shared" si="2"/>
        <v>-1.0704177100251398E-2</v>
      </c>
      <c r="AC35" s="93">
        <f t="shared" si="2"/>
        <v>-1.0286863805220035E-2</v>
      </c>
      <c r="AD35" s="97">
        <f t="shared" si="3"/>
        <v>-9.8914307855579846E-3</v>
      </c>
    </row>
    <row r="36" spans="2:30">
      <c r="B36"/>
      <c r="D36" s="11"/>
      <c r="L36" s="57">
        <f t="shared" si="4"/>
        <v>38.5</v>
      </c>
      <c r="M36" s="96">
        <f t="shared" si="1"/>
        <v>-2.5392000946311551E-2</v>
      </c>
      <c r="N36" s="93">
        <f t="shared" si="2"/>
        <v>-3.2767510926845482E-2</v>
      </c>
      <c r="O36" s="93">
        <f t="shared" si="2"/>
        <v>-3.3391889697753634E-2</v>
      </c>
      <c r="P36" s="93">
        <f t="shared" si="2"/>
        <v>-3.1590392524094561E-2</v>
      </c>
      <c r="Q36" s="93">
        <f t="shared" si="2"/>
        <v>-2.9115376332100592E-2</v>
      </c>
      <c r="R36" s="93">
        <f t="shared" si="2"/>
        <v>-2.661064968378923E-2</v>
      </c>
      <c r="S36" s="93">
        <f t="shared" si="2"/>
        <v>-2.4295850664657333E-2</v>
      </c>
      <c r="T36" s="93">
        <f t="shared" si="2"/>
        <v>-2.222942052654275E-2</v>
      </c>
      <c r="U36" s="93">
        <f t="shared" si="2"/>
        <v>-2.0409252066144742E-2</v>
      </c>
      <c r="V36" s="93">
        <f t="shared" si="2"/>
        <v>-1.8812518653987805E-2</v>
      </c>
      <c r="W36" s="93">
        <f t="shared" si="2"/>
        <v>-1.7411162733793614E-2</v>
      </c>
      <c r="X36" s="93">
        <f t="shared" si="2"/>
        <v>-1.6178002493205664E-2</v>
      </c>
      <c r="Y36" s="93">
        <f t="shared" si="2"/>
        <v>-1.5088737370660963E-2</v>
      </c>
      <c r="Z36" s="93">
        <f t="shared" si="2"/>
        <v>-1.4122552460804625E-2</v>
      </c>
      <c r="AA36" s="93">
        <f t="shared" si="2"/>
        <v>-1.3261731712788103E-2</v>
      </c>
      <c r="AB36" s="93">
        <f t="shared" si="2"/>
        <v>-1.2491466083730527E-2</v>
      </c>
      <c r="AC36" s="93">
        <f t="shared" si="2"/>
        <v>-1.1799254018285408E-2</v>
      </c>
      <c r="AD36" s="97">
        <f t="shared" si="3"/>
        <v>-1.1174698499871736E-2</v>
      </c>
    </row>
    <row r="37" spans="2:30">
      <c r="B37"/>
      <c r="C37"/>
      <c r="D37" s="11"/>
      <c r="L37" s="57">
        <f t="shared" si="4"/>
        <v>36.75</v>
      </c>
      <c r="M37" s="96">
        <f t="shared" si="1"/>
        <v>-9.9403341780046603E-2</v>
      </c>
      <c r="N37" s="93">
        <f t="shared" si="2"/>
        <v>-7.0832967713485559E-2</v>
      </c>
      <c r="O37" s="93">
        <f t="shared" si="2"/>
        <v>-5.3428711899172747E-2</v>
      </c>
      <c r="P37" s="93">
        <f t="shared" si="2"/>
        <v>-4.2237805697453716E-2</v>
      </c>
      <c r="Q37" s="93">
        <f t="shared" si="2"/>
        <v>-3.4600462051059815E-2</v>
      </c>
      <c r="R37" s="93">
        <f t="shared" si="2"/>
        <v>-2.9126358658260184E-2</v>
      </c>
      <c r="S37" s="93">
        <f t="shared" si="2"/>
        <v>-2.5045930218681175E-2</v>
      </c>
      <c r="T37" s="93">
        <f t="shared" si="2"/>
        <v>-2.1906883418409958E-2</v>
      </c>
      <c r="U37" s="93">
        <f t="shared" si="2"/>
        <v>-1.942900995643981E-2</v>
      </c>
      <c r="V37" s="93">
        <f t="shared" si="2"/>
        <v>-1.7430759502445877E-2</v>
      </c>
      <c r="W37" s="93">
        <f t="shared" si="2"/>
        <v>-1.5790032392715144E-2</v>
      </c>
      <c r="X37" s="93">
        <f t="shared" si="2"/>
        <v>-1.4422035565786471E-2</v>
      </c>
      <c r="Y37" s="93">
        <f t="shared" si="2"/>
        <v>-1.3266299170311411E-2</v>
      </c>
      <c r="Z37" s="93">
        <f t="shared" si="2"/>
        <v>-1.2278605243665195E-2</v>
      </c>
      <c r="AA37" s="93">
        <f t="shared" si="2"/>
        <v>-1.1425961510269643E-2</v>
      </c>
      <c r="AB37" s="93">
        <f t="shared" si="2"/>
        <v>-1.0683341322703653E-2</v>
      </c>
      <c r="AC37" s="93">
        <f t="shared" si="2"/>
        <v>-1.0031329544801791E-2</v>
      </c>
      <c r="AD37" s="97">
        <f t="shared" si="3"/>
        <v>-9.4548542328709555E-3</v>
      </c>
    </row>
    <row r="38" spans="2:30">
      <c r="B38"/>
      <c r="C38"/>
      <c r="L38" s="57">
        <f t="shared" si="4"/>
        <v>35</v>
      </c>
      <c r="M38" s="96">
        <f t="shared" si="1"/>
        <v>-1.1985378800538625E-2</v>
      </c>
      <c r="N38" s="93">
        <f t="shared" si="2"/>
        <v>-9.721472404855545E-3</v>
      </c>
      <c r="O38" s="93">
        <f t="shared" si="2"/>
        <v>-8.3884396095967855E-3</v>
      </c>
      <c r="P38" s="93">
        <f t="shared" si="2"/>
        <v>-7.4854404896740325E-3</v>
      </c>
      <c r="Q38" s="93">
        <f t="shared" si="2"/>
        <v>-6.8221455151729051E-3</v>
      </c>
      <c r="R38" s="93">
        <f t="shared" si="2"/>
        <v>-6.3084288903780808E-3</v>
      </c>
      <c r="S38" s="93">
        <f t="shared" si="2"/>
        <v>-5.8954519044362988E-3</v>
      </c>
      <c r="T38" s="93">
        <f t="shared" si="2"/>
        <v>-5.5540081422833501E-3</v>
      </c>
      <c r="U38" s="93">
        <f t="shared" si="2"/>
        <v>-5.2656525806327173E-3</v>
      </c>
      <c r="V38" s="93">
        <f t="shared" si="2"/>
        <v>-5.0178698973724059E-3</v>
      </c>
      <c r="W38" s="93">
        <f t="shared" si="2"/>
        <v>-4.8019763720930078E-3</v>
      </c>
      <c r="X38" s="93">
        <f t="shared" si="2"/>
        <v>-4.61165727827506E-3</v>
      </c>
      <c r="Y38" s="93">
        <f t="shared" si="2"/>
        <v>-4.4422479028582975E-3</v>
      </c>
      <c r="Z38" s="93">
        <f t="shared" si="2"/>
        <v>-4.2901568964026629E-3</v>
      </c>
      <c r="AA38" s="93">
        <f t="shared" si="2"/>
        <v>-4.1526542204906028E-3</v>
      </c>
      <c r="AB38" s="93">
        <f t="shared" si="2"/>
        <v>-4.0275118795562994E-3</v>
      </c>
      <c r="AC38" s="93">
        <f t="shared" si="2"/>
        <v>-3.9130048090640903E-3</v>
      </c>
      <c r="AD38" s="97">
        <f t="shared" si="3"/>
        <v>-3.8076779507179022E-3</v>
      </c>
    </row>
    <row r="39" spans="2:30">
      <c r="B39"/>
      <c r="C39"/>
      <c r="L39" s="57">
        <f t="shared" si="4"/>
        <v>33.25</v>
      </c>
      <c r="M39" s="96">
        <f t="shared" si="1"/>
        <v>0.11269872735031326</v>
      </c>
      <c r="N39" s="93">
        <f t="shared" si="2"/>
        <v>7.7918149321565253E-2</v>
      </c>
      <c r="O39" s="93">
        <f t="shared" si="2"/>
        <v>5.6466623876705306E-2</v>
      </c>
      <c r="P39" s="93">
        <f t="shared" si="2"/>
        <v>4.2706813141446524E-2</v>
      </c>
      <c r="Q39" s="93">
        <f t="shared" si="2"/>
        <v>3.3392372811302799E-2</v>
      </c>
      <c r="R39" s="93">
        <f t="shared" si="2"/>
        <v>2.6789035822982751E-2</v>
      </c>
      <c r="S39" s="93">
        <f t="shared" si="2"/>
        <v>2.192854048344017E-2</v>
      </c>
      <c r="T39" s="93">
        <f t="shared" si="2"/>
        <v>1.8240020382975782E-2</v>
      </c>
      <c r="U39" s="93">
        <f t="shared" si="2"/>
        <v>1.5369783112895162E-2</v>
      </c>
      <c r="V39" s="93">
        <f t="shared" si="2"/>
        <v>1.308914920894466E-2</v>
      </c>
      <c r="W39" s="93">
        <f t="shared" si="2"/>
        <v>1.1244798536758081E-2</v>
      </c>
      <c r="X39" s="93">
        <f t="shared" si="2"/>
        <v>9.7306589452728059E-3</v>
      </c>
      <c r="Y39" s="93">
        <f t="shared" si="2"/>
        <v>8.4713652759305074E-3</v>
      </c>
      <c r="Z39" s="93">
        <f t="shared" si="2"/>
        <v>7.4121128124104976E-3</v>
      </c>
      <c r="AA39" s="93">
        <f t="shared" si="2"/>
        <v>6.512268835301426E-3</v>
      </c>
      <c r="AB39" s="93">
        <f t="shared" si="2"/>
        <v>5.7410735054830289E-3</v>
      </c>
      <c r="AC39" s="93">
        <f t="shared" si="2"/>
        <v>5.0749506819158787E-3</v>
      </c>
      <c r="AD39" s="97">
        <f t="shared" si="3"/>
        <v>4.4955656974821059E-3</v>
      </c>
    </row>
    <row r="40" spans="2:30">
      <c r="B40"/>
      <c r="C40"/>
      <c r="L40" s="57">
        <f t="shared" si="4"/>
        <v>31.5</v>
      </c>
      <c r="M40" s="96">
        <f t="shared" si="1"/>
        <v>2.5245596611041945E-2</v>
      </c>
      <c r="N40" s="93">
        <f t="shared" si="2"/>
        <v>3.7908492870816761E-2</v>
      </c>
      <c r="O40" s="93">
        <f t="shared" si="2"/>
        <v>4.1264327173967656E-2</v>
      </c>
      <c r="P40" s="93">
        <f t="shared" si="2"/>
        <v>4.0245552307416325E-2</v>
      </c>
      <c r="Q40" s="93">
        <f t="shared" si="2"/>
        <v>3.7553236145737572E-2</v>
      </c>
      <c r="R40" s="93">
        <f t="shared" si="2"/>
        <v>3.4386058556101766E-2</v>
      </c>
      <c r="S40" s="93">
        <f t="shared" si="2"/>
        <v>3.1244889925341465E-2</v>
      </c>
      <c r="T40" s="93">
        <f t="shared" si="2"/>
        <v>2.8323874884383923E-2</v>
      </c>
      <c r="U40" s="93">
        <f t="shared" si="2"/>
        <v>2.5683591947656122E-2</v>
      </c>
      <c r="V40" s="93">
        <f t="shared" si="2"/>
        <v>2.3327467096878603E-2</v>
      </c>
      <c r="W40" s="93">
        <f t="shared" si="2"/>
        <v>2.1235856906276492E-2</v>
      </c>
      <c r="X40" s="93">
        <f t="shared" si="2"/>
        <v>1.9381392324380183E-2</v>
      </c>
      <c r="Y40" s="93">
        <f t="shared" si="2"/>
        <v>1.773561614237806E-2</v>
      </c>
      <c r="Z40" s="93">
        <f t="shared" si="2"/>
        <v>1.6271965441738697E-2</v>
      </c>
      <c r="AA40" s="93">
        <f t="shared" si="2"/>
        <v>1.496670271050604E-2</v>
      </c>
      <c r="AB40" s="93">
        <f t="shared" si="2"/>
        <v>1.3799094089605999E-2</v>
      </c>
      <c r="AC40" s="93">
        <f t="shared" si="2"/>
        <v>1.2751280309419853E-2</v>
      </c>
      <c r="AD40" s="97">
        <f t="shared" si="3"/>
        <v>1.1807917366102315E-2</v>
      </c>
    </row>
    <row r="41" spans="2:30">
      <c r="B41"/>
      <c r="C41"/>
      <c r="L41" s="57">
        <f t="shared" si="4"/>
        <v>29.75</v>
      </c>
      <c r="M41" s="96">
        <f t="shared" si="1"/>
        <v>6.1155607208296348E-4</v>
      </c>
      <c r="N41" s="93">
        <f t="shared" si="2"/>
        <v>3.6589561020795853E-3</v>
      </c>
      <c r="O41" s="93">
        <f t="shared" si="2"/>
        <v>8.136716453171695E-3</v>
      </c>
      <c r="P41" s="93">
        <f t="shared" si="2"/>
        <v>1.2290709222075034E-2</v>
      </c>
      <c r="Q41" s="93">
        <f t="shared" si="2"/>
        <v>1.5422334619444309E-2</v>
      </c>
      <c r="R41" s="93">
        <f t="shared" si="2"/>
        <v>1.7499855255870275E-2</v>
      </c>
      <c r="S41" s="93">
        <f t="shared" si="2"/>
        <v>1.8715827124204939E-2</v>
      </c>
      <c r="T41" s="93">
        <f t="shared" si="2"/>
        <v>1.9291243255614706E-2</v>
      </c>
      <c r="U41" s="93">
        <f t="shared" si="2"/>
        <v>1.9413340185403524E-2</v>
      </c>
      <c r="V41" s="93">
        <f t="shared" si="2"/>
        <v>1.9224956987473615E-2</v>
      </c>
      <c r="W41" s="93">
        <f t="shared" si="2"/>
        <v>1.8830081410792229E-2</v>
      </c>
      <c r="X41" s="93">
        <f t="shared" si="2"/>
        <v>1.8302684659521336E-2</v>
      </c>
      <c r="Y41" s="93">
        <f t="shared" si="2"/>
        <v>1.7694675669144285E-2</v>
      </c>
      <c r="Z41" s="93">
        <f t="shared" si="2"/>
        <v>1.7042166622349694E-2</v>
      </c>
      <c r="AA41" s="93">
        <f t="shared" si="2"/>
        <v>1.6370065636372996E-2</v>
      </c>
      <c r="AB41" s="93">
        <f t="shared" si="2"/>
        <v>1.5695388350112079E-2</v>
      </c>
      <c r="AC41" s="93">
        <f t="shared" si="2"/>
        <v>1.5029578470659997E-2</v>
      </c>
      <c r="AD41" s="97">
        <f t="shared" si="3"/>
        <v>1.4380182461470879E-2</v>
      </c>
    </row>
    <row r="42" spans="2:30">
      <c r="B42"/>
      <c r="C42"/>
      <c r="L42" s="57">
        <f t="shared" si="4"/>
        <v>28</v>
      </c>
      <c r="M42" s="96">
        <f t="shared" si="1"/>
        <v>1.3657147785745087E-6</v>
      </c>
      <c r="N42" s="93">
        <f t="shared" si="2"/>
        <v>6.7194733572472522E-5</v>
      </c>
      <c r="O42" s="93">
        <f t="shared" si="2"/>
        <v>4.4288827218870729E-4</v>
      </c>
      <c r="P42" s="93">
        <f t="shared" si="2"/>
        <v>1.298775179471665E-3</v>
      </c>
      <c r="Q42" s="93">
        <f t="shared" si="2"/>
        <v>2.5496041960613651E-3</v>
      </c>
      <c r="R42" s="93">
        <f t="shared" si="2"/>
        <v>3.9944252111685776E-3</v>
      </c>
      <c r="S42" s="93">
        <f t="shared" si="2"/>
        <v>5.4513032963533761E-3</v>
      </c>
      <c r="T42" s="93">
        <f t="shared" si="2"/>
        <v>6.8007155002922084E-3</v>
      </c>
      <c r="U42" s="93">
        <f t="shared" si="2"/>
        <v>7.9806686537065002E-3</v>
      </c>
      <c r="V42" s="93">
        <f t="shared" si="2"/>
        <v>8.9691662170238145E-3</v>
      </c>
      <c r="W42" s="93">
        <f t="shared" si="2"/>
        <v>9.7681588477616082E-3</v>
      </c>
      <c r="X42" s="93">
        <f t="shared" si="2"/>
        <v>1.0392193671576731E-2</v>
      </c>
      <c r="Y42" s="93">
        <f t="shared" si="2"/>
        <v>1.0861305157344734E-2</v>
      </c>
      <c r="Z42" s="93">
        <f t="shared" si="2"/>
        <v>1.1196899487447841E-2</v>
      </c>
      <c r="AA42" s="93">
        <f t="shared" si="2"/>
        <v>1.1419562538639292E-2</v>
      </c>
      <c r="AB42" s="93">
        <f t="shared" si="2"/>
        <v>1.1548019367146887E-2</v>
      </c>
      <c r="AC42" s="93">
        <f t="shared" si="2"/>
        <v>1.1598729983408605E-2</v>
      </c>
      <c r="AD42" s="97">
        <f t="shared" si="3"/>
        <v>1.1585885306697461E-2</v>
      </c>
    </row>
    <row r="43" spans="2:30">
      <c r="B43"/>
      <c r="C43"/>
      <c r="D43" s="11"/>
      <c r="L43" s="57">
        <f t="shared" si="4"/>
        <v>26.25</v>
      </c>
      <c r="M43" s="96">
        <f t="shared" si="1"/>
        <v>1.9423662479529728E-10</v>
      </c>
      <c r="N43" s="93">
        <f t="shared" si="2"/>
        <v>1.8621584806192833E-7</v>
      </c>
      <c r="O43" s="93">
        <f t="shared" si="2"/>
        <v>5.6709787647561608E-6</v>
      </c>
      <c r="P43" s="93">
        <f t="shared" si="2"/>
        <v>4.2307969634027875E-5</v>
      </c>
      <c r="Q43" s="93">
        <f t="shared" si="2"/>
        <v>1.558345149800424E-4</v>
      </c>
      <c r="R43" s="93">
        <f t="shared" si="2"/>
        <v>3.8406146192742746E-4</v>
      </c>
      <c r="S43" s="93">
        <f t="shared" si="2"/>
        <v>7.3776967635151905E-4</v>
      </c>
      <c r="T43" s="93">
        <f t="shared" si="2"/>
        <v>1.2023834737107453E-3</v>
      </c>
      <c r="U43" s="93">
        <f t="shared" si="2"/>
        <v>1.7490135667888593E-3</v>
      </c>
      <c r="V43" s="93">
        <f t="shared" si="2"/>
        <v>2.3448756465184457E-3</v>
      </c>
      <c r="W43" s="93">
        <f t="shared" si="2"/>
        <v>2.9598130994734624E-3</v>
      </c>
      <c r="X43" s="93">
        <f t="shared" si="2"/>
        <v>3.5692602658177193E-3</v>
      </c>
      <c r="Y43" s="93">
        <f t="shared" si="2"/>
        <v>4.1549141792038271E-3</v>
      </c>
      <c r="Z43" s="93">
        <f t="shared" si="2"/>
        <v>4.7042185893214619E-3</v>
      </c>
      <c r="AA43" s="93">
        <f t="shared" si="2"/>
        <v>5.2093768005898036E-3</v>
      </c>
      <c r="AB43" s="93">
        <f t="shared" si="2"/>
        <v>5.6662761444697942E-3</v>
      </c>
      <c r="AC43" s="93">
        <f t="shared" ref="AC43:AC48" si="5">IF($P$6=1,$M$2*EEnergySwaption($M$6,$L$2,$L43,$C$7,AC$27/$O$2,$M$27/$O$2+($C$9-$C$8)/$N$2,$C$10,$O$14,$C$12,$C$13,$C$14),"")</f>
        <v>6.0735280138501926E-3</v>
      </c>
      <c r="AD43" s="97">
        <f t="shared" si="3"/>
        <v>6.4316571981443129E-3</v>
      </c>
    </row>
    <row r="44" spans="2:30">
      <c r="B44"/>
      <c r="C44"/>
      <c r="L44" s="57">
        <f t="shared" si="4"/>
        <v>24.5</v>
      </c>
      <c r="M44" s="96">
        <f t="shared" si="1"/>
        <v>1.0578291340724501E-15</v>
      </c>
      <c r="N44" s="93">
        <f t="shared" ref="N44:AB44" si="6">IF($P$6=1,$M$2*EEnergySwaption($M$6,$L$2,$L44,$C$7,N$27/$O$2,$M$27/$O$2+($C$9-$C$8)/$N$2,$C$10,$O$14,$C$12,$C$13,$C$14),"")</f>
        <v>5.5590219661538176E-11</v>
      </c>
      <c r="O44" s="93">
        <f t="shared" si="6"/>
        <v>1.3323929557158149E-8</v>
      </c>
      <c r="P44" s="93">
        <f t="shared" si="6"/>
        <v>3.4985476754961173E-7</v>
      </c>
      <c r="Q44" s="93">
        <f t="shared" si="6"/>
        <v>3.0081771283198031E-6</v>
      </c>
      <c r="R44" s="93">
        <f t="shared" si="6"/>
        <v>1.3645171164975572E-5</v>
      </c>
      <c r="S44" s="93">
        <f t="shared" si="6"/>
        <v>4.1526056882572764E-5</v>
      </c>
      <c r="T44" s="93">
        <f t="shared" si="6"/>
        <v>9.6951999835849693E-5</v>
      </c>
      <c r="U44" s="93">
        <f t="shared" si="6"/>
        <v>1.88219445082093E-4</v>
      </c>
      <c r="V44" s="93">
        <f t="shared" si="6"/>
        <v>3.198063120341031E-4</v>
      </c>
      <c r="W44" s="93">
        <f t="shared" si="6"/>
        <v>4.9206679497097023E-4</v>
      </c>
      <c r="X44" s="93">
        <f t="shared" si="6"/>
        <v>7.0192655464082477E-4</v>
      </c>
      <c r="Y44" s="93">
        <f t="shared" si="6"/>
        <v>9.4397455021981425E-4</v>
      </c>
      <c r="Z44" s="93">
        <f t="shared" si="6"/>
        <v>1.2115440724226251E-3</v>
      </c>
      <c r="AA44" s="93">
        <f t="shared" si="6"/>
        <v>1.4975855478676148E-3</v>
      </c>
      <c r="AB44" s="93">
        <f t="shared" si="6"/>
        <v>1.7952823270963451E-3</v>
      </c>
      <c r="AC44" s="93">
        <f t="shared" si="5"/>
        <v>2.0984341605936175E-3</v>
      </c>
      <c r="AD44" s="97">
        <f t="shared" si="3"/>
        <v>2.40165319749519E-3</v>
      </c>
    </row>
    <row r="45" spans="2:30">
      <c r="L45" s="57">
        <f t="shared" si="4"/>
        <v>22.75</v>
      </c>
      <c r="M45" s="96">
        <f t="shared" ref="M45:AB48" si="7">IF($P$6=1,$M$2*EEnergySwaption($M$6,$L$2,$L45,$C$7,M$27/$O$2,$M$27/$O$2+($C$9-$C$8)/$N$2,$C$10,$O$14,$C$12,$C$13,$C$14),"")</f>
        <v>1.1356177543009749E-22</v>
      </c>
      <c r="N45" s="93">
        <f t="shared" si="7"/>
        <v>1.1437532656162103E-15</v>
      </c>
      <c r="O45" s="93">
        <f t="shared" si="7"/>
        <v>4.1111193095524279E-12</v>
      </c>
      <c r="P45" s="93">
        <f t="shared" si="7"/>
        <v>5.6285720513832705E-10</v>
      </c>
      <c r="Q45" s="93">
        <f t="shared" si="7"/>
        <v>1.4719990456836014E-8</v>
      </c>
      <c r="R45" s="93">
        <f t="shared" si="7"/>
        <v>1.486453288492784E-7</v>
      </c>
      <c r="S45" s="93">
        <f t="shared" si="7"/>
        <v>8.2713423147729054E-7</v>
      </c>
      <c r="T45" s="93">
        <f t="shared" si="7"/>
        <v>3.0939627672906535E-6</v>
      </c>
      <c r="U45" s="93">
        <f t="shared" si="7"/>
        <v>8.7689511126921715E-6</v>
      </c>
      <c r="V45" s="93">
        <f t="shared" si="7"/>
        <v>2.0323845776932958E-5</v>
      </c>
      <c r="W45" s="93">
        <f t="shared" si="7"/>
        <v>4.0530891625270618E-5</v>
      </c>
      <c r="X45" s="93">
        <f t="shared" si="7"/>
        <v>7.2040624057891607E-5</v>
      </c>
      <c r="Y45" s="93">
        <f t="shared" si="7"/>
        <v>1.170271904285102E-4</v>
      </c>
      <c r="Z45" s="93">
        <f t="shared" si="7"/>
        <v>1.7696933421316354E-4</v>
      </c>
      <c r="AA45" s="93">
        <f t="shared" si="7"/>
        <v>2.5257222286128184E-4</v>
      </c>
      <c r="AB45" s="93">
        <f t="shared" si="7"/>
        <v>3.4380031327797643E-4</v>
      </c>
      <c r="AC45" s="93">
        <f t="shared" si="5"/>
        <v>4.4998074515655012E-4</v>
      </c>
      <c r="AD45" s="97">
        <f t="shared" si="3"/>
        <v>5.6994073376797131E-4</v>
      </c>
    </row>
    <row r="46" spans="2:30">
      <c r="L46" s="57">
        <f t="shared" si="4"/>
        <v>21</v>
      </c>
      <c r="M46" s="96">
        <f t="shared" si="7"/>
        <v>1.0115090991516974E-31</v>
      </c>
      <c r="N46" s="93">
        <f t="shared" si="7"/>
        <v>9.0343545716858128E-22</v>
      </c>
      <c r="O46" s="93">
        <f t="shared" si="7"/>
        <v>1.0720941855120168E-16</v>
      </c>
      <c r="P46" s="93">
        <f t="shared" si="7"/>
        <v>1.2382359316744283E-13</v>
      </c>
      <c r="Q46" s="93">
        <f t="shared" si="7"/>
        <v>1.3617786285069418E-11</v>
      </c>
      <c r="R46" s="93">
        <f t="shared" si="7"/>
        <v>3.8645997326750321E-10</v>
      </c>
      <c r="S46" s="93">
        <f t="shared" si="7"/>
        <v>4.6867735038970545E-9</v>
      </c>
      <c r="T46" s="93">
        <f t="shared" si="7"/>
        <v>3.2214187967227303E-8</v>
      </c>
      <c r="U46" s="93">
        <f t="shared" si="7"/>
        <v>1.4878602006063346E-7</v>
      </c>
      <c r="V46" s="93">
        <f t="shared" si="7"/>
        <v>5.147715436290192E-7</v>
      </c>
      <c r="W46" s="93">
        <f t="shared" si="7"/>
        <v>1.4345804914124882E-6</v>
      </c>
      <c r="X46" s="93">
        <f t="shared" si="7"/>
        <v>3.3863694049921173E-6</v>
      </c>
      <c r="Y46" s="93">
        <f t="shared" si="7"/>
        <v>7.0185318011064867E-6</v>
      </c>
      <c r="Z46" s="93">
        <f t="shared" si="7"/>
        <v>1.3112912988144576E-5</v>
      </c>
      <c r="AA46" s="93">
        <f t="shared" si="7"/>
        <v>2.252501640477534E-5</v>
      </c>
      <c r="AB46" s="93">
        <f t="shared" si="7"/>
        <v>3.6115339324609503E-5</v>
      </c>
      <c r="AC46" s="93">
        <f t="shared" si="5"/>
        <v>5.4684509777198577E-5</v>
      </c>
      <c r="AD46" s="97">
        <f t="shared" si="3"/>
        <v>7.8920723458448202E-5</v>
      </c>
    </row>
    <row r="47" spans="2:30">
      <c r="L47" s="57">
        <f t="shared" si="4"/>
        <v>19.25</v>
      </c>
      <c r="M47" s="96">
        <f t="shared" si="7"/>
        <v>2.3870773164967758E-43</v>
      </c>
      <c r="N47" s="93">
        <f t="shared" si="7"/>
        <v>1.2637976036783636E-29</v>
      </c>
      <c r="O47" s="93">
        <f t="shared" si="7"/>
        <v>1.3174924463468374E-22</v>
      </c>
      <c r="P47" s="93">
        <f t="shared" si="7"/>
        <v>2.3313210220516824E-18</v>
      </c>
      <c r="Q47" s="93">
        <f t="shared" si="7"/>
        <v>1.6114507118587691E-15</v>
      </c>
      <c r="R47" s="93">
        <f t="shared" si="7"/>
        <v>1.7158868684623222E-13</v>
      </c>
      <c r="S47" s="93">
        <f t="shared" si="7"/>
        <v>5.6391563853201964E-12</v>
      </c>
      <c r="T47" s="93">
        <f t="shared" si="7"/>
        <v>8.4427886532439662E-11</v>
      </c>
      <c r="U47" s="93">
        <f t="shared" si="7"/>
        <v>7.2836322152767803E-10</v>
      </c>
      <c r="V47" s="93">
        <f t="shared" si="7"/>
        <v>4.20723212376471E-9</v>
      </c>
      <c r="W47" s="93">
        <f t="shared" si="7"/>
        <v>1.79892912302986E-8</v>
      </c>
      <c r="X47" s="93">
        <f t="shared" si="7"/>
        <v>6.104187667116229E-8</v>
      </c>
      <c r="Y47" s="93">
        <f t="shared" si="7"/>
        <v>1.7276383486174372E-7</v>
      </c>
      <c r="Z47" s="93">
        <f t="shared" si="7"/>
        <v>4.230082896227785E-7</v>
      </c>
      <c r="AA47" s="93">
        <f t="shared" si="7"/>
        <v>9.2090078764542242E-7</v>
      </c>
      <c r="AB47" s="93">
        <f t="shared" si="7"/>
        <v>1.8202898173367547E-6</v>
      </c>
      <c r="AC47" s="93">
        <f t="shared" si="5"/>
        <v>3.3204974188537245E-6</v>
      </c>
      <c r="AD47" s="97">
        <f t="shared" si="3"/>
        <v>5.6621223738128248E-6</v>
      </c>
    </row>
    <row r="48" spans="2:30" ht="13.5" thickBot="1">
      <c r="L48" s="58">
        <f t="shared" si="4"/>
        <v>17.5</v>
      </c>
      <c r="M48" s="98">
        <f t="shared" si="7"/>
        <v>3.2170680135404816E-58</v>
      </c>
      <c r="N48" s="99">
        <f t="shared" si="7"/>
        <v>1.1052319033195704E-39</v>
      </c>
      <c r="O48" s="99">
        <f t="shared" si="7"/>
        <v>3.4727351965924351E-30</v>
      </c>
      <c r="P48" s="99">
        <f t="shared" si="7"/>
        <v>1.9965435237368512E-24</v>
      </c>
      <c r="Q48" s="99">
        <f t="shared" si="7"/>
        <v>1.4390211307433722E-20</v>
      </c>
      <c r="R48" s="99">
        <f t="shared" si="7"/>
        <v>8.2746854621889505E-18</v>
      </c>
      <c r="S48" s="99">
        <f t="shared" si="7"/>
        <v>9.6970318612267901E-16</v>
      </c>
      <c r="T48" s="99">
        <f t="shared" si="7"/>
        <v>3.9181548768836708E-14</v>
      </c>
      <c r="U48" s="99">
        <f t="shared" si="7"/>
        <v>7.4984654818911686E-13</v>
      </c>
      <c r="V48" s="99">
        <f t="shared" si="7"/>
        <v>8.3265854851704613E-12</v>
      </c>
      <c r="W48" s="99">
        <f t="shared" si="7"/>
        <v>6.1451581489087708E-11</v>
      </c>
      <c r="X48" s="99">
        <f t="shared" si="7"/>
        <v>3.3120339714489275E-10</v>
      </c>
      <c r="Y48" s="99">
        <f t="shared" si="7"/>
        <v>1.3945506130366162E-9</v>
      </c>
      <c r="Z48" s="99">
        <f t="shared" si="7"/>
        <v>4.8200470233473502E-9</v>
      </c>
      <c r="AA48" s="99">
        <f t="shared" si="7"/>
        <v>1.4193298353156756E-8</v>
      </c>
      <c r="AB48" s="99">
        <f t="shared" si="7"/>
        <v>3.663333152266316E-8</v>
      </c>
      <c r="AC48" s="99">
        <f t="shared" si="5"/>
        <v>8.4729506365950778E-8</v>
      </c>
      <c r="AD48" s="100">
        <f t="shared" si="3"/>
        <v>1.7870631107115254E-7</v>
      </c>
    </row>
  </sheetData>
  <phoneticPr fontId="20"/>
  <printOptions gridLinesSet="0"/>
  <pageMargins left="0.75" right="0.75" top="0.75" bottom="0.75" header="0.5" footer="0.5"/>
  <pageSetup scale="85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5537" r:id="rId4" name="Drop Down 1">
              <controlPr defaultSize="0" autoFill="0" autoLine="0" autoPict="0">
                <anchor moveWithCells="1">
                  <from>
                    <xdr:col>2</xdr:col>
                    <xdr:colOff>695325</xdr:colOff>
                    <xdr:row>3</xdr:row>
                    <xdr:rowOff>85725</xdr:rowOff>
                  </from>
                  <to>
                    <xdr:col>3</xdr:col>
                    <xdr:colOff>0</xdr:colOff>
                    <xdr:row>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38" r:id="rId5" name="Drop Down 2">
              <controlPr defaultSize="0" autoLine="0" autoPict="0">
                <anchor moveWithCells="1">
                  <from>
                    <xdr:col>6</xdr:col>
                    <xdr:colOff>400050</xdr:colOff>
                    <xdr:row>3</xdr:row>
                    <xdr:rowOff>76200</xdr:rowOff>
                  </from>
                  <to>
                    <xdr:col>7</xdr:col>
                    <xdr:colOff>228600</xdr:colOff>
                    <xdr:row>4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0" r:id="rId6" name="Drop Down 4">
              <controlPr defaultSize="0" autoFill="0" autoLine="0" autoPict="0">
                <anchor moveWithCells="1">
                  <from>
                    <xdr:col>2</xdr:col>
                    <xdr:colOff>28575</xdr:colOff>
                    <xdr:row>3</xdr:row>
                    <xdr:rowOff>85725</xdr:rowOff>
                  </from>
                  <to>
                    <xdr:col>2</xdr:col>
                    <xdr:colOff>685800</xdr:colOff>
                    <xdr:row>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1" r:id="rId7" name="Drop Down 5">
              <controlPr defaultSize="0" autoFill="0" autoLine="0" autoPict="0">
                <anchor moveWithCells="1">
                  <from>
                    <xdr:col>1</xdr:col>
                    <xdr:colOff>847725</xdr:colOff>
                    <xdr:row>3</xdr:row>
                    <xdr:rowOff>85725</xdr:rowOff>
                  </from>
                  <to>
                    <xdr:col>1</xdr:col>
                    <xdr:colOff>1504950</xdr:colOff>
                    <xdr:row>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2" r:id="rId8" name="Drop Down 6">
              <controlPr defaultSize="0" autoFill="0" autoLine="0" autoPict="0">
                <anchor moveWithCells="1">
                  <from>
                    <xdr:col>8</xdr:col>
                    <xdr:colOff>76200</xdr:colOff>
                    <xdr:row>3</xdr:row>
                    <xdr:rowOff>76200</xdr:rowOff>
                  </from>
                  <to>
                    <xdr:col>9</xdr:col>
                    <xdr:colOff>0</xdr:colOff>
                    <xdr:row>4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3" r:id="rId9" name="Drop Down 7">
              <controlPr defaultSize="0" autoLine="0" autoPict="0">
                <anchor moveWithCells="1">
                  <from>
                    <xdr:col>3</xdr:col>
                    <xdr:colOff>19050</xdr:colOff>
                    <xdr:row>10</xdr:row>
                    <xdr:rowOff>0</xdr:rowOff>
                  </from>
                  <to>
                    <xdr:col>3</xdr:col>
                    <xdr:colOff>1038225</xdr:colOff>
                    <xdr:row>11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5" r:id="rId10" name="Drop Down 9">
              <controlPr defaultSize="0" autoLine="0" autoPict="0">
                <anchor moveWithCells="1">
                  <from>
                    <xdr:col>6</xdr:col>
                    <xdr:colOff>409575</xdr:colOff>
                    <xdr:row>2</xdr:row>
                    <xdr:rowOff>104775</xdr:rowOff>
                  </from>
                  <to>
                    <xdr:col>7</xdr:col>
                    <xdr:colOff>161925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6" r:id="rId11" name="Drop Down 10">
              <controlPr defaultSize="0" autoLine="0" autoPict="0">
                <anchor moveWithCells="1">
                  <from>
                    <xdr:col>3</xdr:col>
                    <xdr:colOff>180975</xdr:colOff>
                    <xdr:row>17</xdr:row>
                    <xdr:rowOff>38100</xdr:rowOff>
                  </from>
                  <to>
                    <xdr:col>3</xdr:col>
                    <xdr:colOff>866775</xdr:colOff>
                    <xdr:row>18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4221"/>
  <dimension ref="A1:AD50"/>
  <sheetViews>
    <sheetView showGridLines="0" workbookViewId="0">
      <selection activeCell="A4" sqref="A4"/>
    </sheetView>
  </sheetViews>
  <sheetFormatPr defaultColWidth="10" defaultRowHeight="12.75"/>
  <cols>
    <col min="1" max="1" width="3.42578125" style="2" customWidth="1"/>
    <col min="2" max="2" width="29.7109375" style="2" bestFit="1" customWidth="1"/>
    <col min="3" max="3" width="20.28515625" style="2" customWidth="1"/>
    <col min="4" max="4" width="15.7109375" style="2" customWidth="1"/>
    <col min="5" max="5" width="3.28515625" style="2" customWidth="1"/>
    <col min="6" max="6" width="17" style="2" customWidth="1"/>
    <col min="7" max="7" width="17.85546875" style="2" customWidth="1"/>
    <col min="8" max="8" width="22.42578125" style="2" customWidth="1"/>
    <col min="9" max="11" width="11" style="2" customWidth="1"/>
    <col min="12" max="12" width="13.7109375" style="2" customWidth="1"/>
    <col min="13" max="13" width="10" style="2" customWidth="1"/>
    <col min="14" max="14" width="11" style="2" customWidth="1"/>
    <col min="15" max="16384" width="10" style="2"/>
  </cols>
  <sheetData>
    <row r="1" spans="1:16" ht="18">
      <c r="A1" s="47" t="s">
        <v>88</v>
      </c>
      <c r="B1" s="1"/>
      <c r="L1" s="10" t="s">
        <v>92</v>
      </c>
      <c r="M1" s="4"/>
    </row>
    <row r="2" spans="1:16">
      <c r="B2" s="72"/>
      <c r="F2" s="3"/>
      <c r="L2" s="26" t="str">
        <f>IF(L3=1,"c","p")</f>
        <v>c</v>
      </c>
      <c r="M2" s="66">
        <f>IF(M3=1,1,-1)</f>
        <v>1</v>
      </c>
      <c r="N2" s="66">
        <f>IF(N3=1,365,1)</f>
        <v>1</v>
      </c>
      <c r="O2" s="33">
        <f>IF(O3=1,365,1)</f>
        <v>1</v>
      </c>
    </row>
    <row r="3" spans="1:16" ht="23.25">
      <c r="A3" s="20"/>
      <c r="B3" s="76"/>
      <c r="C3" s="4"/>
      <c r="D3" s="75"/>
      <c r="E3" s="4"/>
      <c r="F3" s="4"/>
      <c r="G3" s="4"/>
      <c r="H3" s="4"/>
      <c r="I3" s="4"/>
      <c r="J3" s="4"/>
      <c r="K3" s="4"/>
      <c r="L3" s="27">
        <v>1</v>
      </c>
      <c r="M3" s="21">
        <v>1</v>
      </c>
      <c r="N3" s="21">
        <v>2</v>
      </c>
      <c r="O3" s="22">
        <v>2</v>
      </c>
    </row>
    <row r="4" spans="1:16">
      <c r="B4" s="4"/>
      <c r="C4" s="4"/>
      <c r="D4" s="4"/>
      <c r="F4" s="4"/>
      <c r="H4" s="4"/>
      <c r="J4" s="4"/>
      <c r="K4" s="4"/>
      <c r="L4" s="28" t="s">
        <v>13</v>
      </c>
      <c r="M4" s="23" t="s">
        <v>72</v>
      </c>
      <c r="N4" s="23" t="s">
        <v>47</v>
      </c>
      <c r="O4" s="24"/>
      <c r="P4" s="68">
        <v>1</v>
      </c>
    </row>
    <row r="5" spans="1:16" ht="13.5" thickBot="1">
      <c r="B5" s="53" t="s">
        <v>49</v>
      </c>
      <c r="C5" s="4"/>
      <c r="D5"/>
      <c r="F5" s="46" t="s">
        <v>74</v>
      </c>
      <c r="G5" s="35"/>
      <c r="H5" s="63" t="s">
        <v>49</v>
      </c>
      <c r="I5" s="35"/>
      <c r="J5" s="4"/>
      <c r="K5" s="4"/>
      <c r="L5" s="28" t="s">
        <v>14</v>
      </c>
      <c r="M5" s="23" t="s">
        <v>73</v>
      </c>
      <c r="N5" s="30" t="s">
        <v>48</v>
      </c>
      <c r="O5" s="31"/>
      <c r="P5" s="68">
        <v>2</v>
      </c>
    </row>
    <row r="6" spans="1:16">
      <c r="B6" s="5" t="s">
        <v>95</v>
      </c>
      <c r="C6" s="87">
        <v>33</v>
      </c>
      <c r="D6"/>
      <c r="F6" s="36" t="s">
        <v>68</v>
      </c>
      <c r="G6" s="37"/>
      <c r="H6" s="45" t="s">
        <v>69</v>
      </c>
      <c r="I6" s="38"/>
      <c r="K6"/>
      <c r="L6" s="32">
        <v>4</v>
      </c>
      <c r="M6" s="33" t="str">
        <f>INDEX(M7:M20,L6)</f>
        <v>g</v>
      </c>
      <c r="N6" s="61">
        <f>INDEX(O8:O13,N7)</f>
        <v>0</v>
      </c>
      <c r="O6" s="67"/>
      <c r="P6" s="68">
        <v>1</v>
      </c>
    </row>
    <row r="7" spans="1:16">
      <c r="B7" s="6" t="s">
        <v>46</v>
      </c>
      <c r="C7" s="88">
        <v>35</v>
      </c>
      <c r="D7"/>
      <c r="F7" s="39" t="s">
        <v>66</v>
      </c>
      <c r="G7" s="34">
        <f>50%*C7</f>
        <v>17.5</v>
      </c>
      <c r="H7" s="12" t="s">
        <v>21</v>
      </c>
      <c r="I7" s="40">
        <v>0.1</v>
      </c>
      <c r="K7"/>
      <c r="L7" s="21" t="s">
        <v>15</v>
      </c>
      <c r="M7" s="22" t="s">
        <v>63</v>
      </c>
      <c r="N7" s="59">
        <v>1</v>
      </c>
      <c r="O7" s="22"/>
      <c r="P7" s="28" t="s">
        <v>12</v>
      </c>
    </row>
    <row r="8" spans="1:16" ht="13.5" thickBot="1">
      <c r="B8" s="6" t="s">
        <v>80</v>
      </c>
      <c r="C8" s="91">
        <v>0.5</v>
      </c>
      <c r="D8"/>
      <c r="F8" s="41" t="s">
        <v>67</v>
      </c>
      <c r="G8" s="42">
        <f>C7*1.5</f>
        <v>52.5</v>
      </c>
      <c r="H8" s="43" t="s">
        <v>22</v>
      </c>
      <c r="I8" s="44">
        <v>1</v>
      </c>
      <c r="K8"/>
      <c r="L8" s="23" t="s">
        <v>71</v>
      </c>
      <c r="M8" s="22" t="s">
        <v>64</v>
      </c>
      <c r="N8" s="59" t="s">
        <v>32</v>
      </c>
      <c r="O8" s="22">
        <v>0</v>
      </c>
      <c r="P8" s="29" t="s">
        <v>40</v>
      </c>
    </row>
    <row r="9" spans="1:16">
      <c r="B9" s="101" t="s">
        <v>87</v>
      </c>
      <c r="C9" s="107">
        <f>0.5+17/365+92/2/365</f>
        <v>0.67260273972602747</v>
      </c>
      <c r="K9"/>
      <c r="L9" s="23" t="s">
        <v>41</v>
      </c>
      <c r="M9" s="24" t="s">
        <v>20</v>
      </c>
      <c r="N9" s="60" t="s">
        <v>38</v>
      </c>
      <c r="O9" s="71">
        <f>MAX(1/C8,1)</f>
        <v>2</v>
      </c>
    </row>
    <row r="10" spans="1:16" ht="15.95" customHeight="1">
      <c r="B10" s="6" t="s">
        <v>8</v>
      </c>
      <c r="C10" s="89">
        <v>0.05</v>
      </c>
      <c r="D10"/>
      <c r="K10"/>
      <c r="L10" s="23" t="s">
        <v>76</v>
      </c>
      <c r="M10" s="24" t="s">
        <v>77</v>
      </c>
      <c r="N10" s="59" t="s">
        <v>33</v>
      </c>
      <c r="O10" s="22">
        <v>1</v>
      </c>
    </row>
    <row r="11" spans="1:16">
      <c r="B11" s="7" t="s">
        <v>24</v>
      </c>
      <c r="C11" s="90">
        <v>0.18</v>
      </c>
      <c r="D11"/>
      <c r="K11"/>
      <c r="L11" s="23" t="s">
        <v>52</v>
      </c>
      <c r="M11" s="24" t="s">
        <v>53</v>
      </c>
      <c r="N11" s="59" t="s">
        <v>34</v>
      </c>
      <c r="O11" s="22">
        <v>2</v>
      </c>
    </row>
    <row r="12" spans="1:16">
      <c r="B12" s="8" t="s">
        <v>15</v>
      </c>
      <c r="C12" s="83">
        <f>EEnergySwaptionApproximation("p",$L$2,$C$6,$C$7,$C$8/$N$2,$C$9/$N$2,$O$14,$C$11)</f>
        <v>0.87612393020067725</v>
      </c>
      <c r="D12"/>
      <c r="F12" s="4"/>
      <c r="G12" s="9"/>
      <c r="H12" s="4"/>
      <c r="L12" s="23" t="s">
        <v>45</v>
      </c>
      <c r="M12" s="24" t="s">
        <v>44</v>
      </c>
      <c r="N12" s="59" t="s">
        <v>35</v>
      </c>
      <c r="O12" s="22">
        <v>4</v>
      </c>
    </row>
    <row r="13" spans="1:16">
      <c r="C13" s="78"/>
      <c r="D13"/>
      <c r="F13" s="4"/>
      <c r="G13" s="4"/>
      <c r="L13" s="21" t="s">
        <v>17</v>
      </c>
      <c r="M13" s="22" t="s">
        <v>65</v>
      </c>
      <c r="N13" s="62" t="s">
        <v>89</v>
      </c>
      <c r="O13" s="25">
        <v>12</v>
      </c>
    </row>
    <row r="14" spans="1:16">
      <c r="B14" s="10" t="s">
        <v>16</v>
      </c>
      <c r="C14" s="74" t="s">
        <v>29</v>
      </c>
      <c r="D14"/>
      <c r="F14" s="4"/>
      <c r="I14" s="4"/>
      <c r="L14" s="23" t="s">
        <v>23</v>
      </c>
      <c r="M14" s="24" t="s">
        <v>27</v>
      </c>
      <c r="N14" s="108" t="s">
        <v>90</v>
      </c>
      <c r="O14" s="109">
        <f>ConvertingToCCRate(C10,N6)</f>
        <v>0.05</v>
      </c>
    </row>
    <row r="15" spans="1:16">
      <c r="B15" s="79" t="s">
        <v>59</v>
      </c>
      <c r="C15" s="84">
        <f>IF($P$4=1,$M$2*EEnergySwaptionApproximation("d",$L$2,$C$6,$C$7,$C$8/$N$2,$C$9/$N$2,$O$14,$C$11),"")</f>
        <v>0.33366189093223531</v>
      </c>
      <c r="D15"/>
      <c r="F15" s="4"/>
      <c r="I15" s="4"/>
      <c r="J15" s="4"/>
      <c r="K15" s="4"/>
      <c r="L15" s="23" t="s">
        <v>18</v>
      </c>
      <c r="M15" s="24" t="s">
        <v>19</v>
      </c>
      <c r="N15"/>
      <c r="O15"/>
    </row>
    <row r="16" spans="1:16">
      <c r="B16" s="80" t="s">
        <v>60</v>
      </c>
      <c r="C16" s="85">
        <f>IF($P$4=1,$M$2*EEnergySwaptionApproximation("e",$L$2,$C$6,$C$7,$C$8/$N$2,$C$9/$N$2,$O$14,$C$11),"")</f>
        <v>12.567676810564596</v>
      </c>
      <c r="D16"/>
      <c r="F16" s="4"/>
      <c r="I16" s="4"/>
      <c r="J16" s="4"/>
      <c r="K16" s="4"/>
      <c r="L16" s="23" t="s">
        <v>78</v>
      </c>
      <c r="M16" s="24" t="s">
        <v>7</v>
      </c>
    </row>
    <row r="17" spans="1:30">
      <c r="A17" s="4"/>
      <c r="B17" s="80" t="s">
        <v>61</v>
      </c>
      <c r="C17" s="85">
        <f>IF($P$4=1,$M$2*EEnergySwaptionApproximation("g",$L$2,$C$6,$C$7,$C$8/$N$2,$C$9/$N$2,$O$14,$C$11),"")</f>
        <v>8.4824778492365027E-2</v>
      </c>
      <c r="D17"/>
      <c r="F17" s="4"/>
      <c r="I17" s="4"/>
      <c r="J17" s="4"/>
      <c r="K17" s="4"/>
      <c r="L17" s="23" t="s">
        <v>56</v>
      </c>
      <c r="M17" s="24" t="s">
        <v>57</v>
      </c>
    </row>
    <row r="18" spans="1:30">
      <c r="A18" s="4"/>
      <c r="B18" s="80" t="s">
        <v>51</v>
      </c>
      <c r="C18" s="85">
        <f>IF($P$4=1,$M$2*EEnergySwaptionApproximation("gv",$L$2,$C$6,$C$7,$C$8/$N$2,$C$9/$N$2,$O$14,$C$11),"")</f>
        <v>-3.7262705443463768E-3</v>
      </c>
      <c r="D18"/>
      <c r="F18" s="4"/>
      <c r="I18" s="4"/>
      <c r="J18" s="4"/>
      <c r="K18" s="4"/>
      <c r="L18" s="23" t="s">
        <v>62</v>
      </c>
      <c r="M18" s="24" t="s">
        <v>30</v>
      </c>
    </row>
    <row r="19" spans="1:30">
      <c r="A19" s="4"/>
      <c r="B19" s="80" t="s">
        <v>43</v>
      </c>
      <c r="C19" s="85">
        <f>IF($P$4=1,$M$2*EEnergySwaptionApproximation("gp",$L$2,$C$6,$C$7,$C$8/$N$2,$C$9/$N$2,$O$14,$C$11),"")</f>
        <v>2.7992176902480456E-2</v>
      </c>
      <c r="D19"/>
      <c r="F19" s="4"/>
      <c r="I19" s="4"/>
      <c r="J19" s="4"/>
      <c r="K19" s="4"/>
      <c r="L19" s="23" t="s">
        <v>1</v>
      </c>
      <c r="M19" s="24" t="s">
        <v>2</v>
      </c>
      <c r="N19" s="4"/>
      <c r="O19" s="4"/>
    </row>
    <row r="20" spans="1:30">
      <c r="A20" s="4"/>
      <c r="B20" s="80" t="s">
        <v>17</v>
      </c>
      <c r="C20" s="85">
        <f>IF($P$4=1,$M$2*EEnergySwaptionApproximation("v",$L$2,$C$6,$C$7,$C$8/$N$2,$C$9/$N$2,$O$14,$C$11),"")</f>
        <v>8.3111027258758352E-2</v>
      </c>
      <c r="D20"/>
      <c r="F20" s="4"/>
      <c r="I20" s="4"/>
      <c r="J20" s="4"/>
      <c r="K20" s="4"/>
      <c r="L20" s="30" t="s">
        <v>55</v>
      </c>
      <c r="M20" s="31" t="s">
        <v>58</v>
      </c>
    </row>
    <row r="21" spans="1:30">
      <c r="A21" s="4"/>
      <c r="B21" s="80" t="s">
        <v>23</v>
      </c>
      <c r="C21" s="85">
        <f>IF($P$4=1,$M$2*EEnergySwaptionApproximation("dvdv",$L$2,$C$6,$C$7,$C$8/$N$2,$C$9/$N$2,$O$14,$C$11),"")</f>
        <v>9.7096969051502224E-4</v>
      </c>
      <c r="D21"/>
      <c r="F21" s="4"/>
      <c r="I21" s="4"/>
      <c r="J21" s="4"/>
      <c r="K21" s="4"/>
    </row>
    <row r="22" spans="1:30">
      <c r="A22" s="4"/>
      <c r="B22" s="80" t="s">
        <v>26</v>
      </c>
      <c r="C22" s="85">
        <f>IF($P$4=1,$M$2*EEnergySwaptionApproximation("vp",$L$2,$C$6,$C$7,$C$8/$N$2,$C$9/$N$2,$O$14,$C$11),"")</f>
        <v>0.14959984906576501</v>
      </c>
      <c r="D22"/>
      <c r="F22" s="4"/>
      <c r="G22" s="4"/>
      <c r="H22" s="4"/>
      <c r="I22" s="4"/>
      <c r="J22" s="4"/>
      <c r="K22" s="4"/>
    </row>
    <row r="23" spans="1:30">
      <c r="A23" s="4"/>
      <c r="B23" s="81" t="s">
        <v>50</v>
      </c>
      <c r="C23" s="85">
        <f>IF($P$4=1,$M$2*EEnergySwaptionApproximation("t",$L$2,$C$6,$C$7,$C$8/$N$2,$C$9/$N$2,$O$14,$C$11),"")</f>
        <v>-3.9848820714036837E-3</v>
      </c>
      <c r="D23"/>
      <c r="H23" s="4"/>
      <c r="I23" s="4"/>
      <c r="J23" s="4"/>
      <c r="K23" s="4"/>
    </row>
    <row r="24" spans="1:30">
      <c r="A24" s="4"/>
      <c r="B24" s="81" t="s">
        <v>42</v>
      </c>
      <c r="C24" s="85">
        <f>IF($P$4=1,$M$2*EEnergySwaptionApproximation("fr",$L$2,$C$6,$C$7,$C$8/$N$2,$C$9/$N$2,$O$14,$C$11),"")</f>
        <v>-5.8928779894451555E-3</v>
      </c>
      <c r="D24"/>
    </row>
    <row r="25" spans="1:30" ht="13.5" thickBot="1">
      <c r="A25" s="4"/>
      <c r="B25" s="81" t="s">
        <v>56</v>
      </c>
      <c r="C25" s="85">
        <f>IF($P$4=1,$M$2*EEnergySwaptionApproximation("dddv",$L$2,$C$6,$C$7,$C$8/$N$2,$C$9/$N$2,$O$14,$C$11),"")</f>
        <v>1.043115166995956E-2</v>
      </c>
      <c r="D25"/>
      <c r="L25" s="13" t="s">
        <v>25</v>
      </c>
    </row>
    <row r="26" spans="1:30">
      <c r="B26" s="81" t="s">
        <v>62</v>
      </c>
      <c r="C26" s="85">
        <f>IF($P$4=1,$M$2*EEnergySwaptionApproximation("s",$L$2,$C$6,$C$7,$C$8/$N$2,$C$9/$N$2,$O$14,$C$11),"")</f>
        <v>5.4574300634158126E-3</v>
      </c>
      <c r="D26"/>
      <c r="L26" s="14"/>
      <c r="M26" s="18" t="s">
        <v>93</v>
      </c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6"/>
      <c r="AD26" s="17"/>
    </row>
    <row r="27" spans="1:30">
      <c r="B27" s="81" t="s">
        <v>0</v>
      </c>
      <c r="C27" s="85">
        <f>IF($P$4=1,$M$2*EEnergySwaptionApproximation("dx",$L$2,$C$6,$C$7,$C$8/$N$2,$C$9/$N$2,$O$14,$C$11),"")</f>
        <v>-0.28956348303658119</v>
      </c>
      <c r="D27"/>
      <c r="L27" s="19" t="s">
        <v>70</v>
      </c>
      <c r="M27" s="54">
        <f>I7</f>
        <v>0.1</v>
      </c>
      <c r="N27" s="54">
        <f t="shared" ref="N27:AD27" si="0">M27+($I$8-$I$7)/17</f>
        <v>0.15294117647058825</v>
      </c>
      <c r="O27" s="54">
        <f t="shared" si="0"/>
        <v>0.20588235294117649</v>
      </c>
      <c r="P27" s="54">
        <f t="shared" si="0"/>
        <v>0.25882352941176473</v>
      </c>
      <c r="Q27" s="54">
        <f t="shared" si="0"/>
        <v>0.31176470588235294</v>
      </c>
      <c r="R27" s="54">
        <f t="shared" si="0"/>
        <v>0.36470588235294116</v>
      </c>
      <c r="S27" s="54">
        <f t="shared" si="0"/>
        <v>0.41764705882352937</v>
      </c>
      <c r="T27" s="54">
        <f t="shared" si="0"/>
        <v>0.47058823529411759</v>
      </c>
      <c r="U27" s="54">
        <f t="shared" si="0"/>
        <v>0.5235294117647058</v>
      </c>
      <c r="V27" s="54">
        <f t="shared" si="0"/>
        <v>0.57647058823529407</v>
      </c>
      <c r="W27" s="54">
        <f t="shared" si="0"/>
        <v>0.62941176470588234</v>
      </c>
      <c r="X27" s="54">
        <f t="shared" si="0"/>
        <v>0.68235294117647061</v>
      </c>
      <c r="Y27" s="54">
        <f t="shared" si="0"/>
        <v>0.73529411764705888</v>
      </c>
      <c r="Z27" s="54">
        <f t="shared" si="0"/>
        <v>0.78823529411764715</v>
      </c>
      <c r="AA27" s="54">
        <f t="shared" si="0"/>
        <v>0.84117647058823541</v>
      </c>
      <c r="AB27" s="54">
        <f t="shared" si="0"/>
        <v>0.89411764705882368</v>
      </c>
      <c r="AC27" s="54">
        <f t="shared" si="0"/>
        <v>0.94705882352941195</v>
      </c>
      <c r="AD27" s="55">
        <f t="shared" si="0"/>
        <v>1.0000000000000002</v>
      </c>
    </row>
    <row r="28" spans="1:30">
      <c r="B28" s="82" t="s">
        <v>54</v>
      </c>
      <c r="C28" s="86">
        <f>IF($P$4=1,$M$2*EEnergySwaptionApproximation("dxdx",$L$2,$C$6,$C$7,$C$8/$N$2,$C$9/$N$2,$O$14,$C$11),"")</f>
        <v>7.5407515667258451E-2</v>
      </c>
      <c r="D28"/>
      <c r="L28" s="56">
        <f>G8</f>
        <v>52.5</v>
      </c>
      <c r="M28" s="92">
        <f t="shared" ref="M28:M44" si="1">IF($P$6=1,$M$2*EEnergySwaptionApproximation($M$6,$L$2,$L28,$C$7,M$27/$O$2,($C$9-$C$8)/$N$2+M$27/$O$2,$O$14,$C$11),"")</f>
        <v>0</v>
      </c>
      <c r="N28" s="94">
        <f t="shared" ref="N28:AC43" si="2">IF($P$6=1,$M$2*EEnergySwaptionApproximation($M$6,$L$2,$L28,$C$7,N$27/$O$2,($C$9-$C$8)/$N$2+N$27/$O$2,$O$14,$C$11),"")</f>
        <v>5.3645976549887564E-9</v>
      </c>
      <c r="O28" s="94">
        <f t="shared" si="2"/>
        <v>3.312194962745707E-7</v>
      </c>
      <c r="P28" s="94">
        <f t="shared" si="2"/>
        <v>3.6646241596827167E-6</v>
      </c>
      <c r="Q28" s="94">
        <f t="shared" si="2"/>
        <v>1.7590089385066676E-5</v>
      </c>
      <c r="R28" s="94">
        <f t="shared" si="2"/>
        <v>5.2844022491171927E-5</v>
      </c>
      <c r="S28" s="94">
        <f t="shared" si="2"/>
        <v>1.1892769435917216E-4</v>
      </c>
      <c r="T28" s="94">
        <f t="shared" si="2"/>
        <v>2.2126908305608595E-4</v>
      </c>
      <c r="U28" s="94">
        <f t="shared" si="2"/>
        <v>3.608265686239065E-4</v>
      </c>
      <c r="V28" s="94">
        <f t="shared" si="2"/>
        <v>5.3508117048295389E-4</v>
      </c>
      <c r="W28" s="94">
        <f t="shared" si="2"/>
        <v>7.3937602707019323E-4</v>
      </c>
      <c r="X28" s="94">
        <f t="shared" si="2"/>
        <v>9.6806864746667998E-4</v>
      </c>
      <c r="Y28" s="94">
        <f t="shared" si="2"/>
        <v>1.2153457262797929E-3</v>
      </c>
      <c r="Z28" s="94">
        <f t="shared" si="2"/>
        <v>1.4757229394035676E-3</v>
      </c>
      <c r="AA28" s="94">
        <f t="shared" si="2"/>
        <v>1.7443072053424657E-3</v>
      </c>
      <c r="AB28" s="94">
        <f t="shared" si="2"/>
        <v>2.0169016323734468E-3</v>
      </c>
      <c r="AC28" s="94">
        <f t="shared" si="2"/>
        <v>2.2900131213532404E-3</v>
      </c>
      <c r="AD28" s="95">
        <f t="shared" ref="AD28:AD48" si="3">IF($P$6=1,$M$2*EEnergySwaptionApproximation($M$6,$L$2,$L28,$C$7,AD$27/$O$2,($C$9-$C$8)/$N$2+AD$27/$O$2,$O$14,$C$11),"")</f>
        <v>2.560807601525994E-3</v>
      </c>
    </row>
    <row r="29" spans="1:30">
      <c r="L29" s="57">
        <f t="shared" ref="L29:L48" si="4">L28-($G$8-$G$7)/20</f>
        <v>50.75</v>
      </c>
      <c r="M29" s="96">
        <f t="shared" si="1"/>
        <v>7.1054273576010019E-11</v>
      </c>
      <c r="N29" s="93">
        <f t="shared" si="2"/>
        <v>8.1303852539349464E-8</v>
      </c>
      <c r="O29" s="93">
        <f t="shared" si="2"/>
        <v>2.5113777724072861E-6</v>
      </c>
      <c r="P29" s="93">
        <f t="shared" si="2"/>
        <v>1.8545058821928251E-5</v>
      </c>
      <c r="Q29" s="93">
        <f t="shared" si="2"/>
        <v>6.8178032108789921E-5</v>
      </c>
      <c r="R29" s="93">
        <f t="shared" si="2"/>
        <v>1.6949883274719468E-4</v>
      </c>
      <c r="S29" s="93">
        <f t="shared" si="2"/>
        <v>3.3120061360136788E-4</v>
      </c>
      <c r="T29" s="93">
        <f t="shared" si="2"/>
        <v>5.5229707029980091E-4</v>
      </c>
      <c r="U29" s="93">
        <f t="shared" si="2"/>
        <v>8.2530066336516938E-4</v>
      </c>
      <c r="V29" s="93">
        <f t="shared" si="2"/>
        <v>1.1396287291631779E-3</v>
      </c>
      <c r="W29" s="93">
        <f t="shared" si="2"/>
        <v>1.4840516371350532E-3</v>
      </c>
      <c r="X29" s="93">
        <f t="shared" si="2"/>
        <v>1.8481063790432017E-3</v>
      </c>
      <c r="Y29" s="93">
        <f t="shared" si="2"/>
        <v>2.222755473013649E-3</v>
      </c>
      <c r="Z29" s="93">
        <f t="shared" si="2"/>
        <v>2.6005792719274723E-3</v>
      </c>
      <c r="AA29" s="93">
        <f t="shared" si="2"/>
        <v>2.9757167574473442E-3</v>
      </c>
      <c r="AB29" s="93">
        <f t="shared" si="2"/>
        <v>3.3436900359617994E-3</v>
      </c>
      <c r="AC29" s="93">
        <f t="shared" si="2"/>
        <v>3.7011896836247615E-3</v>
      </c>
      <c r="AD29" s="97">
        <f t="shared" si="3"/>
        <v>4.0458621164418673E-3</v>
      </c>
    </row>
    <row r="30" spans="1:30">
      <c r="C30"/>
      <c r="L30" s="57">
        <f t="shared" si="4"/>
        <v>49</v>
      </c>
      <c r="M30" s="96">
        <f t="shared" si="1"/>
        <v>3.0908609005564358E-9</v>
      </c>
      <c r="N30" s="93">
        <f t="shared" si="2"/>
        <v>1.0510525783047342E-6</v>
      </c>
      <c r="O30" s="93">
        <f t="shared" si="2"/>
        <v>1.7043415567741249E-5</v>
      </c>
      <c r="P30" s="93">
        <f t="shared" si="2"/>
        <v>8.5992226672715333E-5</v>
      </c>
      <c r="Q30" s="93">
        <f t="shared" si="2"/>
        <v>2.4582277546869591E-4</v>
      </c>
      <c r="R30" s="93">
        <f t="shared" si="2"/>
        <v>5.112241829863251E-4</v>
      </c>
      <c r="S30" s="93">
        <f t="shared" si="2"/>
        <v>8.7429649298087497E-4</v>
      </c>
      <c r="T30" s="93">
        <f t="shared" si="2"/>
        <v>1.3148790500849827E-3</v>
      </c>
      <c r="U30" s="93">
        <f t="shared" si="2"/>
        <v>1.8094323905870624E-3</v>
      </c>
      <c r="V30" s="93">
        <f t="shared" si="2"/>
        <v>2.3360549761264338E-3</v>
      </c>
      <c r="W30" s="93">
        <f t="shared" si="2"/>
        <v>2.8765508375272475E-3</v>
      </c>
      <c r="X30" s="93">
        <f t="shared" si="2"/>
        <v>3.4168315110605363E-3</v>
      </c>
      <c r="Y30" s="93">
        <f t="shared" si="2"/>
        <v>3.946550410915961E-3</v>
      </c>
      <c r="Z30" s="93">
        <f t="shared" si="2"/>
        <v>4.45846817243023E-3</v>
      </c>
      <c r="AA30" s="93">
        <f t="shared" si="2"/>
        <v>4.9477910657458324E-3</v>
      </c>
      <c r="AB30" s="93">
        <f t="shared" si="2"/>
        <v>5.4115846914726262E-3</v>
      </c>
      <c r="AC30" s="93">
        <f t="shared" si="2"/>
        <v>5.8482905451739953E-3</v>
      </c>
      <c r="AD30" s="97">
        <f t="shared" si="3"/>
        <v>6.2573458770032175E-3</v>
      </c>
    </row>
    <row r="31" spans="1:30">
      <c r="C31"/>
      <c r="K31" s="3"/>
      <c r="L31" s="57">
        <f t="shared" si="4"/>
        <v>47.25</v>
      </c>
      <c r="M31" s="96">
        <f t="shared" si="1"/>
        <v>1.1588952020247234E-7</v>
      </c>
      <c r="N31" s="93">
        <f t="shared" si="2"/>
        <v>1.147656192301838E-5</v>
      </c>
      <c r="O31" s="93">
        <f t="shared" si="2"/>
        <v>1.0206436584780931E-4</v>
      </c>
      <c r="P31" s="93">
        <f t="shared" si="2"/>
        <v>3.6109867096456583E-4</v>
      </c>
      <c r="Q31" s="93">
        <f t="shared" si="2"/>
        <v>8.1656583716949172E-4</v>
      </c>
      <c r="R31" s="93">
        <f t="shared" si="2"/>
        <v>1.4379272172959645E-3</v>
      </c>
      <c r="S31" s="93">
        <f t="shared" si="2"/>
        <v>2.1719809062403783E-3</v>
      </c>
      <c r="T31" s="93">
        <f t="shared" si="2"/>
        <v>2.9668031942264861E-3</v>
      </c>
      <c r="U31" s="93">
        <f t="shared" si="2"/>
        <v>3.7809736852523201E-3</v>
      </c>
      <c r="V31" s="93">
        <f t="shared" si="2"/>
        <v>4.5848667262760046E-3</v>
      </c>
      <c r="W31" s="93">
        <f t="shared" si="2"/>
        <v>5.3589133841569492E-3</v>
      </c>
      <c r="X31" s="93">
        <f t="shared" si="2"/>
        <v>6.0911909827154886E-3</v>
      </c>
      <c r="Y31" s="93">
        <f t="shared" si="2"/>
        <v>6.7752361232464864E-3</v>
      </c>
      <c r="Z31" s="93">
        <f t="shared" si="2"/>
        <v>7.4083207124431283E-3</v>
      </c>
      <c r="AA31" s="93">
        <f t="shared" si="2"/>
        <v>7.9901836080864541E-3</v>
      </c>
      <c r="AB31" s="93">
        <f t="shared" si="2"/>
        <v>8.522131871302463E-3</v>
      </c>
      <c r="AC31" s="93">
        <f t="shared" si="2"/>
        <v>9.0064194324668279E-3</v>
      </c>
      <c r="AD31" s="97">
        <f t="shared" si="3"/>
        <v>9.4458259169982739E-3</v>
      </c>
    </row>
    <row r="32" spans="1:30">
      <c r="L32" s="57">
        <f t="shared" si="4"/>
        <v>45.5</v>
      </c>
      <c r="M32" s="96">
        <f t="shared" si="1"/>
        <v>3.2448888021008315E-6</v>
      </c>
      <c r="N32" s="93">
        <f t="shared" si="2"/>
        <v>1.034241847719386E-4</v>
      </c>
      <c r="O32" s="93">
        <f t="shared" si="2"/>
        <v>5.3025555502017596E-4</v>
      </c>
      <c r="P32" s="93">
        <f t="shared" si="2"/>
        <v>1.354848819801191E-3</v>
      </c>
      <c r="Q32" s="93">
        <f t="shared" si="2"/>
        <v>2.4712373303259483E-3</v>
      </c>
      <c r="R32" s="93">
        <f t="shared" si="2"/>
        <v>3.7360922000573282E-3</v>
      </c>
      <c r="S32" s="93">
        <f t="shared" si="2"/>
        <v>5.0360270620330994E-3</v>
      </c>
      <c r="T32" s="93">
        <f t="shared" si="2"/>
        <v>6.297933499155306E-3</v>
      </c>
      <c r="U32" s="93">
        <f t="shared" si="2"/>
        <v>7.4806777128344493E-3</v>
      </c>
      <c r="V32" s="93">
        <f t="shared" si="2"/>
        <v>8.564602804739252E-3</v>
      </c>
      <c r="W32" s="93">
        <f t="shared" si="2"/>
        <v>9.5433048130644238E-3</v>
      </c>
      <c r="X32" s="93">
        <f t="shared" si="2"/>
        <v>1.0418062998951427E-2</v>
      </c>
      <c r="Y32" s="93">
        <f t="shared" si="2"/>
        <v>1.1194308218165361E-2</v>
      </c>
      <c r="Z32" s="93">
        <f t="shared" si="2"/>
        <v>1.1879473404974306E-2</v>
      </c>
      <c r="AA32" s="93">
        <f t="shared" si="2"/>
        <v>1.248172353029986E-2</v>
      </c>
      <c r="AB32" s="93">
        <f t="shared" si="2"/>
        <v>1.3009231611960104E-2</v>
      </c>
      <c r="AC32" s="93">
        <f t="shared" si="2"/>
        <v>1.34697886089441E-2</v>
      </c>
      <c r="AD32" s="97">
        <f t="shared" si="3"/>
        <v>1.3870610349187018E-2</v>
      </c>
    </row>
    <row r="33" spans="2:30">
      <c r="B33"/>
      <c r="D33"/>
      <c r="L33" s="57">
        <f t="shared" si="4"/>
        <v>43.75</v>
      </c>
      <c r="M33" s="96">
        <f t="shared" si="1"/>
        <v>6.500552984789465E-5</v>
      </c>
      <c r="N33" s="93">
        <f t="shared" si="2"/>
        <v>7.4922791526432775E-4</v>
      </c>
      <c r="O33" s="93">
        <f t="shared" si="2"/>
        <v>2.3437232954393039E-3</v>
      </c>
      <c r="P33" s="93">
        <f t="shared" si="2"/>
        <v>4.4721903691424814E-3</v>
      </c>
      <c r="Q33" s="93">
        <f t="shared" si="2"/>
        <v>6.726877082030569E-3</v>
      </c>
      <c r="R33" s="93">
        <f t="shared" si="2"/>
        <v>8.8694161171076757E-3</v>
      </c>
      <c r="S33" s="93">
        <f t="shared" si="2"/>
        <v>1.0794648641621052E-2</v>
      </c>
      <c r="T33" s="93">
        <f t="shared" si="2"/>
        <v>1.2472165629162646E-2</v>
      </c>
      <c r="U33" s="93">
        <f t="shared" si="2"/>
        <v>1.3907871476703804E-2</v>
      </c>
      <c r="V33" s="93">
        <f t="shared" si="2"/>
        <v>1.5123069196931738E-2</v>
      </c>
      <c r="W33" s="93">
        <f t="shared" si="2"/>
        <v>1.6143977408233923E-2</v>
      </c>
      <c r="X33" s="93">
        <f t="shared" si="2"/>
        <v>1.6996801903701453E-2</v>
      </c>
      <c r="Y33" s="93">
        <f t="shared" si="2"/>
        <v>1.7705627435304905E-2</v>
      </c>
      <c r="Z33" s="93">
        <f t="shared" si="2"/>
        <v>1.8291695820238374E-2</v>
      </c>
      <c r="AA33" s="93">
        <f t="shared" si="2"/>
        <v>1.8773333749777521E-2</v>
      </c>
      <c r="AB33" s="93">
        <f t="shared" si="2"/>
        <v>1.9166166556061626E-2</v>
      </c>
      <c r="AC33" s="93">
        <f t="shared" si="2"/>
        <v>1.9483433604250422E-2</v>
      </c>
      <c r="AD33" s="97">
        <f t="shared" si="3"/>
        <v>1.9736321767993559E-2</v>
      </c>
    </row>
    <row r="34" spans="2:30">
      <c r="B34"/>
      <c r="L34" s="57">
        <f t="shared" si="4"/>
        <v>42</v>
      </c>
      <c r="M34" s="96">
        <f t="shared" si="1"/>
        <v>8.8891799698842533E-4</v>
      </c>
      <c r="N34" s="93">
        <f t="shared" si="2"/>
        <v>4.2318557902376597E-3</v>
      </c>
      <c r="O34" s="93">
        <f t="shared" si="2"/>
        <v>8.6161181034327683E-3</v>
      </c>
      <c r="P34" s="93">
        <f t="shared" si="2"/>
        <v>1.2755987910395561E-2</v>
      </c>
      <c r="Q34" s="93">
        <f t="shared" si="2"/>
        <v>1.6226547199238439E-2</v>
      </c>
      <c r="R34" s="93">
        <f t="shared" si="2"/>
        <v>1.8995751238648495E-2</v>
      </c>
      <c r="S34" s="93">
        <f t="shared" si="2"/>
        <v>2.1155019469532022E-2</v>
      </c>
      <c r="T34" s="93">
        <f t="shared" si="2"/>
        <v>2.2817364442317967E-2</v>
      </c>
      <c r="U34" s="93">
        <f t="shared" si="2"/>
        <v>2.4084984495686967E-2</v>
      </c>
      <c r="V34" s="93">
        <f t="shared" si="2"/>
        <v>2.5041834001982011E-2</v>
      </c>
      <c r="W34" s="93">
        <f t="shared" si="2"/>
        <v>2.5754361407948068E-2</v>
      </c>
      <c r="X34" s="93">
        <f t="shared" si="2"/>
        <v>2.6274418702953994E-2</v>
      </c>
      <c r="Y34" s="93">
        <f t="shared" si="2"/>
        <v>2.6642317010328043E-2</v>
      </c>
      <c r="Z34" s="93">
        <f t="shared" si="2"/>
        <v>2.6889439412869365E-2</v>
      </c>
      <c r="AA34" s="93">
        <f t="shared" si="2"/>
        <v>2.7040315746518218E-2</v>
      </c>
      <c r="AB34" s="93">
        <f t="shared" si="2"/>
        <v>2.7114218896784337E-2</v>
      </c>
      <c r="AC34" s="93">
        <f t="shared" si="2"/>
        <v>2.7126378707720278E-2</v>
      </c>
      <c r="AD34" s="97">
        <f t="shared" si="3"/>
        <v>2.7088900163008134E-2</v>
      </c>
    </row>
    <row r="35" spans="2:30">
      <c r="B35"/>
      <c r="L35" s="57">
        <f t="shared" si="4"/>
        <v>40.25</v>
      </c>
      <c r="M35" s="96">
        <f t="shared" si="1"/>
        <v>7.8575655582113768E-3</v>
      </c>
      <c r="N35" s="93">
        <f t="shared" si="2"/>
        <v>1.7986462950148052E-2</v>
      </c>
      <c r="O35" s="93">
        <f t="shared" si="2"/>
        <v>2.5660413358608025E-2</v>
      </c>
      <c r="P35" s="93">
        <f t="shared" si="2"/>
        <v>3.0788782083845945E-2</v>
      </c>
      <c r="Q35" s="93">
        <f t="shared" si="2"/>
        <v>3.4090195413227775E-2</v>
      </c>
      <c r="R35" s="93">
        <f t="shared" si="2"/>
        <v>3.6164627612578215E-2</v>
      </c>
      <c r="S35" s="93">
        <f t="shared" si="2"/>
        <v>3.7420508176566614E-2</v>
      </c>
      <c r="T35" s="93">
        <f t="shared" si="2"/>
        <v>3.8125451142789757E-2</v>
      </c>
      <c r="U35" s="93">
        <f t="shared" si="2"/>
        <v>3.8455113848812061E-2</v>
      </c>
      <c r="V35" s="93">
        <f t="shared" si="2"/>
        <v>3.8526372199143566E-2</v>
      </c>
      <c r="W35" s="93">
        <f t="shared" si="2"/>
        <v>3.8418294741049408E-2</v>
      </c>
      <c r="X35" s="93">
        <f t="shared" si="2"/>
        <v>3.8185261299616968E-2</v>
      </c>
      <c r="Y35" s="93">
        <f t="shared" si="2"/>
        <v>3.7865242488166473E-2</v>
      </c>
      <c r="Z35" s="93">
        <f t="shared" si="2"/>
        <v>3.7485107942103468E-2</v>
      </c>
      <c r="AA35" s="93">
        <f t="shared" si="2"/>
        <v>3.7064090214755652E-2</v>
      </c>
      <c r="AB35" s="93">
        <f t="shared" si="2"/>
        <v>3.6616085994367609E-2</v>
      </c>
      <c r="AC35" s="93">
        <f t="shared" si="2"/>
        <v>3.6151212645663122E-2</v>
      </c>
      <c r="AD35" s="97">
        <f t="shared" si="3"/>
        <v>3.5676875729251378E-2</v>
      </c>
    </row>
    <row r="36" spans="2:30">
      <c r="B36"/>
      <c r="D36" s="11"/>
      <c r="L36" s="57">
        <f t="shared" si="4"/>
        <v>38.5</v>
      </c>
      <c r="M36" s="96">
        <f t="shared" si="1"/>
        <v>4.2127744013242818E-2</v>
      </c>
      <c r="N36" s="93">
        <f t="shared" si="2"/>
        <v>5.5183228560018449E-2</v>
      </c>
      <c r="O36" s="93">
        <f t="shared" si="2"/>
        <v>6.0031405624272338E-2</v>
      </c>
      <c r="P36" s="93">
        <f t="shared" si="2"/>
        <v>6.1366288557351822E-2</v>
      </c>
      <c r="Q36" s="93">
        <f t="shared" si="2"/>
        <v>6.1125074402035295E-2</v>
      </c>
      <c r="R36" s="93">
        <f t="shared" si="2"/>
        <v>6.0154211247720468E-2</v>
      </c>
      <c r="S36" s="93">
        <f t="shared" si="2"/>
        <v>5.885056377774589E-2</v>
      </c>
      <c r="T36" s="93">
        <f t="shared" si="2"/>
        <v>5.7410534317625661E-2</v>
      </c>
      <c r="U36" s="93">
        <f t="shared" si="2"/>
        <v>5.5934737983598382E-2</v>
      </c>
      <c r="V36" s="93">
        <f t="shared" si="2"/>
        <v>5.4475427848643676E-2</v>
      </c>
      <c r="W36" s="93">
        <f t="shared" si="2"/>
        <v>5.3059392817189632E-2</v>
      </c>
      <c r="X36" s="93">
        <f t="shared" si="2"/>
        <v>5.1699604242116948E-2</v>
      </c>
      <c r="Y36" s="93">
        <f t="shared" si="2"/>
        <v>5.0401396531896125E-2</v>
      </c>
      <c r="Z36" s="93">
        <f t="shared" si="2"/>
        <v>4.916585597314338E-2</v>
      </c>
      <c r="AA36" s="93">
        <f t="shared" si="2"/>
        <v>4.7991730287577639E-2</v>
      </c>
      <c r="AB36" s="93">
        <f t="shared" si="2"/>
        <v>4.6876523338568177E-2</v>
      </c>
      <c r="AC36" s="93">
        <f t="shared" si="2"/>
        <v>4.5817130684966401E-2</v>
      </c>
      <c r="AD36" s="97">
        <f t="shared" si="3"/>
        <v>4.4810209951506863E-2</v>
      </c>
    </row>
    <row r="37" spans="2:30">
      <c r="B37"/>
      <c r="C37"/>
      <c r="D37"/>
      <c r="L37" s="57">
        <f t="shared" si="4"/>
        <v>36.75</v>
      </c>
      <c r="M37" s="96">
        <f t="shared" si="1"/>
        <v>0.12710088262757324</v>
      </c>
      <c r="N37" s="93">
        <f t="shared" si="2"/>
        <v>0.11637761236027444</v>
      </c>
      <c r="O37" s="93">
        <f t="shared" si="2"/>
        <v>0.10639063271700167</v>
      </c>
      <c r="P37" s="93">
        <f t="shared" si="2"/>
        <v>9.8133870221062125E-2</v>
      </c>
      <c r="Q37" s="93">
        <f t="shared" si="2"/>
        <v>9.1333894256528936E-2</v>
      </c>
      <c r="R37" s="93">
        <f t="shared" si="2"/>
        <v>8.5656396593414286E-2</v>
      </c>
      <c r="S37" s="93">
        <f t="shared" si="2"/>
        <v>8.0840490017664024E-2</v>
      </c>
      <c r="T37" s="93">
        <f t="shared" si="2"/>
        <v>7.6695153006234307E-2</v>
      </c>
      <c r="U37" s="93">
        <f t="shared" si="2"/>
        <v>7.3080842897255138E-2</v>
      </c>
      <c r="V37" s="93">
        <f t="shared" si="2"/>
        <v>6.9894250791513457E-2</v>
      </c>
      <c r="W37" s="93">
        <f t="shared" si="2"/>
        <v>6.7057559149930057E-2</v>
      </c>
      <c r="X37" s="93">
        <f t="shared" si="2"/>
        <v>6.45111159869316E-2</v>
      </c>
      <c r="Y37" s="93">
        <f t="shared" si="2"/>
        <v>6.2208433675436936E-2</v>
      </c>
      <c r="Z37" s="93">
        <f t="shared" si="2"/>
        <v>6.0112731459227575E-2</v>
      </c>
      <c r="AA37" s="93">
        <f t="shared" si="2"/>
        <v>5.8194506968867188E-2</v>
      </c>
      <c r="AB37" s="93">
        <f t="shared" si="2"/>
        <v>5.6429800574520073E-2</v>
      </c>
      <c r="AC37" s="93">
        <f t="shared" si="2"/>
        <v>5.4798934669975097E-2</v>
      </c>
      <c r="AD37" s="97">
        <f t="shared" si="3"/>
        <v>5.3285583114792701E-2</v>
      </c>
    </row>
    <row r="38" spans="2:30">
      <c r="B38"/>
      <c r="C38"/>
      <c r="D38"/>
      <c r="L38" s="57">
        <f t="shared" si="4"/>
        <v>35</v>
      </c>
      <c r="M38" s="96">
        <f t="shared" si="1"/>
        <v>0.19745731768661123</v>
      </c>
      <c r="N38" s="93">
        <f t="shared" si="2"/>
        <v>0.15920936661362184</v>
      </c>
      <c r="O38" s="93">
        <f t="shared" si="2"/>
        <v>0.13682917186397248</v>
      </c>
      <c r="P38" s="93">
        <f t="shared" si="2"/>
        <v>0.12168687891334073</v>
      </c>
      <c r="Q38" s="93">
        <f t="shared" si="2"/>
        <v>0.11055782715763129</v>
      </c>
      <c r="R38" s="93">
        <f t="shared" si="2"/>
        <v>0.10192692118549118</v>
      </c>
      <c r="S38" s="93">
        <f t="shared" si="2"/>
        <v>9.4975784026285481E-2</v>
      </c>
      <c r="T38" s="93">
        <f t="shared" si="2"/>
        <v>8.9218388061862441E-2</v>
      </c>
      <c r="U38" s="93">
        <f t="shared" si="2"/>
        <v>8.4345450188649806E-2</v>
      </c>
      <c r="V38" s="93">
        <f t="shared" si="2"/>
        <v>8.0149519250394263E-2</v>
      </c>
      <c r="W38" s="93">
        <f t="shared" si="2"/>
        <v>7.6485544497906233E-2</v>
      </c>
      <c r="X38" s="93">
        <f t="shared" si="2"/>
        <v>7.3248637042500064E-2</v>
      </c>
      <c r="Y38" s="93">
        <f t="shared" si="2"/>
        <v>7.0360808930303165E-2</v>
      </c>
      <c r="Z38" s="93">
        <f t="shared" si="2"/>
        <v>6.7762702724571966E-2</v>
      </c>
      <c r="AA38" s="93">
        <f t="shared" si="2"/>
        <v>6.5408228362429099E-2</v>
      </c>
      <c r="AB38" s="93">
        <f t="shared" si="2"/>
        <v>6.3260977265500173E-2</v>
      </c>
      <c r="AC38" s="93">
        <f t="shared" si="2"/>
        <v>6.1291752326830817E-2</v>
      </c>
      <c r="AD38" s="97">
        <f t="shared" si="3"/>
        <v>5.9476827987126057E-2</v>
      </c>
    </row>
    <row r="39" spans="2:30">
      <c r="B39"/>
      <c r="C39"/>
      <c r="D39"/>
      <c r="L39" s="57">
        <f t="shared" si="4"/>
        <v>33.25</v>
      </c>
      <c r="M39" s="96">
        <f t="shared" si="1"/>
        <v>0.1420877383559449</v>
      </c>
      <c r="N39" s="93">
        <f t="shared" si="2"/>
        <v>0.13185285226813281</v>
      </c>
      <c r="O39" s="93">
        <f t="shared" si="2"/>
        <v>0.1213239362746199</v>
      </c>
      <c r="P39" s="93">
        <f t="shared" si="2"/>
        <v>0.11233890278905534</v>
      </c>
      <c r="Q39" s="93">
        <f t="shared" si="2"/>
        <v>0.10482016450708009</v>
      </c>
      <c r="R39" s="93">
        <f t="shared" si="2"/>
        <v>9.8481454038346072E-2</v>
      </c>
      <c r="S39" s="93">
        <f t="shared" si="2"/>
        <v>9.306945678244638E-2</v>
      </c>
      <c r="T39" s="93">
        <f t="shared" si="2"/>
        <v>8.8389045201919814E-2</v>
      </c>
      <c r="U39" s="93">
        <f t="shared" si="2"/>
        <v>8.4293654343259306E-2</v>
      </c>
      <c r="V39" s="93">
        <f t="shared" si="2"/>
        <v>8.0672836577644347E-2</v>
      </c>
      <c r="W39" s="93">
        <f t="shared" si="2"/>
        <v>7.7442364705415656E-2</v>
      </c>
      <c r="X39" s="93">
        <f t="shared" si="2"/>
        <v>7.4537083094572409E-2</v>
      </c>
      <c r="Y39" s="93">
        <f t="shared" si="2"/>
        <v>7.1905858334275763E-2</v>
      </c>
      <c r="Z39" s="93">
        <f t="shared" si="2"/>
        <v>6.9508008035956692E-2</v>
      </c>
      <c r="AA39" s="93">
        <f t="shared" si="2"/>
        <v>6.7310751559190862E-2</v>
      </c>
      <c r="AB39" s="93">
        <f t="shared" si="2"/>
        <v>6.5287366812771808E-2</v>
      </c>
      <c r="AC39" s="93">
        <f t="shared" si="2"/>
        <v>6.3415836846214546E-2</v>
      </c>
      <c r="AD39" s="97">
        <f t="shared" si="3"/>
        <v>6.1677845695218281E-2</v>
      </c>
    </row>
    <row r="40" spans="2:30">
      <c r="B40"/>
      <c r="C40"/>
      <c r="D40"/>
      <c r="L40" s="57">
        <f t="shared" si="4"/>
        <v>31.5</v>
      </c>
      <c r="M40" s="96">
        <f t="shared" si="1"/>
        <v>4.1699043853080098E-2</v>
      </c>
      <c r="N40" s="93">
        <f t="shared" si="2"/>
        <v>6.0834971943729554E-2</v>
      </c>
      <c r="O40" s="93">
        <f t="shared" si="2"/>
        <v>6.9734970305351807E-2</v>
      </c>
      <c r="P40" s="93">
        <f t="shared" si="2"/>
        <v>7.3524309460448745E-2</v>
      </c>
      <c r="Q40" s="93">
        <f t="shared" si="2"/>
        <v>7.4746130710734437E-2</v>
      </c>
      <c r="R40" s="93">
        <f t="shared" si="2"/>
        <v>7.4632662578344444E-2</v>
      </c>
      <c r="S40" s="93">
        <f t="shared" si="2"/>
        <v>7.3809380337075403E-2</v>
      </c>
      <c r="T40" s="93">
        <f t="shared" si="2"/>
        <v>7.260950865506377E-2</v>
      </c>
      <c r="U40" s="93">
        <f t="shared" si="2"/>
        <v>7.1217728778716349E-2</v>
      </c>
      <c r="V40" s="93">
        <f t="shared" si="2"/>
        <v>6.9739409659375085E-2</v>
      </c>
      <c r="W40" s="93">
        <f t="shared" si="2"/>
        <v>6.8235773652558507E-2</v>
      </c>
      <c r="X40" s="93">
        <f t="shared" si="2"/>
        <v>6.674262094774619E-2</v>
      </c>
      <c r="Y40" s="93">
        <f t="shared" si="2"/>
        <v>6.5280710168647005E-2</v>
      </c>
      <c r="Z40" s="93">
        <f t="shared" si="2"/>
        <v>6.3861715370316929E-2</v>
      </c>
      <c r="AA40" s="93">
        <f t="shared" si="2"/>
        <v>6.2491743907377995E-2</v>
      </c>
      <c r="AB40" s="93">
        <f t="shared" si="2"/>
        <v>6.1173465578656661E-2</v>
      </c>
      <c r="AC40" s="93">
        <f t="shared" si="2"/>
        <v>5.9907426070981984E-2</v>
      </c>
      <c r="AD40" s="97">
        <f t="shared" si="3"/>
        <v>5.8692870832377508E-2</v>
      </c>
    </row>
    <row r="41" spans="2:30">
      <c r="B41"/>
      <c r="C41"/>
      <c r="D41"/>
      <c r="L41" s="57">
        <f t="shared" si="4"/>
        <v>29.75</v>
      </c>
      <c r="M41" s="96">
        <f t="shared" si="1"/>
        <v>4.2773506646700578E-3</v>
      </c>
      <c r="N41" s="93">
        <f t="shared" si="2"/>
        <v>1.4139011906642157E-2</v>
      </c>
      <c r="O41" s="93">
        <f t="shared" si="2"/>
        <v>2.4112980267568251E-2</v>
      </c>
      <c r="P41" s="93">
        <f t="shared" si="2"/>
        <v>3.2150195151889327E-2</v>
      </c>
      <c r="Q41" s="93">
        <f t="shared" si="2"/>
        <v>3.81652835974855E-2</v>
      </c>
      <c r="R41" s="93">
        <f t="shared" si="2"/>
        <v>4.253919654195748E-2</v>
      </c>
      <c r="S41" s="93">
        <f t="shared" si="2"/>
        <v>4.5670851654966427E-2</v>
      </c>
      <c r="T41" s="93">
        <f t="shared" si="2"/>
        <v>4.78809923334933E-2</v>
      </c>
      <c r="U41" s="93">
        <f t="shared" si="2"/>
        <v>4.9409371412068026E-2</v>
      </c>
      <c r="V41" s="93">
        <f t="shared" si="2"/>
        <v>5.0431368973924418E-2</v>
      </c>
      <c r="W41" s="93">
        <f t="shared" si="2"/>
        <v>5.107491378608664E-2</v>
      </c>
      <c r="X41" s="93">
        <f t="shared" si="2"/>
        <v>5.1433776316334168E-2</v>
      </c>
      <c r="Y41" s="93">
        <f t="shared" si="2"/>
        <v>5.1577241668154805E-2</v>
      </c>
      <c r="Z41" s="93">
        <f t="shared" si="2"/>
        <v>5.1556970523947143E-2</v>
      </c>
      <c r="AA41" s="93">
        <f t="shared" si="2"/>
        <v>5.141183846923969E-2</v>
      </c>
      <c r="AB41" s="93">
        <f t="shared" si="2"/>
        <v>5.1171359072288425E-2</v>
      </c>
      <c r="AC41" s="93">
        <f t="shared" si="2"/>
        <v>5.0858122273567119E-2</v>
      </c>
      <c r="AD41" s="97">
        <f t="shared" si="3"/>
        <v>5.048954871633704E-2</v>
      </c>
    </row>
    <row r="42" spans="2:30">
      <c r="B42"/>
      <c r="C42"/>
      <c r="D42"/>
      <c r="L42" s="57">
        <f t="shared" si="4"/>
        <v>28</v>
      </c>
      <c r="M42" s="96">
        <f t="shared" si="1"/>
        <v>1.2696704586047494E-4</v>
      </c>
      <c r="N42" s="93">
        <f t="shared" si="2"/>
        <v>1.4633485935651967E-3</v>
      </c>
      <c r="O42" s="93">
        <f t="shared" si="2"/>
        <v>4.5776034223463449E-3</v>
      </c>
      <c r="P42" s="93">
        <f t="shared" si="2"/>
        <v>8.7347653509976808E-3</v>
      </c>
      <c r="Q42" s="93">
        <f t="shared" si="2"/>
        <v>1.3138446907801776E-2</v>
      </c>
      <c r="R42" s="93">
        <f t="shared" si="2"/>
        <v>1.7323088747633886E-2</v>
      </c>
      <c r="S42" s="93">
        <f t="shared" si="2"/>
        <v>2.108330398015168E-2</v>
      </c>
      <c r="T42" s="93">
        <f t="shared" si="2"/>
        <v>2.43597005031293E-2</v>
      </c>
      <c r="U42" s="93">
        <f t="shared" si="2"/>
        <v>2.7163809972474695E-2</v>
      </c>
      <c r="V42" s="93">
        <f t="shared" si="2"/>
        <v>2.9537240466975812E-2</v>
      </c>
      <c r="W42" s="93">
        <f t="shared" si="2"/>
        <v>3.1531199964074386E-2</v>
      </c>
      <c r="X42" s="93">
        <f t="shared" si="2"/>
        <v>3.3196871123131189E-2</v>
      </c>
      <c r="Y42" s="93">
        <f t="shared" si="2"/>
        <v>3.4581294956204101E-2</v>
      </c>
      <c r="Z42" s="93">
        <f t="shared" si="2"/>
        <v>3.5725958819898818E-2</v>
      </c>
      <c r="AA42" s="93">
        <f t="shared" si="2"/>
        <v>3.6666657341200004E-2</v>
      </c>
      <c r="AB42" s="93">
        <f t="shared" si="2"/>
        <v>3.7433908455231091E-2</v>
      </c>
      <c r="AC42" s="93">
        <f t="shared" si="2"/>
        <v>3.8053570340090825E-2</v>
      </c>
      <c r="AD42" s="97">
        <f t="shared" si="3"/>
        <v>3.8547492218765633E-2</v>
      </c>
    </row>
    <row r="43" spans="2:30">
      <c r="B43"/>
      <c r="C43"/>
      <c r="D43"/>
      <c r="L43" s="57">
        <f t="shared" si="4"/>
        <v>26.25</v>
      </c>
      <c r="M43" s="96">
        <f t="shared" si="1"/>
        <v>8.6341044187959621E-7</v>
      </c>
      <c r="N43" s="93">
        <f t="shared" si="2"/>
        <v>5.7903178042852452E-5</v>
      </c>
      <c r="O43" s="93">
        <f t="shared" si="2"/>
        <v>4.2607151638329559E-4</v>
      </c>
      <c r="P43" s="93">
        <f t="shared" si="2"/>
        <v>1.3477606022058511E-3</v>
      </c>
      <c r="Q43" s="93">
        <f t="shared" si="2"/>
        <v>2.8305441248733035E-3</v>
      </c>
      <c r="R43" s="93">
        <f t="shared" si="2"/>
        <v>4.7296530321459113E-3</v>
      </c>
      <c r="S43" s="93">
        <f t="shared" si="2"/>
        <v>6.8697189522810148E-3</v>
      </c>
      <c r="T43" s="93">
        <f t="shared" si="2"/>
        <v>9.1031027748753046E-3</v>
      </c>
      <c r="U43" s="93">
        <f t="shared" si="2"/>
        <v>1.1323696496277902E-2</v>
      </c>
      <c r="V43" s="93">
        <f t="shared" si="2"/>
        <v>1.3462529922618482E-2</v>
      </c>
      <c r="W43" s="93">
        <f t="shared" si="2"/>
        <v>1.5478763082180103E-2</v>
      </c>
      <c r="X43" s="93">
        <f t="shared" si="2"/>
        <v>1.73511914844382E-2</v>
      </c>
      <c r="Y43" s="93">
        <f t="shared" si="2"/>
        <v>1.9071627762601295E-2</v>
      </c>
      <c r="Z43" s="93">
        <f t="shared" si="2"/>
        <v>2.064015650296569E-2</v>
      </c>
      <c r="AA43" s="93">
        <f t="shared" si="2"/>
        <v>2.2061880804863376E-2</v>
      </c>
      <c r="AB43" s="93">
        <f t="shared" si="2"/>
        <v>2.3344754555426617E-2</v>
      </c>
      <c r="AC43" s="93">
        <f t="shared" ref="AC43:AC48" si="5">IF($P$6=1,$M$2*EEnergySwaptionApproximation($M$6,$L$2,$L43,$C$7,AC$27/$O$2,($C$9-$C$8)/$N$2+AC$27/$O$2,$O$14,$C$11),"")</f>
        <v>2.449816968813634E-2</v>
      </c>
      <c r="AD43" s="97">
        <f t="shared" si="3"/>
        <v>2.5532055546867438E-2</v>
      </c>
    </row>
    <row r="44" spans="2:30">
      <c r="B44"/>
      <c r="C44"/>
      <c r="D44"/>
      <c r="L44" s="57">
        <f t="shared" si="4"/>
        <v>24.5</v>
      </c>
      <c r="M44" s="96">
        <f t="shared" si="1"/>
        <v>1.0039576971684735E-9</v>
      </c>
      <c r="N44" s="93">
        <f t="shared" ref="N44:AB44" si="6">IF($P$6=1,$M$2*EEnergySwaptionApproximation($M$6,$L$2,$L44,$C$7,N$27/$O$2,($C$9-$C$8)/$N$2+N$27/$O$2,$O$14,$C$11),"")</f>
        <v>7.2366954474874325E-7</v>
      </c>
      <c r="O44" s="93">
        <f t="shared" si="6"/>
        <v>1.6875614538504215E-5</v>
      </c>
      <c r="P44" s="93">
        <f t="shared" si="6"/>
        <v>1.0553590057954786E-4</v>
      </c>
      <c r="Q44" s="93">
        <f t="shared" si="6"/>
        <v>3.4764523489891905E-4</v>
      </c>
      <c r="R44" s="93">
        <f t="shared" si="6"/>
        <v>7.9950788549288873E-4</v>
      </c>
      <c r="S44" s="93">
        <f t="shared" si="6"/>
        <v>1.4739725362499824E-3</v>
      </c>
      <c r="T44" s="93">
        <f t="shared" si="6"/>
        <v>2.3496142007918032E-3</v>
      </c>
      <c r="U44" s="93">
        <f t="shared" si="6"/>
        <v>3.3870403161068846E-3</v>
      </c>
      <c r="V44" s="93">
        <f t="shared" si="6"/>
        <v>4.541760011134155E-3</v>
      </c>
      <c r="W44" s="93">
        <f t="shared" si="6"/>
        <v>5.7717408171939488E-3</v>
      </c>
      <c r="X44" s="93">
        <f t="shared" si="6"/>
        <v>7.0408829903889636E-3</v>
      </c>
      <c r="Y44" s="93">
        <f t="shared" si="6"/>
        <v>8.320015313211665E-3</v>
      </c>
      <c r="Z44" s="93">
        <f t="shared" si="6"/>
        <v>9.5866044401426986E-3</v>
      </c>
      <c r="AA44" s="93">
        <f t="shared" si="6"/>
        <v>1.082390810262096E-2</v>
      </c>
      <c r="AB44" s="93">
        <f t="shared" si="6"/>
        <v>1.2019970779715561E-2</v>
      </c>
      <c r="AC44" s="93">
        <f t="shared" si="5"/>
        <v>1.316665701717179E-2</v>
      </c>
      <c r="AD44" s="97">
        <f t="shared" si="3"/>
        <v>1.425880393986223E-2</v>
      </c>
    </row>
    <row r="45" spans="2:30">
      <c r="B45"/>
      <c r="C45"/>
      <c r="D45"/>
      <c r="L45" s="57">
        <f t="shared" si="4"/>
        <v>22.75</v>
      </c>
      <c r="M45" s="96">
        <f t="shared" ref="M45:AB48" si="7">IF($P$6=1,$M$2*EEnergySwaptionApproximation($M$6,$L$2,$L45,$C$7,M$27/$O$2,($C$9-$C$8)/$N$2+M$27/$O$2,$O$14,$C$11),"")</f>
        <v>1.3769491533231158E-13</v>
      </c>
      <c r="N45" s="93">
        <f t="shared" si="7"/>
        <v>2.2416345983076824E-9</v>
      </c>
      <c r="O45" s="93">
        <f t="shared" si="7"/>
        <v>2.3760698899312681E-7</v>
      </c>
      <c r="P45" s="93">
        <f t="shared" si="7"/>
        <v>3.635534536463444E-6</v>
      </c>
      <c r="Q45" s="93">
        <f t="shared" si="7"/>
        <v>2.1622538651085586E-5</v>
      </c>
      <c r="R45" s="93">
        <f t="shared" si="7"/>
        <v>7.5630732781536817E-5</v>
      </c>
      <c r="S45" s="93">
        <f t="shared" si="7"/>
        <v>1.90678945883357E-4</v>
      </c>
      <c r="T45" s="93">
        <f t="shared" si="7"/>
        <v>3.8740193306091185E-4</v>
      </c>
      <c r="U45" s="93">
        <f t="shared" si="7"/>
        <v>6.7768893970978576E-4</v>
      </c>
      <c r="V45" s="93">
        <f t="shared" si="7"/>
        <v>1.0642465559653706E-3</v>
      </c>
      <c r="W45" s="93">
        <f t="shared" si="7"/>
        <v>1.5423801108397153E-3</v>
      </c>
      <c r="X45" s="93">
        <f t="shared" si="7"/>
        <v>2.10243759195608E-3</v>
      </c>
      <c r="Y45" s="93">
        <f t="shared" si="7"/>
        <v>2.7320527133277081E-3</v>
      </c>
      <c r="Z45" s="93">
        <f t="shared" si="7"/>
        <v>3.4178668220467834E-3</v>
      </c>
      <c r="AA45" s="93">
        <f t="shared" si="7"/>
        <v>4.1467028003699946E-3</v>
      </c>
      <c r="AB45" s="93">
        <f t="shared" si="7"/>
        <v>4.9062831274267193E-3</v>
      </c>
      <c r="AC45" s="93">
        <f t="shared" si="5"/>
        <v>5.6856113754208404E-3</v>
      </c>
      <c r="AD45" s="97">
        <f t="shared" si="3"/>
        <v>6.4751244605899816E-3</v>
      </c>
    </row>
    <row r="46" spans="2:30">
      <c r="B46"/>
      <c r="C46"/>
      <c r="D46"/>
      <c r="L46" s="57">
        <f t="shared" si="4"/>
        <v>21</v>
      </c>
      <c r="M46" s="96">
        <f t="shared" si="7"/>
        <v>1.3799371413872948E-18</v>
      </c>
      <c r="N46" s="93">
        <f t="shared" si="7"/>
        <v>1.2588704842955059E-12</v>
      </c>
      <c r="O46" s="93">
        <f t="shared" si="7"/>
        <v>9.4306463785694547E-10</v>
      </c>
      <c r="P46" s="93">
        <f t="shared" si="7"/>
        <v>4.5823865113617294E-8</v>
      </c>
      <c r="Q46" s="93">
        <f t="shared" si="7"/>
        <v>5.8456869816782946E-7</v>
      </c>
      <c r="R46" s="93">
        <f t="shared" si="7"/>
        <v>3.5141359043931459E-6</v>
      </c>
      <c r="S46" s="93">
        <f t="shared" si="7"/>
        <v>1.3273596275355039E-5</v>
      </c>
      <c r="T46" s="93">
        <f t="shared" si="7"/>
        <v>3.6890210347566711E-5</v>
      </c>
      <c r="U46" s="93">
        <f t="shared" si="7"/>
        <v>8.2856170708172608E-5</v>
      </c>
      <c r="V46" s="93">
        <f t="shared" si="7"/>
        <v>1.5956771413715804E-4</v>
      </c>
      <c r="W46" s="93">
        <f t="shared" si="7"/>
        <v>2.7402896035888221E-4</v>
      </c>
      <c r="X46" s="93">
        <f t="shared" si="7"/>
        <v>4.3111576380756682E-4</v>
      </c>
      <c r="Y46" s="93">
        <f t="shared" si="7"/>
        <v>6.3337272894958482E-4</v>
      </c>
      <c r="Z46" s="93">
        <f t="shared" si="7"/>
        <v>8.8118135274108632E-4</v>
      </c>
      <c r="AA46" s="93">
        <f t="shared" si="7"/>
        <v>1.1731273029044753E-3</v>
      </c>
      <c r="AB46" s="93">
        <f t="shared" si="7"/>
        <v>1.5064362304871397E-3</v>
      </c>
      <c r="AC46" s="93">
        <f t="shared" si="5"/>
        <v>1.8773966616340496E-3</v>
      </c>
      <c r="AD46" s="97">
        <f t="shared" si="3"/>
        <v>2.2817280360618031E-3</v>
      </c>
    </row>
    <row r="47" spans="2:30">
      <c r="B47"/>
      <c r="C47"/>
      <c r="D47"/>
      <c r="L47" s="57">
        <f t="shared" si="4"/>
        <v>19.25</v>
      </c>
      <c r="M47" s="96">
        <f t="shared" si="7"/>
        <v>5.3879880482002984E-25</v>
      </c>
      <c r="N47" s="93">
        <f t="shared" si="7"/>
        <v>8.5004869356900905E-17</v>
      </c>
      <c r="O47" s="93">
        <f t="shared" si="7"/>
        <v>7.7802454601382425E-13</v>
      </c>
      <c r="P47" s="93">
        <f t="shared" si="7"/>
        <v>1.65904646623207E-10</v>
      </c>
      <c r="Q47" s="93">
        <f t="shared" si="7"/>
        <v>5.6204890101174467E-9</v>
      </c>
      <c r="R47" s="93">
        <f t="shared" si="7"/>
        <v>6.7574502639807331E-8</v>
      </c>
      <c r="S47" s="93">
        <f t="shared" si="7"/>
        <v>4.2821575375698557E-7</v>
      </c>
      <c r="T47" s="93">
        <f t="shared" si="7"/>
        <v>1.7771963953902148E-6</v>
      </c>
      <c r="U47" s="93">
        <f t="shared" si="7"/>
        <v>5.4963975771480762E-6</v>
      </c>
      <c r="V47" s="93">
        <f t="shared" si="7"/>
        <v>1.3743894499589938E-5</v>
      </c>
      <c r="W47" s="93">
        <f t="shared" si="7"/>
        <v>2.9328796959205241E-5</v>
      </c>
      <c r="X47" s="93">
        <f t="shared" si="7"/>
        <v>5.5435357126514288E-5</v>
      </c>
      <c r="Y47" s="93">
        <f t="shared" si="7"/>
        <v>9.5295280973613965E-5</v>
      </c>
      <c r="Z47" s="93">
        <f t="shared" si="7"/>
        <v>1.518912255308669E-4</v>
      </c>
      <c r="AA47" s="93">
        <f t="shared" si="7"/>
        <v>2.2773740137601401E-4</v>
      </c>
      <c r="AB47" s="93">
        <f t="shared" si="7"/>
        <v>3.2474965793436762E-4</v>
      </c>
      <c r="AC47" s="93">
        <f t="shared" si="5"/>
        <v>4.4419616186729214E-4</v>
      </c>
      <c r="AD47" s="97">
        <f t="shared" si="3"/>
        <v>5.8671015719380382E-4</v>
      </c>
    </row>
    <row r="48" spans="2:30" ht="13.5" thickBot="1">
      <c r="B48"/>
      <c r="C48"/>
      <c r="D48"/>
      <c r="L48" s="58">
        <f t="shared" si="4"/>
        <v>17.5</v>
      </c>
      <c r="M48" s="98">
        <f t="shared" si="7"/>
        <v>3.5255204613029428E-33</v>
      </c>
      <c r="N48" s="99">
        <f t="shared" si="7"/>
        <v>3.9781313953611121E-22</v>
      </c>
      <c r="O48" s="99">
        <f t="shared" si="7"/>
        <v>8.8651931185600655E-17</v>
      </c>
      <c r="P48" s="99">
        <f t="shared" si="7"/>
        <v>1.2468973657375474E-13</v>
      </c>
      <c r="Q48" s="99">
        <f t="shared" si="7"/>
        <v>1.4681842563813254E-11</v>
      </c>
      <c r="R48" s="99">
        <f t="shared" si="7"/>
        <v>4.2731708739283465E-10</v>
      </c>
      <c r="S48" s="99">
        <f t="shared" si="7"/>
        <v>5.2390116193028388E-9</v>
      </c>
      <c r="T48" s="99">
        <f t="shared" si="7"/>
        <v>3.626205923731064E-8</v>
      </c>
      <c r="U48" s="99">
        <f t="shared" si="7"/>
        <v>1.6865548919856382E-7</v>
      </c>
      <c r="V48" s="99">
        <f t="shared" si="7"/>
        <v>5.8842306253004099E-7</v>
      </c>
      <c r="W48" s="99">
        <f t="shared" si="7"/>
        <v>1.6565205953194835E-6</v>
      </c>
      <c r="X48" s="99">
        <f t="shared" si="7"/>
        <v>3.9567759622619244E-6</v>
      </c>
      <c r="Y48" s="99">
        <f t="shared" si="7"/>
        <v>8.3107493732191445E-6</v>
      </c>
      <c r="Z48" s="99">
        <f t="shared" si="7"/>
        <v>1.5755319773917212E-5</v>
      </c>
      <c r="AA48" s="99">
        <f t="shared" si="7"/>
        <v>2.7489896706787092E-5</v>
      </c>
      <c r="AB48" s="99">
        <f t="shared" si="7"/>
        <v>4.48058109446989E-5</v>
      </c>
      <c r="AC48" s="99">
        <f t="shared" si="5"/>
        <v>6.9010891284838026E-5</v>
      </c>
      <c r="AD48" s="100">
        <f t="shared" si="3"/>
        <v>1.0135954528418855E-4</v>
      </c>
    </row>
    <row r="49" spans="2:4">
      <c r="B49"/>
      <c r="C49"/>
      <c r="D49"/>
    </row>
    <row r="50" spans="2:4">
      <c r="B50"/>
      <c r="C50"/>
      <c r="D50"/>
    </row>
  </sheetData>
  <phoneticPr fontId="20"/>
  <printOptions gridLinesSet="0"/>
  <pageMargins left="0.75" right="0.75" top="0.75" bottom="0.75" header="0.5" footer="0.5"/>
  <pageSetup scale="85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6561" r:id="rId4" name="Drop Down 1">
              <controlPr defaultSize="0" autoFill="0" autoLine="0" autoPict="0">
                <anchor moveWithCells="1">
                  <from>
                    <xdr:col>2</xdr:col>
                    <xdr:colOff>695325</xdr:colOff>
                    <xdr:row>3</xdr:row>
                    <xdr:rowOff>85725</xdr:rowOff>
                  </from>
                  <to>
                    <xdr:col>3</xdr:col>
                    <xdr:colOff>0</xdr:colOff>
                    <xdr:row>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2" r:id="rId5" name="Drop Down 2">
              <controlPr defaultSize="0" autoLine="0" autoPict="0">
                <anchor moveWithCells="1">
                  <from>
                    <xdr:col>6</xdr:col>
                    <xdr:colOff>400050</xdr:colOff>
                    <xdr:row>3</xdr:row>
                    <xdr:rowOff>76200</xdr:rowOff>
                  </from>
                  <to>
                    <xdr:col>7</xdr:col>
                    <xdr:colOff>228600</xdr:colOff>
                    <xdr:row>4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4" r:id="rId6" name="Drop Down 4">
              <controlPr defaultSize="0" autoFill="0" autoLine="0" autoPict="0">
                <anchor moveWithCells="1">
                  <from>
                    <xdr:col>2</xdr:col>
                    <xdr:colOff>28575</xdr:colOff>
                    <xdr:row>3</xdr:row>
                    <xdr:rowOff>85725</xdr:rowOff>
                  </from>
                  <to>
                    <xdr:col>2</xdr:col>
                    <xdr:colOff>685800</xdr:colOff>
                    <xdr:row>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5" r:id="rId7" name="Drop Down 5">
              <controlPr defaultSize="0" autoFill="0" autoLine="0" autoPict="0">
                <anchor moveWithCells="1">
                  <from>
                    <xdr:col>1</xdr:col>
                    <xdr:colOff>847725</xdr:colOff>
                    <xdr:row>3</xdr:row>
                    <xdr:rowOff>85725</xdr:rowOff>
                  </from>
                  <to>
                    <xdr:col>1</xdr:col>
                    <xdr:colOff>1504950</xdr:colOff>
                    <xdr:row>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6" r:id="rId8" name="Drop Down 6">
              <controlPr defaultSize="0" autoFill="0" autoLine="0" autoPict="0">
                <anchor moveWithCells="1">
                  <from>
                    <xdr:col>8</xdr:col>
                    <xdr:colOff>76200</xdr:colOff>
                    <xdr:row>3</xdr:row>
                    <xdr:rowOff>76200</xdr:rowOff>
                  </from>
                  <to>
                    <xdr:col>9</xdr:col>
                    <xdr:colOff>0</xdr:colOff>
                    <xdr:row>4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7" r:id="rId9" name="Drop Down 7">
              <controlPr defaultSize="0" autoLine="0" autoPict="0">
                <anchor moveWithCells="1">
                  <from>
                    <xdr:col>3</xdr:col>
                    <xdr:colOff>0</xdr:colOff>
                    <xdr:row>8</xdr:row>
                    <xdr:rowOff>114300</xdr:rowOff>
                  </from>
                  <to>
                    <xdr:col>3</xdr:col>
                    <xdr:colOff>1009650</xdr:colOff>
                    <xdr:row>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9" r:id="rId10" name="Drop Down 9">
              <controlPr defaultSize="0" autoLine="0" autoPict="0">
                <anchor moveWithCells="1">
                  <from>
                    <xdr:col>6</xdr:col>
                    <xdr:colOff>409575</xdr:colOff>
                    <xdr:row>2</xdr:row>
                    <xdr:rowOff>104775</xdr:rowOff>
                  </from>
                  <to>
                    <xdr:col>7</xdr:col>
                    <xdr:colOff>161925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70" r:id="rId11" name="Drop Down 10">
              <controlPr defaultSize="0" autoLine="0" autoPict="0">
                <anchor moveWithCells="1">
                  <from>
                    <xdr:col>3</xdr:col>
                    <xdr:colOff>85725</xdr:colOff>
                    <xdr:row>14</xdr:row>
                    <xdr:rowOff>9525</xdr:rowOff>
                  </from>
                  <to>
                    <xdr:col>3</xdr:col>
                    <xdr:colOff>781050</xdr:colOff>
                    <xdr:row>15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Index</vt:lpstr>
      <vt:lpstr>1.Black-76</vt:lpstr>
      <vt:lpstr>2.Black-76 modified</vt:lpstr>
      <vt:lpstr>3.EnergySwaption</vt:lpstr>
      <vt:lpstr>4.EnergySwaptionApprox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2018-10-15T01:11:06Z</dcterms:created>
  <dcterms:modified xsi:type="dcterms:W3CDTF">2018-10-15T01:13:33Z</dcterms:modified>
</cp:coreProperties>
</file>