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505043_polimi_it/Documents/"/>
    </mc:Choice>
  </mc:AlternateContent>
  <xr:revisionPtr revIDLastSave="623" documentId="8_{66912F06-A558-4243-8554-52AE07913E7A}" xr6:coauthVersionLast="47" xr6:coauthVersionMax="47" xr10:uidLastSave="{5A50E0ED-2F92-4D9F-80F3-25237B19625E}"/>
  <bookViews>
    <workbookView xWindow="-120" yWindow="-120" windowWidth="20730" windowHeight="11160" activeTab="1" xr2:uid="{0B4077C2-E367-4848-80E1-A10E73C41E0A}"/>
  </bookViews>
  <sheets>
    <sheet name="Chi-Squared Test" sheetId="2" r:id="rId1"/>
    <sheet name="Z-Te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" i="1" l="1"/>
  <c r="K42" i="1"/>
  <c r="L42" i="1"/>
  <c r="M42" i="1" s="1"/>
  <c r="M46" i="1"/>
  <c r="X27" i="1"/>
  <c r="Y27" i="1" s="1"/>
  <c r="W27" i="1"/>
  <c r="M45" i="1"/>
  <c r="K49" i="1"/>
  <c r="J49" i="1"/>
  <c r="E51" i="1"/>
  <c r="W38" i="1"/>
  <c r="N42" i="1"/>
  <c r="N43" i="1"/>
  <c r="N44" i="1"/>
  <c r="N45" i="1"/>
  <c r="N46" i="1"/>
  <c r="N47" i="1"/>
  <c r="I42" i="1"/>
  <c r="I43" i="1"/>
  <c r="I44" i="1"/>
  <c r="I45" i="1"/>
  <c r="I46" i="1"/>
  <c r="I47" i="1"/>
  <c r="G42" i="1"/>
  <c r="G43" i="1"/>
  <c r="G44" i="1"/>
  <c r="G45" i="1"/>
  <c r="G46" i="1"/>
  <c r="G47" i="1"/>
  <c r="E42" i="1"/>
  <c r="E43" i="1"/>
  <c r="E44" i="1"/>
  <c r="E45" i="1"/>
  <c r="E46" i="1"/>
  <c r="E47" i="1"/>
  <c r="C42" i="1"/>
  <c r="C43" i="1"/>
  <c r="J43" i="1" s="1"/>
  <c r="C44" i="1"/>
  <c r="J44" i="1" s="1"/>
  <c r="C45" i="1"/>
  <c r="C46" i="1"/>
  <c r="C47" i="1"/>
  <c r="J47" i="1" s="1"/>
  <c r="H47" i="1"/>
  <c r="F47" i="1"/>
  <c r="D47" i="1"/>
  <c r="B47" i="1"/>
  <c r="H46" i="1"/>
  <c r="F46" i="1"/>
  <c r="D46" i="1"/>
  <c r="H45" i="1"/>
  <c r="F45" i="1"/>
  <c r="D45" i="1"/>
  <c r="B45" i="1"/>
  <c r="H44" i="1"/>
  <c r="D44" i="1"/>
  <c r="B44" i="1"/>
  <c r="H43" i="1"/>
  <c r="F43" i="1"/>
  <c r="D43" i="1"/>
  <c r="B43" i="1"/>
  <c r="B42" i="1"/>
  <c r="H42" i="1"/>
  <c r="B46" i="1"/>
  <c r="F42" i="1"/>
  <c r="F44" i="1"/>
  <c r="D42" i="1"/>
  <c r="A2" i="2"/>
  <c r="B2" i="2"/>
  <c r="B4" i="2"/>
  <c r="B7" i="2" s="1"/>
  <c r="A7" i="2"/>
  <c r="B10" i="2" s="1"/>
  <c r="Q41" i="1"/>
  <c r="L33" i="1"/>
  <c r="X28" i="1"/>
  <c r="X29" i="1"/>
  <c r="X30" i="1"/>
  <c r="X31" i="1"/>
  <c r="X32" i="1"/>
  <c r="X33" i="1"/>
  <c r="X34" i="1"/>
  <c r="X35" i="1"/>
  <c r="X36" i="1"/>
  <c r="X37" i="1"/>
  <c r="X38" i="1"/>
  <c r="P32" i="1"/>
  <c r="S32" i="1" s="1"/>
  <c r="O34" i="1"/>
  <c r="O29" i="1"/>
  <c r="O30" i="1"/>
  <c r="O27" i="1"/>
  <c r="O28" i="1"/>
  <c r="O35" i="1"/>
  <c r="O36" i="1"/>
  <c r="O37" i="1"/>
  <c r="O31" i="1"/>
  <c r="O38" i="1"/>
  <c r="N34" i="1"/>
  <c r="N29" i="1"/>
  <c r="N30" i="1"/>
  <c r="N27" i="1"/>
  <c r="N28" i="1"/>
  <c r="N35" i="1"/>
  <c r="N36" i="1"/>
  <c r="N37" i="1"/>
  <c r="N31" i="1"/>
  <c r="N38" i="1"/>
  <c r="M34" i="1"/>
  <c r="M29" i="1"/>
  <c r="M30" i="1"/>
  <c r="M27" i="1"/>
  <c r="M28" i="1"/>
  <c r="M35" i="1"/>
  <c r="M36" i="1"/>
  <c r="M37" i="1"/>
  <c r="M31" i="1"/>
  <c r="M38" i="1"/>
  <c r="O33" i="1"/>
  <c r="N33" i="1"/>
  <c r="K33" i="1"/>
  <c r="M33" i="1"/>
  <c r="J33" i="1"/>
  <c r="L34" i="1"/>
  <c r="L29" i="1"/>
  <c r="L30" i="1"/>
  <c r="L27" i="1"/>
  <c r="L28" i="1"/>
  <c r="L35" i="1"/>
  <c r="L36" i="1"/>
  <c r="L37" i="1"/>
  <c r="L31" i="1"/>
  <c r="L38" i="1"/>
  <c r="K34" i="1"/>
  <c r="K29" i="1"/>
  <c r="K30" i="1"/>
  <c r="K27" i="1"/>
  <c r="K28" i="1"/>
  <c r="K35" i="1"/>
  <c r="K36" i="1"/>
  <c r="K37" i="1"/>
  <c r="K31" i="1"/>
  <c r="K38" i="1"/>
  <c r="J34" i="1"/>
  <c r="J29" i="1"/>
  <c r="J30" i="1"/>
  <c r="J27" i="1"/>
  <c r="J28" i="1"/>
  <c r="J35" i="1"/>
  <c r="J36" i="1"/>
  <c r="J37" i="1"/>
  <c r="J31" i="1"/>
  <c r="J38" i="1"/>
  <c r="I33" i="1"/>
  <c r="I34" i="1"/>
  <c r="I29" i="1"/>
  <c r="I30" i="1"/>
  <c r="I27" i="1"/>
  <c r="I28" i="1"/>
  <c r="I35" i="1"/>
  <c r="I36" i="1"/>
  <c r="I37" i="1"/>
  <c r="I31" i="1"/>
  <c r="I38" i="1"/>
  <c r="H34" i="1"/>
  <c r="H29" i="1"/>
  <c r="H30" i="1"/>
  <c r="H27" i="1"/>
  <c r="H28" i="1"/>
  <c r="H35" i="1"/>
  <c r="H36" i="1"/>
  <c r="H37" i="1"/>
  <c r="H31" i="1"/>
  <c r="H38" i="1"/>
  <c r="G34" i="1"/>
  <c r="G29" i="1"/>
  <c r="G30" i="1"/>
  <c r="G27" i="1"/>
  <c r="G28" i="1"/>
  <c r="G35" i="1"/>
  <c r="G36" i="1"/>
  <c r="G37" i="1"/>
  <c r="G31" i="1"/>
  <c r="G38" i="1"/>
  <c r="H33" i="1"/>
  <c r="G33" i="1"/>
  <c r="D33" i="1"/>
  <c r="F33" i="1"/>
  <c r="F34" i="1"/>
  <c r="F29" i="1"/>
  <c r="F30" i="1"/>
  <c r="F27" i="1"/>
  <c r="F28" i="1"/>
  <c r="F35" i="1"/>
  <c r="F36" i="1"/>
  <c r="F37" i="1"/>
  <c r="F31" i="1"/>
  <c r="F38" i="1"/>
  <c r="E34" i="1"/>
  <c r="E29" i="1"/>
  <c r="E30" i="1"/>
  <c r="E27" i="1"/>
  <c r="E28" i="1"/>
  <c r="E35" i="1"/>
  <c r="E36" i="1"/>
  <c r="E37" i="1"/>
  <c r="E31" i="1"/>
  <c r="E38" i="1"/>
  <c r="D30" i="1"/>
  <c r="D27" i="1"/>
  <c r="D28" i="1"/>
  <c r="D35" i="1"/>
  <c r="D36" i="1"/>
  <c r="D37" i="1"/>
  <c r="D31" i="1"/>
  <c r="D38" i="1"/>
  <c r="D29" i="1"/>
  <c r="D34" i="1"/>
  <c r="E33" i="1"/>
  <c r="M43" i="1" l="1"/>
  <c r="M44" i="1"/>
  <c r="O44" i="1" s="1"/>
  <c r="M47" i="1"/>
  <c r="O47" i="1" s="1"/>
  <c r="O43" i="1"/>
  <c r="O46" i="1"/>
  <c r="O42" i="1"/>
  <c r="O45" i="1"/>
  <c r="J46" i="1"/>
  <c r="J42" i="1"/>
  <c r="K44" i="1"/>
  <c r="L44" i="1" s="1"/>
  <c r="J45" i="1"/>
  <c r="K47" i="1"/>
  <c r="L47" i="1" s="1"/>
  <c r="K43" i="1"/>
  <c r="L43" i="1" s="1"/>
  <c r="K46" i="1"/>
  <c r="K45" i="1"/>
  <c r="L45" i="1" s="1"/>
  <c r="C7" i="2"/>
  <c r="Q32" i="1"/>
  <c r="P38" i="1"/>
  <c r="Q38" i="1" s="1"/>
  <c r="P35" i="1"/>
  <c r="P36" i="1"/>
  <c r="P30" i="1"/>
  <c r="P29" i="1"/>
  <c r="P31" i="1"/>
  <c r="Q31" i="1" s="1"/>
  <c r="P28" i="1"/>
  <c r="P34" i="1"/>
  <c r="P37" i="1"/>
  <c r="R37" i="1" s="1"/>
  <c r="P27" i="1"/>
  <c r="P33" i="1"/>
  <c r="R32" i="1"/>
  <c r="L46" i="1" l="1"/>
  <c r="R38" i="1"/>
  <c r="S38" i="1"/>
  <c r="T38" i="1" s="1"/>
  <c r="U38" i="1" s="1"/>
  <c r="Q30" i="1"/>
  <c r="S33" i="1"/>
  <c r="Q35" i="1"/>
  <c r="R29" i="1"/>
  <c r="Q37" i="1"/>
  <c r="S30" i="1"/>
  <c r="Q27" i="1"/>
  <c r="S31" i="1"/>
  <c r="S29" i="1"/>
  <c r="R35" i="1"/>
  <c r="S35" i="1"/>
  <c r="T32" i="1"/>
  <c r="U32" i="1" s="1"/>
  <c r="R30" i="1"/>
  <c r="Q33" i="1"/>
  <c r="R31" i="1"/>
  <c r="R34" i="1"/>
  <c r="S28" i="1"/>
  <c r="R28" i="1"/>
  <c r="R33" i="1"/>
  <c r="R36" i="1"/>
  <c r="S27" i="1"/>
  <c r="S37" i="1"/>
  <c r="R27" i="1"/>
  <c r="Q34" i="1"/>
  <c r="Q36" i="1"/>
  <c r="S36" i="1"/>
  <c r="Q28" i="1"/>
  <c r="S34" i="1"/>
  <c r="Q29" i="1"/>
  <c r="T29" i="1" s="1"/>
  <c r="Y38" i="1" l="1"/>
  <c r="T35" i="1"/>
  <c r="T30" i="1"/>
  <c r="U30" i="1" s="1"/>
  <c r="T31" i="1"/>
  <c r="U31" i="1" s="1"/>
  <c r="T27" i="1"/>
  <c r="T37" i="1"/>
  <c r="U29" i="1"/>
  <c r="T33" i="1"/>
  <c r="U35" i="1"/>
  <c r="U37" i="1"/>
  <c r="T34" i="1"/>
  <c r="W34" i="1" s="1"/>
  <c r="Y34" i="1" s="1"/>
  <c r="U33" i="1"/>
  <c r="T28" i="1"/>
  <c r="W31" i="1"/>
  <c r="Y31" i="1" s="1"/>
  <c r="T36" i="1"/>
  <c r="W30" i="1"/>
  <c r="Y30" i="1" s="1"/>
  <c r="W36" i="1" l="1"/>
  <c r="Y36" i="1" s="1"/>
  <c r="W32" i="1"/>
  <c r="Y32" i="1" s="1"/>
  <c r="W37" i="1"/>
  <c r="Y37" i="1" s="1"/>
  <c r="U27" i="1"/>
  <c r="W28" i="1"/>
  <c r="Y28" i="1" s="1"/>
  <c r="U28" i="1"/>
  <c r="W33" i="1"/>
  <c r="Y33" i="1" s="1"/>
  <c r="U36" i="1"/>
  <c r="W35" i="1"/>
  <c r="Y35" i="1" s="1"/>
  <c r="U34" i="1"/>
  <c r="W29" i="1"/>
  <c r="Y29" i="1" s="1"/>
</calcChain>
</file>

<file path=xl/sharedStrings.xml><?xml version="1.0" encoding="utf-8"?>
<sst xmlns="http://schemas.openxmlformats.org/spreadsheetml/2006/main" count="403" uniqueCount="126">
  <si>
    <t xml:space="preserve"> </t>
  </si>
  <si>
    <t>1,2,3,4,5,6,7,8,9</t>
  </si>
  <si>
    <t>89.529001 degs</t>
  </si>
  <si>
    <t>White</t>
  </si>
  <si>
    <t>Default</t>
  </si>
  <si>
    <t>Regular</t>
  </si>
  <si>
    <t>yes</t>
  </si>
  <si>
    <t>no</t>
  </si>
  <si>
    <t>n/a</t>
  </si>
  <si>
    <t>89.941152 degs</t>
  </si>
  <si>
    <t>89.855966 degs</t>
  </si>
  <si>
    <t>1,3,5,6,7,8,9</t>
  </si>
  <si>
    <t>89.286230 degs</t>
  </si>
  <si>
    <t>1,2,4,5,6,7,8,9</t>
  </si>
  <si>
    <t>89.708073 degs</t>
  </si>
  <si>
    <t>1,2,5,6,7,8,9</t>
  </si>
  <si>
    <t>89.783095 degs</t>
  </si>
  <si>
    <t>1,2,3,4,6,7,8,9</t>
  </si>
  <si>
    <t>89.775323 degs</t>
  </si>
  <si>
    <t>1,2,3,4,7,8,9</t>
  </si>
  <si>
    <t>89.330723 degs</t>
  </si>
  <si>
    <t>89.933665 degs</t>
  </si>
  <si>
    <t>89.985333 degs</t>
  </si>
  <si>
    <t>1,2,4,5,6,8,9</t>
  </si>
  <si>
    <t>89.044032 degs</t>
  </si>
  <si>
    <t>1,2,3,4,6</t>
  </si>
  <si>
    <t>89.763263 degs</t>
  </si>
  <si>
    <t>89.778586 degs</t>
  </si>
  <si>
    <t>89.452043 degs</t>
  </si>
  <si>
    <t>88.302096 degs</t>
  </si>
  <si>
    <t>87.657136 degs</t>
  </si>
  <si>
    <t>89.586287 degs</t>
  </si>
  <si>
    <t>89.202771 degs</t>
  </si>
  <si>
    <t>1,2,3,5,6,7,8</t>
  </si>
  <si>
    <t>89.579662 degs</t>
  </si>
  <si>
    <t>1,2,5,6,7,9</t>
  </si>
  <si>
    <t>87.793522 degs</t>
  </si>
  <si>
    <t>3,4,7,8,9</t>
  </si>
  <si>
    <t>86.927168 degs</t>
  </si>
  <si>
    <t>4,5,6,8,9</t>
  </si>
  <si>
    <t>89.920896 degs</t>
  </si>
  <si>
    <t>Xa</t>
  </si>
  <si>
    <t>Ya</t>
  </si>
  <si>
    <t>za</t>
  </si>
  <si>
    <t>xb</t>
  </si>
  <si>
    <t>yb</t>
  </si>
  <si>
    <t>zb</t>
  </si>
  <si>
    <t>sxa</t>
  </si>
  <si>
    <t>sya</t>
  </si>
  <si>
    <t>sza</t>
  </si>
  <si>
    <t>sxb</t>
  </si>
  <si>
    <t>syb</t>
  </si>
  <si>
    <t>szb</t>
  </si>
  <si>
    <t>D</t>
  </si>
  <si>
    <t>x</t>
  </si>
  <si>
    <t>y</t>
  </si>
  <si>
    <t>z</t>
  </si>
  <si>
    <t>sy</t>
  </si>
  <si>
    <t>sz</t>
  </si>
  <si>
    <t>cx</t>
  </si>
  <si>
    <t>cy</t>
  </si>
  <si>
    <t>cz</t>
  </si>
  <si>
    <t>z_exp</t>
  </si>
  <si>
    <t>z_lim</t>
  </si>
  <si>
    <t>PtA</t>
  </si>
  <si>
    <t>PtB</t>
  </si>
  <si>
    <t>Area_meas</t>
  </si>
  <si>
    <t>Accu_meas</t>
  </si>
  <si>
    <t>AREAS</t>
  </si>
  <si>
    <t>Colonna2</t>
  </si>
  <si>
    <t>Colonna4</t>
  </si>
  <si>
    <t>Colonna5</t>
  </si>
  <si>
    <t>Colonna6</t>
  </si>
  <si>
    <t>Colonna7</t>
  </si>
  <si>
    <t>Colonna8</t>
  </si>
  <si>
    <t>Colonna9</t>
  </si>
  <si>
    <t>Colonna10</t>
  </si>
  <si>
    <t>Colonna11</t>
  </si>
  <si>
    <t>Colonna12</t>
  </si>
  <si>
    <t>Colonna13</t>
  </si>
  <si>
    <t>Colonna14</t>
  </si>
  <si>
    <t>Colonna15</t>
  </si>
  <si>
    <t>Colonna16</t>
  </si>
  <si>
    <t>Colonna17</t>
  </si>
  <si>
    <t>Colonna18</t>
  </si>
  <si>
    <t>Colonna19</t>
  </si>
  <si>
    <t>Colonna20</t>
  </si>
  <si>
    <t>Colonna21</t>
  </si>
  <si>
    <t>Colonna22</t>
  </si>
  <si>
    <t>Photos</t>
  </si>
  <si>
    <t>Length on Cube</t>
  </si>
  <si>
    <t>Caliper Accuracy</t>
  </si>
  <si>
    <t>Passed?</t>
  </si>
  <si>
    <t>sd_D</t>
  </si>
  <si>
    <t>var_D</t>
  </si>
  <si>
    <t>Line_ID</t>
  </si>
  <si>
    <t>Face_ID</t>
  </si>
  <si>
    <t>Point_ID</t>
  </si>
  <si>
    <t>sx</t>
  </si>
  <si>
    <t>Accuracy of border (pxl)</t>
  </si>
  <si>
    <t>Value Obtained</t>
  </si>
  <si>
    <t>Inverse Test</t>
  </si>
  <si>
    <t>Chi^2 value (experimental)</t>
  </si>
  <si>
    <t>Threshold (theoretical)</t>
  </si>
  <si>
    <t>sigma0_hat (total error)</t>
  </si>
  <si>
    <t># unknowns</t>
  </si>
  <si>
    <t># observations</t>
  </si>
  <si>
    <t>LINES</t>
  </si>
  <si>
    <t>Test on Lines</t>
  </si>
  <si>
    <t>Test on Areas</t>
  </si>
  <si>
    <t>SideA</t>
  </si>
  <si>
    <t>SideB</t>
  </si>
  <si>
    <t>SideC</t>
  </si>
  <si>
    <t>A^2</t>
  </si>
  <si>
    <t>B^2</t>
  </si>
  <si>
    <t>C^2</t>
  </si>
  <si>
    <t>SideD</t>
  </si>
  <si>
    <t>D^2</t>
  </si>
  <si>
    <t>E[X^4]</t>
  </si>
  <si>
    <t>V[X^2]</t>
  </si>
  <si>
    <t>Prob</t>
  </si>
  <si>
    <t>E[X^2] (AVG)</t>
  </si>
  <si>
    <t>GSD</t>
  </si>
  <si>
    <t>fw</t>
  </si>
  <si>
    <t>c</t>
  </si>
  <si>
    <t>#pxl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</si>
</sst>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0" borderId="0" xfId="0" applyNumberFormat="1"/>
    <xf numFmtId="0" fontId="1" fillId="0" borderId="0" xfId="0" applyFont="1"/>
    <xf numFmtId="2" fontId="0" fillId="0" borderId="0" xfId="0" applyNumberFormat="1" applyAlignment="1">
      <alignment horizontal="center"/>
    </xf>
    <xf numFmtId="0" fontId="2" fillId="0" borderId="0" xfId="1"/>
    <xf numFmtId="164" fontId="0" fillId="0" borderId="0" xfId="0" applyNumberFormat="1"/>
    <xf numFmtId="165" fontId="0" fillId="0" borderId="0" xfId="0" applyNumberFormat="1"/>
  </cellXfs>
  <cellStyles count="2">
    <cellStyle name="Collegamento ipertestuale" xfId="1" builtinId="8"/>
    <cellStyle name="Normale" xfId="0" builtinId="0"/>
  </cellStyles>
  <dxfs count="33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2" formatCode="0.00"/>
    </dxf>
    <dxf>
      <numFmt numFmtId="2" formatCode="0.00"/>
    </dxf>
    <dxf>
      <fill>
        <patternFill>
          <fgColor indexed="64"/>
          <bgColor theme="4" tint="-0.249977111117893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5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5A47AF-787D-430D-89F1-28B0637F7F5F}" name="Tabella16" displayName="Tabella16" ref="A1:C4" totalsRowShown="0">
  <autoFilter ref="A1:C4" xr:uid="{4A6F67E4-7E11-41B3-9F7F-193EE6A4CE42}"/>
  <tableColumns count="3">
    <tableColumn id="1" xr3:uid="{F7C860C6-4758-4169-8784-986C61078DF7}" name="# observations"/>
    <tableColumn id="2" xr3:uid="{CA1A18CA-E906-4804-8659-C5D538B079DC}" name="# unknowns"/>
    <tableColumn id="3" xr3:uid="{E370A7CF-A132-405F-9616-1ED404BB76B8}" name="sigma0_hat (total error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C87AF9-685D-4730-88B1-A5772BEF4954}" name="Tabella27" displayName="Tabella27" ref="A6:C7" totalsRowShown="0">
  <autoFilter ref="A6:C7" xr:uid="{00FA11B6-D805-46CA-837C-1B2DAAA55D0A}"/>
  <tableColumns count="3">
    <tableColumn id="1" xr3:uid="{0B6A7F2D-4950-4FF4-B7B7-627504617822}" name="Threshold (theoretical)" dataDxfId="30">
      <calculatedColumnFormula>_xlfn.CHISQ.INV(0.95,A2-B4)</calculatedColumnFormula>
    </tableColumn>
    <tableColumn id="2" xr3:uid="{9427CA23-C852-4AB7-B3EA-4B515B9CF40E}" name="Chi^2 value (experimental)" dataDxfId="29">
      <calculatedColumnFormula>(C2^2)*(A2-B4)</calculatedColumnFormula>
    </tableColumn>
    <tableColumn id="3" xr3:uid="{CC590FDC-3C44-4843-A7FB-4CC0F74E4B05}" name="Passed?" dataDxfId="28">
      <calculatedColumnFormula>IF(Tabella27[[#This Row],[Chi^2 value (experimental)]]&lt;Tabella27[[#This Row],[Threshold (theoretical)]], "Y", "N")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E1F322-352A-423E-B826-994A4EFAD8D9}" name="Tabella38" displayName="Tabella38" ref="A9:B10" totalsRowShown="0">
  <autoFilter ref="A9:B10" xr:uid="{B8C89D12-F142-4E40-B896-FCFA0271AA37}"/>
  <tableColumns count="2">
    <tableColumn id="1" xr3:uid="{26093D33-A783-44A8-BE23-B84B7B046163}" name="Inverse Test"/>
    <tableColumn id="2" xr3:uid="{3903B4F0-BE0A-4000-ACEC-F7AC1F5DFDAB}" name="Value Obtained" dataDxfId="27">
      <calculatedColumnFormula>SQRT(((C2^2)/A7)*(A2-B4))</calculatedColumnFormula>
    </tableColumn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13BC5F-BF5C-4BF7-AF15-53254085DF5D}" name="Tabella1" displayName="Tabella1" ref="C1:AD23" totalsRowShown="0">
  <autoFilter ref="C1:AD23" xr:uid="{A913BC5F-BF5C-4BF7-AF15-53254085DF5D}"/>
  <tableColumns count="28">
    <tableColumn id="1" xr3:uid="{8073F6B9-97A4-4D05-8CDB-760E8BF32DB9}" name="Point_ID"/>
    <tableColumn id="2" xr3:uid="{22B07FF9-2976-45B0-BF83-C13155902647}" name="Colonna2"/>
    <tableColumn id="3" xr3:uid="{D213523D-5F54-4D05-8E74-C96BD55481C4}" name="Photos"/>
    <tableColumn id="4" xr3:uid="{8B9A1EB1-9972-44DF-A98C-4CC23D91DC90}" name="x"/>
    <tableColumn id="5" xr3:uid="{4BE2BF4E-4D02-4CDF-B7D5-5FD3415675C7}" name="y"/>
    <tableColumn id="6" xr3:uid="{8F266766-4657-4957-8351-5DBF5ADDDAEF}" name="z"/>
    <tableColumn id="7" xr3:uid="{5097D2C8-75E5-4386-83C7-043191D9A466}" name="sx"/>
    <tableColumn id="8" xr3:uid="{DA2BED63-6004-4C94-A10B-4196C9A585FE}" name="sy"/>
    <tableColumn id="9" xr3:uid="{80F06E81-C0BA-4D3F-B94F-20C816656DE3}" name="sz"/>
    <tableColumn id="10" xr3:uid="{4DCA5DEF-DD94-4BC9-B911-427260B7EE3D}" name="Colonna4"/>
    <tableColumn id="11" xr3:uid="{E6DC4E33-146C-49EA-A176-49DB65E26EA1}" name="Colonna5"/>
    <tableColumn id="12" xr3:uid="{98BBB18F-1054-4EA2-8FDE-727766747AE2}" name="Colonna6"/>
    <tableColumn id="13" xr3:uid="{0EF662EC-0ED1-49A3-9DC9-240A48291260}" name="Colonna7"/>
    <tableColumn id="14" xr3:uid="{31C2A955-49F1-4959-84AF-2C2AEAC05451}" name="Colonna8"/>
    <tableColumn id="15" xr3:uid="{1CADBA79-F5FE-477C-8AF3-14119A66A4A0}" name="Colonna9"/>
    <tableColumn id="16" xr3:uid="{9968087B-CD33-46A7-87F5-8321A1869959}" name="Colonna10"/>
    <tableColumn id="17" xr3:uid="{71AF1A77-42D2-488F-BCB5-561AD4D99939}" name="Colonna11"/>
    <tableColumn id="18" xr3:uid="{6A249F2B-F0A0-4F6B-8B06-A7BCB9B3A17C}" name="Colonna12"/>
    <tableColumn id="19" xr3:uid="{E3767B2D-423C-4A44-B888-F3505461CD20}" name="Colonna13"/>
    <tableColumn id="20" xr3:uid="{0BE26262-2DE0-446A-9430-9413A769C43E}" name="Colonna14"/>
    <tableColumn id="21" xr3:uid="{4B65C781-B3D0-48EC-BB3B-54BDB37CD34A}" name="Colonna15"/>
    <tableColumn id="22" xr3:uid="{3BF9BDFC-A08B-47C3-BD1A-65F10C23EE23}" name="Colonna16"/>
    <tableColumn id="23" xr3:uid="{FC68B0A3-F046-4DED-AD62-F08D66C06768}" name="Colonna17"/>
    <tableColumn id="24" xr3:uid="{032141F4-23AB-4D43-B6F6-DEDF637C5BCF}" name="Colonna18"/>
    <tableColumn id="25" xr3:uid="{63BFCC3A-6ECB-418E-BD39-AB700BCC03BD}" name="Colonna19"/>
    <tableColumn id="26" xr3:uid="{4FF742BE-4A61-4120-B94A-4C270538D9D4}" name="Colonna20"/>
    <tableColumn id="27" xr3:uid="{20A1A95A-57A5-4B9A-9802-B5CCC7F398D6}" name="Colonna21"/>
    <tableColumn id="28" xr3:uid="{A0EF8501-15D8-4589-A44F-0F4D7863BBCF}" name="Colonna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4D994F-2A4E-404D-85B6-D033A3943242}" name="Tabella2" displayName="Tabella2" ref="A26:U38" totalsRowShown="0" headerRowDxfId="21">
  <autoFilter ref="A26:U38" xr:uid="{DF4D994F-2A4E-404D-85B6-D033A3943242}"/>
  <sortState xmlns:xlrd2="http://schemas.microsoft.com/office/spreadsheetml/2017/richdata2" ref="A27:U38">
    <sortCondition ref="B26:B38"/>
  </sortState>
  <tableColumns count="21">
    <tableColumn id="1" xr3:uid="{97F7BA03-1E34-4127-B45D-7568DF972D35}" name="Line_ID"/>
    <tableColumn id="2" xr3:uid="{295D0AD7-9531-4E39-9F15-298817B41FA3}" name="PtA"/>
    <tableColumn id="3" xr3:uid="{C06EEDC4-F37D-4961-9DD3-56BC18D22417}" name="PtB"/>
    <tableColumn id="4" xr3:uid="{88730B22-89FD-4EAE-BC66-5A2E348439AF}" name="Xa">
      <calculatedColumnFormula>_xlfn.XLOOKUP(B27,$C$2:$C$23,$F$2:$F$23)</calculatedColumnFormula>
    </tableColumn>
    <tableColumn id="5" xr3:uid="{4D9DA1AB-29B2-49D7-B413-37BE4B6916D3}" name="Ya">
      <calculatedColumnFormula>_xlfn.XLOOKUP(B27,$C$2:$C$23,$G$2:$G$23)</calculatedColumnFormula>
    </tableColumn>
    <tableColumn id="6" xr3:uid="{9088E5D2-EE86-4348-A6B4-09A0052F6F9A}" name="za">
      <calculatedColumnFormula>_xlfn.XLOOKUP(B27,$C$2:$C$23,$H$2:$H$23)</calculatedColumnFormula>
    </tableColumn>
    <tableColumn id="7" xr3:uid="{2600BDC5-A054-43C3-AA56-8CEB0DACAD83}" name="xb">
      <calculatedColumnFormula>_xlfn.XLOOKUP(C27,$C$2:$C$23,$F$2:$F$23)</calculatedColumnFormula>
    </tableColumn>
    <tableColumn id="8" xr3:uid="{7584BF25-03C4-47B2-902F-7C8218285DFE}" name="yb">
      <calculatedColumnFormula>_xlfn.XLOOKUP(C27,$C$2:$C$23,$G$2:$G$23)</calculatedColumnFormula>
    </tableColumn>
    <tableColumn id="9" xr3:uid="{7D9D1509-42DF-4EA4-9C97-5335329A7D46}" name="zb">
      <calculatedColumnFormula>_xlfn.XLOOKUP(C27,$C$2:$C$23,$H$2:$H$23)</calculatedColumnFormula>
    </tableColumn>
    <tableColumn id="10" xr3:uid="{F189B6E8-C345-43B4-AD61-FFF0F7ABFD2D}" name="sxa">
      <calculatedColumnFormula>_xlfn.XLOOKUP(B27,$C$2:$C$23,$I$2:$I$23)</calculatedColumnFormula>
    </tableColumn>
    <tableColumn id="11" xr3:uid="{5E59E146-2DD9-4755-AF89-4E8726EE5701}" name="sya">
      <calculatedColumnFormula>_xlfn.XLOOKUP(B27,$C$2:$C$23,$J$2:$J$23)</calculatedColumnFormula>
    </tableColumn>
    <tableColumn id="12" xr3:uid="{80965190-6D5F-4FAA-907E-4DACF1616D90}" name="sza">
      <calculatedColumnFormula>_xlfn.XLOOKUP(B27,$C$2:$C$23,$K$2:$K$23)</calculatedColumnFormula>
    </tableColumn>
    <tableColumn id="13" xr3:uid="{8F750051-B6BB-44B8-991D-C1E8C0D3A3E8}" name="sxb">
      <calculatedColumnFormula>_xlfn.XLOOKUP(C27,$C$2:$C$23,$I$2:$I$23)</calculatedColumnFormula>
    </tableColumn>
    <tableColumn id="14" xr3:uid="{C9A2AA7B-DD86-4235-A67D-E09D9E3F891A}" name="syb">
      <calculatedColumnFormula>_xlfn.XLOOKUP(C27,$C$2:$C$23,$J$2:$J$23)</calculatedColumnFormula>
    </tableColumn>
    <tableColumn id="15" xr3:uid="{97014052-327D-492B-89C7-CB5DBA7B29BA}" name="szb">
      <calculatedColumnFormula>_xlfn.XLOOKUP(C27,$C$2:$C$23,$K$2:$K$23)</calculatedColumnFormula>
    </tableColumn>
    <tableColumn id="16" xr3:uid="{380411BA-2307-4B75-9211-B33DE5AAE7AB}" name="D" dataDxfId="20">
      <calculatedColumnFormula>SQRT(((D27-G27)^2)+((E27-H27)^2)+((F27-I27)^2))</calculatedColumnFormula>
    </tableColumn>
    <tableColumn id="17" xr3:uid="{47344696-B569-46A8-8D8C-48E3782065BB}" name="cx">
      <calculatedColumnFormula>(D27-G27)/P27</calculatedColumnFormula>
    </tableColumn>
    <tableColumn id="18" xr3:uid="{CE92ED3F-4C99-4111-8453-510672201E87}" name="cy">
      <calculatedColumnFormula>(E27-H27)/P27</calculatedColumnFormula>
    </tableColumn>
    <tableColumn id="19" xr3:uid="{A339BDE6-D5C6-4DED-A50F-36C58B1B1491}" name="cz">
      <calculatedColumnFormula>(F27-I27)/P27</calculatedColumnFormula>
    </tableColumn>
    <tableColumn id="20" xr3:uid="{E7E0EB56-9685-41B2-8C7D-8B13D91BAA81}" name="var_D" dataDxfId="19">
      <calculatedColumnFormula>((Q27^2)*((J27^2)+(M27^2)))+((R27^2)*((K27^2)+(N27^2)))+((S27^2)*((L27^2)+(O27^2)))</calculatedColumnFormula>
    </tableColumn>
    <tableColumn id="21" xr3:uid="{72F8CF94-2944-445A-B64C-96B39EC61CA7}" name="sd_D">
      <calculatedColumnFormula>SQRT(T27)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BC2224-7759-4805-8AA7-E13B08C74037}" name="Tabella3" displayName="Tabella3" ref="W26:Y38" totalsRowShown="0" headerRowDxfId="18">
  <autoFilter ref="W26:Y38" xr:uid="{B8BC2224-7759-4805-8AA7-E13B08C74037}"/>
  <tableColumns count="3">
    <tableColumn id="1" xr3:uid="{DD218BB0-1B19-4050-AA4B-E42235BC063F}" name="z_exp" dataDxfId="17">
      <calculatedColumnFormula>(ABS(P27-$AB$26)/(SQRT((T27)+($AB$27^2))))</calculatedColumnFormula>
    </tableColumn>
    <tableColumn id="2" xr3:uid="{D333715A-212C-4ECC-951D-323A9AC98BDD}" name="z_lim" dataDxfId="16">
      <calculatedColumnFormula>ABS((_xlfn.NORM.S.INV(0.05/2)))</calculatedColumnFormula>
    </tableColumn>
    <tableColumn id="3" xr3:uid="{62DB9929-0B9B-4E47-8AC6-D02370A05305}" name="Passed?" dataDxfId="15">
      <calculatedColumnFormula>IF(W27&lt;X27, "PASSED", "NOT PASSED")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CF0275-C17B-4859-84D4-2D92421E330C}" name="Tabella4" displayName="Tabella4" ref="A41:O47" totalsRowShown="0" headerRowDxfId="14">
  <autoFilter ref="A41:O47" xr:uid="{32CF0275-C17B-4859-84D4-2D92421E330C}"/>
  <tableColumns count="15">
    <tableColumn id="1" xr3:uid="{41750845-D114-4238-8A80-6A52961E420B}" name="Face_ID"/>
    <tableColumn id="2" xr3:uid="{098F0808-10EE-4CFB-AAD3-9C3430E2E558}" name="SideA" dataDxfId="13">
      <calculatedColumnFormula>_xlfn.XLOOKUP(2,Tabella2[Line_ID],Tabella2[D])</calculatedColumnFormula>
    </tableColumn>
    <tableColumn id="3" xr3:uid="{FA9652BB-30EB-445D-8D5A-614917D784A7}" name="A^2" dataDxfId="12">
      <calculatedColumnFormula>Tabella4[[#This Row],[SideA]]^2</calculatedColumnFormula>
    </tableColumn>
    <tableColumn id="4" xr3:uid="{066C7FF0-5924-493E-BF96-04578F19065E}" name="SideB" dataDxfId="11">
      <calculatedColumnFormula>_xlfn.XLOOKUP(5,Tabella2[Line_ID],Tabella2[D])</calculatedColumnFormula>
    </tableColumn>
    <tableColumn id="5" xr3:uid="{41005290-9179-4BB9-9407-74DDF378D4F2}" name="B^2" dataDxfId="10">
      <calculatedColumnFormula>Tabella4[[#This Row],[SideB]]^2</calculatedColumnFormula>
    </tableColumn>
    <tableColumn id="6" xr3:uid="{921C9971-9863-4D32-8689-2C6FD444FFCE}" name="SideC" dataDxfId="9">
      <calculatedColumnFormula>_xlfn.XLOOKUP(6,Tabella2[Line_ID],Tabella2[D])</calculatedColumnFormula>
    </tableColumn>
    <tableColumn id="7" xr3:uid="{7B91EBFE-1967-464B-9BBD-92CF219C312D}" name="C^2" dataDxfId="8">
      <calculatedColumnFormula>Tabella4[[#This Row],[SideC]]^2</calculatedColumnFormula>
    </tableColumn>
    <tableColumn id="8" xr3:uid="{F0F43478-E512-4029-A23A-A86FC092A12B}" name="SideD" dataDxfId="7">
      <calculatedColumnFormula>_xlfn.XLOOKUP(1,Tabella2[Line_ID],Tabella2[D])</calculatedColumnFormula>
    </tableColumn>
    <tableColumn id="9" xr3:uid="{4DBE32F0-8248-4063-A9F7-7CCC5846031B}" name="D^2" dataDxfId="6">
      <calculatedColumnFormula>Tabella4[[#This Row],[SideD]]^2</calculatedColumnFormula>
    </tableColumn>
    <tableColumn id="10" xr3:uid="{C08EC6AB-0948-42A5-99BD-047638E31491}" name="E[X^2] (AVG)" dataDxfId="5">
      <calculatedColumnFormula>SUM(Tabella4[[#This Row],[A^2]],Tabella4[[#This Row],[B^2]],Tabella4[[#This Row],[C^2]],Tabella4[[#This Row],[D^2]])*$C$40</calculatedColumnFormula>
    </tableColumn>
    <tableColumn id="11" xr3:uid="{D2E97154-5887-4529-9AA7-6D1349AE0104}" name="E[X^4]" dataDxfId="4">
      <calculatedColumnFormula>SUM(Tabella4[[#This Row],[A^2]]^2,Tabella4[[#This Row],[B^2]]^2,Tabella4[[#This Row],[C^2]]^2,Tabella4[[#This Row],[D^2]]^2)*$C$40</calculatedColumnFormula>
    </tableColumn>
    <tableColumn id="12" xr3:uid="{7C1B2497-5A56-4F5F-A86F-36B5C54F5DFD}" name="V[X^2]" dataDxfId="3">
      <calculatedColumnFormula>Tabella4[[#This Row],[E'[X^4']]]-(Tabella4[[#This Row],[E'[X^2'] (AVG)]]^2)</calculatedColumnFormula>
    </tableColumn>
    <tableColumn id="13" xr3:uid="{849B2916-B222-48F3-B339-05E568EBBFB4}" name="z_exp" dataDxfId="2">
      <calculatedColumnFormula>ABS(Tabella4[[#This Row],[E'[X^2'] (AVG)]]-$Q$41)/SQRT(Tabella4[[#This Row],[V'[X^2']]]+$Q$42)</calculatedColumnFormula>
    </tableColumn>
    <tableColumn id="14" xr3:uid="{F065D5C4-E067-4B17-8E08-7B6DA5786128}" name="z_lim" dataDxfId="1">
      <calculatedColumnFormula>ABS((_xlfn.NORM.S.INV(0.05/2)))</calculatedColumnFormula>
    </tableColumn>
    <tableColumn id="15" xr3:uid="{426BD70E-7653-435C-97AE-CE796345FC34}" name="Passed?" dataDxfId="0">
      <calculatedColumnFormula>IF(Tabella4[[#This Row],[z_exp]]&lt;Tabella4[[#This Row],[z_lim]], "PASSED", "NOT PASSED")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A5E45A9-C64E-4F53-8C79-036D4CB56088}" name="Tabella8" displayName="Tabella8" ref="A50:E51" totalsRowShown="0">
  <autoFilter ref="A50:E51" xr:uid="{9A5E45A9-C64E-4F53-8C79-036D4CB56088}"/>
  <tableColumns count="5">
    <tableColumn id="1" xr3:uid="{8E5EBA00-BB2D-4300-B7BC-FDE070EF7825}" name="fw"/>
    <tableColumn id="2" xr3:uid="{CAE27298-C004-48D3-BF02-3EB0472329A8}" name="D"/>
    <tableColumn id="3" xr3:uid="{A3AA1FC2-A4B1-4A53-9C21-E5B3D516C468}" name="c"/>
    <tableColumn id="4" xr3:uid="{3D8C903C-1280-430B-8BBB-C8093E6C287D}" name="#pxl"/>
    <tableColumn id="5" xr3:uid="{ABD4E583-5B99-4631-8D45-3FEF4D52D98F}" name="GSD">
      <calculatedColumnFormula>A51*B51/(C51*D51)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B53D-7D0A-4D0F-B0B1-E4B74C138F0C}">
  <dimension ref="A1:C11"/>
  <sheetViews>
    <sheetView workbookViewId="0">
      <selection activeCell="B2" sqref="B2"/>
    </sheetView>
  </sheetViews>
  <sheetFormatPr defaultRowHeight="15" x14ac:dyDescent="0.25"/>
  <cols>
    <col min="1" max="1" width="23.5703125" customWidth="1"/>
    <col min="2" max="2" width="26.85546875" customWidth="1"/>
    <col min="3" max="3" width="24" customWidth="1"/>
    <col min="6" max="6" width="20.7109375" bestFit="1" customWidth="1"/>
  </cols>
  <sheetData>
    <row r="1" spans="1:3" x14ac:dyDescent="0.25">
      <c r="A1" t="s">
        <v>106</v>
      </c>
      <c r="B1" t="s">
        <v>105</v>
      </c>
      <c r="C1" t="s">
        <v>104</v>
      </c>
    </row>
    <row r="2" spans="1:3" x14ac:dyDescent="0.25">
      <c r="A2">
        <f>2*100*12</f>
        <v>2400</v>
      </c>
      <c r="B2">
        <f>6*12</f>
        <v>72</v>
      </c>
      <c r="C2">
        <v>3.4359999999999999</v>
      </c>
    </row>
    <row r="3" spans="1:3" x14ac:dyDescent="0.25">
      <c r="B3">
        <v>8</v>
      </c>
    </row>
    <row r="4" spans="1:3" x14ac:dyDescent="0.25">
      <c r="B4">
        <f>B3+B2</f>
        <v>80</v>
      </c>
    </row>
    <row r="6" spans="1:3" x14ac:dyDescent="0.25">
      <c r="A6" t="s">
        <v>103</v>
      </c>
      <c r="B6" t="s">
        <v>102</v>
      </c>
      <c r="C6" t="s">
        <v>92</v>
      </c>
    </row>
    <row r="7" spans="1:3" x14ac:dyDescent="0.25">
      <c r="A7" s="6">
        <f>_xlfn.CHISQ.INV(0.95,A2-B4)</f>
        <v>2433.168846202967</v>
      </c>
      <c r="B7" s="6">
        <f>(C2^2)*(A2-B4)</f>
        <v>27390.14272</v>
      </c>
      <c r="C7" s="8" t="str">
        <f>IF(Tabella27[[#This Row],[Chi^2 value (experimental)]]&lt;Tabella27[[#This Row],[Threshold (theoretical)]], "Y", "N")</f>
        <v>N</v>
      </c>
    </row>
    <row r="9" spans="1:3" x14ac:dyDescent="0.25">
      <c r="A9" t="s">
        <v>101</v>
      </c>
      <c r="B9" t="s">
        <v>100</v>
      </c>
    </row>
    <row r="10" spans="1:3" x14ac:dyDescent="0.25">
      <c r="A10" t="s">
        <v>99</v>
      </c>
      <c r="B10" s="6">
        <f>SQRT(((C2^2)/A7)*(A2-B4))</f>
        <v>3.3551429148454344</v>
      </c>
    </row>
    <row r="11" spans="1:3" x14ac:dyDescent="0.25">
      <c r="B11" s="6"/>
    </row>
  </sheetData>
  <conditionalFormatting sqref="C7">
    <cfRule type="cellIs" dxfId="32" priority="1" operator="equal">
      <formula>"N"</formula>
    </cfRule>
    <cfRule type="cellIs" dxfId="31" priority="2" operator="equal">
      <formula>"Y"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AD72-FCD4-4A16-8ECB-A3B9D5215392}">
  <dimension ref="A1:AD51"/>
  <sheetViews>
    <sheetView tabSelected="1" topLeftCell="A33" zoomScale="82" workbookViewId="0">
      <selection activeCell="C51" sqref="C51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4" width="11.42578125" customWidth="1"/>
    <col min="5" max="5" width="14.7109375" bestFit="1" customWidth="1"/>
    <col min="6" max="6" width="14.5703125" customWidth="1"/>
    <col min="7" max="7" width="12.42578125" bestFit="1" customWidth="1"/>
    <col min="8" max="8" width="11.7109375" bestFit="1" customWidth="1"/>
    <col min="9" max="9" width="14" bestFit="1" customWidth="1"/>
    <col min="10" max="10" width="14.7109375" bestFit="1" customWidth="1"/>
    <col min="11" max="11" width="15.85546875" customWidth="1"/>
    <col min="12" max="14" width="11.42578125" customWidth="1"/>
    <col min="15" max="15" width="14.5703125" customWidth="1"/>
    <col min="16" max="17" width="11.42578125" customWidth="1"/>
    <col min="18" max="23" width="12.42578125" customWidth="1"/>
    <col min="24" max="24" width="13.7109375" bestFit="1" customWidth="1"/>
    <col min="25" max="25" width="12.42578125" customWidth="1"/>
    <col min="26" max="26" width="12.5703125" bestFit="1" customWidth="1"/>
    <col min="27" max="27" width="16.5703125" bestFit="1" customWidth="1"/>
    <col min="28" max="28" width="15.5703125" bestFit="1" customWidth="1"/>
    <col min="29" max="30" width="12.42578125" customWidth="1"/>
  </cols>
  <sheetData>
    <row r="1" spans="1:30" x14ac:dyDescent="0.25">
      <c r="A1" s="9" t="s">
        <v>108</v>
      </c>
      <c r="C1" t="s">
        <v>97</v>
      </c>
      <c r="D1" t="s">
        <v>69</v>
      </c>
      <c r="E1" t="s">
        <v>89</v>
      </c>
      <c r="F1" t="s">
        <v>54</v>
      </c>
      <c r="G1" t="s">
        <v>55</v>
      </c>
      <c r="H1" t="s">
        <v>56</v>
      </c>
      <c r="I1" t="s">
        <v>98</v>
      </c>
      <c r="J1" t="s">
        <v>57</v>
      </c>
      <c r="K1" t="s">
        <v>58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</row>
    <row r="2" spans="1:30" x14ac:dyDescent="0.25">
      <c r="A2" s="9" t="s">
        <v>109</v>
      </c>
      <c r="C2">
        <v>1</v>
      </c>
      <c r="D2" t="s">
        <v>0</v>
      </c>
      <c r="E2" t="s">
        <v>1</v>
      </c>
      <c r="F2">
        <v>-19.871849999999998</v>
      </c>
      <c r="G2">
        <v>-1.456008</v>
      </c>
      <c r="H2">
        <v>-84.270822999999993</v>
      </c>
      <c r="I2">
        <v>5.4039999999999999E-3</v>
      </c>
      <c r="J2">
        <v>4.7580000000000001E-3</v>
      </c>
      <c r="K2">
        <v>5.7369999999999999E-3</v>
      </c>
      <c r="L2">
        <v>9.2060000000000006E-3</v>
      </c>
      <c r="M2">
        <v>8.4863999999999995E-2</v>
      </c>
      <c r="N2">
        <v>5.0917999999999998E-2</v>
      </c>
      <c r="O2" t="s">
        <v>2</v>
      </c>
      <c r="P2" t="s">
        <v>0</v>
      </c>
      <c r="Q2">
        <v>1.6742220000000001</v>
      </c>
      <c r="R2">
        <v>2.9227280000000002</v>
      </c>
      <c r="S2">
        <v>7</v>
      </c>
      <c r="T2" t="s">
        <v>3</v>
      </c>
      <c r="U2" t="s">
        <v>4</v>
      </c>
      <c r="V2" t="s">
        <v>0</v>
      </c>
      <c r="W2" t="s">
        <v>5</v>
      </c>
      <c r="X2" t="s">
        <v>6</v>
      </c>
      <c r="Y2" t="s">
        <v>7</v>
      </c>
      <c r="Z2">
        <v>0</v>
      </c>
      <c r="AA2" t="s">
        <v>8</v>
      </c>
      <c r="AB2" t="s">
        <v>8</v>
      </c>
      <c r="AC2" t="s">
        <v>0</v>
      </c>
      <c r="AD2" t="s">
        <v>1</v>
      </c>
    </row>
    <row r="3" spans="1:30" x14ac:dyDescent="0.25">
      <c r="A3" s="9" t="s">
        <v>122</v>
      </c>
      <c r="C3">
        <v>11</v>
      </c>
      <c r="D3" t="s">
        <v>0</v>
      </c>
      <c r="E3" t="s">
        <v>1</v>
      </c>
      <c r="F3">
        <v>-1.9529350000000001</v>
      </c>
      <c r="G3">
        <v>-11.58567</v>
      </c>
      <c r="H3">
        <v>-71.770151999999996</v>
      </c>
      <c r="I3">
        <v>5.0309999999999999E-3</v>
      </c>
      <c r="J3">
        <v>4.5690000000000001E-3</v>
      </c>
      <c r="K3">
        <v>5.6829999999999997E-3</v>
      </c>
      <c r="L3">
        <v>8.8590000000000006E-3</v>
      </c>
      <c r="M3">
        <v>8.8232000000000005E-2</v>
      </c>
      <c r="N3">
        <v>5.2939E-2</v>
      </c>
      <c r="O3" t="s">
        <v>9</v>
      </c>
      <c r="P3" t="s">
        <v>0</v>
      </c>
      <c r="Q3">
        <v>1.441943</v>
      </c>
      <c r="R3">
        <v>2.2696770000000002</v>
      </c>
      <c r="S3">
        <v>9</v>
      </c>
      <c r="T3" t="s">
        <v>3</v>
      </c>
      <c r="U3" t="s">
        <v>4</v>
      </c>
      <c r="V3" t="s">
        <v>0</v>
      </c>
      <c r="W3" t="s">
        <v>5</v>
      </c>
      <c r="X3" t="s">
        <v>6</v>
      </c>
      <c r="Y3" t="s">
        <v>7</v>
      </c>
      <c r="Z3">
        <v>0</v>
      </c>
      <c r="AA3" t="s">
        <v>8</v>
      </c>
      <c r="AB3" t="s">
        <v>8</v>
      </c>
      <c r="AC3" t="s">
        <v>0</v>
      </c>
      <c r="AD3" t="s">
        <v>1</v>
      </c>
    </row>
    <row r="4" spans="1:30" x14ac:dyDescent="0.25">
      <c r="C4">
        <v>20</v>
      </c>
      <c r="D4" t="s">
        <v>0</v>
      </c>
      <c r="E4" t="s">
        <v>1</v>
      </c>
      <c r="F4">
        <v>22.111006</v>
      </c>
      <c r="G4">
        <v>5.313053</v>
      </c>
      <c r="H4">
        <v>-92.562707000000003</v>
      </c>
      <c r="I4">
        <v>5.202E-3</v>
      </c>
      <c r="J4">
        <v>5.3090000000000004E-3</v>
      </c>
      <c r="K4">
        <v>5.2570000000000004E-3</v>
      </c>
      <c r="L4">
        <v>9.1039999999999992E-3</v>
      </c>
      <c r="M4">
        <v>9.0618000000000004E-2</v>
      </c>
      <c r="N4">
        <v>5.4371000000000003E-2</v>
      </c>
      <c r="O4" t="s">
        <v>10</v>
      </c>
      <c r="P4" t="s">
        <v>0</v>
      </c>
      <c r="Q4">
        <v>1.6557219999999999</v>
      </c>
      <c r="R4">
        <v>2.613451</v>
      </c>
      <c r="S4">
        <v>9</v>
      </c>
      <c r="T4" t="s">
        <v>3</v>
      </c>
      <c r="U4" t="s">
        <v>4</v>
      </c>
      <c r="V4" t="s">
        <v>0</v>
      </c>
      <c r="W4" t="s">
        <v>5</v>
      </c>
      <c r="X4" t="s">
        <v>6</v>
      </c>
      <c r="Y4" t="s">
        <v>7</v>
      </c>
      <c r="Z4">
        <v>0</v>
      </c>
      <c r="AA4" t="s">
        <v>8</v>
      </c>
      <c r="AB4" t="s">
        <v>8</v>
      </c>
      <c r="AC4" t="s">
        <v>0</v>
      </c>
      <c r="AD4" t="s">
        <v>1</v>
      </c>
    </row>
    <row r="5" spans="1:30" x14ac:dyDescent="0.25">
      <c r="C5">
        <v>29</v>
      </c>
      <c r="D5" t="s">
        <v>0</v>
      </c>
      <c r="E5" t="s">
        <v>11</v>
      </c>
      <c r="F5">
        <v>4.1899810000000004</v>
      </c>
      <c r="G5">
        <v>15.720307</v>
      </c>
      <c r="H5">
        <v>-104.81352200000001</v>
      </c>
      <c r="I5">
        <v>5.8799999999999998E-3</v>
      </c>
      <c r="J5">
        <v>5.8380000000000003E-3</v>
      </c>
      <c r="K5">
        <v>5.6649999999999999E-3</v>
      </c>
      <c r="L5">
        <v>1.0037000000000001E-2</v>
      </c>
      <c r="M5">
        <v>9.2019000000000004E-2</v>
      </c>
      <c r="N5">
        <v>5.5211999999999997E-2</v>
      </c>
      <c r="O5" t="s">
        <v>12</v>
      </c>
      <c r="P5" t="s">
        <v>0</v>
      </c>
      <c r="Q5">
        <v>1.341226</v>
      </c>
      <c r="R5">
        <v>2.1043790000000002</v>
      </c>
      <c r="S5">
        <v>7</v>
      </c>
      <c r="T5" t="s">
        <v>3</v>
      </c>
      <c r="U5" t="s">
        <v>4</v>
      </c>
      <c r="V5" t="s">
        <v>0</v>
      </c>
      <c r="W5" t="s">
        <v>5</v>
      </c>
      <c r="X5" t="s">
        <v>6</v>
      </c>
      <c r="Y5" t="s">
        <v>7</v>
      </c>
      <c r="Z5">
        <v>0</v>
      </c>
      <c r="AA5" t="s">
        <v>8</v>
      </c>
      <c r="AB5" t="s">
        <v>8</v>
      </c>
      <c r="AC5" t="s">
        <v>0</v>
      </c>
      <c r="AD5" t="s">
        <v>11</v>
      </c>
    </row>
    <row r="6" spans="1:30" x14ac:dyDescent="0.25">
      <c r="C6">
        <v>36</v>
      </c>
      <c r="D6" t="s">
        <v>0</v>
      </c>
      <c r="E6" t="s">
        <v>13</v>
      </c>
      <c r="F6">
        <v>-7.3553449999999998</v>
      </c>
      <c r="G6">
        <v>1.598592</v>
      </c>
      <c r="H6">
        <v>-88.117052999999999</v>
      </c>
      <c r="I6">
        <v>4.9370000000000004E-3</v>
      </c>
      <c r="J6">
        <v>5.378E-3</v>
      </c>
      <c r="K6">
        <v>5.9459999999999999E-3</v>
      </c>
      <c r="L6">
        <v>9.4160000000000008E-3</v>
      </c>
      <c r="M6">
        <v>3.3831E-2</v>
      </c>
      <c r="N6">
        <v>2.0299000000000001E-2</v>
      </c>
      <c r="O6" t="s">
        <v>14</v>
      </c>
      <c r="P6" t="s">
        <v>0</v>
      </c>
      <c r="Q6">
        <v>0.61253400000000002</v>
      </c>
      <c r="R6">
        <v>0.92616699999999996</v>
      </c>
      <c r="S6">
        <v>5</v>
      </c>
      <c r="T6" t="s">
        <v>3</v>
      </c>
      <c r="U6" t="s">
        <v>4</v>
      </c>
      <c r="V6" t="s">
        <v>0</v>
      </c>
      <c r="W6" t="s">
        <v>5</v>
      </c>
      <c r="X6" t="s">
        <v>6</v>
      </c>
      <c r="Y6" t="s">
        <v>7</v>
      </c>
      <c r="Z6">
        <v>0</v>
      </c>
      <c r="AA6" t="s">
        <v>8</v>
      </c>
      <c r="AB6" t="s">
        <v>8</v>
      </c>
      <c r="AC6" t="s">
        <v>0</v>
      </c>
      <c r="AD6" t="s">
        <v>13</v>
      </c>
    </row>
    <row r="7" spans="1:30" x14ac:dyDescent="0.25">
      <c r="C7">
        <v>44</v>
      </c>
      <c r="D7" t="s">
        <v>0</v>
      </c>
      <c r="E7" t="s">
        <v>15</v>
      </c>
      <c r="F7">
        <v>1.586435</v>
      </c>
      <c r="G7">
        <v>-3.4963479999999998</v>
      </c>
      <c r="H7">
        <v>-81.908291000000006</v>
      </c>
      <c r="I7">
        <v>5.189E-3</v>
      </c>
      <c r="J7">
        <v>5.3299999999999997E-3</v>
      </c>
      <c r="K7">
        <v>6.7970000000000001E-3</v>
      </c>
      <c r="L7">
        <v>1.0076E-2</v>
      </c>
      <c r="M7">
        <v>3.4054000000000001E-2</v>
      </c>
      <c r="N7">
        <v>2.0433E-2</v>
      </c>
      <c r="O7" t="s">
        <v>16</v>
      </c>
      <c r="P7" t="s">
        <v>0</v>
      </c>
      <c r="Q7">
        <v>0.51563199999999998</v>
      </c>
      <c r="R7">
        <v>0.79839099999999996</v>
      </c>
      <c r="S7">
        <v>8</v>
      </c>
      <c r="T7" t="s">
        <v>3</v>
      </c>
      <c r="U7" t="s">
        <v>4</v>
      </c>
      <c r="V7" t="s">
        <v>0</v>
      </c>
      <c r="W7" t="s">
        <v>5</v>
      </c>
      <c r="X7" t="s">
        <v>6</v>
      </c>
      <c r="Y7" t="s">
        <v>7</v>
      </c>
      <c r="Z7">
        <v>0</v>
      </c>
      <c r="AA7" t="s">
        <v>8</v>
      </c>
      <c r="AB7" t="s">
        <v>8</v>
      </c>
      <c r="AC7" t="s">
        <v>0</v>
      </c>
      <c r="AD7" t="s">
        <v>15</v>
      </c>
    </row>
    <row r="8" spans="1:30" x14ac:dyDescent="0.25">
      <c r="C8">
        <v>51</v>
      </c>
      <c r="D8" t="s">
        <v>0</v>
      </c>
      <c r="E8" t="s">
        <v>17</v>
      </c>
      <c r="F8">
        <v>9.5975079999999995</v>
      </c>
      <c r="G8">
        <v>2.157848</v>
      </c>
      <c r="H8">
        <v>-88.802774999999997</v>
      </c>
      <c r="I8">
        <v>4.9119999999999997E-3</v>
      </c>
      <c r="J8">
        <v>5.5490000000000001E-3</v>
      </c>
      <c r="K8">
        <v>5.7479999999999996E-3</v>
      </c>
      <c r="L8">
        <v>9.3790000000000002E-3</v>
      </c>
      <c r="M8">
        <v>3.3876000000000003E-2</v>
      </c>
      <c r="N8">
        <v>2.0326E-2</v>
      </c>
      <c r="O8" t="s">
        <v>18</v>
      </c>
      <c r="P8" t="s">
        <v>0</v>
      </c>
      <c r="Q8">
        <v>0.58316199999999996</v>
      </c>
      <c r="R8">
        <v>0.80204600000000004</v>
      </c>
      <c r="S8">
        <v>4</v>
      </c>
      <c r="T8" t="s">
        <v>3</v>
      </c>
      <c r="U8" t="s">
        <v>4</v>
      </c>
      <c r="V8" t="s">
        <v>0</v>
      </c>
      <c r="W8" t="s">
        <v>5</v>
      </c>
      <c r="X8" t="s">
        <v>6</v>
      </c>
      <c r="Y8" t="s">
        <v>7</v>
      </c>
      <c r="Z8">
        <v>0</v>
      </c>
      <c r="AA8" t="s">
        <v>8</v>
      </c>
      <c r="AB8" t="s">
        <v>8</v>
      </c>
      <c r="AC8" t="s">
        <v>0</v>
      </c>
      <c r="AD8" t="s">
        <v>17</v>
      </c>
    </row>
    <row r="9" spans="1:30" x14ac:dyDescent="0.25">
      <c r="C9">
        <v>59</v>
      </c>
      <c r="D9" t="s">
        <v>0</v>
      </c>
      <c r="E9" t="s">
        <v>19</v>
      </c>
      <c r="F9">
        <v>5.1251139999999999</v>
      </c>
      <c r="G9">
        <v>4.7059119999999997</v>
      </c>
      <c r="H9">
        <v>-91.909349000000006</v>
      </c>
      <c r="I9">
        <v>5.1939999999999998E-3</v>
      </c>
      <c r="J9">
        <v>6.3290000000000004E-3</v>
      </c>
      <c r="K9">
        <v>5.8789999999999997E-3</v>
      </c>
      <c r="L9">
        <v>1.0078999999999999E-2</v>
      </c>
      <c r="M9">
        <v>1.9375E-2</v>
      </c>
      <c r="N9">
        <v>1.1625E-2</v>
      </c>
      <c r="O9" t="s">
        <v>20</v>
      </c>
      <c r="P9" t="s">
        <v>0</v>
      </c>
      <c r="Q9">
        <v>0.37376900000000002</v>
      </c>
      <c r="R9">
        <v>0.59594599999999998</v>
      </c>
      <c r="S9">
        <v>4</v>
      </c>
      <c r="T9" t="s">
        <v>3</v>
      </c>
      <c r="U9" t="s">
        <v>4</v>
      </c>
      <c r="V9" t="s">
        <v>0</v>
      </c>
      <c r="W9" t="s">
        <v>5</v>
      </c>
      <c r="X9" t="s">
        <v>6</v>
      </c>
      <c r="Y9" t="s">
        <v>7</v>
      </c>
      <c r="Z9">
        <v>0</v>
      </c>
      <c r="AA9" t="s">
        <v>8</v>
      </c>
      <c r="AB9" t="s">
        <v>8</v>
      </c>
      <c r="AC9" t="s">
        <v>0</v>
      </c>
      <c r="AD9" t="s">
        <v>19</v>
      </c>
    </row>
    <row r="10" spans="1:30" x14ac:dyDescent="0.25">
      <c r="C10">
        <v>66</v>
      </c>
      <c r="D10" t="s">
        <v>0</v>
      </c>
      <c r="E10" t="s">
        <v>1</v>
      </c>
      <c r="F10">
        <v>-6.8899939999999997</v>
      </c>
      <c r="G10">
        <v>-3.7566760000000001</v>
      </c>
      <c r="H10">
        <v>-81.545700999999994</v>
      </c>
      <c r="I10">
        <v>4.712E-3</v>
      </c>
      <c r="J10">
        <v>4.9410000000000001E-3</v>
      </c>
      <c r="K10">
        <v>5.5459999999999997E-3</v>
      </c>
      <c r="L10">
        <v>8.796E-3</v>
      </c>
      <c r="M10">
        <v>3.1927999999999998E-2</v>
      </c>
      <c r="N10">
        <v>1.9157E-2</v>
      </c>
      <c r="O10" t="s">
        <v>21</v>
      </c>
      <c r="P10" t="s">
        <v>0</v>
      </c>
      <c r="Q10">
        <v>0.57636299999999996</v>
      </c>
      <c r="R10">
        <v>0.84670800000000002</v>
      </c>
      <c r="S10">
        <v>1</v>
      </c>
      <c r="T10" t="s">
        <v>3</v>
      </c>
      <c r="U10" t="s">
        <v>4</v>
      </c>
      <c r="V10" t="s">
        <v>0</v>
      </c>
      <c r="W10" t="s">
        <v>5</v>
      </c>
      <c r="X10" t="s">
        <v>6</v>
      </c>
      <c r="Y10" t="s">
        <v>7</v>
      </c>
      <c r="Z10">
        <v>0</v>
      </c>
      <c r="AA10" t="s">
        <v>8</v>
      </c>
      <c r="AB10" t="s">
        <v>8</v>
      </c>
      <c r="AC10" t="s">
        <v>0</v>
      </c>
      <c r="AD10" t="s">
        <v>1</v>
      </c>
    </row>
    <row r="11" spans="1:30" x14ac:dyDescent="0.25">
      <c r="C11">
        <v>75</v>
      </c>
      <c r="D11" t="s">
        <v>0</v>
      </c>
      <c r="E11" t="s">
        <v>17</v>
      </c>
      <c r="F11">
        <v>9.1440260000000002</v>
      </c>
      <c r="G11">
        <v>7.5571929999999998</v>
      </c>
      <c r="H11">
        <v>-95.352188999999996</v>
      </c>
      <c r="I11">
        <v>4.8729999999999997E-3</v>
      </c>
      <c r="J11">
        <v>5.6559999999999996E-3</v>
      </c>
      <c r="K11">
        <v>5.5120000000000004E-3</v>
      </c>
      <c r="L11">
        <v>9.2800000000000001E-3</v>
      </c>
      <c r="M11">
        <v>3.6381999999999998E-2</v>
      </c>
      <c r="N11">
        <v>2.1829000000000001E-2</v>
      </c>
      <c r="O11" t="s">
        <v>22</v>
      </c>
      <c r="P11" t="s">
        <v>0</v>
      </c>
      <c r="Q11">
        <v>0.57601100000000005</v>
      </c>
      <c r="R11">
        <v>0.869811</v>
      </c>
      <c r="S11">
        <v>2</v>
      </c>
      <c r="T11" t="s">
        <v>3</v>
      </c>
      <c r="U11" t="s">
        <v>4</v>
      </c>
      <c r="V11" t="s">
        <v>0</v>
      </c>
      <c r="W11" t="s">
        <v>5</v>
      </c>
      <c r="X11" t="s">
        <v>6</v>
      </c>
      <c r="Y11" t="s">
        <v>7</v>
      </c>
      <c r="Z11">
        <v>0</v>
      </c>
      <c r="AA11" t="s">
        <v>8</v>
      </c>
      <c r="AB11" t="s">
        <v>8</v>
      </c>
      <c r="AC11" t="s">
        <v>0</v>
      </c>
      <c r="AD11" t="s">
        <v>17</v>
      </c>
    </row>
    <row r="12" spans="1:30" x14ac:dyDescent="0.25">
      <c r="C12">
        <v>83</v>
      </c>
      <c r="D12" t="s">
        <v>0</v>
      </c>
      <c r="E12" t="s">
        <v>23</v>
      </c>
      <c r="F12">
        <v>-7.8275230000000002</v>
      </c>
      <c r="G12">
        <v>7.0291899999999998</v>
      </c>
      <c r="H12">
        <v>-94.634698999999998</v>
      </c>
      <c r="I12">
        <v>5.4949999999999999E-3</v>
      </c>
      <c r="J12">
        <v>6.1349999999999998E-3</v>
      </c>
      <c r="K12">
        <v>6.13E-3</v>
      </c>
      <c r="L12">
        <v>1.0267E-2</v>
      </c>
      <c r="M12">
        <v>4.6705000000000003E-2</v>
      </c>
      <c r="N12">
        <v>2.8022999999999999E-2</v>
      </c>
      <c r="O12" t="s">
        <v>24</v>
      </c>
      <c r="P12" t="s">
        <v>0</v>
      </c>
      <c r="Q12">
        <v>0.83472199999999996</v>
      </c>
      <c r="R12">
        <v>1.171035</v>
      </c>
      <c r="S12">
        <v>4</v>
      </c>
      <c r="T12" t="s">
        <v>3</v>
      </c>
      <c r="U12" t="s">
        <v>4</v>
      </c>
      <c r="V12" t="s">
        <v>0</v>
      </c>
      <c r="W12" t="s">
        <v>5</v>
      </c>
      <c r="X12" t="s">
        <v>6</v>
      </c>
      <c r="Y12" t="s">
        <v>7</v>
      </c>
      <c r="Z12">
        <v>0</v>
      </c>
      <c r="AA12" t="s">
        <v>8</v>
      </c>
      <c r="AB12" t="s">
        <v>8</v>
      </c>
      <c r="AC12" t="s">
        <v>0</v>
      </c>
      <c r="AD12" t="s">
        <v>23</v>
      </c>
    </row>
    <row r="13" spans="1:30" x14ac:dyDescent="0.25">
      <c r="C13">
        <v>90</v>
      </c>
      <c r="D13" t="s">
        <v>0</v>
      </c>
      <c r="E13" t="s">
        <v>25</v>
      </c>
      <c r="F13">
        <v>10.067007</v>
      </c>
      <c r="G13">
        <v>-3.1748750000000001</v>
      </c>
      <c r="H13">
        <v>-82.187785000000005</v>
      </c>
      <c r="I13">
        <v>6.5760000000000002E-3</v>
      </c>
      <c r="J13">
        <v>6.2880000000000002E-3</v>
      </c>
      <c r="K13">
        <v>8.5909999999999997E-3</v>
      </c>
      <c r="L13">
        <v>1.2514000000000001E-2</v>
      </c>
      <c r="M13">
        <v>7.8312999999999994E-2</v>
      </c>
      <c r="N13">
        <v>4.6988000000000002E-2</v>
      </c>
      <c r="O13" t="s">
        <v>26</v>
      </c>
      <c r="P13" t="s">
        <v>0</v>
      </c>
      <c r="Q13">
        <v>1.1363529999999999</v>
      </c>
      <c r="R13">
        <v>1.569466</v>
      </c>
      <c r="S13">
        <v>2</v>
      </c>
      <c r="T13" t="s">
        <v>3</v>
      </c>
      <c r="U13" t="s">
        <v>4</v>
      </c>
      <c r="V13" t="s">
        <v>0</v>
      </c>
      <c r="W13" t="s">
        <v>5</v>
      </c>
      <c r="X13" t="s">
        <v>6</v>
      </c>
      <c r="Y13" t="s">
        <v>7</v>
      </c>
      <c r="Z13">
        <v>0</v>
      </c>
      <c r="AA13" t="s">
        <v>8</v>
      </c>
      <c r="AB13" t="s">
        <v>8</v>
      </c>
      <c r="AC13" t="s">
        <v>0</v>
      </c>
      <c r="AD13" t="s">
        <v>25</v>
      </c>
    </row>
    <row r="14" spans="1:30" x14ac:dyDescent="0.25">
      <c r="C14">
        <v>97</v>
      </c>
      <c r="D14" t="s">
        <v>0</v>
      </c>
      <c r="E14" t="s">
        <v>13</v>
      </c>
      <c r="F14">
        <v>-2.4253870000000002</v>
      </c>
      <c r="G14">
        <v>-6.2694109999999998</v>
      </c>
      <c r="H14">
        <v>-78.409837999999993</v>
      </c>
      <c r="I14">
        <v>4.8409999999999998E-3</v>
      </c>
      <c r="J14">
        <v>5.0639999999999999E-3</v>
      </c>
      <c r="K14">
        <v>6.0699999999999999E-3</v>
      </c>
      <c r="L14">
        <v>9.2689999999999995E-3</v>
      </c>
      <c r="M14">
        <v>4.0795999999999999E-2</v>
      </c>
      <c r="N14">
        <v>2.4478E-2</v>
      </c>
      <c r="O14" t="s">
        <v>27</v>
      </c>
      <c r="P14" t="s">
        <v>0</v>
      </c>
      <c r="Q14">
        <v>0.68490499999999999</v>
      </c>
      <c r="R14">
        <v>1.2286520000000001</v>
      </c>
      <c r="S14">
        <v>2</v>
      </c>
      <c r="T14" t="s">
        <v>3</v>
      </c>
      <c r="U14" t="s">
        <v>4</v>
      </c>
      <c r="V14" t="s">
        <v>0</v>
      </c>
      <c r="W14" t="s">
        <v>5</v>
      </c>
      <c r="X14" t="s">
        <v>6</v>
      </c>
      <c r="Y14" t="s">
        <v>7</v>
      </c>
      <c r="Z14">
        <v>0</v>
      </c>
      <c r="AA14" t="s">
        <v>8</v>
      </c>
      <c r="AB14" t="s">
        <v>8</v>
      </c>
      <c r="AC14" t="s">
        <v>0</v>
      </c>
      <c r="AD14" t="s">
        <v>13</v>
      </c>
    </row>
    <row r="15" spans="1:30" x14ac:dyDescent="0.25">
      <c r="C15">
        <v>105</v>
      </c>
      <c r="D15" t="s">
        <v>0</v>
      </c>
      <c r="E15" t="s">
        <v>17</v>
      </c>
      <c r="F15">
        <v>4.6689769999999999</v>
      </c>
      <c r="G15">
        <v>10.151595</v>
      </c>
      <c r="H15">
        <v>-98.424329</v>
      </c>
      <c r="I15">
        <v>4.9969999999999997E-3</v>
      </c>
      <c r="J15">
        <v>5.7959999999999999E-3</v>
      </c>
      <c r="K15">
        <v>5.4749999999999998E-3</v>
      </c>
      <c r="L15">
        <v>9.4090000000000007E-3</v>
      </c>
      <c r="M15">
        <v>3.6995E-2</v>
      </c>
      <c r="N15">
        <v>2.2197000000000001E-2</v>
      </c>
      <c r="O15" t="s">
        <v>28</v>
      </c>
      <c r="P15" t="s">
        <v>0</v>
      </c>
      <c r="Q15">
        <v>0.69550299999999998</v>
      </c>
      <c r="R15">
        <v>1.011768</v>
      </c>
      <c r="S15">
        <v>6</v>
      </c>
      <c r="T15" t="s">
        <v>3</v>
      </c>
      <c r="U15" t="s">
        <v>4</v>
      </c>
      <c r="V15" t="s">
        <v>0</v>
      </c>
      <c r="W15" t="s">
        <v>5</v>
      </c>
      <c r="X15" t="s">
        <v>6</v>
      </c>
      <c r="Y15" t="s">
        <v>7</v>
      </c>
      <c r="Z15">
        <v>0</v>
      </c>
      <c r="AA15" t="s">
        <v>8</v>
      </c>
      <c r="AB15" t="s">
        <v>8</v>
      </c>
      <c r="AC15" t="s">
        <v>0</v>
      </c>
      <c r="AD15" t="s">
        <v>17</v>
      </c>
    </row>
    <row r="16" spans="1:30" x14ac:dyDescent="0.25">
      <c r="C16">
        <v>113</v>
      </c>
      <c r="D16" t="s">
        <v>0</v>
      </c>
      <c r="E16" t="s">
        <v>1</v>
      </c>
      <c r="F16">
        <v>3.8367100000000001</v>
      </c>
      <c r="G16">
        <v>4.4321149999999996</v>
      </c>
      <c r="H16">
        <v>-83.249662000000001</v>
      </c>
      <c r="I16">
        <v>4.6249999999999998E-3</v>
      </c>
      <c r="J16">
        <v>4.9969999999999997E-3</v>
      </c>
      <c r="K16">
        <v>5.3299999999999997E-3</v>
      </c>
      <c r="L16">
        <v>8.6470000000000002E-3</v>
      </c>
      <c r="M16">
        <v>2.5878999999999999E-2</v>
      </c>
      <c r="N16">
        <v>1.5528E-2</v>
      </c>
      <c r="O16" t="s">
        <v>29</v>
      </c>
      <c r="P16" t="s">
        <v>0</v>
      </c>
      <c r="Q16">
        <v>0.48559400000000003</v>
      </c>
      <c r="R16">
        <v>0.74990699999999999</v>
      </c>
      <c r="S16">
        <v>9</v>
      </c>
      <c r="T16" t="s">
        <v>3</v>
      </c>
      <c r="U16" t="s">
        <v>4</v>
      </c>
      <c r="V16" t="s">
        <v>0</v>
      </c>
      <c r="W16" t="s">
        <v>5</v>
      </c>
      <c r="X16" t="s">
        <v>6</v>
      </c>
      <c r="Y16" t="s">
        <v>7</v>
      </c>
      <c r="Z16">
        <v>0</v>
      </c>
      <c r="AA16" t="s">
        <v>8</v>
      </c>
      <c r="AB16" t="s">
        <v>8</v>
      </c>
      <c r="AC16" t="s">
        <v>0</v>
      </c>
      <c r="AD16" t="s">
        <v>1</v>
      </c>
    </row>
    <row r="17" spans="1:30" x14ac:dyDescent="0.25">
      <c r="C17">
        <v>122</v>
      </c>
      <c r="D17" t="s">
        <v>0</v>
      </c>
      <c r="E17" t="s">
        <v>1</v>
      </c>
      <c r="F17">
        <v>-1.384484</v>
      </c>
      <c r="G17">
        <v>4.3447570000000004</v>
      </c>
      <c r="H17">
        <v>-83.095917999999998</v>
      </c>
      <c r="I17">
        <v>4.5719999999999997E-3</v>
      </c>
      <c r="J17">
        <v>4.9750000000000003E-3</v>
      </c>
      <c r="K17">
        <v>5.2690000000000002E-3</v>
      </c>
      <c r="L17">
        <v>8.5690000000000002E-3</v>
      </c>
      <c r="M17">
        <v>3.3466000000000003E-2</v>
      </c>
      <c r="N17">
        <v>2.0080000000000001E-2</v>
      </c>
      <c r="O17" t="s">
        <v>30</v>
      </c>
      <c r="P17" t="s">
        <v>0</v>
      </c>
      <c r="Q17">
        <v>0.58715200000000001</v>
      </c>
      <c r="R17">
        <v>1.009179</v>
      </c>
      <c r="S17">
        <v>2</v>
      </c>
      <c r="T17" t="s">
        <v>3</v>
      </c>
      <c r="U17" t="s">
        <v>4</v>
      </c>
      <c r="V17" t="s">
        <v>0</v>
      </c>
      <c r="W17" t="s">
        <v>5</v>
      </c>
      <c r="X17" t="s">
        <v>6</v>
      </c>
      <c r="Y17" t="s">
        <v>7</v>
      </c>
      <c r="Z17">
        <v>0</v>
      </c>
      <c r="AA17" t="s">
        <v>8</v>
      </c>
      <c r="AB17" t="s">
        <v>8</v>
      </c>
      <c r="AC17" t="s">
        <v>0</v>
      </c>
      <c r="AD17" t="s">
        <v>1</v>
      </c>
    </row>
    <row r="18" spans="1:30" x14ac:dyDescent="0.25">
      <c r="C18">
        <v>131</v>
      </c>
      <c r="D18" t="s">
        <v>0</v>
      </c>
      <c r="E18" t="s">
        <v>1</v>
      </c>
      <c r="F18">
        <v>3.6336390000000001</v>
      </c>
      <c r="G18">
        <v>7.7713720000000004</v>
      </c>
      <c r="H18">
        <v>-87.264650000000003</v>
      </c>
      <c r="I18">
        <v>4.5830000000000003E-3</v>
      </c>
      <c r="J18">
        <v>4.9699999999999996E-3</v>
      </c>
      <c r="K18">
        <v>5.2820000000000002E-3</v>
      </c>
      <c r="L18">
        <v>8.5789999999999998E-3</v>
      </c>
      <c r="M18">
        <v>7.0670999999999998E-2</v>
      </c>
      <c r="N18">
        <v>4.2403000000000003E-2</v>
      </c>
      <c r="O18" t="s">
        <v>31</v>
      </c>
      <c r="P18" t="s">
        <v>0</v>
      </c>
      <c r="Q18">
        <v>1.0452699999999999</v>
      </c>
      <c r="R18">
        <v>1.714817</v>
      </c>
      <c r="S18">
        <v>3</v>
      </c>
      <c r="T18" t="s">
        <v>3</v>
      </c>
      <c r="U18" t="s">
        <v>4</v>
      </c>
      <c r="V18" t="s">
        <v>0</v>
      </c>
      <c r="W18" t="s">
        <v>5</v>
      </c>
      <c r="X18" t="s">
        <v>6</v>
      </c>
      <c r="Y18" t="s">
        <v>7</v>
      </c>
      <c r="Z18">
        <v>0</v>
      </c>
      <c r="AA18" t="s">
        <v>8</v>
      </c>
      <c r="AB18" t="s">
        <v>8</v>
      </c>
      <c r="AC18" t="s">
        <v>0</v>
      </c>
      <c r="AD18" t="s">
        <v>1</v>
      </c>
    </row>
    <row r="19" spans="1:30" x14ac:dyDescent="0.25">
      <c r="C19">
        <v>140</v>
      </c>
      <c r="D19" t="s">
        <v>0</v>
      </c>
      <c r="E19" t="s">
        <v>1</v>
      </c>
      <c r="F19">
        <v>-1.575312</v>
      </c>
      <c r="G19">
        <v>7.656936</v>
      </c>
      <c r="H19">
        <v>-87.104061999999999</v>
      </c>
      <c r="I19">
        <v>4.6179999999999997E-3</v>
      </c>
      <c r="J19">
        <v>4.9890000000000004E-3</v>
      </c>
      <c r="K19">
        <v>5.2779999999999997E-3</v>
      </c>
      <c r="L19">
        <v>8.6060000000000008E-3</v>
      </c>
      <c r="M19">
        <v>4.5317000000000003E-2</v>
      </c>
      <c r="N19">
        <v>2.7189999999999999E-2</v>
      </c>
      <c r="O19" t="s">
        <v>32</v>
      </c>
      <c r="P19" t="s">
        <v>0</v>
      </c>
      <c r="Q19">
        <v>0.67418</v>
      </c>
      <c r="R19">
        <v>0.92191100000000004</v>
      </c>
      <c r="S19">
        <v>3</v>
      </c>
      <c r="T19" t="s">
        <v>3</v>
      </c>
      <c r="U19" t="s">
        <v>4</v>
      </c>
      <c r="V19" t="s">
        <v>0</v>
      </c>
      <c r="W19" t="s">
        <v>5</v>
      </c>
      <c r="X19" t="s">
        <v>6</v>
      </c>
      <c r="Y19" t="s">
        <v>7</v>
      </c>
      <c r="Z19">
        <v>0</v>
      </c>
      <c r="AA19" t="s">
        <v>8</v>
      </c>
      <c r="AB19" t="s">
        <v>8</v>
      </c>
      <c r="AC19" t="s">
        <v>0</v>
      </c>
      <c r="AD19" t="s">
        <v>1</v>
      </c>
    </row>
    <row r="20" spans="1:30" x14ac:dyDescent="0.25">
      <c r="C20">
        <v>149</v>
      </c>
      <c r="D20" t="s">
        <v>0</v>
      </c>
      <c r="E20" t="s">
        <v>33</v>
      </c>
      <c r="F20">
        <v>3.8137400000000001</v>
      </c>
      <c r="G20">
        <v>0.390343</v>
      </c>
      <c r="H20">
        <v>-86.543013999999999</v>
      </c>
      <c r="I20">
        <v>5.424E-3</v>
      </c>
      <c r="J20">
        <v>5.4039999999999999E-3</v>
      </c>
      <c r="K20">
        <v>6.9959999999999996E-3</v>
      </c>
      <c r="L20">
        <v>1.0371999999999999E-2</v>
      </c>
      <c r="M20">
        <v>8.7512000000000006E-2</v>
      </c>
      <c r="N20">
        <v>5.2507999999999999E-2</v>
      </c>
      <c r="O20" t="s">
        <v>34</v>
      </c>
      <c r="P20" t="s">
        <v>0</v>
      </c>
      <c r="Q20">
        <v>1.3978109999999999</v>
      </c>
      <c r="R20">
        <v>2.520213</v>
      </c>
      <c r="S20">
        <v>3</v>
      </c>
      <c r="T20" t="s">
        <v>3</v>
      </c>
      <c r="U20" t="s">
        <v>4</v>
      </c>
      <c r="V20" t="s">
        <v>0</v>
      </c>
      <c r="W20" t="s">
        <v>5</v>
      </c>
      <c r="X20" t="s">
        <v>6</v>
      </c>
      <c r="Y20" t="s">
        <v>7</v>
      </c>
      <c r="Z20">
        <v>0</v>
      </c>
      <c r="AA20" t="s">
        <v>8</v>
      </c>
      <c r="AB20" t="s">
        <v>8</v>
      </c>
      <c r="AC20" t="s">
        <v>0</v>
      </c>
      <c r="AD20" t="s">
        <v>33</v>
      </c>
    </row>
    <row r="21" spans="1:30" x14ac:dyDescent="0.25">
      <c r="C21">
        <v>156</v>
      </c>
      <c r="D21" t="s">
        <v>0</v>
      </c>
      <c r="E21" t="s">
        <v>35</v>
      </c>
      <c r="F21">
        <v>-1.4056059999999999</v>
      </c>
      <c r="G21">
        <v>0.25285600000000003</v>
      </c>
      <c r="H21">
        <v>-86.423169000000001</v>
      </c>
      <c r="I21">
        <v>5.6119999999999998E-3</v>
      </c>
      <c r="J21">
        <v>5.653E-3</v>
      </c>
      <c r="K21">
        <v>8.1569999999999993E-3</v>
      </c>
      <c r="L21">
        <v>1.1401E-2</v>
      </c>
      <c r="M21">
        <v>1.8758E-2</v>
      </c>
      <c r="N21">
        <v>1.1254999999999999E-2</v>
      </c>
      <c r="O21" t="s">
        <v>36</v>
      </c>
      <c r="P21" t="s">
        <v>0</v>
      </c>
      <c r="Q21">
        <v>0.33095400000000003</v>
      </c>
      <c r="R21">
        <v>0.59721299999999999</v>
      </c>
      <c r="S21">
        <v>7</v>
      </c>
      <c r="T21" t="s">
        <v>3</v>
      </c>
      <c r="U21" t="s">
        <v>4</v>
      </c>
      <c r="V21" t="s">
        <v>0</v>
      </c>
      <c r="W21" t="s">
        <v>5</v>
      </c>
      <c r="X21" t="s">
        <v>6</v>
      </c>
      <c r="Y21" t="s">
        <v>7</v>
      </c>
      <c r="Z21">
        <v>0</v>
      </c>
      <c r="AA21" t="s">
        <v>8</v>
      </c>
      <c r="AB21" t="s">
        <v>8</v>
      </c>
      <c r="AC21" t="s">
        <v>0</v>
      </c>
      <c r="AD21" t="s">
        <v>35</v>
      </c>
    </row>
    <row r="22" spans="1:30" x14ac:dyDescent="0.25">
      <c r="C22">
        <v>164</v>
      </c>
      <c r="D22" t="s">
        <v>0</v>
      </c>
      <c r="E22" t="s">
        <v>37</v>
      </c>
      <c r="F22">
        <v>3.6234660000000001</v>
      </c>
      <c r="G22">
        <v>3.7509209999999999</v>
      </c>
      <c r="H22">
        <v>-90.615471999999997</v>
      </c>
      <c r="I22">
        <v>6.3530000000000001E-3</v>
      </c>
      <c r="J22">
        <v>8.6800000000000002E-3</v>
      </c>
      <c r="K22">
        <v>6.0140000000000002E-3</v>
      </c>
      <c r="L22">
        <v>1.2324E-2</v>
      </c>
      <c r="M22">
        <v>4.9735000000000001E-2</v>
      </c>
      <c r="N22">
        <v>2.9840999999999999E-2</v>
      </c>
      <c r="O22" t="s">
        <v>38</v>
      </c>
      <c r="P22" t="s">
        <v>0</v>
      </c>
      <c r="Q22">
        <v>0.80661400000000005</v>
      </c>
      <c r="R22">
        <v>1.253979</v>
      </c>
      <c r="S22">
        <v>8</v>
      </c>
      <c r="T22" t="s">
        <v>3</v>
      </c>
      <c r="U22" t="s">
        <v>4</v>
      </c>
      <c r="V22" t="s">
        <v>0</v>
      </c>
      <c r="W22" t="s">
        <v>5</v>
      </c>
      <c r="X22" t="s">
        <v>6</v>
      </c>
      <c r="Y22" t="s">
        <v>7</v>
      </c>
      <c r="Z22">
        <v>0</v>
      </c>
      <c r="AA22" t="s">
        <v>8</v>
      </c>
      <c r="AB22" t="s">
        <v>8</v>
      </c>
      <c r="AC22" t="s">
        <v>0</v>
      </c>
      <c r="AD22" t="s">
        <v>37</v>
      </c>
    </row>
    <row r="23" spans="1:30" x14ac:dyDescent="0.25">
      <c r="C23">
        <v>170</v>
      </c>
      <c r="D23" t="s">
        <v>0</v>
      </c>
      <c r="E23" t="s">
        <v>39</v>
      </c>
      <c r="F23">
        <v>-1.6088499999999999</v>
      </c>
      <c r="G23">
        <v>3.6029119999999999</v>
      </c>
      <c r="H23">
        <v>-90.477061000000006</v>
      </c>
      <c r="I23">
        <v>6.2560000000000003E-3</v>
      </c>
      <c r="J23">
        <v>8.0339999999999995E-3</v>
      </c>
      <c r="K23">
        <v>6.2909999999999997E-3</v>
      </c>
      <c r="L23">
        <v>1.1969E-2</v>
      </c>
      <c r="M23">
        <v>8.8380000000000004E-3</v>
      </c>
      <c r="N23">
        <v>5.3030000000000004E-3</v>
      </c>
      <c r="O23" t="s">
        <v>40</v>
      </c>
      <c r="P23" t="s">
        <v>0</v>
      </c>
      <c r="Q23">
        <v>0.19476199999999999</v>
      </c>
      <c r="R23">
        <v>0.29621599999999998</v>
      </c>
      <c r="S23">
        <v>4</v>
      </c>
      <c r="T23" t="s">
        <v>3</v>
      </c>
      <c r="U23" t="s">
        <v>4</v>
      </c>
      <c r="V23" t="s">
        <v>0</v>
      </c>
      <c r="W23" t="s">
        <v>5</v>
      </c>
      <c r="X23" t="s">
        <v>6</v>
      </c>
      <c r="Y23" t="s">
        <v>7</v>
      </c>
      <c r="Z23">
        <v>0</v>
      </c>
      <c r="AA23" t="s">
        <v>8</v>
      </c>
      <c r="AB23" t="s">
        <v>8</v>
      </c>
      <c r="AC23" t="s">
        <v>0</v>
      </c>
      <c r="AD23" t="s">
        <v>39</v>
      </c>
    </row>
    <row r="25" spans="1:30" x14ac:dyDescent="0.25">
      <c r="A25" s="7" t="s">
        <v>107</v>
      </c>
    </row>
    <row r="26" spans="1:30" x14ac:dyDescent="0.25">
      <c r="A26" s="2" t="s">
        <v>95</v>
      </c>
      <c r="B26" s="2" t="s">
        <v>64</v>
      </c>
      <c r="C26" s="2" t="s">
        <v>65</v>
      </c>
      <c r="D26" s="2" t="s">
        <v>41</v>
      </c>
      <c r="E26" s="2" t="s">
        <v>42</v>
      </c>
      <c r="F26" s="2" t="s">
        <v>43</v>
      </c>
      <c r="G26" s="2" t="s">
        <v>44</v>
      </c>
      <c r="H26" s="2" t="s">
        <v>45</v>
      </c>
      <c r="I26" s="2" t="s">
        <v>46</v>
      </c>
      <c r="J26" s="2" t="s">
        <v>47</v>
      </c>
      <c r="K26" s="2" t="s">
        <v>48</v>
      </c>
      <c r="L26" s="2" t="s">
        <v>49</v>
      </c>
      <c r="M26" s="2" t="s">
        <v>50</v>
      </c>
      <c r="N26" s="2" t="s">
        <v>51</v>
      </c>
      <c r="O26" s="2" t="s">
        <v>52</v>
      </c>
      <c r="P26" s="2" t="s">
        <v>53</v>
      </c>
      <c r="Q26" s="2" t="s">
        <v>59</v>
      </c>
      <c r="R26" s="2" t="s">
        <v>60</v>
      </c>
      <c r="S26" s="2" t="s">
        <v>61</v>
      </c>
      <c r="T26" s="2" t="s">
        <v>94</v>
      </c>
      <c r="U26" s="2" t="s">
        <v>93</v>
      </c>
      <c r="W26" s="5" t="s">
        <v>62</v>
      </c>
      <c r="X26" s="5" t="s">
        <v>63</v>
      </c>
      <c r="Y26" s="5" t="s">
        <v>92</v>
      </c>
      <c r="AA26" s="3" t="s">
        <v>90</v>
      </c>
      <c r="AB26" s="4">
        <v>5.3</v>
      </c>
    </row>
    <row r="27" spans="1:30" x14ac:dyDescent="0.25">
      <c r="A27">
        <v>6</v>
      </c>
      <c r="B27">
        <v>113</v>
      </c>
      <c r="C27">
        <v>131</v>
      </c>
      <c r="D27">
        <f>_xlfn.XLOOKUP(B27,$C$2:$C$23,$F$2:$F$23)</f>
        <v>3.8367100000000001</v>
      </c>
      <c r="E27">
        <f>_xlfn.XLOOKUP(B27,$C$2:$C$23,$G$2:$G$23)</f>
        <v>4.4321149999999996</v>
      </c>
      <c r="F27">
        <f>_xlfn.XLOOKUP(B27,$C$2:$C$23,$H$2:$H$23)</f>
        <v>-83.249662000000001</v>
      </c>
      <c r="G27">
        <f>_xlfn.XLOOKUP(C27,$C$2:$C$23,$F$2:$F$23)</f>
        <v>3.6336390000000001</v>
      </c>
      <c r="H27">
        <f>_xlfn.XLOOKUP(C27,$C$2:$C$23,$G$2:$G$23)</f>
        <v>7.7713720000000004</v>
      </c>
      <c r="I27">
        <f>_xlfn.XLOOKUP(C27,$C$2:$C$23,$H$2:$H$23)</f>
        <v>-87.264650000000003</v>
      </c>
      <c r="J27">
        <f>_xlfn.XLOOKUP(B27,$C$2:$C$23,$I$2:$I$23)</f>
        <v>4.6249999999999998E-3</v>
      </c>
      <c r="K27">
        <f>_xlfn.XLOOKUP(B27,$C$2:$C$23,$J$2:$J$23)</f>
        <v>4.9969999999999997E-3</v>
      </c>
      <c r="L27">
        <f>_xlfn.XLOOKUP(B27,$C$2:$C$23,$K$2:$K$23)</f>
        <v>5.3299999999999997E-3</v>
      </c>
      <c r="M27">
        <f>_xlfn.XLOOKUP(C27,$C$2:$C$23,$I$2:$I$23)</f>
        <v>4.5830000000000003E-3</v>
      </c>
      <c r="N27">
        <f>_xlfn.XLOOKUP(C27,$C$2:$C$23,$J$2:$J$23)</f>
        <v>4.9699999999999996E-3</v>
      </c>
      <c r="O27">
        <f>_xlfn.XLOOKUP(C27,$C$2:$C$23,$K$2:$K$23)</f>
        <v>5.2820000000000002E-3</v>
      </c>
      <c r="P27" s="1">
        <f t="shared" ref="P27:P38" si="0">SQRT(((D27-G27)^2)+((E27-H27)^2)+((F27-I27)^2))</f>
        <v>5.2260887653420145</v>
      </c>
      <c r="Q27">
        <f t="shared" ref="Q27:Q38" si="1">(D27-G27)/P27</f>
        <v>3.8857166251501714E-2</v>
      </c>
      <c r="R27">
        <f t="shared" ref="R27:R38" si="2">(E27-H27)/P27</f>
        <v>-0.63895910497063046</v>
      </c>
      <c r="S27">
        <f t="shared" ref="S27:S38" si="3">(F27-I27)/P27</f>
        <v>0.76825866920330554</v>
      </c>
      <c r="T27" s="1">
        <f t="shared" ref="T27:T38" si="4">((Q27^2)*((J27^2)+(M27^2)))+((R27^2)*((K27^2)+(N27^2)))+((S27^2)*((L27^2)+(O27^2)))</f>
        <v>5.3577525803003892E-5</v>
      </c>
      <c r="U27">
        <f t="shared" ref="U27:U38" si="5">SQRT(T27)</f>
        <v>7.3196670554748523E-3</v>
      </c>
      <c r="W27" s="6">
        <f t="shared" ref="W27:W38" si="6">(ABS(P27-$AB$26)/(SQRT((T27)+($AB$27^2))))</f>
        <v>1.4626349047382252</v>
      </c>
      <c r="X27" s="6">
        <f>ABS((_xlfn.NORM.S.INV(0.05/2)))</f>
        <v>1.9599639845400538</v>
      </c>
      <c r="Y27" t="str">
        <f>IF(W27&lt;X27, "PASSED", "NOT PASSED")</f>
        <v>PASSED</v>
      </c>
      <c r="AA27" s="3" t="s">
        <v>91</v>
      </c>
      <c r="AB27" s="4">
        <v>0.05</v>
      </c>
    </row>
    <row r="28" spans="1:30" x14ac:dyDescent="0.25">
      <c r="A28">
        <v>7</v>
      </c>
      <c r="B28">
        <v>113</v>
      </c>
      <c r="C28">
        <v>149</v>
      </c>
      <c r="D28">
        <f>_xlfn.XLOOKUP(B28,$C$2:$C$23,$F$2:$F$23)</f>
        <v>3.8367100000000001</v>
      </c>
      <c r="E28">
        <f>_xlfn.XLOOKUP(B28,$C$2:$C$23,$G$2:$G$23)</f>
        <v>4.4321149999999996</v>
      </c>
      <c r="F28">
        <f>_xlfn.XLOOKUP(B28,$C$2:$C$23,$H$2:$H$23)</f>
        <v>-83.249662000000001</v>
      </c>
      <c r="G28">
        <f>_xlfn.XLOOKUP(C28,$C$2:$C$23,$F$2:$F$23)</f>
        <v>3.8137400000000001</v>
      </c>
      <c r="H28">
        <f>_xlfn.XLOOKUP(C28,$C$2:$C$23,$G$2:$G$23)</f>
        <v>0.390343</v>
      </c>
      <c r="I28">
        <f>_xlfn.XLOOKUP(C28,$C$2:$C$23,$H$2:$H$23)</f>
        <v>-86.543013999999999</v>
      </c>
      <c r="J28">
        <f>_xlfn.XLOOKUP(B28,$C$2:$C$23,$I$2:$I$23)</f>
        <v>4.6249999999999998E-3</v>
      </c>
      <c r="K28">
        <f>_xlfn.XLOOKUP(B28,$C$2:$C$23,$J$2:$J$23)</f>
        <v>4.9969999999999997E-3</v>
      </c>
      <c r="L28">
        <f>_xlfn.XLOOKUP(B28,$C$2:$C$23,$K$2:$K$23)</f>
        <v>5.3299999999999997E-3</v>
      </c>
      <c r="M28">
        <f>_xlfn.XLOOKUP(C28,$C$2:$C$23,$I$2:$I$23)</f>
        <v>5.424E-3</v>
      </c>
      <c r="N28">
        <f>_xlfn.XLOOKUP(C28,$C$2:$C$23,$J$2:$J$23)</f>
        <v>5.4039999999999999E-3</v>
      </c>
      <c r="O28">
        <f>_xlfn.XLOOKUP(C28,$C$2:$C$23,$K$2:$K$23)</f>
        <v>6.9959999999999996E-3</v>
      </c>
      <c r="P28" s="1">
        <f t="shared" si="0"/>
        <v>5.213695034885335</v>
      </c>
      <c r="Q28">
        <f t="shared" si="1"/>
        <v>4.4057045619863558E-3</v>
      </c>
      <c r="R28">
        <f t="shared" si="2"/>
        <v>0.77522217409267602</v>
      </c>
      <c r="S28">
        <f t="shared" si="3"/>
        <v>0.6316733099968187</v>
      </c>
      <c r="T28" s="1">
        <f t="shared" si="4"/>
        <v>6.3422115365986922E-5</v>
      </c>
      <c r="U28">
        <f t="shared" si="5"/>
        <v>7.9638003092736397E-3</v>
      </c>
      <c r="W28" s="6">
        <f t="shared" si="6"/>
        <v>1.7046126928654202</v>
      </c>
      <c r="X28" s="11">
        <f t="shared" ref="X28:X38" si="7">ABS((_xlfn.NORM.S.INV(0.05/2)))</f>
        <v>1.9599639845400538</v>
      </c>
      <c r="Y28" t="str">
        <f t="shared" ref="Y28:Y38" si="8">IF(W28&lt;X28, "PASSED", "NOT PASSED")</f>
        <v>PASSED</v>
      </c>
    </row>
    <row r="29" spans="1:30" x14ac:dyDescent="0.25">
      <c r="A29">
        <v>4</v>
      </c>
      <c r="B29">
        <v>122</v>
      </c>
      <c r="C29">
        <v>156</v>
      </c>
      <c r="D29">
        <f>_xlfn.XLOOKUP(B29,$C$2:$C$23,$F$2:$F$23)</f>
        <v>-1.384484</v>
      </c>
      <c r="E29">
        <f>_xlfn.XLOOKUP(B29,$C$2:$C$23,$G$2:$G$23)</f>
        <v>4.3447570000000004</v>
      </c>
      <c r="F29">
        <f>_xlfn.XLOOKUP(B29,$C$2:$C$23,$H$2:$H$23)</f>
        <v>-83.095917999999998</v>
      </c>
      <c r="G29">
        <f>_xlfn.XLOOKUP(C29,$C$2:$C$23,$F$2:$F$23)</f>
        <v>-1.4056059999999999</v>
      </c>
      <c r="H29">
        <f>_xlfn.XLOOKUP(C29,$C$2:$C$23,$G$2:$G$23)</f>
        <v>0.25285600000000003</v>
      </c>
      <c r="I29">
        <f>_xlfn.XLOOKUP(C29,$C$2:$C$23,$H$2:$H$23)</f>
        <v>-86.423169000000001</v>
      </c>
      <c r="J29">
        <f>_xlfn.XLOOKUP(B29,$C$2:$C$23,$I$2:$I$23)</f>
        <v>4.5719999999999997E-3</v>
      </c>
      <c r="K29">
        <f>_xlfn.XLOOKUP(B29,$C$2:$C$23,$J$2:$J$23)</f>
        <v>4.9750000000000003E-3</v>
      </c>
      <c r="L29">
        <f>_xlfn.XLOOKUP(B29,$C$2:$C$23,$K$2:$K$23)</f>
        <v>5.2690000000000002E-3</v>
      </c>
      <c r="M29">
        <f>_xlfn.XLOOKUP(C29,$C$2:$C$23,$I$2:$I$23)</f>
        <v>5.6119999999999998E-3</v>
      </c>
      <c r="N29">
        <f>_xlfn.XLOOKUP(C29,$C$2:$C$23,$J$2:$J$23)</f>
        <v>5.653E-3</v>
      </c>
      <c r="O29">
        <f>_xlfn.XLOOKUP(C29,$C$2:$C$23,$K$2:$K$23)</f>
        <v>8.1569999999999993E-3</v>
      </c>
      <c r="P29" s="1">
        <f t="shared" si="0"/>
        <v>5.273964272697155</v>
      </c>
      <c r="Q29">
        <f t="shared" si="1"/>
        <v>4.0049569750304492E-3</v>
      </c>
      <c r="R29">
        <f t="shared" si="2"/>
        <v>0.77586816831191074</v>
      </c>
      <c r="S29">
        <f t="shared" si="3"/>
        <v>0.63088235489665467</v>
      </c>
      <c r="T29" s="1">
        <f t="shared" si="4"/>
        <v>7.1669042946512348E-5</v>
      </c>
      <c r="U29">
        <f t="shared" si="5"/>
        <v>8.4657570805281405E-3</v>
      </c>
      <c r="W29" s="6">
        <f t="shared" si="6"/>
        <v>0.51340746092395162</v>
      </c>
      <c r="X29" s="6">
        <f t="shared" si="7"/>
        <v>1.9599639845400538</v>
      </c>
      <c r="Y29" t="str">
        <f t="shared" si="8"/>
        <v>PASSED</v>
      </c>
    </row>
    <row r="30" spans="1:30" x14ac:dyDescent="0.25">
      <c r="A30">
        <v>5</v>
      </c>
      <c r="B30">
        <v>122</v>
      </c>
      <c r="C30">
        <v>113</v>
      </c>
      <c r="D30">
        <f>_xlfn.XLOOKUP(B30,$C$2:$C$23,$F$2:$F$23)</f>
        <v>-1.384484</v>
      </c>
      <c r="E30">
        <f>_xlfn.XLOOKUP(B30,$C$2:$C$23,$G$2:$G$23)</f>
        <v>4.3447570000000004</v>
      </c>
      <c r="F30">
        <f>_xlfn.XLOOKUP(B30,$C$2:$C$23,$H$2:$H$23)</f>
        <v>-83.095917999999998</v>
      </c>
      <c r="G30">
        <f>_xlfn.XLOOKUP(C30,$C$2:$C$23,$F$2:$F$23)</f>
        <v>3.8367100000000001</v>
      </c>
      <c r="H30">
        <f>_xlfn.XLOOKUP(C30,$C$2:$C$23,$G$2:$G$23)</f>
        <v>4.4321149999999996</v>
      </c>
      <c r="I30">
        <f>_xlfn.XLOOKUP(C30,$C$2:$C$23,$H$2:$H$23)</f>
        <v>-83.249662000000001</v>
      </c>
      <c r="J30">
        <f>_xlfn.XLOOKUP(B30,$C$2:$C$23,$I$2:$I$23)</f>
        <v>4.5719999999999997E-3</v>
      </c>
      <c r="K30">
        <f>_xlfn.XLOOKUP(B30,$C$2:$C$23,$J$2:$J$23)</f>
        <v>4.9750000000000003E-3</v>
      </c>
      <c r="L30">
        <f>_xlfn.XLOOKUP(B30,$C$2:$C$23,$K$2:$K$23)</f>
        <v>5.2690000000000002E-3</v>
      </c>
      <c r="M30">
        <f>_xlfn.XLOOKUP(C30,$C$2:$C$23,$I$2:$I$23)</f>
        <v>4.6249999999999998E-3</v>
      </c>
      <c r="N30">
        <f>_xlfn.XLOOKUP(C30,$C$2:$C$23,$J$2:$J$23)</f>
        <v>4.9969999999999997E-3</v>
      </c>
      <c r="O30">
        <f>_xlfn.XLOOKUP(C30,$C$2:$C$23,$K$2:$K$23)</f>
        <v>5.3299999999999997E-3</v>
      </c>
      <c r="P30" s="1">
        <f t="shared" si="0"/>
        <v>5.2241875371521651</v>
      </c>
      <c r="Q30">
        <f t="shared" si="1"/>
        <v>-0.99942698512814176</v>
      </c>
      <c r="R30">
        <f t="shared" si="2"/>
        <v>-1.6721834616147832E-2</v>
      </c>
      <c r="S30">
        <f t="shared" si="3"/>
        <v>2.942926510708934E-2</v>
      </c>
      <c r="T30" s="1">
        <f t="shared" si="4"/>
        <v>4.2307904693424552E-5</v>
      </c>
      <c r="U30">
        <f t="shared" si="5"/>
        <v>6.5044526820805266E-3</v>
      </c>
      <c r="W30" s="6">
        <f t="shared" si="6"/>
        <v>1.5035799695705072</v>
      </c>
      <c r="X30" s="6">
        <f t="shared" si="7"/>
        <v>1.9599639845400538</v>
      </c>
      <c r="Y30" t="str">
        <f t="shared" si="8"/>
        <v>PASSED</v>
      </c>
    </row>
    <row r="31" spans="1:30" x14ac:dyDescent="0.25">
      <c r="A31">
        <v>11</v>
      </c>
      <c r="B31">
        <v>131</v>
      </c>
      <c r="C31">
        <v>164</v>
      </c>
      <c r="D31">
        <f>_xlfn.XLOOKUP(B31,$C$2:$C$23,$F$2:$F$23)</f>
        <v>3.6336390000000001</v>
      </c>
      <c r="E31">
        <f>_xlfn.XLOOKUP(B31,$C$2:$C$23,$G$2:$G$23)</f>
        <v>7.7713720000000004</v>
      </c>
      <c r="F31">
        <f>_xlfn.XLOOKUP(B31,$C$2:$C$23,$H$2:$H$23)</f>
        <v>-87.264650000000003</v>
      </c>
      <c r="G31">
        <f>_xlfn.XLOOKUP(C31,$C$2:$C$23,$F$2:$F$23)</f>
        <v>3.6234660000000001</v>
      </c>
      <c r="H31">
        <f>_xlfn.XLOOKUP(C31,$C$2:$C$23,$G$2:$G$23)</f>
        <v>3.7509209999999999</v>
      </c>
      <c r="I31">
        <f>_xlfn.XLOOKUP(C31,$C$2:$C$23,$H$2:$H$23)</f>
        <v>-90.615471999999997</v>
      </c>
      <c r="J31">
        <f>_xlfn.XLOOKUP(B31,$C$2:$C$23,$I$2:$I$23)</f>
        <v>4.5830000000000003E-3</v>
      </c>
      <c r="K31">
        <f>_xlfn.XLOOKUP(B31,$C$2:$C$23,$J$2:$J$23)</f>
        <v>4.9699999999999996E-3</v>
      </c>
      <c r="L31">
        <f>_xlfn.XLOOKUP(B31,$C$2:$C$23,$K$2:$K$23)</f>
        <v>5.2820000000000002E-3</v>
      </c>
      <c r="M31">
        <f>_xlfn.XLOOKUP(C31,$C$2:$C$23,$I$2:$I$23)</f>
        <v>6.3530000000000001E-3</v>
      </c>
      <c r="N31">
        <f>_xlfn.XLOOKUP(C31,$C$2:$C$23,$J$2:$J$23)</f>
        <v>8.6800000000000002E-3</v>
      </c>
      <c r="O31">
        <f>_xlfn.XLOOKUP(C31,$C$2:$C$23,$K$2:$K$23)</f>
        <v>6.0140000000000002E-3</v>
      </c>
      <c r="P31" s="1">
        <f t="shared" si="0"/>
        <v>5.2337498802497198</v>
      </c>
      <c r="Q31">
        <f t="shared" si="1"/>
        <v>1.9437306391712015E-3</v>
      </c>
      <c r="R31">
        <f t="shared" si="2"/>
        <v>0.76817790150265475</v>
      </c>
      <c r="S31">
        <f t="shared" si="3"/>
        <v>0.64023349924397133</v>
      </c>
      <c r="T31" s="1">
        <f t="shared" si="4"/>
        <v>8.529680199205838E-5</v>
      </c>
      <c r="U31">
        <f t="shared" si="5"/>
        <v>9.2356267785168953E-3</v>
      </c>
      <c r="W31" s="6">
        <f t="shared" si="6"/>
        <v>1.3029611393713221</v>
      </c>
      <c r="X31" s="6">
        <f t="shared" si="7"/>
        <v>1.9599639845400538</v>
      </c>
      <c r="Y31" t="str">
        <f t="shared" si="8"/>
        <v>PASSED</v>
      </c>
    </row>
    <row r="32" spans="1:30" x14ac:dyDescent="0.25">
      <c r="A32">
        <v>1</v>
      </c>
      <c r="B32">
        <v>140</v>
      </c>
      <c r="C32">
        <v>131</v>
      </c>
      <c r="D32">
        <v>-1.575312</v>
      </c>
      <c r="E32">
        <v>7.656936</v>
      </c>
      <c r="F32">
        <v>-87.104061999999999</v>
      </c>
      <c r="G32">
        <v>3.6336390000000001</v>
      </c>
      <c r="H32">
        <v>7.7713720000000004</v>
      </c>
      <c r="I32">
        <v>-87.264650000000003</v>
      </c>
      <c r="J32">
        <v>4.6179999999999997E-3</v>
      </c>
      <c r="K32">
        <v>4.9890000000000004E-3</v>
      </c>
      <c r="L32">
        <v>5.2779999999999997E-3</v>
      </c>
      <c r="M32">
        <v>4.5830000000000003E-3</v>
      </c>
      <c r="N32">
        <v>4.9699999999999996E-3</v>
      </c>
      <c r="O32">
        <v>5.2820000000000002E-3</v>
      </c>
      <c r="P32" s="1">
        <f t="shared" si="0"/>
        <v>5.212682095067855</v>
      </c>
      <c r="Q32">
        <f t="shared" si="1"/>
        <v>-0.99928422739008282</v>
      </c>
      <c r="R32">
        <f t="shared" si="2"/>
        <v>-2.1953381754908418E-2</v>
      </c>
      <c r="S32">
        <f t="shared" si="3"/>
        <v>3.080717317327861E-2</v>
      </c>
      <c r="T32" s="1">
        <f t="shared" si="4"/>
        <v>4.2346055864422474E-5</v>
      </c>
      <c r="U32">
        <f t="shared" si="5"/>
        <v>6.5073847177205121E-3</v>
      </c>
      <c r="W32" s="6">
        <f t="shared" si="6"/>
        <v>1.7317531026150588</v>
      </c>
      <c r="X32" s="6">
        <f t="shared" si="7"/>
        <v>1.9599639845400538</v>
      </c>
      <c r="Y32" t="str">
        <f t="shared" si="8"/>
        <v>PASSED</v>
      </c>
      <c r="AB32" t="s">
        <v>0</v>
      </c>
    </row>
    <row r="33" spans="1:25" x14ac:dyDescent="0.25">
      <c r="A33">
        <v>2</v>
      </c>
      <c r="B33">
        <v>140</v>
      </c>
      <c r="C33">
        <v>122</v>
      </c>
      <c r="D33">
        <f t="shared" ref="D33:D38" si="9">_xlfn.XLOOKUP(B33,$C$2:$C$23,$F$2:$F$23)</f>
        <v>-1.575312</v>
      </c>
      <c r="E33">
        <f t="shared" ref="E33:E38" si="10">_xlfn.XLOOKUP(B33,$C$2:$C$23,$G$2:$G$23)</f>
        <v>7.656936</v>
      </c>
      <c r="F33">
        <f t="shared" ref="F33:F38" si="11">_xlfn.XLOOKUP(B33,$C$2:$C$23,$H$2:$H$23)</f>
        <v>-87.104061999999999</v>
      </c>
      <c r="G33">
        <f t="shared" ref="G33:G38" si="12">_xlfn.XLOOKUP(C33,$C$2:$C$23,$F$2:$F$23)</f>
        <v>-1.384484</v>
      </c>
      <c r="H33">
        <f t="shared" ref="H33:H38" si="13">_xlfn.XLOOKUP(C33,$C$2:$C$23,$G$2:$G$23)</f>
        <v>4.3447570000000004</v>
      </c>
      <c r="I33">
        <f t="shared" ref="I33:I38" si="14">_xlfn.XLOOKUP(C33,$C$2:$C$23,$H$2:$H$23)</f>
        <v>-83.095917999999998</v>
      </c>
      <c r="J33">
        <f t="shared" ref="J33:J38" si="15">_xlfn.XLOOKUP(B33,$C$2:$C$23,$I$2:$I$23)</f>
        <v>4.6179999999999997E-3</v>
      </c>
      <c r="K33">
        <f t="shared" ref="K33:K38" si="16">_xlfn.XLOOKUP(B33,$C$2:$C$23,$J$2:$J$23)</f>
        <v>4.9890000000000004E-3</v>
      </c>
      <c r="L33">
        <f t="shared" ref="L33:L38" si="17">_xlfn.XLOOKUP(B33,$C$2:$C$23,$K$2:$K$23)</f>
        <v>5.2779999999999997E-3</v>
      </c>
      <c r="M33">
        <f t="shared" ref="M33:M38" si="18">_xlfn.XLOOKUP(C33,$C$2:$C$23,$I$2:$I$23)</f>
        <v>4.5719999999999997E-3</v>
      </c>
      <c r="N33">
        <f t="shared" ref="N33:N38" si="19">_xlfn.XLOOKUP(C33,$C$2:$C$23,$J$2:$J$23)</f>
        <v>4.9750000000000003E-3</v>
      </c>
      <c r="O33">
        <f t="shared" ref="O33:O38" si="20">_xlfn.XLOOKUP(C33,$C$2:$C$23,$K$2:$K$23)</f>
        <v>5.2690000000000002E-3</v>
      </c>
      <c r="P33" s="1">
        <f t="shared" si="0"/>
        <v>5.2030917134297194</v>
      </c>
      <c r="Q33">
        <f t="shared" si="1"/>
        <v>-3.6675886282660199E-2</v>
      </c>
      <c r="R33">
        <f t="shared" si="2"/>
        <v>0.63657901540557549</v>
      </c>
      <c r="S33">
        <f t="shared" si="3"/>
        <v>-0.7703389101626954</v>
      </c>
      <c r="T33" s="1">
        <f t="shared" si="4"/>
        <v>5.3178786873461353E-5</v>
      </c>
      <c r="U33">
        <f t="shared" si="5"/>
        <v>7.2923786841785276E-3</v>
      </c>
      <c r="W33" s="6">
        <f t="shared" si="6"/>
        <v>1.9178750138624787</v>
      </c>
      <c r="X33" s="6">
        <f t="shared" si="7"/>
        <v>1.9599639845400538</v>
      </c>
      <c r="Y33" t="str">
        <f t="shared" si="8"/>
        <v>PASSED</v>
      </c>
    </row>
    <row r="34" spans="1:25" x14ac:dyDescent="0.25">
      <c r="A34">
        <v>3</v>
      </c>
      <c r="B34">
        <v>140</v>
      </c>
      <c r="C34">
        <v>170</v>
      </c>
      <c r="D34">
        <f t="shared" si="9"/>
        <v>-1.575312</v>
      </c>
      <c r="E34">
        <f t="shared" si="10"/>
        <v>7.656936</v>
      </c>
      <c r="F34">
        <f t="shared" si="11"/>
        <v>-87.104061999999999</v>
      </c>
      <c r="G34">
        <f t="shared" si="12"/>
        <v>-1.6088499999999999</v>
      </c>
      <c r="H34">
        <f t="shared" si="13"/>
        <v>3.6029119999999999</v>
      </c>
      <c r="I34">
        <f t="shared" si="14"/>
        <v>-90.477061000000006</v>
      </c>
      <c r="J34">
        <f t="shared" si="15"/>
        <v>4.6179999999999997E-3</v>
      </c>
      <c r="K34">
        <f t="shared" si="16"/>
        <v>4.9890000000000004E-3</v>
      </c>
      <c r="L34">
        <f t="shared" si="17"/>
        <v>5.2779999999999997E-3</v>
      </c>
      <c r="M34">
        <f t="shared" si="18"/>
        <v>6.2560000000000003E-3</v>
      </c>
      <c r="N34">
        <f t="shared" si="19"/>
        <v>8.0339999999999995E-3</v>
      </c>
      <c r="O34">
        <f t="shared" si="20"/>
        <v>6.2909999999999997E-3</v>
      </c>
      <c r="P34" s="1">
        <f t="shared" si="0"/>
        <v>5.2738370892568387</v>
      </c>
      <c r="Q34">
        <f t="shared" si="1"/>
        <v>6.3593166478955162E-3</v>
      </c>
      <c r="R34">
        <f t="shared" si="2"/>
        <v>0.76870482181907362</v>
      </c>
      <c r="S34">
        <f t="shared" si="3"/>
        <v>0.63957208819950717</v>
      </c>
      <c r="T34" s="1">
        <f t="shared" si="4"/>
        <v>8.0434414644499897E-5</v>
      </c>
      <c r="U34">
        <f t="shared" si="5"/>
        <v>8.9685235487509257E-3</v>
      </c>
      <c r="W34" s="6">
        <f t="shared" si="6"/>
        <v>0.51503844355965489</v>
      </c>
      <c r="X34" s="6">
        <f t="shared" si="7"/>
        <v>1.9599639845400538</v>
      </c>
      <c r="Y34" t="str">
        <f t="shared" si="8"/>
        <v>PASSED</v>
      </c>
    </row>
    <row r="35" spans="1:25" x14ac:dyDescent="0.25">
      <c r="A35">
        <v>8</v>
      </c>
      <c r="B35">
        <v>149</v>
      </c>
      <c r="C35">
        <v>156</v>
      </c>
      <c r="D35">
        <f t="shared" si="9"/>
        <v>3.8137400000000001</v>
      </c>
      <c r="E35">
        <f t="shared" si="10"/>
        <v>0.390343</v>
      </c>
      <c r="F35">
        <f t="shared" si="11"/>
        <v>-86.543013999999999</v>
      </c>
      <c r="G35">
        <f t="shared" si="12"/>
        <v>-1.4056059999999999</v>
      </c>
      <c r="H35">
        <f t="shared" si="13"/>
        <v>0.25285600000000003</v>
      </c>
      <c r="I35">
        <f t="shared" si="14"/>
        <v>-86.423169000000001</v>
      </c>
      <c r="J35">
        <f t="shared" si="15"/>
        <v>5.424E-3</v>
      </c>
      <c r="K35">
        <f t="shared" si="16"/>
        <v>5.4039999999999999E-3</v>
      </c>
      <c r="L35">
        <f t="shared" si="17"/>
        <v>6.9959999999999996E-3</v>
      </c>
      <c r="M35">
        <f t="shared" si="18"/>
        <v>5.6119999999999998E-3</v>
      </c>
      <c r="N35">
        <f t="shared" si="19"/>
        <v>5.653E-3</v>
      </c>
      <c r="O35">
        <f t="shared" si="20"/>
        <v>8.1569999999999993E-3</v>
      </c>
      <c r="P35" s="1">
        <f t="shared" si="0"/>
        <v>5.2225317774916409</v>
      </c>
      <c r="Q35">
        <f t="shared" si="1"/>
        <v>0.99938999366066639</v>
      </c>
      <c r="R35">
        <f t="shared" si="2"/>
        <v>2.6325737373690882E-2</v>
      </c>
      <c r="S35">
        <f t="shared" si="3"/>
        <v>-2.2947682293961838E-2</v>
      </c>
      <c r="T35" s="1">
        <f t="shared" si="4"/>
        <v>6.0943224432973354E-5</v>
      </c>
      <c r="U35">
        <f t="shared" si="5"/>
        <v>7.8066141465409546E-3</v>
      </c>
      <c r="W35" s="6">
        <f t="shared" si="6"/>
        <v>1.5308181970716022</v>
      </c>
      <c r="X35" s="6">
        <f t="shared" si="7"/>
        <v>1.9599639845400538</v>
      </c>
      <c r="Y35" t="str">
        <f t="shared" si="8"/>
        <v>PASSED</v>
      </c>
    </row>
    <row r="36" spans="1:25" x14ac:dyDescent="0.25">
      <c r="A36">
        <v>9</v>
      </c>
      <c r="B36">
        <v>149</v>
      </c>
      <c r="C36">
        <v>164</v>
      </c>
      <c r="D36">
        <f t="shared" si="9"/>
        <v>3.8137400000000001</v>
      </c>
      <c r="E36">
        <f t="shared" si="10"/>
        <v>0.390343</v>
      </c>
      <c r="F36">
        <f t="shared" si="11"/>
        <v>-86.543013999999999</v>
      </c>
      <c r="G36">
        <f t="shared" si="12"/>
        <v>3.6234660000000001</v>
      </c>
      <c r="H36">
        <f t="shared" si="13"/>
        <v>3.7509209999999999</v>
      </c>
      <c r="I36">
        <f t="shared" si="14"/>
        <v>-90.615471999999997</v>
      </c>
      <c r="J36">
        <f t="shared" si="15"/>
        <v>5.424E-3</v>
      </c>
      <c r="K36">
        <f t="shared" si="16"/>
        <v>5.4039999999999999E-3</v>
      </c>
      <c r="L36">
        <f t="shared" si="17"/>
        <v>6.9959999999999996E-3</v>
      </c>
      <c r="M36">
        <f t="shared" si="18"/>
        <v>6.3530000000000001E-3</v>
      </c>
      <c r="N36">
        <f t="shared" si="19"/>
        <v>8.6800000000000002E-3</v>
      </c>
      <c r="O36">
        <f t="shared" si="20"/>
        <v>6.0140000000000002E-3</v>
      </c>
      <c r="P36" s="1">
        <f t="shared" si="0"/>
        <v>5.2834271880024977</v>
      </c>
      <c r="Q36">
        <f t="shared" si="1"/>
        <v>3.6013366557235901E-2</v>
      </c>
      <c r="R36">
        <f t="shared" si="2"/>
        <v>-0.63606024658220595</v>
      </c>
      <c r="S36">
        <f t="shared" si="3"/>
        <v>0.77079854705817752</v>
      </c>
      <c r="T36" s="1">
        <f t="shared" si="4"/>
        <v>9.2954550701890005E-5</v>
      </c>
      <c r="U36">
        <f t="shared" si="5"/>
        <v>9.6412940366887474E-3</v>
      </c>
      <c r="W36" s="6">
        <f t="shared" si="6"/>
        <v>0.32546084784920642</v>
      </c>
      <c r="X36" s="6">
        <f t="shared" si="7"/>
        <v>1.9599639845400538</v>
      </c>
      <c r="Y36" t="str">
        <f t="shared" si="8"/>
        <v>PASSED</v>
      </c>
    </row>
    <row r="37" spans="1:25" x14ac:dyDescent="0.25">
      <c r="A37">
        <v>10</v>
      </c>
      <c r="B37">
        <v>156</v>
      </c>
      <c r="C37">
        <v>170</v>
      </c>
      <c r="D37">
        <f t="shared" si="9"/>
        <v>-1.4056059999999999</v>
      </c>
      <c r="E37">
        <f t="shared" si="10"/>
        <v>0.25285600000000003</v>
      </c>
      <c r="F37">
        <f t="shared" si="11"/>
        <v>-86.423169000000001</v>
      </c>
      <c r="G37">
        <f t="shared" si="12"/>
        <v>-1.6088499999999999</v>
      </c>
      <c r="H37">
        <f t="shared" si="13"/>
        <v>3.6029119999999999</v>
      </c>
      <c r="I37">
        <f t="shared" si="14"/>
        <v>-90.477061000000006</v>
      </c>
      <c r="J37">
        <f t="shared" si="15"/>
        <v>5.6119999999999998E-3</v>
      </c>
      <c r="K37">
        <f t="shared" si="16"/>
        <v>5.653E-3</v>
      </c>
      <c r="L37">
        <f t="shared" si="17"/>
        <v>8.1569999999999993E-3</v>
      </c>
      <c r="M37">
        <f t="shared" si="18"/>
        <v>6.2560000000000003E-3</v>
      </c>
      <c r="N37">
        <f t="shared" si="19"/>
        <v>8.0339999999999995E-3</v>
      </c>
      <c r="O37">
        <f t="shared" si="20"/>
        <v>6.2909999999999997E-3</v>
      </c>
      <c r="P37" s="1">
        <f t="shared" si="0"/>
        <v>5.2629101906013975</v>
      </c>
      <c r="Q37">
        <f t="shared" si="1"/>
        <v>3.8618177517632142E-2</v>
      </c>
      <c r="R37">
        <f t="shared" si="2"/>
        <v>-0.63654059801031604</v>
      </c>
      <c r="S37">
        <f t="shared" si="3"/>
        <v>0.7702757320920125</v>
      </c>
      <c r="T37" s="1">
        <f t="shared" si="4"/>
        <v>1.0216588180907539E-4</v>
      </c>
      <c r="U37">
        <f t="shared" si="5"/>
        <v>1.0107713975428638E-2</v>
      </c>
      <c r="W37" s="6">
        <f t="shared" si="6"/>
        <v>0.72708822658460281</v>
      </c>
      <c r="X37" s="6">
        <f t="shared" si="7"/>
        <v>1.9599639845400538</v>
      </c>
      <c r="Y37" t="str">
        <f t="shared" si="8"/>
        <v>PASSED</v>
      </c>
    </row>
    <row r="38" spans="1:25" x14ac:dyDescent="0.25">
      <c r="A38">
        <v>12</v>
      </c>
      <c r="B38">
        <v>164</v>
      </c>
      <c r="C38">
        <v>170</v>
      </c>
      <c r="D38">
        <f t="shared" si="9"/>
        <v>3.6234660000000001</v>
      </c>
      <c r="E38">
        <f t="shared" si="10"/>
        <v>3.7509209999999999</v>
      </c>
      <c r="F38">
        <f t="shared" si="11"/>
        <v>-90.615471999999997</v>
      </c>
      <c r="G38">
        <f t="shared" si="12"/>
        <v>-1.6088499999999999</v>
      </c>
      <c r="H38">
        <f t="shared" si="13"/>
        <v>3.6029119999999999</v>
      </c>
      <c r="I38">
        <f t="shared" si="14"/>
        <v>-90.477061000000006</v>
      </c>
      <c r="J38">
        <f t="shared" si="15"/>
        <v>6.3530000000000001E-3</v>
      </c>
      <c r="K38">
        <f t="shared" si="16"/>
        <v>8.6800000000000002E-3</v>
      </c>
      <c r="L38">
        <f t="shared" si="17"/>
        <v>6.0140000000000002E-3</v>
      </c>
      <c r="M38">
        <f t="shared" si="18"/>
        <v>6.2560000000000003E-3</v>
      </c>
      <c r="N38">
        <f t="shared" si="19"/>
        <v>8.0339999999999995E-3</v>
      </c>
      <c r="O38">
        <f t="shared" si="20"/>
        <v>6.2909999999999997E-3</v>
      </c>
      <c r="P38" s="1">
        <f t="shared" si="0"/>
        <v>5.2362386302438511</v>
      </c>
      <c r="Q38">
        <f t="shared" si="1"/>
        <v>0.99925086870159152</v>
      </c>
      <c r="R38">
        <f t="shared" si="2"/>
        <v>2.826628243127019E-2</v>
      </c>
      <c r="S38">
        <f t="shared" si="3"/>
        <v>-2.6433287283842706E-2</v>
      </c>
      <c r="T38" s="1">
        <f t="shared" si="4"/>
        <v>7.9543772617559984E-5</v>
      </c>
      <c r="U38">
        <f t="shared" si="5"/>
        <v>8.9187315587789719E-3</v>
      </c>
      <c r="W38" s="6">
        <f t="shared" si="6"/>
        <v>1.2554117447875439</v>
      </c>
      <c r="X38" s="6">
        <f t="shared" si="7"/>
        <v>1.9599639845400538</v>
      </c>
      <c r="Y38" t="str">
        <f t="shared" si="8"/>
        <v>PASSED</v>
      </c>
    </row>
    <row r="40" spans="1:25" x14ac:dyDescent="0.25">
      <c r="A40" s="7" t="s">
        <v>68</v>
      </c>
      <c r="B40" t="s">
        <v>120</v>
      </c>
      <c r="C40">
        <v>0.25</v>
      </c>
    </row>
    <row r="41" spans="1:25" x14ac:dyDescent="0.25">
      <c r="A41" t="s">
        <v>96</v>
      </c>
      <c r="B41" t="s">
        <v>110</v>
      </c>
      <c r="C41" t="s">
        <v>113</v>
      </c>
      <c r="D41" t="s">
        <v>111</v>
      </c>
      <c r="E41" t="s">
        <v>114</v>
      </c>
      <c r="F41" t="s">
        <v>112</v>
      </c>
      <c r="G41" t="s">
        <v>115</v>
      </c>
      <c r="H41" t="s">
        <v>116</v>
      </c>
      <c r="I41" t="s">
        <v>117</v>
      </c>
      <c r="J41" t="s">
        <v>121</v>
      </c>
      <c r="K41" t="s">
        <v>118</v>
      </c>
      <c r="L41" t="s">
        <v>119</v>
      </c>
      <c r="M41" t="s">
        <v>62</v>
      </c>
      <c r="N41" t="s">
        <v>63</v>
      </c>
      <c r="O41" t="s">
        <v>92</v>
      </c>
      <c r="P41" t="s">
        <v>66</v>
      </c>
      <c r="Q41">
        <f>5.3^2</f>
        <v>28.09</v>
      </c>
    </row>
    <row r="42" spans="1:25" x14ac:dyDescent="0.25">
      <c r="A42">
        <v>1</v>
      </c>
      <c r="B42">
        <f>_xlfn.XLOOKUP(2,Tabella2[Line_ID],Tabella2[D])</f>
        <v>5.2030917134297194</v>
      </c>
      <c r="C42">
        <f>Tabella4[[#This Row],[SideA]]^2</f>
        <v>27.072163378361015</v>
      </c>
      <c r="D42">
        <f>_xlfn.XLOOKUP(5,Tabella2[Line_ID],Tabella2[D])</f>
        <v>5.2241875371521651</v>
      </c>
      <c r="E42">
        <f>Tabella4[[#This Row],[SideB]]^2</f>
        <v>27.292135423336003</v>
      </c>
      <c r="F42">
        <f>_xlfn.XLOOKUP(6,Tabella2[Line_ID],Tabella2[D])</f>
        <v>5.2260887653420145</v>
      </c>
      <c r="G42">
        <f>Tabella4[[#This Row],[SideC]]^2</f>
        <v>27.312003783234022</v>
      </c>
      <c r="H42">
        <f>_xlfn.XLOOKUP(1,Tabella2[Line_ID],Tabella2[D])</f>
        <v>5.212682095067855</v>
      </c>
      <c r="I42">
        <f>Tabella4[[#This Row],[SideD]]^2</f>
        <v>27.172054624241003</v>
      </c>
      <c r="J42">
        <f>SUM(Tabella4[[#This Row],[A^2]],Tabella4[[#This Row],[B^2]],Tabella4[[#This Row],[C^2]],Tabella4[[#This Row],[D^2]])*$C$40</f>
        <v>27.212089302293009</v>
      </c>
      <c r="K42">
        <f>SUM(Tabella4[[#This Row],[A^2]]^2,Tabella4[[#This Row],[B^2]]^2,Tabella4[[#This Row],[C^2]]^2,Tabella4[[#This Row],[D^2]]^2)*$C$40</f>
        <v>740.50719727712749</v>
      </c>
      <c r="L42">
        <f>Tabella4[[#This Row],[E'[X^4']]]-(Tabella4[[#This Row],[E'[X^2'] (AVG)]]^2)</f>
        <v>9.3930811578957218E-3</v>
      </c>
      <c r="M42">
        <f>ABS(Tabella4[[#This Row],[E'[X^2'] (AVG)]]-$Q$41)/SQRT(Tabella4[[#This Row],[V'[X^2']]]+$Q$42)</f>
        <v>4.633882002087808</v>
      </c>
      <c r="N42" s="6">
        <f t="shared" ref="N42:N47" si="21">ABS((_xlfn.NORM.S.INV(0.05/2)))</f>
        <v>1.9599639845400538</v>
      </c>
      <c r="O42" t="str">
        <f>IF(Tabella4[[#This Row],[z_exp]]&lt;Tabella4[[#This Row],[z_lim]], "PASSED", "NOT PASSED")</f>
        <v>NOT PASSED</v>
      </c>
      <c r="P42" t="s">
        <v>67</v>
      </c>
      <c r="Q42">
        <f>(AB26*(AB27^2))+(AB26*(AB27^2))</f>
        <v>2.6500000000000003E-2</v>
      </c>
      <c r="R42" s="10"/>
    </row>
    <row r="43" spans="1:25" x14ac:dyDescent="0.25">
      <c r="A43">
        <v>2</v>
      </c>
      <c r="B43">
        <f>_xlfn.XLOOKUP(4,Tabella2[Line_ID],Tabella2[D])</f>
        <v>5.273964272697155</v>
      </c>
      <c r="C43">
        <f>Tabella4[[#This Row],[SideA]]^2</f>
        <v>27.814699149686032</v>
      </c>
      <c r="D43">
        <f>_xlfn.XLOOKUP(5,Tabella2[Line_ID],Tabella2[D])</f>
        <v>5.2241875371521651</v>
      </c>
      <c r="E43">
        <f>Tabella4[[#This Row],[SideB]]^2</f>
        <v>27.292135423336003</v>
      </c>
      <c r="F43">
        <f>_xlfn.XLOOKUP(8,Tabella2[Line_ID],Tabella2[D])</f>
        <v>5.2225317774916409</v>
      </c>
      <c r="G43">
        <f>Tabella4[[#This Row],[SideC]]^2</f>
        <v>27.274838166909998</v>
      </c>
      <c r="H43">
        <f>_xlfn.XLOOKUP(7,Tabella2[Line_ID],Tabella2[D])</f>
        <v>5.213695034885335</v>
      </c>
      <c r="I43">
        <f>Tabella4[[#This Row],[SideD]]^2</f>
        <v>27.182615916787995</v>
      </c>
      <c r="J43">
        <f>SUM(Tabella4[[#This Row],[A^2]],Tabella4[[#This Row],[B^2]],Tabella4[[#This Row],[C^2]],Tabella4[[#This Row],[D^2]])*$C$40</f>
        <v>27.391072164180006</v>
      </c>
      <c r="K43">
        <f>SUM(Tabella4[[#This Row],[A^2]]^2,Tabella4[[#This Row],[B^2]]^2,Tabella4[[#This Row],[C^2]]^2,Tabella4[[#This Row],[D^2]]^2)*$C$40</f>
        <v>750.33238746600068</v>
      </c>
      <c r="L43">
        <f>Tabella4[[#This Row],[E'[X^4']]]-(Tabella4[[#This Row],[E'[X^2'] (AVG)]]^2)</f>
        <v>6.1553162683935625E-2</v>
      </c>
      <c r="M43">
        <f>ABS(Tabella4[[#This Row],[E'[X^2'] (AVG)]]-$Q$41)/SQRT(Tabella4[[#This Row],[V'[X^2']]]+$Q$42)</f>
        <v>2.3553738954308963</v>
      </c>
      <c r="N43" s="6">
        <f t="shared" si="21"/>
        <v>1.9599639845400538</v>
      </c>
      <c r="O43" t="str">
        <f>IF(Tabella4[[#This Row],[z_exp]]&lt;Tabella4[[#This Row],[z_lim]], "PASSED", "NOT PASSED")</f>
        <v>NOT PASSED</v>
      </c>
      <c r="P43" t="s">
        <v>0</v>
      </c>
    </row>
    <row r="44" spans="1:25" x14ac:dyDescent="0.25">
      <c r="A44">
        <v>3</v>
      </c>
      <c r="B44">
        <f>_xlfn.XLOOKUP(7,Tabella2[Line_ID],Tabella2[D])</f>
        <v>5.213695034885335</v>
      </c>
      <c r="C44">
        <f>Tabella4[[#This Row],[SideA]]^2</f>
        <v>27.182615916787995</v>
      </c>
      <c r="D44">
        <f>_xlfn.XLOOKUP(9,Tabella2[Line_ID],Tabella2[D])</f>
        <v>5.2834271880024977</v>
      </c>
      <c r="E44">
        <f>Tabella4[[#This Row],[SideB]]^2</f>
        <v>27.914602850923981</v>
      </c>
      <c r="F44">
        <f>_xlfn.XLOOKUP(6,Tabella2[Line_ID],Tabella2[D])</f>
        <v>5.2260887653420145</v>
      </c>
      <c r="G44">
        <f>Tabella4[[#This Row],[SideC]]^2</f>
        <v>27.312003783234022</v>
      </c>
      <c r="H44">
        <f>_xlfn.XLOOKUP(11,Tabella2[Line_ID],Tabella2[D])</f>
        <v>5.2337498802497198</v>
      </c>
      <c r="I44">
        <f>Tabella4[[#This Row],[SideD]]^2</f>
        <v>27.392137809013956</v>
      </c>
      <c r="J44">
        <f>SUM(Tabella4[[#This Row],[A^2]],Tabella4[[#This Row],[B^2]],Tabella4[[#This Row],[C^2]],Tabella4[[#This Row],[D^2]])*$C$40</f>
        <v>27.450340089989989</v>
      </c>
      <c r="K44">
        <f>SUM(Tabella4[[#This Row],[A^2]]^2,Tabella4[[#This Row],[B^2]]^2,Tabella4[[#This Row],[C^2]]^2,Tabella4[[#This Row],[D^2]]^2)*$C$40</f>
        <v>753.59860620195764</v>
      </c>
      <c r="L44">
        <f>Tabella4[[#This Row],[E'[X^4']]]-(Tabella4[[#This Row],[E'[X^2'] (AVG)]]^2)</f>
        <v>7.7435145846038722E-2</v>
      </c>
      <c r="M44">
        <f>ABS(Tabella4[[#This Row],[E'[X^2'] (AVG)]]-$Q$41)/SQRT(Tabella4[[#This Row],[V'[X^2']]]+$Q$42)</f>
        <v>1.9841199218575452</v>
      </c>
      <c r="N44" s="6">
        <f t="shared" si="21"/>
        <v>1.9599639845400538</v>
      </c>
      <c r="O44" t="str">
        <f>IF(Tabella4[[#This Row],[z_exp]]&lt;Tabella4[[#This Row],[z_lim]], "PASSED", "NOT PASSED")</f>
        <v>NOT PASSED</v>
      </c>
    </row>
    <row r="45" spans="1:25" x14ac:dyDescent="0.25">
      <c r="A45">
        <v>4</v>
      </c>
      <c r="B45">
        <f>_xlfn.XLOOKUP(11,Tabella2[Line_ID],Tabella2[D])</f>
        <v>5.2337498802497198</v>
      </c>
      <c r="C45">
        <f>Tabella4[[#This Row],[SideA]]^2</f>
        <v>27.392137809013956</v>
      </c>
      <c r="D45">
        <f>_xlfn.XLOOKUP(1,Tabella2[Line_ID],Tabella2[D])</f>
        <v>5.212682095067855</v>
      </c>
      <c r="E45">
        <f>Tabella4[[#This Row],[SideB]]^2</f>
        <v>27.172054624241003</v>
      </c>
      <c r="F45">
        <f>_xlfn.XLOOKUP(12,Tabella2[Line_ID],Tabella2[D])</f>
        <v>5.2362386302438511</v>
      </c>
      <c r="G45">
        <f>Tabella4[[#This Row],[SideC]]^2</f>
        <v>27.418194992858002</v>
      </c>
      <c r="H45">
        <f>_xlfn.XLOOKUP(3,Tabella2[Line_ID],Tabella2[D])</f>
        <v>5.2738370892568387</v>
      </c>
      <c r="I45">
        <f>Tabella4[[#This Row],[SideD]]^2</f>
        <v>27.813357644021046</v>
      </c>
      <c r="J45">
        <f>SUM(Tabella4[[#This Row],[A^2]],Tabella4[[#This Row],[B^2]],Tabella4[[#This Row],[C^2]],Tabella4[[#This Row],[D^2]])*$C$40</f>
        <v>27.448936267533504</v>
      </c>
      <c r="K45">
        <f>SUM(Tabella4[[#This Row],[A^2]]^2,Tabella4[[#This Row],[B^2]]^2,Tabella4[[#This Row],[C^2]]^2,Tabella4[[#This Row],[D^2]]^2)*$C$40</f>
        <v>753.49751158783897</v>
      </c>
      <c r="L45">
        <f>Tabella4[[#This Row],[E'[X^4']]]-(Tabella4[[#This Row],[E'[X^2'] (AVG)]]^2)</f>
        <v>5.3409368722782347E-2</v>
      </c>
      <c r="M45">
        <f>ABS(Tabella4[[#This Row],[E'[X^2'] (AVG)]]-$Q$41)/SQRT(Tabella4[[#This Row],[V'[X^2']]]+$Q$42)</f>
        <v>2.267787504014187</v>
      </c>
      <c r="N45" s="6">
        <f t="shared" si="21"/>
        <v>1.9599639845400538</v>
      </c>
      <c r="O45" t="str">
        <f>IF(Tabella4[[#This Row],[z_exp]]&lt;Tabella4[[#This Row],[z_lim]], "PASSED", "NOT PASSED")</f>
        <v>NOT PASSED</v>
      </c>
    </row>
    <row r="46" spans="1:25" x14ac:dyDescent="0.25">
      <c r="A46">
        <v>5</v>
      </c>
      <c r="B46">
        <f>_xlfn.XLOOKUP(2,Tabella2[Line_ID],Tabella2[D])</f>
        <v>5.2030917134297194</v>
      </c>
      <c r="C46">
        <f>Tabella4[[#This Row],[SideA]]^2</f>
        <v>27.072163378361015</v>
      </c>
      <c r="D46">
        <f>_xlfn.XLOOKUP(4,Tabella2[Line_ID],Tabella2[D])</f>
        <v>5.273964272697155</v>
      </c>
      <c r="E46">
        <f>Tabella4[[#This Row],[SideB]]^2</f>
        <v>27.814699149686032</v>
      </c>
      <c r="F46">
        <f>_xlfn.XLOOKUP(10,Tabella2[Line_ID],Tabella2[D])</f>
        <v>5.2629101906013975</v>
      </c>
      <c r="G46">
        <f>Tabella4[[#This Row],[SideC]]^2</f>
        <v>27.698223674336038</v>
      </c>
      <c r="H46">
        <f>_xlfn.XLOOKUP(3,Tabella2[Line_ID],Tabella2[D])</f>
        <v>5.2738370892568387</v>
      </c>
      <c r="I46">
        <f>Tabella4[[#This Row],[SideD]]^2</f>
        <v>27.813357644021046</v>
      </c>
      <c r="J46">
        <f>SUM(Tabella4[[#This Row],[A^2]],Tabella4[[#This Row],[B^2]],Tabella4[[#This Row],[C^2]],Tabella4[[#This Row],[D^2]])*$C$40</f>
        <v>27.59961096160103</v>
      </c>
      <c r="K46">
        <f>SUM(Tabella4[[#This Row],[A^2]]^2,Tabella4[[#This Row],[B^2]]^2,Tabella4[[#This Row],[C^2]]^2,Tabella4[[#This Row],[D^2]]^2)*$C$40</f>
        <v>761.83349422999731</v>
      </c>
      <c r="L46">
        <f>Tabella4[[#This Row],[E'[X^4']]]-(Tabella4[[#This Row],[E'[X^2'] (AVG)]]^2)</f>
        <v>9.4968998269564509E-2</v>
      </c>
      <c r="M46">
        <f>ABS(Tabella4[[#This Row],[E'[X^2'] (AVG)]]-$Q$41)/SQRT(Tabella4[[#This Row],[V'[X^2']]]+$Q$42)</f>
        <v>1.4070451350437643</v>
      </c>
      <c r="N46" s="6">
        <f t="shared" si="21"/>
        <v>1.9599639845400538</v>
      </c>
      <c r="O46" t="str">
        <f>IF(Tabella4[[#This Row],[z_exp]]&lt;Tabella4[[#This Row],[z_lim]], "PASSED", "NOT PASSED")</f>
        <v>PASSED</v>
      </c>
      <c r="Q46" t="s">
        <v>0</v>
      </c>
    </row>
    <row r="47" spans="1:25" x14ac:dyDescent="0.25">
      <c r="A47">
        <v>6</v>
      </c>
      <c r="B47">
        <f>_xlfn.XLOOKUP(9,Tabella2[Line_ID],Tabella2[D])</f>
        <v>5.2834271880024977</v>
      </c>
      <c r="C47">
        <f>Tabella4[[#This Row],[SideA]]^2</f>
        <v>27.914602850923981</v>
      </c>
      <c r="D47">
        <f>_xlfn.XLOOKUP(8,Tabella2[Line_ID],Tabella2[D])</f>
        <v>5.2225317774916409</v>
      </c>
      <c r="E47">
        <f>Tabella4[[#This Row],[SideB]]^2</f>
        <v>27.274838166909998</v>
      </c>
      <c r="F47">
        <f>_xlfn.XLOOKUP(10,Tabella2[Line_ID],Tabella2[D])</f>
        <v>5.2629101906013975</v>
      </c>
      <c r="G47">
        <f>Tabella4[[#This Row],[SideC]]^2</f>
        <v>27.698223674336038</v>
      </c>
      <c r="H47">
        <f>_xlfn.XLOOKUP(12,Tabella2[Line_ID],Tabella2[D])</f>
        <v>5.2362386302438511</v>
      </c>
      <c r="I47">
        <f>Tabella4[[#This Row],[SideD]]^2</f>
        <v>27.418194992858002</v>
      </c>
      <c r="J47">
        <f>SUM(Tabella4[[#This Row],[A^2]],Tabella4[[#This Row],[B^2]],Tabella4[[#This Row],[C^2]],Tabella4[[#This Row],[D^2]])*$C$40</f>
        <v>27.576464921257006</v>
      </c>
      <c r="K47">
        <f>SUM(Tabella4[[#This Row],[A^2]]^2,Tabella4[[#This Row],[B^2]]^2,Tabella4[[#This Row],[C^2]]^2,Tabella4[[#This Row],[D^2]]^2)*$C$40</f>
        <v>760.52271518396913</v>
      </c>
      <c r="L47">
        <f>Tabella4[[#This Row],[E'[X^4']]]-(Tabella4[[#This Row],[E'[X^2'] (AVG)]]^2)</f>
        <v>6.1297630650983592E-2</v>
      </c>
      <c r="M47">
        <f>ABS(Tabella4[[#This Row],[E'[X^2'] (AVG)]]-$Q$41)/SQRT(Tabella4[[#This Row],[V'[X^2']]]+$Q$42)</f>
        <v>1.7331203308426686</v>
      </c>
      <c r="N47" s="6">
        <f t="shared" si="21"/>
        <v>1.9599639845400538</v>
      </c>
      <c r="O47" t="str">
        <f>IF(Tabella4[[#This Row],[z_exp]]&lt;Tabella4[[#This Row],[z_lim]], "PASSED", "NOT PASSED")</f>
        <v>PASSED</v>
      </c>
    </row>
    <row r="49" spans="1:11" x14ac:dyDescent="0.25">
      <c r="A49" s="7" t="s">
        <v>122</v>
      </c>
      <c r="J49">
        <f>SUM(Tabella4[E'[X^2'] (AVG)])</f>
        <v>164.67851370685455</v>
      </c>
      <c r="K49">
        <f>Q41*6</f>
        <v>168.54</v>
      </c>
    </row>
    <row r="50" spans="1:11" x14ac:dyDescent="0.25">
      <c r="A50" t="s">
        <v>123</v>
      </c>
      <c r="B50" t="s">
        <v>53</v>
      </c>
      <c r="C50" t="s">
        <v>124</v>
      </c>
      <c r="D50" t="s">
        <v>125</v>
      </c>
      <c r="E50" t="s">
        <v>122</v>
      </c>
    </row>
    <row r="51" spans="1:11" x14ac:dyDescent="0.25">
      <c r="A51">
        <v>24.28</v>
      </c>
      <c r="B51">
        <v>9</v>
      </c>
      <c r="C51">
        <v>36.299999999999997</v>
      </c>
      <c r="D51">
        <v>3456</v>
      </c>
      <c r="E51">
        <f>A51*B51/(C51*D51)</f>
        <v>1.7418503213957762E-3</v>
      </c>
    </row>
  </sheetData>
  <phoneticPr fontId="3" type="noConversion"/>
  <conditionalFormatting sqref="AD39 Y27:Y38 N48:N53 M42:M47">
    <cfRule type="cellIs" dxfId="26" priority="8" operator="equal">
      <formula>"NON PASSATO"</formula>
    </cfRule>
    <cfRule type="cellIs" dxfId="25" priority="9" operator="equal">
      <formula>"PASSATO"</formula>
    </cfRule>
  </conditionalFormatting>
  <conditionalFormatting sqref="Y27:Y38">
    <cfRule type="cellIs" dxfId="24" priority="3" operator="equal">
      <formula>"PASSED"</formula>
    </cfRule>
  </conditionalFormatting>
  <conditionalFormatting sqref="O42:O47">
    <cfRule type="cellIs" dxfId="23" priority="2" operator="equal">
      <formula>"PASSED"</formula>
    </cfRule>
    <cfRule type="cellIs" dxfId="22" priority="1" operator="equal">
      <formula>"NOT PASSED"</formula>
    </cfRule>
  </conditionalFormatting>
  <hyperlinks>
    <hyperlink ref="A1" location="'Z-Test'!A25" display="Test on Lines" xr:uid="{6B00882F-55C7-4A5B-94FD-DB2FA30EB0D0}"/>
    <hyperlink ref="A2" location="'Z-Test'!A40" display="Test on Areas" xr:uid="{B99D4E1D-DEDD-4A4A-90F0-710D129E5C5D}"/>
    <hyperlink ref="A3" location="'Z-Test'!A49" display="GSD" xr:uid="{43558F63-9738-43B4-B93E-DE6ECA1D3525}"/>
  </hyperlink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536FDB8178FE4449911114969F9DEF6" ma:contentTypeVersion="13" ma:contentTypeDescription="Creare un nuovo documento." ma:contentTypeScope="" ma:versionID="449a38c1aab433c3eff3c7dedc9bc80d">
  <xsd:schema xmlns:xsd="http://www.w3.org/2001/XMLSchema" xmlns:xs="http://www.w3.org/2001/XMLSchema" xmlns:p="http://schemas.microsoft.com/office/2006/metadata/properties" xmlns:ns3="6353608f-b5f1-4f5a-99a4-0cca11fbd1be" xmlns:ns4="4ee50084-0ae5-4c20-87cb-d2bfad0797e2" targetNamespace="http://schemas.microsoft.com/office/2006/metadata/properties" ma:root="true" ma:fieldsID="6c1cf224eeb715af77056637adfd69db" ns3:_="" ns4:_="">
    <xsd:import namespace="6353608f-b5f1-4f5a-99a4-0cca11fbd1be"/>
    <xsd:import namespace="4ee50084-0ae5-4c20-87cb-d2bfad0797e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53608f-b5f1-4f5a-99a4-0cca11fbd1b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e50084-0ae5-4c20-87cb-d2bfad0797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39ACD7-72B3-4597-888C-07462AEE8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53608f-b5f1-4f5a-99a4-0cca11fbd1be"/>
    <ds:schemaRef ds:uri="4ee50084-0ae5-4c20-87cb-d2bfad0797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D58AEB-E9F4-4BA4-8C5A-3EC6C302D6F1}">
  <ds:schemaRefs>
    <ds:schemaRef ds:uri="http://purl.org/dc/dcmitype/"/>
    <ds:schemaRef ds:uri="http://schemas.microsoft.com/office/2006/documentManagement/types"/>
    <ds:schemaRef ds:uri="4ee50084-0ae5-4c20-87cb-d2bfad0797e2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6353608f-b5f1-4f5a-99a4-0cca11fbd1b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E37C4D2-B234-4EAA-B6E9-568620A2B3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Chi-Squared Test</vt:lpstr>
      <vt:lpstr>Z-Test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Gaia Vallarino</cp:lastModifiedBy>
  <dcterms:created xsi:type="dcterms:W3CDTF">2022-10-27T10:11:09Z</dcterms:created>
  <dcterms:modified xsi:type="dcterms:W3CDTF">2022-12-28T15:09:07Z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0x010100B536FDB8178FE4449911114969F9DEF6</vt:lpwstr>
  </property>
</Properties>
</file>