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esktop\Photo lab\Lab3\NEW_TRIAL\"/>
    </mc:Choice>
  </mc:AlternateContent>
  <xr:revisionPtr revIDLastSave="0" documentId="8_{D9C288A1-383A-4038-88E1-16849FE3709F}" xr6:coauthVersionLast="47" xr6:coauthVersionMax="47" xr10:uidLastSave="{00000000-0000-0000-0000-000000000000}"/>
  <bookViews>
    <workbookView xWindow="-120" yWindow="-120" windowWidth="20730" windowHeight="11160" activeTab="2" xr2:uid="{A6873EBD-4F2B-4C72-96E5-11B8F76D445E}"/>
  </bookViews>
  <sheets>
    <sheet name="Observations" sheetId="1" r:id="rId1"/>
    <sheet name="GCP vs CP" sheetId="2" r:id="rId2"/>
    <sheet name="Non-facade Points" sheetId="4" r:id="rId3"/>
    <sheet name="Varie ed Eventuali" sheetId="3" r:id="rId4"/>
  </sheets>
  <definedNames>
    <definedName name="_xlnm._FilterDatabase" localSheetId="0" hidden="1">Observations!#REF!</definedName>
    <definedName name="_xlchart.v1.0" hidden="1">'GCP vs CP'!$K$2:$K$17</definedName>
    <definedName name="_xlchart.v1.1" hidden="1">'GCP vs CP'!$L$2:$L$17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4" l="1"/>
  <c r="V3" i="4"/>
  <c r="V4" i="4"/>
  <c r="U4" i="4"/>
  <c r="U3" i="4"/>
  <c r="U2" i="4"/>
  <c r="V20" i="4"/>
  <c r="U20" i="4"/>
  <c r="V19" i="4"/>
  <c r="U19" i="4"/>
  <c r="V18" i="4"/>
  <c r="U18" i="4"/>
  <c r="V12" i="4"/>
  <c r="U12" i="4"/>
  <c r="V11" i="4"/>
  <c r="U11" i="4"/>
  <c r="V10" i="4"/>
  <c r="U10" i="4"/>
  <c r="I61" i="2"/>
  <c r="J66" i="2"/>
  <c r="I66" i="2"/>
  <c r="J65" i="2"/>
  <c r="I65" i="2"/>
  <c r="J64" i="2"/>
  <c r="I64" i="2"/>
  <c r="J63" i="2"/>
  <c r="I63" i="2"/>
  <c r="J62" i="2"/>
  <c r="I62" i="2"/>
  <c r="J61" i="2"/>
  <c r="I19" i="2"/>
  <c r="G2" i="2"/>
  <c r="I21" i="2"/>
  <c r="I3" i="4"/>
  <c r="I4" i="4"/>
  <c r="I5" i="4"/>
  <c r="I6" i="4"/>
  <c r="I7" i="4"/>
  <c r="I8" i="4"/>
  <c r="I9" i="4"/>
  <c r="I10" i="4"/>
  <c r="I11" i="4"/>
  <c r="H3" i="4"/>
  <c r="H4" i="4"/>
  <c r="H5" i="4"/>
  <c r="H6" i="4"/>
  <c r="H7" i="4"/>
  <c r="H8" i="4"/>
  <c r="H9" i="4"/>
  <c r="H10" i="4"/>
  <c r="H11" i="4"/>
  <c r="I2" i="4"/>
  <c r="H2" i="4"/>
  <c r="L3" i="4" s="1"/>
  <c r="J23" i="2"/>
  <c r="I23" i="2"/>
  <c r="J20" i="2"/>
  <c r="I20" i="2"/>
  <c r="H2" i="2"/>
  <c r="E39" i="1"/>
  <c r="E40" i="1" s="1"/>
  <c r="G16" i="2"/>
  <c r="K16" i="2" s="1"/>
  <c r="G12" i="2"/>
  <c r="K12" i="2" s="1"/>
  <c r="G13" i="2"/>
  <c r="K13" i="2" s="1"/>
  <c r="G14" i="2"/>
  <c r="K14" i="2" s="1"/>
  <c r="H3" i="2"/>
  <c r="L3" i="2" s="1"/>
  <c r="H4" i="2"/>
  <c r="L4" i="2" s="1"/>
  <c r="H5" i="2"/>
  <c r="L5" i="2" s="1"/>
  <c r="H6" i="2"/>
  <c r="L6" i="2" s="1"/>
  <c r="H7" i="2"/>
  <c r="L7" i="2" s="1"/>
  <c r="H8" i="2"/>
  <c r="L8" i="2" s="1"/>
  <c r="H9" i="2"/>
  <c r="L9" i="2" s="1"/>
  <c r="H10" i="2"/>
  <c r="L10" i="2" s="1"/>
  <c r="H11" i="2"/>
  <c r="L11" i="2" s="1"/>
  <c r="H12" i="2"/>
  <c r="L12" i="2" s="1"/>
  <c r="H13" i="2"/>
  <c r="L13" i="2" s="1"/>
  <c r="H14" i="2"/>
  <c r="L14" i="2" s="1"/>
  <c r="H15" i="2"/>
  <c r="L15" i="2" s="1"/>
  <c r="H16" i="2"/>
  <c r="L16" i="2" s="1"/>
  <c r="H17" i="2"/>
  <c r="L17" i="2" s="1"/>
  <c r="G3" i="2"/>
  <c r="K3" i="2" s="1"/>
  <c r="G4" i="2"/>
  <c r="K4" i="2" s="1"/>
  <c r="G5" i="2"/>
  <c r="K5" i="2" s="1"/>
  <c r="G6" i="2"/>
  <c r="K6" i="2" s="1"/>
  <c r="G7" i="2"/>
  <c r="K7" i="2" s="1"/>
  <c r="G8" i="2"/>
  <c r="K8" i="2" s="1"/>
  <c r="G9" i="2"/>
  <c r="K9" i="2" s="1"/>
  <c r="G10" i="2"/>
  <c r="K10" i="2" s="1"/>
  <c r="G11" i="2"/>
  <c r="K11" i="2" s="1"/>
  <c r="G15" i="2"/>
  <c r="K15" i="2" s="1"/>
  <c r="G17" i="2"/>
  <c r="K17" i="2" s="1"/>
  <c r="L2" i="2"/>
  <c r="K2" i="2"/>
  <c r="P3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L4" i="4" l="1"/>
  <c r="M4" i="4"/>
  <c r="M3" i="4"/>
  <c r="M2" i="4"/>
  <c r="L2" i="4"/>
  <c r="J22" i="2"/>
  <c r="J19" i="2"/>
  <c r="J21" i="2"/>
  <c r="I24" i="2"/>
  <c r="I22" i="2"/>
  <c r="J24" i="2"/>
  <c r="F34" i="1"/>
  <c r="G34" i="1"/>
  <c r="H34" i="1"/>
  <c r="F35" i="1"/>
  <c r="G35" i="1"/>
  <c r="H35" i="1"/>
  <c r="F36" i="1"/>
  <c r="G36" i="1"/>
  <c r="H36" i="1"/>
  <c r="F37" i="1"/>
  <c r="G37" i="1"/>
  <c r="H37" i="1"/>
  <c r="Y1" i="1" l="1"/>
  <c r="J17" i="1" s="1"/>
  <c r="F3" i="1"/>
  <c r="G3" i="1"/>
  <c r="H3" i="1"/>
  <c r="F4" i="1"/>
  <c r="G4" i="1"/>
  <c r="H4" i="1"/>
  <c r="F5" i="1"/>
  <c r="G5" i="1"/>
  <c r="H5" i="1"/>
  <c r="F6" i="1"/>
  <c r="G6" i="1"/>
  <c r="H6" i="1"/>
  <c r="K6" i="1"/>
  <c r="F7" i="1"/>
  <c r="G7" i="1"/>
  <c r="H7" i="1"/>
  <c r="F8" i="1"/>
  <c r="G8" i="1"/>
  <c r="H8" i="1"/>
  <c r="F9" i="1"/>
  <c r="N2" i="1" s="1"/>
  <c r="G9" i="1"/>
  <c r="O2" i="1" s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I29" i="1"/>
  <c r="F30" i="1"/>
  <c r="G30" i="1"/>
  <c r="H30" i="1"/>
  <c r="K30" i="1"/>
  <c r="F31" i="1"/>
  <c r="G31" i="1"/>
  <c r="H31" i="1"/>
  <c r="F32" i="1"/>
  <c r="G32" i="1"/>
  <c r="H32" i="1"/>
  <c r="F33" i="1"/>
  <c r="G33" i="1"/>
  <c r="H33" i="1"/>
  <c r="H2" i="1"/>
  <c r="G2" i="1"/>
  <c r="F2" i="1"/>
  <c r="L2" i="1" l="1"/>
  <c r="M2" i="1" s="1"/>
  <c r="I2" i="1"/>
  <c r="I4" i="1"/>
  <c r="J36" i="1"/>
  <c r="I35" i="1"/>
  <c r="K36" i="1"/>
  <c r="J35" i="1"/>
  <c r="J37" i="1"/>
  <c r="I34" i="1"/>
  <c r="K35" i="1"/>
  <c r="K34" i="1"/>
  <c r="I37" i="1"/>
  <c r="J34" i="1"/>
  <c r="I36" i="1"/>
  <c r="K37" i="1"/>
  <c r="J25" i="1"/>
  <c r="K27" i="1"/>
  <c r="J20" i="1"/>
  <c r="K22" i="1"/>
  <c r="J15" i="1"/>
  <c r="K10" i="1"/>
  <c r="J29" i="1"/>
  <c r="J24" i="1"/>
  <c r="J19" i="1"/>
  <c r="I14" i="1"/>
  <c r="J12" i="1"/>
  <c r="I5" i="1"/>
  <c r="J32" i="1"/>
  <c r="J27" i="1"/>
  <c r="I22" i="1"/>
  <c r="I17" i="1"/>
  <c r="K15" i="1"/>
  <c r="I10" i="1"/>
  <c r="J8" i="1"/>
  <c r="I30" i="1"/>
  <c r="I25" i="1"/>
  <c r="K23" i="1"/>
  <c r="K18" i="1"/>
  <c r="I13" i="1"/>
  <c r="K11" i="1"/>
  <c r="I6" i="1"/>
  <c r="J4" i="1"/>
  <c r="J33" i="1"/>
  <c r="J28" i="1"/>
  <c r="J23" i="1"/>
  <c r="I18" i="1"/>
  <c r="J11" i="1"/>
  <c r="I33" i="1"/>
  <c r="K31" i="1"/>
  <c r="K26" i="1"/>
  <c r="J21" i="1"/>
  <c r="J16" i="1"/>
  <c r="I9" i="1"/>
  <c r="K7" i="1"/>
  <c r="K2" i="1"/>
  <c r="J31" i="1"/>
  <c r="I26" i="1"/>
  <c r="I21" i="1"/>
  <c r="K19" i="1"/>
  <c r="K14" i="1"/>
  <c r="J7" i="1"/>
  <c r="J2" i="1"/>
  <c r="K32" i="1"/>
  <c r="I31" i="1"/>
  <c r="K28" i="1"/>
  <c r="I27" i="1"/>
  <c r="K24" i="1"/>
  <c r="I23" i="1"/>
  <c r="K20" i="1"/>
  <c r="I19" i="1"/>
  <c r="K16" i="1"/>
  <c r="I15" i="1"/>
  <c r="K12" i="1"/>
  <c r="I11" i="1"/>
  <c r="K8" i="1"/>
  <c r="I7" i="1"/>
  <c r="K4" i="1"/>
  <c r="K33" i="1"/>
  <c r="I32" i="1"/>
  <c r="K29" i="1"/>
  <c r="I28" i="1"/>
  <c r="K25" i="1"/>
  <c r="I24" i="1"/>
  <c r="K21" i="1"/>
  <c r="I20" i="1"/>
  <c r="K17" i="1"/>
  <c r="I16" i="1"/>
  <c r="K13" i="1"/>
  <c r="I12" i="1"/>
  <c r="K9" i="1"/>
  <c r="I8" i="1"/>
  <c r="K5" i="1"/>
  <c r="J13" i="1"/>
  <c r="J9" i="1"/>
  <c r="J5" i="1"/>
  <c r="J30" i="1"/>
  <c r="J26" i="1"/>
  <c r="J22" i="1"/>
  <c r="J18" i="1"/>
  <c r="J14" i="1"/>
  <c r="J10" i="1"/>
  <c r="J6" i="1"/>
  <c r="I3" i="1"/>
  <c r="K3" i="1"/>
  <c r="J3" i="1"/>
</calcChain>
</file>

<file path=xl/sharedStrings.xml><?xml version="1.0" encoding="utf-8"?>
<sst xmlns="http://schemas.openxmlformats.org/spreadsheetml/2006/main" count="139" uniqueCount="66">
  <si>
    <t>Staion</t>
  </si>
  <si>
    <t>Point</t>
  </si>
  <si>
    <t>Azimut [gon]</t>
  </si>
  <si>
    <t>Zenit [gon]</t>
  </si>
  <si>
    <t>Distance [m]</t>
  </si>
  <si>
    <t>x [m]</t>
  </si>
  <si>
    <t>y [m]</t>
  </si>
  <si>
    <t>z [m]</t>
  </si>
  <si>
    <r>
      <t>σ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[mm]</t>
    </r>
  </si>
  <si>
    <r>
      <t>σ</t>
    </r>
    <r>
      <rPr>
        <b/>
        <vertAlign val="subscript"/>
        <sz val="11"/>
        <color theme="1"/>
        <rFont val="Calibri"/>
        <family val="2"/>
        <scheme val="minor"/>
      </rPr>
      <t>Y</t>
    </r>
    <r>
      <rPr>
        <b/>
        <sz val="11"/>
        <color theme="1"/>
        <rFont val="Calibri"/>
        <family val="2"/>
        <scheme val="minor"/>
      </rPr>
      <t xml:space="preserve"> [mm]</t>
    </r>
  </si>
  <si>
    <r>
      <t>σ</t>
    </r>
    <r>
      <rPr>
        <b/>
        <vertAlign val="subscript"/>
        <sz val="11"/>
        <color theme="1"/>
        <rFont val="Calibri"/>
        <family val="2"/>
        <scheme val="minor"/>
      </rPr>
      <t>Z</t>
    </r>
    <r>
      <rPr>
        <b/>
        <sz val="11"/>
        <color theme="1"/>
        <rFont val="Calibri"/>
        <family val="2"/>
        <scheme val="minor"/>
      </rPr>
      <t xml:space="preserve"> [mm]</t>
    </r>
  </si>
  <si>
    <t>angular precision</t>
  </si>
  <si>
    <t>gon</t>
  </si>
  <si>
    <t>rad</t>
  </si>
  <si>
    <t>distance precision</t>
  </si>
  <si>
    <t>m</t>
  </si>
  <si>
    <t>alpha</t>
  </si>
  <si>
    <t>X0</t>
  </si>
  <si>
    <t>Y0</t>
  </si>
  <si>
    <t>X'</t>
  </si>
  <si>
    <t>Y'</t>
  </si>
  <si>
    <t xml:space="preserve"> </t>
  </si>
  <si>
    <t>Z'</t>
  </si>
  <si>
    <t>D</t>
  </si>
  <si>
    <t>c</t>
  </si>
  <si>
    <t>fw</t>
  </si>
  <si>
    <t>npx</t>
  </si>
  <si>
    <t>npy</t>
  </si>
  <si>
    <t>mm</t>
  </si>
  <si>
    <t>GSD</t>
  </si>
  <si>
    <t>dZ max</t>
  </si>
  <si>
    <t>X</t>
  </si>
  <si>
    <t>Y</t>
  </si>
  <si>
    <t>GCP ID</t>
  </si>
  <si>
    <t>CSI</t>
  </si>
  <si>
    <t>ETA</t>
  </si>
  <si>
    <t>C/G</t>
  </si>
  <si>
    <t>X_EST</t>
  </si>
  <si>
    <t>Y_EST</t>
  </si>
  <si>
    <t>PARAMETERS</t>
  </si>
  <si>
    <t>a1</t>
  </si>
  <si>
    <t>b1</t>
  </si>
  <si>
    <t>a2</t>
  </si>
  <si>
    <t>b2</t>
  </si>
  <si>
    <t>a3</t>
  </si>
  <si>
    <t>b3</t>
  </si>
  <si>
    <t>c1</t>
  </si>
  <si>
    <t>c2</t>
  </si>
  <si>
    <t>G</t>
  </si>
  <si>
    <t>C</t>
  </si>
  <si>
    <t>CP</t>
  </si>
  <si>
    <t>mean</t>
  </si>
  <si>
    <t>std</t>
  </si>
  <si>
    <t>rms</t>
  </si>
  <si>
    <t>X_res</t>
  </si>
  <si>
    <t>Y_res</t>
  </si>
  <si>
    <t>X_diff</t>
  </si>
  <si>
    <t>Y_diff</t>
  </si>
  <si>
    <t>dxfX</t>
  </si>
  <si>
    <t>dxfY</t>
  </si>
  <si>
    <t>residualsX</t>
  </si>
  <si>
    <t>residualsY</t>
  </si>
  <si>
    <t>devst</t>
  </si>
  <si>
    <t>RMS</t>
  </si>
  <si>
    <t>GCP</t>
  </si>
  <si>
    <t>alpha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</si>
</sst>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"/>
    <numFmt numFmtId="166" formatCode="0.0000"/>
    <numFmt numFmtId="167" formatCode="0.0000000000"/>
    <numFmt numFmtId="168" formatCode="0.000000000000"/>
    <numFmt numFmtId="169" formatCode="0.00000"/>
    <numFmt numFmtId="170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3" fillId="0" borderId="0" xfId="0" applyFon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0" borderId="0" xfId="0" applyAlignment="1">
      <alignment horizontal="right"/>
    </xf>
    <xf numFmtId="167" fontId="0" fillId="0" borderId="0" xfId="0" applyNumberFormat="1"/>
    <xf numFmtId="168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70" fontId="0" fillId="0" borderId="0" xfId="0" applyNumberFormat="1"/>
    <xf numFmtId="169" fontId="0" fillId="0" borderId="0" xfId="0" applyNumberFormat="1"/>
    <xf numFmtId="169" fontId="0" fillId="8" borderId="0" xfId="0" applyNumberFormat="1" applyFill="1"/>
    <xf numFmtId="166" fontId="0" fillId="8" borderId="0" xfId="0" applyNumberFormat="1" applyFill="1"/>
    <xf numFmtId="169" fontId="0" fillId="9" borderId="0" xfId="0" applyNumberFormat="1" applyFill="1"/>
    <xf numFmtId="0" fontId="1" fillId="10" borderId="0" xfId="0" applyFont="1" applyFill="1"/>
    <xf numFmtId="0" fontId="0" fillId="10" borderId="0" xfId="0" applyFill="1"/>
    <xf numFmtId="11" fontId="0" fillId="0" borderId="0" xfId="0" applyNumberFormat="1"/>
  </cellXfs>
  <cellStyles count="1">
    <cellStyle name="Normale" xfId="0" builtinId="0"/>
  </cellStyles>
  <dxfs count="6">
    <dxf>
      <font>
        <color rgb="FF006100"/>
      </font>
      <fill>
        <patternFill>
          <bgColor rgb="FFC6EFCE"/>
        </patternFill>
      </fill>
    </dxf>
    <dxf>
      <numFmt numFmtId="170" formatCode="0.000000"/>
    </dxf>
    <dxf>
      <numFmt numFmtId="164" formatCode="0.000"/>
    </dxf>
    <dxf>
      <numFmt numFmtId="164" formatCode="0.000"/>
    </dxf>
    <dxf>
      <alignment horizontal="right" vertical="bottom" textRotation="0" wrapText="0" indent="0" justifyLastLine="0" shrinkToFit="0" readingOrder="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Observations!$F$2:$F$33</c:f>
              <c:numCache>
                <c:formatCode>0.000</c:formatCode>
                <c:ptCount val="32"/>
                <c:pt idx="0">
                  <c:v>-6.6064875147839111</c:v>
                </c:pt>
                <c:pt idx="1">
                  <c:v>-7.5693918269656626</c:v>
                </c:pt>
                <c:pt idx="2">
                  <c:v>-9.4664146187919425</c:v>
                </c:pt>
                <c:pt idx="3">
                  <c:v>-9.730460319601443</c:v>
                </c:pt>
                <c:pt idx="4">
                  <c:v>-10.732616961639554</c:v>
                </c:pt>
                <c:pt idx="5">
                  <c:v>-12.889469738315213</c:v>
                </c:pt>
                <c:pt idx="6">
                  <c:v>-13.895370845462411</c:v>
                </c:pt>
                <c:pt idx="7">
                  <c:v>-6.1749061227672275</c:v>
                </c:pt>
                <c:pt idx="8">
                  <c:v>-7.4822058705660295</c:v>
                </c:pt>
                <c:pt idx="9">
                  <c:v>-9.0716538406011669</c:v>
                </c:pt>
                <c:pt idx="10">
                  <c:v>-10.625165175179385</c:v>
                </c:pt>
                <c:pt idx="11">
                  <c:v>-12.914064274377518</c:v>
                </c:pt>
                <c:pt idx="12">
                  <c:v>-14.100667461303098</c:v>
                </c:pt>
                <c:pt idx="13">
                  <c:v>-15.242647698872707</c:v>
                </c:pt>
                <c:pt idx="14">
                  <c:v>-18.713547546441394</c:v>
                </c:pt>
                <c:pt idx="15">
                  <c:v>-4.2557969700884346</c:v>
                </c:pt>
                <c:pt idx="16">
                  <c:v>-4.4734995850995949</c:v>
                </c:pt>
                <c:pt idx="17">
                  <c:v>-4.5135132800508702</c:v>
                </c:pt>
                <c:pt idx="18">
                  <c:v>-18.620855886388661</c:v>
                </c:pt>
                <c:pt idx="19">
                  <c:v>-18.557673752515225</c:v>
                </c:pt>
                <c:pt idx="20">
                  <c:v>-14.957475978034665</c:v>
                </c:pt>
                <c:pt idx="21">
                  <c:v>-5.0165493515293464</c:v>
                </c:pt>
                <c:pt idx="22">
                  <c:v>-7.0275732660712</c:v>
                </c:pt>
                <c:pt idx="23">
                  <c:v>-10.176357766020654</c:v>
                </c:pt>
                <c:pt idx="24">
                  <c:v>-13.331593101137885</c:v>
                </c:pt>
                <c:pt idx="25">
                  <c:v>-13.532288023401671</c:v>
                </c:pt>
                <c:pt idx="26">
                  <c:v>-9.7574943548003166</c:v>
                </c:pt>
                <c:pt idx="27">
                  <c:v>-6.6205658721570089</c:v>
                </c:pt>
                <c:pt idx="28">
                  <c:v>-7.4481362893187635</c:v>
                </c:pt>
                <c:pt idx="29">
                  <c:v>-9.4957459695605255</c:v>
                </c:pt>
                <c:pt idx="30">
                  <c:v>-13.75456524714971</c:v>
                </c:pt>
                <c:pt idx="31">
                  <c:v>-18.000596088684485</c:v>
                </c:pt>
              </c:numCache>
            </c:numRef>
          </c:xVal>
          <c:yVal>
            <c:numRef>
              <c:f>Observations!$G$2:$G$33</c:f>
              <c:numCache>
                <c:formatCode>0.000</c:formatCode>
                <c:ptCount val="32"/>
                <c:pt idx="0">
                  <c:v>-20.669723665781262</c:v>
                </c:pt>
                <c:pt idx="1">
                  <c:v>-19.505537725711289</c:v>
                </c:pt>
                <c:pt idx="2">
                  <c:v>-17.732285257504749</c:v>
                </c:pt>
                <c:pt idx="3">
                  <c:v>-17.712939262928256</c:v>
                </c:pt>
                <c:pt idx="4">
                  <c:v>-16.532748016530054</c:v>
                </c:pt>
                <c:pt idx="5">
                  <c:v>-14.732008141931408</c:v>
                </c:pt>
                <c:pt idx="6">
                  <c:v>-13.556255048464006</c:v>
                </c:pt>
                <c:pt idx="7">
                  <c:v>-20.80493264286077</c:v>
                </c:pt>
                <c:pt idx="8">
                  <c:v>-19.810625591050545</c:v>
                </c:pt>
                <c:pt idx="9">
                  <c:v>-18.066989810921275</c:v>
                </c:pt>
                <c:pt idx="10">
                  <c:v>-16.836921648078366</c:v>
                </c:pt>
                <c:pt idx="11">
                  <c:v>-14.666293400888474</c:v>
                </c:pt>
                <c:pt idx="12">
                  <c:v>-13.314815990109356</c:v>
                </c:pt>
                <c:pt idx="13">
                  <c:v>-11.963883040225653</c:v>
                </c:pt>
                <c:pt idx="14">
                  <c:v>-11.798566605305274</c:v>
                </c:pt>
                <c:pt idx="15">
                  <c:v>-25.439999931276549</c:v>
                </c:pt>
                <c:pt idx="16">
                  <c:v>-25.16149587709042</c:v>
                </c:pt>
                <c:pt idx="17">
                  <c:v>-25.337248671559397</c:v>
                </c:pt>
                <c:pt idx="18">
                  <c:v>-12.042395155585789</c:v>
                </c:pt>
                <c:pt idx="19">
                  <c:v>-12.045586587468463</c:v>
                </c:pt>
                <c:pt idx="20">
                  <c:v>-12.325257564499784</c:v>
                </c:pt>
                <c:pt idx="21">
                  <c:v>-21.726842805460041</c:v>
                </c:pt>
                <c:pt idx="22">
                  <c:v>-20.040523960201302</c:v>
                </c:pt>
                <c:pt idx="23">
                  <c:v>-17.053570608976479</c:v>
                </c:pt>
                <c:pt idx="24">
                  <c:v>-14.089317776196703</c:v>
                </c:pt>
                <c:pt idx="25">
                  <c:v>-13.876097100979598</c:v>
                </c:pt>
                <c:pt idx="26">
                  <c:v>-17.431762676174387</c:v>
                </c:pt>
                <c:pt idx="27">
                  <c:v>-20.40280743969997</c:v>
                </c:pt>
                <c:pt idx="28">
                  <c:v>-19.641459806060734</c:v>
                </c:pt>
                <c:pt idx="29">
                  <c:v>-17.625639750455061</c:v>
                </c:pt>
                <c:pt idx="30">
                  <c:v>-13.619452670806023</c:v>
                </c:pt>
                <c:pt idx="31">
                  <c:v>-11.890954609189752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2-4040-8A96-A5837266A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84815"/>
        <c:axId val="135995119"/>
      </c:scatterChart>
      <c:valAx>
        <c:axId val="13558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95119"/>
        <c:crosses val="autoZero"/>
        <c:crossBetween val="midCat"/>
      </c:valAx>
      <c:valAx>
        <c:axId val="13599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8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90332458442689E-2"/>
          <c:y val="0.19721055701370663"/>
          <c:w val="0.86542366579177599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Observations!$P$2:$P$37</c:f>
              <c:numCache>
                <c:formatCode>0.000</c:formatCode>
                <c:ptCount val="36"/>
                <c:pt idx="0">
                  <c:v>0.40718411413198952</c:v>
                </c:pt>
                <c:pt idx="1">
                  <c:v>1.9060340224767054</c:v>
                </c:pt>
                <c:pt idx="2">
                  <c:v>4.5027794994087182</c:v>
                </c:pt>
                <c:pt idx="3">
                  <c:v>4.7085189329597981</c:v>
                </c:pt>
                <c:pt idx="4">
                  <c:v>6.246940327060317</c:v>
                </c:pt>
                <c:pt idx="5">
                  <c:v>9.051924490459351</c:v>
                </c:pt>
                <c:pt idx="6">
                  <c:v>10.59003788481847</c:v>
                </c:pt>
                <c:pt idx="7">
                  <c:v>0</c:v>
                </c:pt>
                <c:pt idx="8">
                  <c:v>1.6336459813876285</c:v>
                </c:pt>
                <c:pt idx="9">
                  <c:v>3.9858878585520103</c:v>
                </c:pt>
                <c:pt idx="10">
                  <c:v>5.9604036453628009</c:v>
                </c:pt>
                <c:pt idx="11">
                  <c:v>9.114835145388609</c:v>
                </c:pt>
                <c:pt idx="12">
                  <c:v>10.904965858567785</c:v>
                </c:pt>
                <c:pt idx="13">
                  <c:v>12.662192390325799</c:v>
                </c:pt>
                <c:pt idx="14">
                  <c:v>15.305741513704115</c:v>
                </c:pt>
                <c:pt idx="15">
                  <c:v>-4.5717044113434531</c:v>
                </c:pt>
                <c:pt idx="16">
                  <c:v>-4.2223618030357564</c:v>
                </c:pt>
                <c:pt idx="17">
                  <c:v>-4.3134899966853135</c:v>
                </c:pt>
                <c:pt idx="18">
                  <c:v>15.071270469518577</c:v>
                </c:pt>
                <c:pt idx="19">
                  <c:v>15.023024268512167</c:v>
                </c:pt>
                <c:pt idx="20">
                  <c:v>12.206939474295773</c:v>
                </c:pt>
                <c:pt idx="21">
                  <c:v>-1.4755076703472074</c:v>
                </c:pt>
                <c:pt idx="22">
                  <c:v>1.1448437505984854</c:v>
                </c:pt>
                <c:pt idx="23">
                  <c:v>5.484917127451066</c:v>
                </c:pt>
                <c:pt idx="24">
                  <c:v>9.8141552933877758</c:v>
                </c:pt>
                <c:pt idx="25">
                  <c:v>10.10641354894198</c:v>
                </c:pt>
                <c:pt idx="26">
                  <c:v>4.9206875544486568</c:v>
                </c:pt>
                <c:pt idx="27">
                  <c:v>0.60014670324211639</c:v>
                </c:pt>
                <c:pt idx="28">
                  <c:v>1.7245989360166651</c:v>
                </c:pt>
                <c:pt idx="29">
                  <c:v>4.5971597619953926</c:v>
                </c:pt>
                <c:pt idx="30">
                  <c:v>10.444128695406029</c:v>
                </c:pt>
                <c:pt idx="31">
                  <c:v>14.722740064653056</c:v>
                </c:pt>
                <c:pt idx="32">
                  <c:v>-3.989551806711785</c:v>
                </c:pt>
                <c:pt idx="33">
                  <c:v>0.34052728028871992</c:v>
                </c:pt>
                <c:pt idx="34">
                  <c:v>6.0600278968709151</c:v>
                </c:pt>
                <c:pt idx="35">
                  <c:v>10.422576246505923</c:v>
                </c:pt>
              </c:numCache>
            </c:numRef>
          </c:xVal>
          <c:yVal>
            <c:numRef>
              <c:f>Observations!$Q$2:$Q$37</c:f>
              <c:numCache>
                <c:formatCode>General</c:formatCode>
                <c:ptCount val="36"/>
                <c:pt idx="0">
                  <c:v>0.19683765548413745</c:v>
                </c:pt>
                <c:pt idx="1">
                  <c:v>7.1996589490106455E-3</c:v>
                </c:pt>
                <c:pt idx="2">
                  <c:v>1.2919514025000911E-2</c:v>
                </c:pt>
                <c:pt idx="3">
                  <c:v>0.17954989872183491</c:v>
                </c:pt>
                <c:pt idx="4">
                  <c:v>5.111005610633601E-3</c:v>
                </c:pt>
                <c:pt idx="5">
                  <c:v>0.16864032806891593</c:v>
                </c:pt>
                <c:pt idx="6">
                  <c:v>0</c:v>
                </c:pt>
                <c:pt idx="7">
                  <c:v>0</c:v>
                </c:pt>
                <c:pt idx="8">
                  <c:v>0.16994102321218274</c:v>
                </c:pt>
                <c:pt idx="9">
                  <c:v>-1.3276701121507362E-2</c:v>
                </c:pt>
                <c:pt idx="10">
                  <c:v>0.15331429364617977</c:v>
                </c:pt>
                <c:pt idx="11">
                  <c:v>0.13756673975292433</c:v>
                </c:pt>
                <c:pt idx="12">
                  <c:v>-3.5494939427628047E-2</c:v>
                </c:pt>
                <c:pt idx="13">
                  <c:v>-0.23870324183360569</c:v>
                </c:pt>
                <c:pt idx="14">
                  <c:v>2.0165402722448293</c:v>
                </c:pt>
                <c:pt idx="15">
                  <c:v>2.0655138545505647</c:v>
                </c:pt>
                <c:pt idx="16">
                  <c:v>2.0114890565261128</c:v>
                </c:pt>
                <c:pt idx="17">
                  <c:v>2.1670068782362844</c:v>
                </c:pt>
                <c:pt idx="18">
                  <c:v>2.1308531552185901</c:v>
                </c:pt>
                <c:pt idx="19">
                  <c:v>2.0899328501523815</c:v>
                </c:pt>
                <c:pt idx="20">
                  <c:v>-0.17044461888937867</c:v>
                </c:pt>
                <c:pt idx="21">
                  <c:v>-0.12077198401541689</c:v>
                </c:pt>
                <c:pt idx="22">
                  <c:v>2.6356746971757161E-2</c:v>
                </c:pt>
                <c:pt idx="23">
                  <c:v>4.0580239012295571E-3</c:v>
                </c:pt>
                <c:pt idx="24">
                  <c:v>2.7241527606438609E-3</c:v>
                </c:pt>
                <c:pt idx="25">
                  <c:v>-1.5348484648384897E-2</c:v>
                </c:pt>
                <c:pt idx="26">
                  <c:v>-6.9322399757010267E-3</c:v>
                </c:pt>
                <c:pt idx="27">
                  <c:v>1.1883847478677212E-2</c:v>
                </c:pt>
                <c:pt idx="28">
                  <c:v>2.3293966569945312E-2</c:v>
                </c:pt>
                <c:pt idx="29">
                  <c:v>-4.475160826219815E-2</c:v>
                </c:pt>
                <c:pt idx="30">
                  <c:v>-5.0305709724498548E-2</c:v>
                </c:pt>
                <c:pt idx="31">
                  <c:v>1.595892397195132</c:v>
                </c:pt>
                <c:pt idx="32">
                  <c:v>1.6308604990389004</c:v>
                </c:pt>
                <c:pt idx="33">
                  <c:v>-2.8769116008282969E-2</c:v>
                </c:pt>
                <c:pt idx="34">
                  <c:v>-4.7066349069309066E-2</c:v>
                </c:pt>
                <c:pt idx="35">
                  <c:v>-3.2469351875660912E-2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2-4CBC-97BE-CF8795B2A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55984"/>
        <c:axId val="448784120"/>
      </c:scatterChart>
      <c:valAx>
        <c:axId val="61115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84120"/>
        <c:crosses val="autoZero"/>
        <c:crossBetween val="midCat"/>
      </c:valAx>
      <c:valAx>
        <c:axId val="44878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5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/>
    <cx:plotArea>
      <cx:plotAreaRegion>
        <cx:series layoutId="boxWhisker" uniqueId="{D0232598-9648-42B3-8C51-6952BC2DE02E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67D4BA4-8750-482D-8729-06DBACA3CB61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38099</xdr:colOff>
      <xdr:row>4</xdr:row>
      <xdr:rowOff>28574</xdr:rowOff>
    </xdr:from>
    <xdr:to>
      <xdr:col>28</xdr:col>
      <xdr:colOff>219074</xdr:colOff>
      <xdr:row>25</xdr:row>
      <xdr:rowOff>38099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95DA11A-2FDB-49CC-AAC0-C9915DC93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589359</xdr:colOff>
      <xdr:row>25</xdr:row>
      <xdr:rowOff>146446</xdr:rowOff>
    </xdr:from>
    <xdr:to>
      <xdr:col>28</xdr:col>
      <xdr:colOff>333375</xdr:colOff>
      <xdr:row>43</xdr:row>
      <xdr:rowOff>119062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336931A-4708-915B-CEBB-7BD6BE84D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257176</xdr:colOff>
      <xdr:row>0</xdr:row>
      <xdr:rowOff>0</xdr:rowOff>
    </xdr:from>
    <xdr:to>
      <xdr:col>22</xdr:col>
      <xdr:colOff>238587</xdr:colOff>
      <xdr:row>16</xdr:row>
      <xdr:rowOff>112364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669CA963-4D37-E98E-48CD-25708883B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5901" y="0"/>
          <a:ext cx="3029410" cy="3160364"/>
        </a:xfrm>
        <a:prstGeom prst="rect">
          <a:avLst/>
        </a:prstGeom>
      </xdr:spPr>
    </xdr:pic>
    <xdr:clientData/>
  </xdr:twoCellAnchor>
  <xdr:twoCellAnchor editAs="oneCell">
    <xdr:from>
      <xdr:col>14</xdr:col>
      <xdr:colOff>171451</xdr:colOff>
      <xdr:row>11</xdr:row>
      <xdr:rowOff>133349</xdr:rowOff>
    </xdr:from>
    <xdr:to>
      <xdr:col>17</xdr:col>
      <xdr:colOff>53296</xdr:colOff>
      <xdr:row>24</xdr:row>
      <xdr:rowOff>47238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681FE263-490F-C257-9F7B-F00CF39FF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39126" y="2228849"/>
          <a:ext cx="2205946" cy="2390389"/>
        </a:xfrm>
        <a:prstGeom prst="rect">
          <a:avLst/>
        </a:prstGeom>
      </xdr:spPr>
    </xdr:pic>
    <xdr:clientData/>
  </xdr:twoCellAnchor>
  <xdr:twoCellAnchor editAs="oneCell">
    <xdr:from>
      <xdr:col>14</xdr:col>
      <xdr:colOff>352425</xdr:colOff>
      <xdr:row>0</xdr:row>
      <xdr:rowOff>0</xdr:rowOff>
    </xdr:from>
    <xdr:to>
      <xdr:col>16</xdr:col>
      <xdr:colOff>952499</xdr:colOff>
      <xdr:row>11</xdr:row>
      <xdr:rowOff>47830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1D0BB4ED-2A0C-1A7B-185C-4B6397695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91675" y="0"/>
          <a:ext cx="1876425" cy="2143330"/>
        </a:xfrm>
        <a:prstGeom prst="rect">
          <a:avLst/>
        </a:prstGeom>
      </xdr:spPr>
    </xdr:pic>
    <xdr:clientData/>
  </xdr:twoCellAnchor>
  <xdr:twoCellAnchor>
    <xdr:from>
      <xdr:col>6</xdr:col>
      <xdr:colOff>17858</xdr:colOff>
      <xdr:row>25</xdr:row>
      <xdr:rowOff>3571</xdr:rowOff>
    </xdr:from>
    <xdr:to>
      <xdr:col>13</xdr:col>
      <xdr:colOff>65483</xdr:colOff>
      <xdr:row>39</xdr:row>
      <xdr:rowOff>79771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co 4">
              <a:extLst>
                <a:ext uri="{FF2B5EF4-FFF2-40B4-BE49-F238E27FC236}">
                  <a16:creationId xmlns:a16="http://schemas.microsoft.com/office/drawing/2014/main" id="{0317B1D5-5DC5-6DB4-76A0-3BAE82BD16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5458" y="4766071"/>
              <a:ext cx="5257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</xdr:colOff>
      <xdr:row>5</xdr:row>
      <xdr:rowOff>47625</xdr:rowOff>
    </xdr:from>
    <xdr:to>
      <xdr:col>14</xdr:col>
      <xdr:colOff>37794</xdr:colOff>
      <xdr:row>21</xdr:row>
      <xdr:rowOff>171054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2FE225D2-9181-76B3-9BA0-51E934E27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0" y="1000125"/>
          <a:ext cx="2447619" cy="3171429"/>
        </a:xfrm>
        <a:prstGeom prst="rect">
          <a:avLst/>
        </a:prstGeom>
      </xdr:spPr>
    </xdr:pic>
    <xdr:clientData/>
  </xdr:twoCellAnchor>
  <xdr:twoCellAnchor editAs="oneCell">
    <xdr:from>
      <xdr:col>22</xdr:col>
      <xdr:colOff>261937</xdr:colOff>
      <xdr:row>0</xdr:row>
      <xdr:rowOff>152203</xdr:rowOff>
    </xdr:from>
    <xdr:to>
      <xdr:col>31</xdr:col>
      <xdr:colOff>42862</xdr:colOff>
      <xdr:row>16</xdr:row>
      <xdr:rowOff>73819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0479DF4B-56D5-C429-05FB-6650585C7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84656" y="152203"/>
          <a:ext cx="5245894" cy="296961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495479-5158-4BF2-B5E6-CC1B05163DE1}" name="Tabella1" displayName="Tabella1" ref="A1:L17" totalsRowShown="0">
  <autoFilter ref="A1:L17" xr:uid="{37495479-5158-4BF2-B5E6-CC1B05163DE1}"/>
  <tableColumns count="12">
    <tableColumn id="1" xr3:uid="{6086826E-F70D-44E0-8C73-4416498870F4}" name="GCP ID"/>
    <tableColumn id="2" xr3:uid="{1EA6C158-BB43-47C3-9054-431489DB42D5}" name="X" dataDxfId="5"/>
    <tableColumn id="3" xr3:uid="{D577B448-2DE3-4FDC-BDC0-47EC4AE62391}" name="Y"/>
    <tableColumn id="4" xr3:uid="{B6E754A1-ECE1-4A81-9A09-3D3B5BFAEDFD}" name="CSI"/>
    <tableColumn id="5" xr3:uid="{72C4CE54-45E0-4CFC-A032-FE8AD5F645E7}" name="ETA"/>
    <tableColumn id="6" xr3:uid="{3C368518-7F8F-47E0-AF05-702B071B6F8F}" name="C/G" dataDxfId="4"/>
    <tableColumn id="7" xr3:uid="{B99B594A-D516-43EF-ACB8-F0ADF91A7712}" name="X_EST">
      <calculatedColumnFormula>(($N$2*D2)+($N$4*E2)+$N$6)/(($N$8*D2)+($N$9*E2)+1)</calculatedColumnFormula>
    </tableColumn>
    <tableColumn id="8" xr3:uid="{7AA130E3-6BF9-46AA-A6DB-240A1A8F450F}" name="Y_EST">
      <calculatedColumnFormula>(($N$3*D2)+($N$5*E2)+$N$7)/(($N$8*D2)+($N$9*E2)+1)</calculatedColumnFormula>
    </tableColumn>
    <tableColumn id="9" xr3:uid="{77F9EBD6-F4F0-4620-8C7D-F2D4B1AD6CEC}" name="X_res" dataDxfId="3"/>
    <tableColumn id="10" xr3:uid="{6C06E72D-CB67-4FBA-BA78-AD7C3B48E495}" name="Y_res" dataDxfId="2"/>
    <tableColumn id="11" xr3:uid="{F02E1F5B-1221-411D-A783-FF48480ECBFE}" name="X_diff" dataDxfId="1">
      <calculatedColumnFormula>(Tabella1[[#This Row],[X_EST]]-Tabella1[[#This Row],[X]])^2</calculatedColumnFormula>
    </tableColumn>
    <tableColumn id="12" xr3:uid="{55838323-A069-4D63-9269-6EE565F313A0}" name="Y_diff">
      <calculatedColumnFormula>(Tabella1[[#This Row],[Y_EST]]-Tabella1[[#This Row],[Y]])^2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490E-C47F-4303-92BC-AD7E7C8CDC68}">
  <dimension ref="A1:AB43"/>
  <sheetViews>
    <sheetView zoomScale="80" zoomScaleNormal="80" workbookViewId="0">
      <selection activeCell="E39" sqref="E39"/>
    </sheetView>
  </sheetViews>
  <sheetFormatPr defaultRowHeight="15" x14ac:dyDescent="0.25"/>
  <cols>
    <col min="1" max="1" width="8.85546875" bestFit="1" customWidth="1"/>
    <col min="2" max="2" width="8" bestFit="1" customWidth="1"/>
    <col min="3" max="3" width="12.7109375" bestFit="1" customWidth="1"/>
    <col min="4" max="4" width="10.85546875" bestFit="1" customWidth="1"/>
    <col min="5" max="5" width="13" bestFit="1" customWidth="1"/>
    <col min="6" max="7" width="7.85546875" bestFit="1" customWidth="1"/>
    <col min="8" max="8" width="6.7109375" bestFit="1" customWidth="1"/>
    <col min="9" max="11" width="8.7109375" bestFit="1" customWidth="1"/>
    <col min="12" max="12" width="7.5703125" customWidth="1"/>
    <col min="13" max="13" width="9.85546875" bestFit="1" customWidth="1"/>
    <col min="14" max="14" width="4.5703125" bestFit="1" customWidth="1"/>
    <col min="15" max="15" width="9.140625" customWidth="1"/>
    <col min="17" max="17" width="13.7109375" bestFit="1" customWidth="1"/>
  </cols>
  <sheetData>
    <row r="1" spans="1:28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16</v>
      </c>
      <c r="M1" s="1" t="s">
        <v>65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22</v>
      </c>
      <c r="S1" s="1"/>
      <c r="T1" s="1" t="s">
        <v>11</v>
      </c>
      <c r="U1" s="1"/>
      <c r="W1" s="4">
        <v>2E-3</v>
      </c>
      <c r="X1" t="s">
        <v>12</v>
      </c>
      <c r="Y1">
        <f>W1*PI()/200</f>
        <v>3.1415926535897935E-5</v>
      </c>
      <c r="Z1" t="s">
        <v>13</v>
      </c>
    </row>
    <row r="2" spans="1:28" x14ac:dyDescent="0.25">
      <c r="A2">
        <v>100</v>
      </c>
      <c r="B2">
        <v>1</v>
      </c>
      <c r="C2">
        <v>219.69443999999999</v>
      </c>
      <c r="D2">
        <v>82.733419999999995</v>
      </c>
      <c r="E2">
        <v>22.523199999999999</v>
      </c>
      <c r="F2" s="2">
        <f>E2*SIN(D2*PI()/200)*SIN(C2*PI()/200)</f>
        <v>-6.6064875147839111</v>
      </c>
      <c r="G2" s="2">
        <f>E2*SIN(D2*PI()/200)*COS(C2*PI()/200)</f>
        <v>-20.669723665781262</v>
      </c>
      <c r="H2" s="2">
        <f>E2*COS(D2*PI()/200)</f>
        <v>6.0341846621765152</v>
      </c>
      <c r="I2" s="3">
        <f>((SIN(C2*PI()/200)*SIN(D2*PI()/200))^2*$W$2^2+(E2*COS(C2*PI()/200)*SIN(D2*PI()/200))^2*$Y$1^2+(E2*SIN(C2*PI()/200)*COS(D2*PI()/200))^2*$Y$1^2)^(1/2)*1000</f>
        <v>1.0951360240826722</v>
      </c>
      <c r="J2" s="3">
        <f>((COS(C2*PI()/200)*SIN(D2*PI()/200))^2*$W$2^2+(E2*COS(C2*PI()/200)*COS(D2*PI()/200))^2*$Y$1^2+(-E2*SIN(C2*PI()/200)*SIN(D2*PI()/200))^2*$Y$1^2)^(1/2)*1000</f>
        <v>2.7668350274404712</v>
      </c>
      <c r="K2" s="3">
        <f>((COS(D2*PI()/200))^2*$W$2^2+(E2*-SIN(D2*PI()/200))^2*$Y$1^2)^(1/2)*1000</f>
        <v>1.0539087745291091</v>
      </c>
      <c r="L2" s="2">
        <f>ATAN2(F8-F9,G8-G9)</f>
        <v>2.3877013725633001</v>
      </c>
      <c r="M2" s="3">
        <f>L2*180/PI()</f>
        <v>136.80521138547087</v>
      </c>
      <c r="N2" s="3">
        <f>F9</f>
        <v>-6.1749061227672275</v>
      </c>
      <c r="O2" s="3">
        <f>G9</f>
        <v>-20.80493264286077</v>
      </c>
      <c r="P2" s="2">
        <f>(F2-N2)*COS(L2)+(G2-O2)*SIN(L2)</f>
        <v>0.40718411413198952</v>
      </c>
      <c r="Q2">
        <f>-(F2-N2)*SIN(L2)+(G2-O2)*COS(L2)</f>
        <v>0.19683765548413745</v>
      </c>
      <c r="R2" s="2">
        <f>H2</f>
        <v>6.0341846621765152</v>
      </c>
      <c r="T2" s="1" t="s">
        <v>14</v>
      </c>
      <c r="U2" s="1"/>
      <c r="W2">
        <v>3.0000000000000001E-3</v>
      </c>
      <c r="X2" t="s">
        <v>15</v>
      </c>
    </row>
    <row r="3" spans="1:28" x14ac:dyDescent="0.25">
      <c r="A3">
        <v>100</v>
      </c>
      <c r="B3">
        <v>2</v>
      </c>
      <c r="C3">
        <v>223.56603000000001</v>
      </c>
      <c r="D3">
        <v>82.895870000000002</v>
      </c>
      <c r="E3">
        <v>21.7013</v>
      </c>
      <c r="F3" s="2">
        <f t="shared" ref="F3:F33" si="0">E3*SIN(D3*PI()/200)*SIN(C3*PI()/200)</f>
        <v>-7.5693918269656626</v>
      </c>
      <c r="G3" s="2">
        <f t="shared" ref="G3:G33" si="1">E3*SIN(D3*PI()/200)*COS(C3*PI()/200)</f>
        <v>-19.505537725711289</v>
      </c>
      <c r="H3" s="2">
        <f t="shared" ref="H3:H33" si="2">E3*COS(D3*PI()/200)</f>
        <v>5.7606186378477755</v>
      </c>
      <c r="I3" s="3">
        <f t="shared" ref="I3:I33" si="3">((SIN(C3*PI()/200)*SIN(D3*PI()/200))^2*$W$2^2+(E3*COS(C3*PI()/200)*SIN(D3*PI()/200))^2*$Y$1^2+(E3*SIN(C3*PI()/200)*COS(D3*PI()/200))^2*$Y$1^2)^(1/2)*1000</f>
        <v>1.2143880315725093</v>
      </c>
      <c r="J3" s="3">
        <f t="shared" ref="J3:J33" si="4">((COS(C3*PI()/200)*SIN(D3*PI()/200))^2*$W$2^2+(E3*COS(C3*PI()/200)*COS(D3*PI()/200))^2*$Y$1^2+(-E3*SIN(C3*PI()/200)*SIN(D3*PI()/200))^2*$Y$1^2)^(1/2)*1000</f>
        <v>2.7121747714262936</v>
      </c>
      <c r="K3" s="3">
        <f t="shared" ref="K3:K33" si="5">((COS(D3*PI()/200))^2*$W$2^2+(E3*-SIN(D3*PI()/200))^2*$Y$1^2)^(1/2)*1000</f>
        <v>1.0325834980259998</v>
      </c>
      <c r="L3" s="2">
        <v>2.3877013725633001</v>
      </c>
      <c r="M3" s="3"/>
      <c r="N3" s="3">
        <v>-6.1749061227672275</v>
      </c>
      <c r="O3">
        <v>-20.80493264286077</v>
      </c>
      <c r="P3" s="9">
        <f t="shared" ref="P3:P37" si="6">(F3-N3)*COS(L3)+(G3-O3)*SIN(L3)</f>
        <v>1.9060340224767054</v>
      </c>
      <c r="Q3" s="8">
        <f t="shared" ref="Q3:Q37" si="7">-(F3-N3)*SIN(L3)+(G3-O3)*COS(L3)</f>
        <v>7.1996589490106455E-3</v>
      </c>
      <c r="R3" s="9">
        <f t="shared" ref="R3:R37" si="8">H3</f>
        <v>5.7606186378477755</v>
      </c>
      <c r="S3" s="5"/>
      <c r="AB3" t="s">
        <v>21</v>
      </c>
    </row>
    <row r="4" spans="1:28" x14ac:dyDescent="0.25">
      <c r="A4">
        <v>100</v>
      </c>
      <c r="B4">
        <v>3</v>
      </c>
      <c r="C4">
        <v>231.21735000000001</v>
      </c>
      <c r="D4">
        <v>80.639099999999999</v>
      </c>
      <c r="E4">
        <v>21.067699999999999</v>
      </c>
      <c r="F4" s="2">
        <f t="shared" si="0"/>
        <v>-9.4664146187919425</v>
      </c>
      <c r="G4" s="2">
        <f t="shared" si="1"/>
        <v>-17.732285257504749</v>
      </c>
      <c r="H4" s="2">
        <f t="shared" si="2"/>
        <v>6.3088063135273034</v>
      </c>
      <c r="I4" s="3">
        <f t="shared" si="3"/>
        <v>1.4615567577640722</v>
      </c>
      <c r="J4" s="3">
        <f t="shared" si="4"/>
        <v>2.5485011568592677</v>
      </c>
      <c r="K4" s="3">
        <f t="shared" si="5"/>
        <v>1.098104025165777</v>
      </c>
      <c r="L4" s="2">
        <v>2.3877013725633001</v>
      </c>
      <c r="M4" s="3"/>
      <c r="N4" s="3">
        <v>-6.1749061227672275</v>
      </c>
      <c r="O4">
        <v>-20.80493264286077</v>
      </c>
      <c r="P4" s="9">
        <f t="shared" si="6"/>
        <v>4.5027794994087182</v>
      </c>
      <c r="Q4" s="8">
        <f t="shared" si="7"/>
        <v>1.2919514025000911E-2</v>
      </c>
      <c r="R4" s="9">
        <f t="shared" si="8"/>
        <v>6.3088063135273034</v>
      </c>
    </row>
    <row r="5" spans="1:28" x14ac:dyDescent="0.25">
      <c r="A5">
        <v>100</v>
      </c>
      <c r="B5">
        <v>4</v>
      </c>
      <c r="C5">
        <v>231.97981999999999</v>
      </c>
      <c r="D5">
        <v>81.538049999999998</v>
      </c>
      <c r="E5">
        <v>21.090299999999999</v>
      </c>
      <c r="F5" s="2">
        <f t="shared" si="0"/>
        <v>-9.730460319601443</v>
      </c>
      <c r="G5" s="2">
        <f t="shared" si="1"/>
        <v>-17.712939262928256</v>
      </c>
      <c r="H5" s="2">
        <f t="shared" si="2"/>
        <v>6.0308107851661452</v>
      </c>
      <c r="I5" s="3">
        <f t="shared" si="3"/>
        <v>1.4945736211028025</v>
      </c>
      <c r="J5" s="3">
        <f t="shared" si="4"/>
        <v>2.5434885839238568</v>
      </c>
      <c r="K5" s="3">
        <f t="shared" si="5"/>
        <v>1.0672490756635189</v>
      </c>
      <c r="L5" s="2">
        <v>2.3877013725633001</v>
      </c>
      <c r="M5" s="3"/>
      <c r="N5" s="3">
        <v>-6.1749061227672275</v>
      </c>
      <c r="O5">
        <v>-20.80493264286077</v>
      </c>
      <c r="P5" s="2">
        <f t="shared" si="6"/>
        <v>4.7085189329597981</v>
      </c>
      <c r="Q5">
        <f t="shared" si="7"/>
        <v>0.17954989872183491</v>
      </c>
      <c r="R5" s="2">
        <f t="shared" si="8"/>
        <v>6.0308107851661452</v>
      </c>
    </row>
    <row r="6" spans="1:28" x14ac:dyDescent="0.25">
      <c r="A6">
        <v>100</v>
      </c>
      <c r="B6">
        <v>5</v>
      </c>
      <c r="C6">
        <v>236.65617</v>
      </c>
      <c r="D6">
        <v>80.569100000000006</v>
      </c>
      <c r="E6">
        <v>20.6661</v>
      </c>
      <c r="F6" s="2">
        <f t="shared" si="0"/>
        <v>-10.732616961639554</v>
      </c>
      <c r="G6" s="2">
        <f t="shared" si="1"/>
        <v>-16.532748016530054</v>
      </c>
      <c r="H6" s="2">
        <f t="shared" si="2"/>
        <v>6.2102226519383787</v>
      </c>
      <c r="I6" s="3">
        <f t="shared" si="3"/>
        <v>1.645729926975271</v>
      </c>
      <c r="J6" s="3">
        <f t="shared" si="4"/>
        <v>2.429068506917373</v>
      </c>
      <c r="K6" s="3">
        <f t="shared" si="5"/>
        <v>1.0936967281381824</v>
      </c>
      <c r="L6" s="2">
        <v>2.3877013725633001</v>
      </c>
      <c r="M6" s="3"/>
      <c r="N6" s="3">
        <v>-6.1749061227672275</v>
      </c>
      <c r="O6">
        <v>-20.80493264286077</v>
      </c>
      <c r="P6" s="9">
        <f t="shared" si="6"/>
        <v>6.246940327060317</v>
      </c>
      <c r="Q6" s="8">
        <f t="shared" si="7"/>
        <v>5.111005610633601E-3</v>
      </c>
      <c r="R6" s="9">
        <f t="shared" si="8"/>
        <v>6.2102226519383787</v>
      </c>
    </row>
    <row r="7" spans="1:28" x14ac:dyDescent="0.25">
      <c r="A7">
        <v>100</v>
      </c>
      <c r="B7">
        <v>6</v>
      </c>
      <c r="C7">
        <v>245.75960000000001</v>
      </c>
      <c r="D7">
        <v>79.721459999999993</v>
      </c>
      <c r="E7">
        <v>20.611599999999999</v>
      </c>
      <c r="F7" s="2">
        <f t="shared" si="0"/>
        <v>-12.889469738315213</v>
      </c>
      <c r="G7" s="2">
        <f t="shared" si="1"/>
        <v>-14.732008141931408</v>
      </c>
      <c r="H7" s="2">
        <f t="shared" si="2"/>
        <v>6.4550414817507562</v>
      </c>
      <c r="I7" s="3">
        <f t="shared" si="3"/>
        <v>1.9369046882952441</v>
      </c>
      <c r="J7" s="3">
        <f t="shared" si="4"/>
        <v>2.1874620813641714</v>
      </c>
      <c r="K7" s="3">
        <f t="shared" si="5"/>
        <v>1.1228901744074939</v>
      </c>
      <c r="L7" s="2">
        <v>2.3877013725633001</v>
      </c>
      <c r="M7" s="3"/>
      <c r="N7" s="3">
        <v>-6.1749061227672275</v>
      </c>
      <c r="O7">
        <v>-20.80493264286077</v>
      </c>
      <c r="P7" s="2">
        <f t="shared" si="6"/>
        <v>9.051924490459351</v>
      </c>
      <c r="Q7">
        <f t="shared" si="7"/>
        <v>0.16864032806891593</v>
      </c>
      <c r="R7" s="2">
        <f t="shared" si="8"/>
        <v>6.4550414817507562</v>
      </c>
    </row>
    <row r="8" spans="1:28" x14ac:dyDescent="0.25">
      <c r="A8">
        <v>100</v>
      </c>
      <c r="B8">
        <v>7</v>
      </c>
      <c r="C8">
        <v>250.78639000000001</v>
      </c>
      <c r="D8">
        <v>80.608149999999995</v>
      </c>
      <c r="E8">
        <v>20.349499999999999</v>
      </c>
      <c r="F8" s="2">
        <f t="shared" si="0"/>
        <v>-13.895370845462411</v>
      </c>
      <c r="G8" s="2">
        <f t="shared" si="1"/>
        <v>-13.556255048464006</v>
      </c>
      <c r="H8" s="2">
        <f t="shared" si="2"/>
        <v>6.1031769086326921</v>
      </c>
      <c r="I8" s="3">
        <f t="shared" si="3"/>
        <v>2.0968061832547829</v>
      </c>
      <c r="J8" s="3">
        <f t="shared" si="4"/>
        <v>2.050012240371438</v>
      </c>
      <c r="K8" s="3">
        <f t="shared" si="5"/>
        <v>1.0869661743961707</v>
      </c>
      <c r="L8" s="2">
        <v>2.3877013725633001</v>
      </c>
      <c r="M8" s="3"/>
      <c r="N8" s="3">
        <v>-6.1749061227672275</v>
      </c>
      <c r="O8">
        <v>-20.80493264286077</v>
      </c>
      <c r="P8" s="7">
        <f t="shared" si="6"/>
        <v>10.59003788481847</v>
      </c>
      <c r="Q8" s="6">
        <f t="shared" si="7"/>
        <v>0</v>
      </c>
      <c r="R8" s="7">
        <f t="shared" si="8"/>
        <v>6.1031769086326921</v>
      </c>
    </row>
    <row r="9" spans="1:28" x14ac:dyDescent="0.25">
      <c r="A9">
        <v>100</v>
      </c>
      <c r="B9">
        <v>8</v>
      </c>
      <c r="C9">
        <v>218.36766</v>
      </c>
      <c r="D9">
        <v>99.063419999999994</v>
      </c>
      <c r="E9">
        <v>21.7043</v>
      </c>
      <c r="F9" s="2">
        <f t="shared" si="0"/>
        <v>-6.1749061227672275</v>
      </c>
      <c r="G9" s="2">
        <f t="shared" si="1"/>
        <v>-20.80493264286077</v>
      </c>
      <c r="H9" s="2">
        <f t="shared" si="2"/>
        <v>0.31929702635346396</v>
      </c>
      <c r="I9" s="3">
        <f t="shared" si="3"/>
        <v>1.0750252275125425</v>
      </c>
      <c r="J9" s="3">
        <f t="shared" si="4"/>
        <v>2.8822399246293666</v>
      </c>
      <c r="K9" s="3">
        <f t="shared" si="5"/>
        <v>0.68321385289100012</v>
      </c>
      <c r="L9" s="2">
        <v>2.3877013725633001</v>
      </c>
      <c r="M9" s="3"/>
      <c r="N9" s="3">
        <v>-6.1749061227672275</v>
      </c>
      <c r="O9">
        <v>-20.80493264286077</v>
      </c>
      <c r="P9" s="7">
        <f t="shared" si="6"/>
        <v>0</v>
      </c>
      <c r="Q9" s="6">
        <f t="shared" si="7"/>
        <v>0</v>
      </c>
      <c r="R9" s="7">
        <f t="shared" si="8"/>
        <v>0.31929702635346396</v>
      </c>
    </row>
    <row r="10" spans="1:28" x14ac:dyDescent="0.25">
      <c r="A10">
        <v>100</v>
      </c>
      <c r="B10">
        <v>9</v>
      </c>
      <c r="C10">
        <v>222.98985999999999</v>
      </c>
      <c r="D10">
        <v>98.562899999999999</v>
      </c>
      <c r="E10">
        <v>21.181899999999999</v>
      </c>
      <c r="F10" s="2">
        <f t="shared" si="0"/>
        <v>-7.4822058705660295</v>
      </c>
      <c r="G10" s="2">
        <f t="shared" si="1"/>
        <v>-19.810625591050545</v>
      </c>
      <c r="H10" s="2">
        <f t="shared" si="2"/>
        <v>0.47811778013429301</v>
      </c>
      <c r="I10" s="3">
        <f t="shared" si="3"/>
        <v>1.2289635682252735</v>
      </c>
      <c r="J10" s="3">
        <f t="shared" si="4"/>
        <v>2.8156500995717226</v>
      </c>
      <c r="K10" s="3">
        <f t="shared" si="5"/>
        <v>0.66871685352270549</v>
      </c>
      <c r="L10" s="2">
        <v>2.3877013725633001</v>
      </c>
      <c r="M10" s="3"/>
      <c r="N10" s="3">
        <v>-6.1749061227672275</v>
      </c>
      <c r="O10">
        <v>-20.80493264286077</v>
      </c>
      <c r="P10" s="2">
        <f t="shared" si="6"/>
        <v>1.6336459813876285</v>
      </c>
      <c r="Q10">
        <f t="shared" si="7"/>
        <v>0.16994102321218274</v>
      </c>
      <c r="R10" s="2">
        <f t="shared" si="8"/>
        <v>0.47811778013429301</v>
      </c>
    </row>
    <row r="11" spans="1:28" x14ac:dyDescent="0.25">
      <c r="A11">
        <v>100</v>
      </c>
      <c r="B11">
        <v>10</v>
      </c>
      <c r="C11">
        <v>229.6242</v>
      </c>
      <c r="D11">
        <v>100.39912</v>
      </c>
      <c r="E11">
        <v>20.216999999999999</v>
      </c>
      <c r="F11" s="2">
        <f t="shared" si="0"/>
        <v>-9.0716538406011669</v>
      </c>
      <c r="G11" s="2">
        <f t="shared" si="1"/>
        <v>-18.066989810921275</v>
      </c>
      <c r="H11" s="2">
        <f t="shared" si="2"/>
        <v>-0.12674686730968765</v>
      </c>
      <c r="I11" s="3">
        <f t="shared" si="3"/>
        <v>1.4609115081162902</v>
      </c>
      <c r="J11" s="3">
        <f t="shared" si="4"/>
        <v>2.6960677464780241</v>
      </c>
      <c r="K11" s="3">
        <f t="shared" si="5"/>
        <v>0.63540172477827006</v>
      </c>
      <c r="L11" s="2">
        <v>2.3877013725633001</v>
      </c>
      <c r="M11" s="3"/>
      <c r="N11" s="3">
        <v>-6.1749061227672275</v>
      </c>
      <c r="O11">
        <v>-20.80493264286077</v>
      </c>
      <c r="P11" s="9">
        <f t="shared" si="6"/>
        <v>3.9858878585520103</v>
      </c>
      <c r="Q11" s="8">
        <f t="shared" si="7"/>
        <v>-1.3276701121507362E-2</v>
      </c>
      <c r="R11" s="9">
        <f t="shared" si="8"/>
        <v>-0.12674686730968765</v>
      </c>
    </row>
    <row r="12" spans="1:28" x14ac:dyDescent="0.25">
      <c r="A12">
        <v>100</v>
      </c>
      <c r="B12">
        <v>11</v>
      </c>
      <c r="C12">
        <v>235.83835999999999</v>
      </c>
      <c r="D12">
        <v>98.161559999999994</v>
      </c>
      <c r="E12">
        <v>19.9175</v>
      </c>
      <c r="F12" s="2">
        <f t="shared" si="0"/>
        <v>-10.625165175179385</v>
      </c>
      <c r="G12" s="2">
        <f t="shared" si="1"/>
        <v>-16.836921648078366</v>
      </c>
      <c r="H12" s="2">
        <f t="shared" si="2"/>
        <v>0.57510057087895872</v>
      </c>
      <c r="I12" s="3">
        <f t="shared" si="3"/>
        <v>1.6855511905700358</v>
      </c>
      <c r="J12" s="3">
        <f t="shared" si="4"/>
        <v>2.5579186201576971</v>
      </c>
      <c r="K12" s="3">
        <f t="shared" si="5"/>
        <v>0.63143561575666829</v>
      </c>
      <c r="L12" s="2">
        <v>2.3877013725633001</v>
      </c>
      <c r="M12" s="3"/>
      <c r="N12" s="3">
        <v>-6.1749061227672275</v>
      </c>
      <c r="O12">
        <v>-20.80493264286077</v>
      </c>
      <c r="P12" s="2">
        <f t="shared" si="6"/>
        <v>5.9604036453628009</v>
      </c>
      <c r="Q12">
        <f t="shared" si="7"/>
        <v>0.15331429364617977</v>
      </c>
      <c r="R12" s="2">
        <f t="shared" si="8"/>
        <v>0.57510057087895872</v>
      </c>
    </row>
    <row r="13" spans="1:28" x14ac:dyDescent="0.25">
      <c r="A13">
        <v>100</v>
      </c>
      <c r="B13">
        <v>12</v>
      </c>
      <c r="C13">
        <v>245.96087</v>
      </c>
      <c r="D13">
        <v>97.911209999999997</v>
      </c>
      <c r="E13">
        <v>19.552099999999999</v>
      </c>
      <c r="F13" s="2">
        <f t="shared" si="0"/>
        <v>-12.914064274377518</v>
      </c>
      <c r="G13" s="2">
        <f t="shared" si="1"/>
        <v>-14.666293400888474</v>
      </c>
      <c r="H13" s="2">
        <f t="shared" si="2"/>
        <v>0.64140175109012176</v>
      </c>
      <c r="I13" s="3">
        <f t="shared" si="3"/>
        <v>2.034393145479775</v>
      </c>
      <c r="J13" s="3">
        <f t="shared" si="4"/>
        <v>2.2866698398213585</v>
      </c>
      <c r="K13" s="3">
        <f t="shared" si="5"/>
        <v>0.62175487458111367</v>
      </c>
      <c r="L13" s="2">
        <v>2.3877013725633001</v>
      </c>
      <c r="M13" s="3"/>
      <c r="N13" s="3">
        <v>-6.1749061227672275</v>
      </c>
      <c r="O13">
        <v>-20.80493264286077</v>
      </c>
      <c r="P13" s="2">
        <f t="shared" si="6"/>
        <v>9.114835145388609</v>
      </c>
      <c r="Q13">
        <f t="shared" si="7"/>
        <v>0.13756673975292433</v>
      </c>
      <c r="R13" s="2">
        <f t="shared" si="8"/>
        <v>0.64140175109012176</v>
      </c>
    </row>
    <row r="14" spans="1:28" x14ac:dyDescent="0.25">
      <c r="A14">
        <v>100</v>
      </c>
      <c r="B14">
        <v>13</v>
      </c>
      <c r="C14">
        <v>251.82434000000001</v>
      </c>
      <c r="D14">
        <v>99.668319999999994</v>
      </c>
      <c r="E14">
        <v>19.393899999999999</v>
      </c>
      <c r="F14" s="2">
        <f t="shared" si="0"/>
        <v>-14.100667461303098</v>
      </c>
      <c r="G14" s="2">
        <f t="shared" si="1"/>
        <v>-13.314815990109356</v>
      </c>
      <c r="H14" s="2">
        <f t="shared" si="2"/>
        <v>0.10104209655436919</v>
      </c>
      <c r="I14" s="3">
        <f t="shared" si="3"/>
        <v>2.2209497098523521</v>
      </c>
      <c r="J14" s="3">
        <f t="shared" si="4"/>
        <v>2.1067408393454747</v>
      </c>
      <c r="K14" s="3">
        <f t="shared" si="5"/>
        <v>0.60946951859573817</v>
      </c>
      <c r="L14" s="2">
        <v>2.3877013725633001</v>
      </c>
      <c r="M14" s="3"/>
      <c r="N14" s="3">
        <v>-6.1749061227672275</v>
      </c>
      <c r="O14">
        <v>-20.80493264286077</v>
      </c>
      <c r="P14" s="9">
        <f t="shared" si="6"/>
        <v>10.904965858567785</v>
      </c>
      <c r="Q14" s="8">
        <f t="shared" si="7"/>
        <v>-3.5494939427628047E-2</v>
      </c>
      <c r="R14" s="9">
        <f t="shared" si="8"/>
        <v>0.10104209655436919</v>
      </c>
    </row>
    <row r="15" spans="1:28" x14ac:dyDescent="0.25">
      <c r="A15">
        <v>100</v>
      </c>
      <c r="B15">
        <v>14</v>
      </c>
      <c r="C15">
        <v>257.63533000000001</v>
      </c>
      <c r="D15">
        <v>99.429050000000004</v>
      </c>
      <c r="E15">
        <v>19.3779</v>
      </c>
      <c r="F15" s="2">
        <f t="shared" si="0"/>
        <v>-15.242647698872707</v>
      </c>
      <c r="G15" s="2">
        <f t="shared" si="1"/>
        <v>-11.963883040225653</v>
      </c>
      <c r="H15" s="2">
        <f t="shared" si="2"/>
        <v>0.17378762283739235</v>
      </c>
      <c r="I15" s="3">
        <f t="shared" si="3"/>
        <v>2.3895473219714578</v>
      </c>
      <c r="J15" s="3">
        <f t="shared" si="4"/>
        <v>1.913098620085804</v>
      </c>
      <c r="K15" s="3">
        <f t="shared" si="5"/>
        <v>0.60934447273663317</v>
      </c>
      <c r="L15" s="2">
        <v>2.3877013725633001</v>
      </c>
      <c r="M15" s="3"/>
      <c r="N15" s="3">
        <v>-6.1749061227672275</v>
      </c>
      <c r="O15">
        <v>-20.80493264286077</v>
      </c>
      <c r="P15" s="2">
        <f t="shared" si="6"/>
        <v>12.662192390325799</v>
      </c>
      <c r="Q15">
        <f t="shared" si="7"/>
        <v>-0.23870324183360569</v>
      </c>
      <c r="R15" s="2">
        <f t="shared" si="8"/>
        <v>0.17378762283739235</v>
      </c>
    </row>
    <row r="16" spans="1:28" x14ac:dyDescent="0.25">
      <c r="A16">
        <v>100</v>
      </c>
      <c r="B16">
        <v>15</v>
      </c>
      <c r="C16">
        <v>264.18808999999999</v>
      </c>
      <c r="D16">
        <v>101.20211</v>
      </c>
      <c r="E16">
        <v>22.1264</v>
      </c>
      <c r="F16" s="2">
        <f t="shared" si="0"/>
        <v>-18.713547546441394</v>
      </c>
      <c r="G16" s="2">
        <f t="shared" si="1"/>
        <v>-11.798566605305274</v>
      </c>
      <c r="H16" s="2">
        <f t="shared" si="2"/>
        <v>-0.41778133904291892</v>
      </c>
      <c r="I16" s="3">
        <f t="shared" si="3"/>
        <v>2.5642253030255948</v>
      </c>
      <c r="J16" s="3">
        <f t="shared" si="4"/>
        <v>1.7043279233723041</v>
      </c>
      <c r="K16" s="3">
        <f t="shared" si="5"/>
        <v>0.69730198714642755</v>
      </c>
      <c r="L16" s="2">
        <v>2.3877013725633001</v>
      </c>
      <c r="M16" s="3"/>
      <c r="N16" s="3">
        <v>-6.1749061227672275</v>
      </c>
      <c r="O16">
        <v>-20.80493264286077</v>
      </c>
      <c r="P16" s="2">
        <f t="shared" si="6"/>
        <v>15.305741513704115</v>
      </c>
      <c r="Q16">
        <f t="shared" si="7"/>
        <v>2.0165402722448293</v>
      </c>
      <c r="R16" s="2">
        <f t="shared" si="8"/>
        <v>-0.41778133904291892</v>
      </c>
    </row>
    <row r="17" spans="1:22" x14ac:dyDescent="0.25">
      <c r="A17">
        <v>100</v>
      </c>
      <c r="B17">
        <v>16</v>
      </c>
      <c r="C17">
        <v>210.55215000000001</v>
      </c>
      <c r="D17">
        <v>101.04648</v>
      </c>
      <c r="E17">
        <v>25.797000000000001</v>
      </c>
      <c r="F17" s="2">
        <f t="shared" si="0"/>
        <v>-4.2557969700884346</v>
      </c>
      <c r="G17" s="2">
        <f t="shared" si="1"/>
        <v>-25.439999931276549</v>
      </c>
      <c r="H17" s="2">
        <f t="shared" si="2"/>
        <v>-0.42403377935623854</v>
      </c>
      <c r="I17" s="3">
        <f t="shared" si="3"/>
        <v>0.94005467895302053</v>
      </c>
      <c r="J17" s="3">
        <f t="shared" si="4"/>
        <v>2.9615322222189686</v>
      </c>
      <c r="K17" s="3">
        <f t="shared" si="5"/>
        <v>0.81182620479138357</v>
      </c>
      <c r="L17" s="2">
        <v>2.3877013725633001</v>
      </c>
      <c r="M17" s="3"/>
      <c r="N17" s="3">
        <v>-6.1749061227672275</v>
      </c>
      <c r="O17">
        <v>-20.80493264286077</v>
      </c>
      <c r="P17" s="2">
        <f t="shared" si="6"/>
        <v>-4.5717044113434531</v>
      </c>
      <c r="Q17">
        <f t="shared" si="7"/>
        <v>2.0655138545505647</v>
      </c>
      <c r="R17" s="2">
        <f t="shared" si="8"/>
        <v>-0.42403377935623854</v>
      </c>
    </row>
    <row r="18" spans="1:22" x14ac:dyDescent="0.25">
      <c r="A18">
        <v>100</v>
      </c>
      <c r="B18">
        <v>17</v>
      </c>
      <c r="C18">
        <v>211.20151000000001</v>
      </c>
      <c r="D18">
        <v>81.23845</v>
      </c>
      <c r="E18">
        <v>26.7075</v>
      </c>
      <c r="F18" s="2">
        <f t="shared" si="0"/>
        <v>-4.4734995850995949</v>
      </c>
      <c r="G18" s="2">
        <f t="shared" si="1"/>
        <v>-25.16149587709042</v>
      </c>
      <c r="H18" s="2">
        <f t="shared" si="2"/>
        <v>7.7574147071866495</v>
      </c>
      <c r="I18" s="3">
        <f t="shared" si="3"/>
        <v>0.93764112797098109</v>
      </c>
      <c r="J18" s="3">
        <f t="shared" si="4"/>
        <v>2.8399867124125788</v>
      </c>
      <c r="K18" s="3">
        <f t="shared" si="5"/>
        <v>1.1848590279248414</v>
      </c>
      <c r="L18" s="2">
        <v>2.3877013725633001</v>
      </c>
      <c r="M18" s="3"/>
      <c r="N18" s="3">
        <v>-6.1749061227672275</v>
      </c>
      <c r="O18">
        <v>-20.80493264286077</v>
      </c>
      <c r="P18" s="2">
        <f t="shared" si="6"/>
        <v>-4.2223618030357564</v>
      </c>
      <c r="Q18">
        <f t="shared" si="7"/>
        <v>2.0114890565261128</v>
      </c>
      <c r="R18" s="2">
        <f t="shared" si="8"/>
        <v>7.7574147071866495</v>
      </c>
    </row>
    <row r="19" spans="1:22" x14ac:dyDescent="0.25">
      <c r="A19">
        <v>100</v>
      </c>
      <c r="B19">
        <v>18</v>
      </c>
      <c r="C19">
        <v>211.22286</v>
      </c>
      <c r="D19">
        <v>90.269499999999994</v>
      </c>
      <c r="E19">
        <v>26.0397</v>
      </c>
      <c r="F19" s="2">
        <f t="shared" si="0"/>
        <v>-4.5135132800508702</v>
      </c>
      <c r="G19" s="2">
        <f t="shared" si="1"/>
        <v>-25.337248671559397</v>
      </c>
      <c r="H19" s="2">
        <f t="shared" si="2"/>
        <v>3.9645937643554281</v>
      </c>
      <c r="I19" s="3">
        <f t="shared" si="3"/>
        <v>0.95104051307199267</v>
      </c>
      <c r="J19" s="3">
        <f t="shared" si="4"/>
        <v>2.9250846946703271</v>
      </c>
      <c r="K19" s="3">
        <f t="shared" si="5"/>
        <v>0.9286210271176204</v>
      </c>
      <c r="L19" s="2">
        <v>2.3877013725633001</v>
      </c>
      <c r="M19" s="3"/>
      <c r="N19" s="3">
        <v>-6.1749061227672275</v>
      </c>
      <c r="O19">
        <v>-20.80493264286077</v>
      </c>
      <c r="P19" s="2">
        <f t="shared" si="6"/>
        <v>-4.3134899966853135</v>
      </c>
      <c r="Q19">
        <f t="shared" si="7"/>
        <v>2.1670068782362844</v>
      </c>
      <c r="R19" s="2">
        <f t="shared" si="8"/>
        <v>3.9645937643554281</v>
      </c>
    </row>
    <row r="20" spans="1:22" x14ac:dyDescent="0.25">
      <c r="A20">
        <v>100</v>
      </c>
      <c r="B20">
        <v>19</v>
      </c>
      <c r="C20">
        <v>263.45402999999999</v>
      </c>
      <c r="D20">
        <v>88.868960000000001</v>
      </c>
      <c r="E20">
        <v>22.518899999999999</v>
      </c>
      <c r="F20" s="2">
        <f t="shared" si="0"/>
        <v>-18.620855886388661</v>
      </c>
      <c r="G20" s="2">
        <f t="shared" si="1"/>
        <v>-12.042395155585789</v>
      </c>
      <c r="H20" s="2">
        <f t="shared" si="2"/>
        <v>3.917308027851337</v>
      </c>
      <c r="I20" s="3">
        <f t="shared" si="3"/>
        <v>2.5115064729315399</v>
      </c>
      <c r="J20" s="3">
        <f t="shared" si="4"/>
        <v>1.7089400474131677</v>
      </c>
      <c r="K20" s="3">
        <f t="shared" si="5"/>
        <v>0.87045443016591895</v>
      </c>
      <c r="L20" s="2">
        <v>2.3877013725633001</v>
      </c>
      <c r="M20" s="3"/>
      <c r="N20" s="3">
        <v>-6.1749061227672275</v>
      </c>
      <c r="O20">
        <v>-20.80493264286077</v>
      </c>
      <c r="P20" s="2">
        <f t="shared" si="6"/>
        <v>15.071270469518577</v>
      </c>
      <c r="Q20">
        <f t="shared" si="7"/>
        <v>2.1308531552185901</v>
      </c>
      <c r="R20" s="2">
        <f t="shared" si="8"/>
        <v>3.917308027851337</v>
      </c>
    </row>
    <row r="21" spans="1:22" x14ac:dyDescent="0.25">
      <c r="A21">
        <v>100</v>
      </c>
      <c r="B21">
        <v>20</v>
      </c>
      <c r="C21">
        <v>263.34759000000003</v>
      </c>
      <c r="D21">
        <v>79.489149999999995</v>
      </c>
      <c r="E21">
        <v>23.324400000000001</v>
      </c>
      <c r="F21" s="2">
        <f t="shared" si="0"/>
        <v>-18.557673752515225</v>
      </c>
      <c r="G21" s="2">
        <f t="shared" si="1"/>
        <v>-12.045586587468463</v>
      </c>
      <c r="H21" s="2">
        <f t="shared" si="2"/>
        <v>7.3854061512558244</v>
      </c>
      <c r="I21" s="3">
        <f t="shared" si="3"/>
        <v>2.4245357162884158</v>
      </c>
      <c r="J21" s="3">
        <f t="shared" si="4"/>
        <v>1.6601867650594999</v>
      </c>
      <c r="K21" s="3">
        <f t="shared" si="5"/>
        <v>1.1770475704373842</v>
      </c>
      <c r="L21" s="2">
        <v>2.3877013725633001</v>
      </c>
      <c r="M21" s="3"/>
      <c r="N21" s="3">
        <v>-6.1749061227672275</v>
      </c>
      <c r="O21">
        <v>-20.80493264286077</v>
      </c>
      <c r="P21" s="2">
        <f t="shared" si="6"/>
        <v>15.023024268512167</v>
      </c>
      <c r="Q21">
        <f t="shared" si="7"/>
        <v>2.0899328501523815</v>
      </c>
      <c r="R21" s="2">
        <f t="shared" si="8"/>
        <v>7.3854061512558244</v>
      </c>
    </row>
    <row r="22" spans="1:22" x14ac:dyDescent="0.25">
      <c r="A22">
        <v>100</v>
      </c>
      <c r="B22">
        <v>21</v>
      </c>
      <c r="C22">
        <v>256.12311</v>
      </c>
      <c r="D22">
        <v>73.705849999999998</v>
      </c>
      <c r="E22">
        <v>21.160799999999998</v>
      </c>
      <c r="F22" s="2">
        <f t="shared" si="0"/>
        <v>-14.957475978034665</v>
      </c>
      <c r="G22" s="2">
        <f t="shared" si="1"/>
        <v>-12.325257564499784</v>
      </c>
      <c r="H22" s="2">
        <f t="shared" si="2"/>
        <v>8.4936090665427209</v>
      </c>
      <c r="I22" s="3">
        <f t="shared" si="3"/>
        <v>2.165421080666516</v>
      </c>
      <c r="J22" s="3">
        <f t="shared" si="4"/>
        <v>1.8173907817861503</v>
      </c>
      <c r="K22" s="3">
        <f t="shared" si="5"/>
        <v>1.3493416194363981</v>
      </c>
      <c r="L22" s="2">
        <v>2.3877013725633001</v>
      </c>
      <c r="M22" s="3"/>
      <c r="N22" s="3">
        <v>-6.1749061227672275</v>
      </c>
      <c r="O22">
        <v>-20.80493264286077</v>
      </c>
      <c r="P22" s="2">
        <f t="shared" si="6"/>
        <v>12.206939474295773</v>
      </c>
      <c r="Q22">
        <f t="shared" si="7"/>
        <v>-0.17044461888937867</v>
      </c>
      <c r="R22" s="2">
        <f t="shared" si="8"/>
        <v>8.4936090665427209</v>
      </c>
    </row>
    <row r="23" spans="1:22" x14ac:dyDescent="0.25">
      <c r="A23">
        <v>100</v>
      </c>
      <c r="B23">
        <v>22</v>
      </c>
      <c r="C23">
        <v>214.44587000000001</v>
      </c>
      <c r="D23">
        <v>76.779399999999995</v>
      </c>
      <c r="E23">
        <v>23.8687</v>
      </c>
      <c r="F23" s="2">
        <f t="shared" si="0"/>
        <v>-5.0165493515293464</v>
      </c>
      <c r="G23" s="2">
        <f t="shared" si="1"/>
        <v>-21.726842805460041</v>
      </c>
      <c r="H23" s="2">
        <f t="shared" si="2"/>
        <v>8.5143040819846085</v>
      </c>
      <c r="I23" s="3">
        <f t="shared" si="3"/>
        <v>0.93116843749212941</v>
      </c>
      <c r="J23" s="3">
        <f t="shared" si="4"/>
        <v>2.7477274617796783</v>
      </c>
      <c r="K23" s="3">
        <f t="shared" si="5"/>
        <v>1.2790398986450053</v>
      </c>
      <c r="L23" s="2">
        <v>2.3877013725633001</v>
      </c>
      <c r="M23" s="3"/>
      <c r="N23" s="3">
        <v>-6.1749061227672275</v>
      </c>
      <c r="O23">
        <v>-20.80493264286077</v>
      </c>
      <c r="P23" s="2">
        <f t="shared" si="6"/>
        <v>-1.4755076703472074</v>
      </c>
      <c r="Q23">
        <f t="shared" si="7"/>
        <v>-0.12077198401541689</v>
      </c>
      <c r="R23" s="2">
        <f t="shared" si="8"/>
        <v>8.5143040819846085</v>
      </c>
    </row>
    <row r="24" spans="1:22" x14ac:dyDescent="0.25">
      <c r="A24">
        <v>100</v>
      </c>
      <c r="B24">
        <v>24</v>
      </c>
      <c r="C24">
        <v>221.47127</v>
      </c>
      <c r="D24">
        <v>75.03107</v>
      </c>
      <c r="E24">
        <v>22.982099999999999</v>
      </c>
      <c r="F24" s="2">
        <f t="shared" si="0"/>
        <v>-7.0275732660712</v>
      </c>
      <c r="G24" s="2">
        <f t="shared" si="1"/>
        <v>-20.040523960201302</v>
      </c>
      <c r="H24" s="2">
        <f t="shared" si="2"/>
        <v>8.7845053247521498</v>
      </c>
      <c r="I24" s="3">
        <f t="shared" si="3"/>
        <v>1.1163618276202032</v>
      </c>
      <c r="J24" s="3">
        <f t="shared" si="4"/>
        <v>2.6382022104199345</v>
      </c>
      <c r="K24" s="3">
        <f t="shared" si="5"/>
        <v>1.3266663164836747</v>
      </c>
      <c r="L24" s="2">
        <v>2.3877013725633001</v>
      </c>
      <c r="M24" s="3"/>
      <c r="N24" s="3">
        <v>-6.1749061227672275</v>
      </c>
      <c r="O24">
        <v>-20.80493264286077</v>
      </c>
      <c r="P24" s="9">
        <f t="shared" si="6"/>
        <v>1.1448437505984854</v>
      </c>
      <c r="Q24" s="8">
        <f t="shared" si="7"/>
        <v>2.6356746971757161E-2</v>
      </c>
      <c r="R24" s="9">
        <f t="shared" si="8"/>
        <v>8.7845053247521498</v>
      </c>
    </row>
    <row r="25" spans="1:22" x14ac:dyDescent="0.25">
      <c r="A25">
        <v>100</v>
      </c>
      <c r="B25">
        <v>25</v>
      </c>
      <c r="C25">
        <v>234.25083000000001</v>
      </c>
      <c r="D25">
        <v>73.492840000000001</v>
      </c>
      <c r="E25">
        <v>21.714300000000001</v>
      </c>
      <c r="F25" s="2">
        <f t="shared" si="0"/>
        <v>-10.176357766020654</v>
      </c>
      <c r="G25" s="2">
        <f t="shared" si="1"/>
        <v>-17.053570608976479</v>
      </c>
      <c r="H25" s="2">
        <f t="shared" si="2"/>
        <v>8.7822717216335775</v>
      </c>
      <c r="I25" s="3">
        <f t="shared" si="3"/>
        <v>1.511190577118581</v>
      </c>
      <c r="J25" s="3">
        <f t="shared" si="4"/>
        <v>2.3894503833361393</v>
      </c>
      <c r="K25" s="3">
        <f t="shared" si="5"/>
        <v>1.3643432080537694</v>
      </c>
      <c r="L25" s="2">
        <v>2.3877013725633001</v>
      </c>
      <c r="M25" s="3"/>
      <c r="N25" s="3">
        <v>-6.1749061227672275</v>
      </c>
      <c r="O25">
        <v>-20.80493264286077</v>
      </c>
      <c r="P25" s="9">
        <f t="shared" si="6"/>
        <v>5.484917127451066</v>
      </c>
      <c r="Q25" s="8">
        <f t="shared" si="7"/>
        <v>4.0580239012295571E-3</v>
      </c>
      <c r="R25" s="9">
        <f t="shared" si="8"/>
        <v>8.7822717216335775</v>
      </c>
      <c r="S25" t="s">
        <v>21</v>
      </c>
    </row>
    <row r="26" spans="1:22" x14ac:dyDescent="0.25">
      <c r="A26">
        <v>100</v>
      </c>
      <c r="B26">
        <v>26</v>
      </c>
      <c r="C26">
        <v>248.24126999999999</v>
      </c>
      <c r="D26">
        <v>72.979939999999999</v>
      </c>
      <c r="E26">
        <v>21.285499999999999</v>
      </c>
      <c r="F26" s="2">
        <f t="shared" si="0"/>
        <v>-13.331593101137885</v>
      </c>
      <c r="G26" s="2">
        <f t="shared" si="1"/>
        <v>-14.089317776196703</v>
      </c>
      <c r="H26" s="2">
        <f t="shared" si="2"/>
        <v>8.7654013163711042</v>
      </c>
      <c r="I26" s="3">
        <f t="shared" si="3"/>
        <v>1.9396555290485322</v>
      </c>
      <c r="J26" s="3">
        <f t="shared" si="4"/>
        <v>2.0392833604348182</v>
      </c>
      <c r="K26" s="3">
        <f t="shared" si="5"/>
        <v>1.3775190348384374</v>
      </c>
      <c r="L26" s="2">
        <v>2.3877013725633001</v>
      </c>
      <c r="M26" s="3"/>
      <c r="N26" s="3">
        <v>-6.1749061227672275</v>
      </c>
      <c r="O26">
        <v>-20.80493264286077</v>
      </c>
      <c r="P26" s="9">
        <f t="shared" si="6"/>
        <v>9.8141552933877758</v>
      </c>
      <c r="Q26" s="8">
        <f t="shared" si="7"/>
        <v>2.7241527606438609E-3</v>
      </c>
      <c r="R26" s="9">
        <f t="shared" si="8"/>
        <v>8.7654013163711042</v>
      </c>
    </row>
    <row r="27" spans="1:22" x14ac:dyDescent="0.25">
      <c r="A27">
        <v>100</v>
      </c>
      <c r="B27">
        <v>27</v>
      </c>
      <c r="C27">
        <v>249.20147</v>
      </c>
      <c r="D27">
        <v>89.565010000000001</v>
      </c>
      <c r="E27">
        <v>19.645499999999998</v>
      </c>
      <c r="F27" s="2">
        <f t="shared" si="0"/>
        <v>-13.532288023401671</v>
      </c>
      <c r="G27" s="2">
        <f t="shared" si="1"/>
        <v>-13.876097100979598</v>
      </c>
      <c r="H27" s="2">
        <f t="shared" si="2"/>
        <v>3.2057417777926651</v>
      </c>
      <c r="I27" s="3">
        <f t="shared" si="3"/>
        <v>2.1131217706116994</v>
      </c>
      <c r="J27" s="3">
        <f t="shared" si="4"/>
        <v>2.1624018384748092</v>
      </c>
      <c r="K27" s="3">
        <f t="shared" si="5"/>
        <v>0.78129259116589678</v>
      </c>
      <c r="L27" s="2">
        <v>2.3877013725633001</v>
      </c>
      <c r="M27" s="3"/>
      <c r="N27" s="3">
        <v>-6.1749061227672275</v>
      </c>
      <c r="O27">
        <v>-20.80493264286077</v>
      </c>
      <c r="P27" s="9">
        <f t="shared" si="6"/>
        <v>10.10641354894198</v>
      </c>
      <c r="Q27" s="8">
        <f t="shared" si="7"/>
        <v>-1.5348484648384897E-2</v>
      </c>
      <c r="R27" s="9">
        <f t="shared" si="8"/>
        <v>3.2057417777926651</v>
      </c>
    </row>
    <row r="28" spans="1:22" x14ac:dyDescent="0.25">
      <c r="A28">
        <v>100</v>
      </c>
      <c r="B28">
        <v>28</v>
      </c>
      <c r="C28">
        <v>232.48676</v>
      </c>
      <c r="D28">
        <v>89.971760000000003</v>
      </c>
      <c r="E28">
        <v>20.2273</v>
      </c>
      <c r="F28" s="2">
        <f t="shared" si="0"/>
        <v>-9.7574943548003166</v>
      </c>
      <c r="G28" s="2">
        <f t="shared" si="1"/>
        <v>-17.431762676174387</v>
      </c>
      <c r="H28" s="2">
        <f t="shared" si="2"/>
        <v>3.1731087607539474</v>
      </c>
      <c r="I28" s="3">
        <f t="shared" si="3"/>
        <v>1.5480943382165824</v>
      </c>
      <c r="J28" s="3">
        <f t="shared" si="4"/>
        <v>2.6049436599446865</v>
      </c>
      <c r="K28" s="3">
        <f t="shared" si="5"/>
        <v>0.78444397096041818</v>
      </c>
      <c r="L28" s="2">
        <v>2.3877013725633001</v>
      </c>
      <c r="M28" s="3"/>
      <c r="N28" s="3">
        <v>-6.1749061227672275</v>
      </c>
      <c r="O28">
        <v>-20.80493264286077</v>
      </c>
      <c r="P28" s="9">
        <f t="shared" si="6"/>
        <v>4.9206875544486568</v>
      </c>
      <c r="Q28" s="8">
        <f t="shared" si="7"/>
        <v>-6.9322399757010267E-3</v>
      </c>
      <c r="R28" s="9">
        <f t="shared" si="8"/>
        <v>3.1731087607539474</v>
      </c>
    </row>
    <row r="29" spans="1:22" x14ac:dyDescent="0.25">
      <c r="A29">
        <v>100</v>
      </c>
      <c r="B29">
        <v>29</v>
      </c>
      <c r="C29">
        <v>219.97542000000001</v>
      </c>
      <c r="D29">
        <v>90.591359999999995</v>
      </c>
      <c r="E29">
        <v>21.686499999999999</v>
      </c>
      <c r="F29" s="2">
        <f t="shared" si="0"/>
        <v>-6.6205658721570089</v>
      </c>
      <c r="G29" s="2">
        <f t="shared" si="1"/>
        <v>-20.40280743969997</v>
      </c>
      <c r="H29" s="2">
        <f t="shared" si="2"/>
        <v>3.1934054488826562</v>
      </c>
      <c r="I29" s="3">
        <f t="shared" si="3"/>
        <v>1.1183006798604138</v>
      </c>
      <c r="J29" s="3">
        <f t="shared" si="4"/>
        <v>2.8316821675039292</v>
      </c>
      <c r="K29" s="3">
        <f t="shared" si="5"/>
        <v>0.80576564298575948</v>
      </c>
      <c r="L29" s="2">
        <v>2.3877013725633001</v>
      </c>
      <c r="M29" s="3"/>
      <c r="N29" s="3">
        <v>-6.1749061227672275</v>
      </c>
      <c r="O29">
        <v>-20.80493264286077</v>
      </c>
      <c r="P29" s="9">
        <f t="shared" si="6"/>
        <v>0.60014670324211639</v>
      </c>
      <c r="Q29" s="8">
        <f t="shared" si="7"/>
        <v>1.1883847478677212E-2</v>
      </c>
      <c r="R29" s="9">
        <f t="shared" si="8"/>
        <v>3.1934054488826562</v>
      </c>
    </row>
    <row r="30" spans="1:22" x14ac:dyDescent="0.25">
      <c r="A30">
        <v>100</v>
      </c>
      <c r="B30">
        <v>30</v>
      </c>
      <c r="C30">
        <v>223.07441</v>
      </c>
      <c r="D30">
        <v>103.44927</v>
      </c>
      <c r="E30">
        <v>21.037099999999999</v>
      </c>
      <c r="F30" s="2">
        <f t="shared" si="0"/>
        <v>-7.4481362893187635</v>
      </c>
      <c r="G30" s="2">
        <f t="shared" si="1"/>
        <v>-19.641459806060734</v>
      </c>
      <c r="H30" s="2">
        <f t="shared" si="2"/>
        <v>-1.1392536647443878</v>
      </c>
      <c r="I30" s="3">
        <f t="shared" si="3"/>
        <v>1.2284401827548228</v>
      </c>
      <c r="J30" s="3">
        <f t="shared" si="4"/>
        <v>2.810930294644375</v>
      </c>
      <c r="K30" s="3">
        <f t="shared" si="5"/>
        <v>0.67963387921573493</v>
      </c>
      <c r="L30" s="2">
        <v>2.3877013725633001</v>
      </c>
      <c r="M30" s="3"/>
      <c r="N30" s="3">
        <v>-6.1749061227672275</v>
      </c>
      <c r="O30">
        <v>-20.80493264286077</v>
      </c>
      <c r="P30" s="9">
        <f t="shared" si="6"/>
        <v>1.7245989360166651</v>
      </c>
      <c r="Q30" s="8">
        <f t="shared" si="7"/>
        <v>2.3293966569945312E-2</v>
      </c>
      <c r="R30" s="9">
        <f t="shared" si="8"/>
        <v>-1.1392536647443878</v>
      </c>
    </row>
    <row r="31" spans="1:22" x14ac:dyDescent="0.25">
      <c r="A31">
        <v>100</v>
      </c>
      <c r="B31">
        <v>31</v>
      </c>
      <c r="C31">
        <v>231.45932999999999</v>
      </c>
      <c r="D31">
        <v>103.59708999999999</v>
      </c>
      <c r="E31">
        <v>20.052800000000001</v>
      </c>
      <c r="F31" s="2">
        <f t="shared" si="0"/>
        <v>-9.4957459695605255</v>
      </c>
      <c r="G31" s="2">
        <f t="shared" si="1"/>
        <v>-17.625639750455061</v>
      </c>
      <c r="H31" s="2">
        <f t="shared" si="2"/>
        <v>-1.1324397152843766</v>
      </c>
      <c r="I31" s="3">
        <f t="shared" si="3"/>
        <v>1.5248062075660946</v>
      </c>
      <c r="J31" s="3">
        <f t="shared" si="4"/>
        <v>2.653890488352546</v>
      </c>
      <c r="K31" s="3">
        <f t="shared" si="5"/>
        <v>0.65138957900889727</v>
      </c>
      <c r="L31" s="2">
        <v>2.3877013725633001</v>
      </c>
      <c r="M31" s="3"/>
      <c r="N31" s="3">
        <v>-6.1749061227672275</v>
      </c>
      <c r="O31">
        <v>-20.80493264286077</v>
      </c>
      <c r="P31" s="2">
        <f t="shared" si="6"/>
        <v>4.5971597619953926</v>
      </c>
      <c r="Q31">
        <f t="shared" si="7"/>
        <v>-4.475160826219815E-2</v>
      </c>
      <c r="R31" s="2">
        <f t="shared" si="8"/>
        <v>-1.1324397152843766</v>
      </c>
      <c r="V31" t="s">
        <v>21</v>
      </c>
    </row>
    <row r="32" spans="1:22" x14ac:dyDescent="0.25">
      <c r="A32">
        <v>100</v>
      </c>
      <c r="B32">
        <v>32</v>
      </c>
      <c r="C32">
        <v>250.31422000000001</v>
      </c>
      <c r="D32">
        <v>103.73215999999999</v>
      </c>
      <c r="E32">
        <v>19.389900000000001</v>
      </c>
      <c r="F32" s="2">
        <f t="shared" si="0"/>
        <v>-13.75456524714971</v>
      </c>
      <c r="G32" s="2">
        <f t="shared" si="1"/>
        <v>-13.619452670806023</v>
      </c>
      <c r="H32" s="2">
        <f t="shared" si="2"/>
        <v>-1.1360747420729456</v>
      </c>
      <c r="I32" s="3">
        <f t="shared" si="3"/>
        <v>2.1708372766902855</v>
      </c>
      <c r="J32" s="3">
        <f t="shared" si="4"/>
        <v>2.1511938713251579</v>
      </c>
      <c r="K32" s="3">
        <f t="shared" si="5"/>
        <v>0.63299931573706325</v>
      </c>
      <c r="L32" s="2">
        <v>2.3877013725633001</v>
      </c>
      <c r="M32" s="3"/>
      <c r="N32" s="3">
        <v>-6.1749061227672275</v>
      </c>
      <c r="O32">
        <v>-20.80493264286077</v>
      </c>
      <c r="P32" s="2">
        <f t="shared" si="6"/>
        <v>10.444128695406029</v>
      </c>
      <c r="Q32">
        <f t="shared" si="7"/>
        <v>-5.0305709724498548E-2</v>
      </c>
      <c r="R32" s="2">
        <f t="shared" si="8"/>
        <v>-1.1360747420729456</v>
      </c>
    </row>
    <row r="33" spans="1:18" x14ac:dyDescent="0.25">
      <c r="A33">
        <v>100</v>
      </c>
      <c r="B33">
        <v>33</v>
      </c>
      <c r="C33">
        <v>262.83530999999999</v>
      </c>
      <c r="D33">
        <v>103.33813000000001</v>
      </c>
      <c r="E33">
        <v>21.603200000000001</v>
      </c>
      <c r="F33" s="2">
        <f t="shared" si="0"/>
        <v>-18.000596088684485</v>
      </c>
      <c r="G33" s="2">
        <f t="shared" si="1"/>
        <v>-11.890954609189752</v>
      </c>
      <c r="H33" s="2">
        <f t="shared" si="2"/>
        <v>-1.13224960773938</v>
      </c>
      <c r="I33" s="3">
        <f t="shared" si="3"/>
        <v>2.5276460094254753</v>
      </c>
      <c r="J33" s="3">
        <f t="shared" si="4"/>
        <v>1.7455360087229916</v>
      </c>
      <c r="K33" s="3">
        <f t="shared" si="5"/>
        <v>0.69575127854510688</v>
      </c>
      <c r="L33" s="2">
        <v>2.3877013725633001</v>
      </c>
      <c r="M33" s="3"/>
      <c r="N33" s="3">
        <v>-6.1749061227672275</v>
      </c>
      <c r="O33">
        <v>-20.80493264286077</v>
      </c>
      <c r="P33" s="2">
        <f t="shared" si="6"/>
        <v>14.722740064653056</v>
      </c>
      <c r="Q33">
        <f t="shared" si="7"/>
        <v>1.595892397195132</v>
      </c>
      <c r="R33" s="2">
        <f t="shared" si="8"/>
        <v>-1.13224960773938</v>
      </c>
    </row>
    <row r="34" spans="1:18" x14ac:dyDescent="0.25">
      <c r="A34">
        <v>100</v>
      </c>
      <c r="B34">
        <v>36</v>
      </c>
      <c r="C34">
        <v>211.16871</v>
      </c>
      <c r="D34">
        <v>102.87427</v>
      </c>
      <c r="E34">
        <v>25.1357</v>
      </c>
      <c r="F34" s="2">
        <f t="shared" ref="F34:F37" si="9">E34*SIN(D34*PI()/200)*SIN(C34*PI()/200)</f>
        <v>-4.3826923242385458</v>
      </c>
      <c r="G34" s="2">
        <f t="shared" ref="G34:G37" si="10">E34*SIN(D34*PI()/200)*COS(C34*PI()/200)</f>
        <v>-24.724651929509506</v>
      </c>
      <c r="H34" s="2">
        <f t="shared" ref="H34:H37" si="11">E34*COS(D34*PI()/200)</f>
        <v>-1.1344643871283024</v>
      </c>
      <c r="I34" s="3">
        <f t="shared" ref="I34:I37" si="12">((SIN(C34*PI()/200)*SIN(D34*PI()/200))^2*$W$2^2+(E34*COS(C34*PI()/200)*SIN(D34*PI()/200))^2*$Y$1^2+(E34*SIN(C34*PI()/200)*COS(D34*PI()/200))^2*$Y$1^2)^(1/2)*1000</f>
        <v>0.93647880783021498</v>
      </c>
      <c r="J34" s="3">
        <f t="shared" ref="J34:J37" si="13">((COS(C34*PI()/200)*SIN(D34*PI()/200))^2*$W$2^2+(E34*COS(C34*PI()/200)*COS(D34*PI()/200))^2*$Y$1^2+(-E34*SIN(C34*PI()/200)*SIN(D34*PI()/200))^2*$Y$1^2)^(1/2)*1000</f>
        <v>2.9543593298219366</v>
      </c>
      <c r="K34" s="3">
        <f t="shared" ref="K34:K37" si="14">((COS(D34*PI()/200))^2*$W$2^2+(E34*-SIN(D34*PI()/200))^2*$Y$1^2)^(1/2)*1000</f>
        <v>0.80039247711658423</v>
      </c>
      <c r="L34" s="2">
        <v>2.3877013725633001</v>
      </c>
      <c r="M34" s="3"/>
      <c r="N34" s="3">
        <v>-6.1749061227672275</v>
      </c>
      <c r="O34">
        <v>-20.80493264286077</v>
      </c>
      <c r="P34" s="2">
        <f t="shared" si="6"/>
        <v>-3.989551806711785</v>
      </c>
      <c r="Q34">
        <f t="shared" si="7"/>
        <v>1.6308604990389004</v>
      </c>
      <c r="R34" s="2">
        <f t="shared" si="8"/>
        <v>-1.1344643871283024</v>
      </c>
    </row>
    <row r="35" spans="1:18" x14ac:dyDescent="0.25">
      <c r="A35">
        <v>100</v>
      </c>
      <c r="B35">
        <v>37</v>
      </c>
      <c r="C35">
        <v>219.22952000000001</v>
      </c>
      <c r="D35">
        <v>86.151899999999998</v>
      </c>
      <c r="E35">
        <v>22.044899999999998</v>
      </c>
      <c r="F35" s="2">
        <f t="shared" si="9"/>
        <v>-6.4034691207744858</v>
      </c>
      <c r="G35" s="2">
        <f t="shared" si="10"/>
        <v>-20.550874683728086</v>
      </c>
      <c r="H35" s="2">
        <f t="shared" si="11"/>
        <v>4.7575990754782662</v>
      </c>
      <c r="I35" s="3">
        <f t="shared" si="12"/>
        <v>1.0854420091539432</v>
      </c>
      <c r="J35" s="3">
        <f t="shared" si="13"/>
        <v>2.8075389582743702</v>
      </c>
      <c r="K35" s="3">
        <f t="shared" si="14"/>
        <v>0.93620638979761739</v>
      </c>
      <c r="L35" s="2">
        <v>2.3877013725633001</v>
      </c>
      <c r="M35" s="3"/>
      <c r="N35" s="3">
        <v>-6.1749061227672275</v>
      </c>
      <c r="O35">
        <v>-20.80493264286077</v>
      </c>
      <c r="P35" s="9">
        <f t="shared" si="6"/>
        <v>0.34052728028871992</v>
      </c>
      <c r="Q35" s="8">
        <f t="shared" si="7"/>
        <v>-2.8769116008282969E-2</v>
      </c>
      <c r="R35" s="9">
        <f t="shared" si="8"/>
        <v>4.7575990754782662</v>
      </c>
    </row>
    <row r="36" spans="1:18" x14ac:dyDescent="0.25">
      <c r="A36">
        <v>100</v>
      </c>
      <c r="B36">
        <v>38</v>
      </c>
      <c r="C36">
        <v>236.03162</v>
      </c>
      <c r="D36">
        <v>84.946929999999995</v>
      </c>
      <c r="E36">
        <v>20.257300000000001</v>
      </c>
      <c r="F36" s="2">
        <f t="shared" si="9"/>
        <v>-10.560637629259185</v>
      </c>
      <c r="G36" s="2">
        <f t="shared" si="10"/>
        <v>-16.622647082902887</v>
      </c>
      <c r="H36" s="2">
        <f t="shared" si="11"/>
        <v>4.7453914602206613</v>
      </c>
      <c r="I36" s="3">
        <f t="shared" si="12"/>
        <v>1.6507933185604959</v>
      </c>
      <c r="J36" s="3">
        <f t="shared" si="13"/>
        <v>2.4871683524594075</v>
      </c>
      <c r="K36" s="3">
        <f t="shared" si="14"/>
        <v>0.93630365059248422</v>
      </c>
      <c r="L36" s="2">
        <v>2.3877013725633001</v>
      </c>
      <c r="M36" s="3"/>
      <c r="N36" s="3">
        <v>-6.1749061227672275</v>
      </c>
      <c r="O36">
        <v>-20.80493264286077</v>
      </c>
      <c r="P36" s="2">
        <f t="shared" si="6"/>
        <v>6.0600278968709151</v>
      </c>
      <c r="Q36">
        <f t="shared" si="7"/>
        <v>-4.7066349069309066E-2</v>
      </c>
      <c r="R36" s="2">
        <f t="shared" si="8"/>
        <v>4.7453914602206613</v>
      </c>
    </row>
    <row r="37" spans="1:18" x14ac:dyDescent="0.25">
      <c r="A37">
        <v>100</v>
      </c>
      <c r="B37">
        <v>41</v>
      </c>
      <c r="C37">
        <v>250.24131</v>
      </c>
      <c r="D37">
        <v>84.488489999999999</v>
      </c>
      <c r="E37">
        <v>19.9633</v>
      </c>
      <c r="F37" s="2">
        <f t="shared" si="9"/>
        <v>-13.751061490664606</v>
      </c>
      <c r="G37" s="2">
        <f t="shared" si="10"/>
        <v>-13.647208164053243</v>
      </c>
      <c r="H37" s="2">
        <f t="shared" si="11"/>
        <v>4.8161565689831374</v>
      </c>
      <c r="I37" s="3">
        <f t="shared" si="12"/>
        <v>2.1131898522488655</v>
      </c>
      <c r="J37" s="3">
        <f t="shared" si="13"/>
        <v>2.0985587819920535</v>
      </c>
      <c r="K37" s="3">
        <f t="shared" si="14"/>
        <v>0.94565325305214731</v>
      </c>
      <c r="L37" s="2">
        <v>2.3877013725633001</v>
      </c>
      <c r="M37" s="3"/>
      <c r="N37" s="3">
        <v>-6.1749061227672275</v>
      </c>
      <c r="O37">
        <v>-20.80493264286077</v>
      </c>
      <c r="P37" s="9">
        <f t="shared" si="6"/>
        <v>10.422576246505923</v>
      </c>
      <c r="Q37" s="8">
        <f t="shared" si="7"/>
        <v>-3.2469351875660912E-2</v>
      </c>
      <c r="R37" s="9">
        <f t="shared" si="8"/>
        <v>4.8161565689831374</v>
      </c>
    </row>
    <row r="38" spans="1:18" x14ac:dyDescent="0.25">
      <c r="F38" s="2"/>
      <c r="G38" s="2"/>
      <c r="H38" s="2"/>
      <c r="I38" s="3"/>
      <c r="J38" s="3"/>
      <c r="K38" s="3"/>
      <c r="L38" s="3"/>
      <c r="M38" s="3"/>
      <c r="N38" s="3"/>
    </row>
    <row r="39" spans="1:18" x14ac:dyDescent="0.25">
      <c r="A39" t="s">
        <v>23</v>
      </c>
      <c r="B39">
        <v>30</v>
      </c>
      <c r="C39" t="s">
        <v>15</v>
      </c>
      <c r="D39" t="s">
        <v>29</v>
      </c>
      <c r="E39">
        <f>(B39/((10^-3)*B40*B42))*(B41*10^-3)</f>
        <v>5.8061677379859207E-3</v>
      </c>
    </row>
    <row r="40" spans="1:18" x14ac:dyDescent="0.25">
      <c r="A40" t="s">
        <v>24</v>
      </c>
      <c r="B40">
        <v>36.299999999999997</v>
      </c>
      <c r="C40" t="s">
        <v>28</v>
      </c>
      <c r="D40" t="s">
        <v>30</v>
      </c>
      <c r="E40">
        <f>(2*E39*(B40*10^-3))/(B41*10^-3)</f>
        <v>1.7361111111111112E-2</v>
      </c>
      <c r="G40" s="2"/>
      <c r="H40" s="2"/>
      <c r="I40" s="2"/>
      <c r="K40">
        <v>19</v>
      </c>
    </row>
    <row r="41" spans="1:18" x14ac:dyDescent="0.25">
      <c r="A41" t="s">
        <v>25</v>
      </c>
      <c r="B41">
        <v>24.28</v>
      </c>
      <c r="C41" t="s">
        <v>28</v>
      </c>
      <c r="G41" s="2"/>
      <c r="H41" s="2"/>
      <c r="I41" s="2"/>
    </row>
    <row r="42" spans="1:18" x14ac:dyDescent="0.25">
      <c r="A42" t="s">
        <v>26</v>
      </c>
      <c r="B42">
        <v>3456</v>
      </c>
    </row>
    <row r="43" spans="1:18" x14ac:dyDescent="0.25">
      <c r="A43" t="s">
        <v>27</v>
      </c>
      <c r="B43">
        <v>2304</v>
      </c>
    </row>
  </sheetData>
  <conditionalFormatting sqref="Q2:Q37">
    <cfRule type="cellIs" dxfId="0" priority="1" operator="between">
      <formula>-0.03</formula>
      <formula>0.03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22AB-4848-4F78-8FC5-5E5EAB5EA48B}">
  <dimension ref="A1:Q66"/>
  <sheetViews>
    <sheetView zoomScale="98" zoomScaleNormal="98" workbookViewId="0">
      <selection activeCell="A23" sqref="A23"/>
    </sheetView>
  </sheetViews>
  <sheetFormatPr defaultRowHeight="15" x14ac:dyDescent="0.25"/>
  <cols>
    <col min="4" max="4" width="9.140625" customWidth="1"/>
    <col min="5" max="5" width="8.42578125" customWidth="1"/>
    <col min="6" max="6" width="9.85546875" customWidth="1"/>
    <col min="11" max="12" width="14.42578125" bestFit="1" customWidth="1"/>
    <col min="13" max="13" width="12.7109375" bestFit="1" customWidth="1"/>
    <col min="14" max="14" width="15.7109375" bestFit="1" customWidth="1"/>
    <col min="15" max="15" width="10" bestFit="1" customWidth="1"/>
    <col min="17" max="17" width="15.7109375" bestFit="1" customWidth="1"/>
  </cols>
  <sheetData>
    <row r="1" spans="1:17" x14ac:dyDescent="0.25">
      <c r="A1" t="s">
        <v>33</v>
      </c>
      <c r="B1" t="s">
        <v>31</v>
      </c>
      <c r="C1" t="s">
        <v>32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54</v>
      </c>
      <c r="J1" t="s">
        <v>55</v>
      </c>
      <c r="K1" t="s">
        <v>56</v>
      </c>
      <c r="L1" t="s">
        <v>57</v>
      </c>
      <c r="M1" t="s">
        <v>39</v>
      </c>
    </row>
    <row r="2" spans="1:17" x14ac:dyDescent="0.25">
      <c r="A2">
        <v>2</v>
      </c>
      <c r="B2" s="2">
        <v>1.9059999999999999</v>
      </c>
      <c r="C2">
        <v>5.7610000000000001</v>
      </c>
      <c r="D2">
        <v>1123</v>
      </c>
      <c r="E2">
        <v>825</v>
      </c>
      <c r="F2" s="10" t="s">
        <v>48</v>
      </c>
      <c r="G2">
        <f>(($N$2*D2)+($N$4*E2)+$N$6)/(($N$8*D2)+($N$9*E2)+1)</f>
        <v>1.8982106049194998</v>
      </c>
      <c r="H2">
        <f>(($N$3*D2)+($N$5*E2)+$N$7)/(($N$8*D2)+($N$9*E2)+1)</f>
        <v>5.7593982387993918</v>
      </c>
      <c r="I2" s="2">
        <v>-5.0000000000000001E-3</v>
      </c>
      <c r="J2" s="2">
        <v>1E-3</v>
      </c>
      <c r="K2" s="17">
        <f>(Tabella1[[#This Row],[X_EST]]-Tabella1[[#This Row],[X]])^2</f>
        <v>6.0674675720119767E-5</v>
      </c>
      <c r="L2" s="17">
        <f>(Tabella1[[#This Row],[Y_EST]]-Tabella1[[#This Row],[Y]])^2</f>
        <v>2.5656389437741013E-6</v>
      </c>
      <c r="M2" t="s">
        <v>40</v>
      </c>
      <c r="N2" s="11">
        <v>6.4455971000000004E-3</v>
      </c>
    </row>
    <row r="3" spans="1:17" x14ac:dyDescent="0.25">
      <c r="A3">
        <v>3</v>
      </c>
      <c r="B3" s="2">
        <v>4.5030000000000001</v>
      </c>
      <c r="C3">
        <v>6.3090000000000002</v>
      </c>
      <c r="D3">
        <v>1548</v>
      </c>
      <c r="E3">
        <v>732</v>
      </c>
      <c r="F3" s="10" t="s">
        <v>48</v>
      </c>
      <c r="G3">
        <f t="shared" ref="G3:G17" si="0">(($N$2*D3)+($N$4*E3)+$N$6)/(($N$8*D3)+($N$9*E3)+1)</f>
        <v>4.5009781954479617</v>
      </c>
      <c r="H3">
        <f t="shared" ref="H3:H17" si="1">(($N$3*D3)+($N$5*E3)+$N$7)/(($N$8*D3)+($N$9*E3)+1)</f>
        <v>6.3132772254335592</v>
      </c>
      <c r="I3" s="2">
        <v>-7.0000000000000001E-3</v>
      </c>
      <c r="J3" s="2">
        <v>7.0000000000000001E-3</v>
      </c>
      <c r="K3" s="17">
        <f>(Tabella1[[#This Row],[X_EST]]-Tabella1[[#This Row],[X]])^2</f>
        <v>4.0876936466430961E-6</v>
      </c>
      <c r="L3" s="17">
        <f>(Tabella1[[#This Row],[Y_EST]]-Tabella1[[#This Row],[Y]])^2</f>
        <v>1.8294657409484128E-5</v>
      </c>
      <c r="M3" t="s">
        <v>41</v>
      </c>
      <c r="N3" s="11">
        <v>-7.94005E-5</v>
      </c>
    </row>
    <row r="4" spans="1:17" x14ac:dyDescent="0.25">
      <c r="A4">
        <v>5</v>
      </c>
      <c r="B4" s="2">
        <v>6.2469999999999999</v>
      </c>
      <c r="C4">
        <v>6.21</v>
      </c>
      <c r="D4">
        <v>1833</v>
      </c>
      <c r="E4">
        <v>743</v>
      </c>
      <c r="F4" s="10" t="s">
        <v>49</v>
      </c>
      <c r="G4">
        <f t="shared" si="0"/>
        <v>6.2497639643032139</v>
      </c>
      <c r="H4">
        <f t="shared" si="1"/>
        <v>6.2167371115296186</v>
      </c>
      <c r="I4" s="2">
        <v>4.0000000000000001E-3</v>
      </c>
      <c r="J4" s="2">
        <v>1.6E-2</v>
      </c>
      <c r="K4" s="17">
        <f>(Tabella1[[#This Row],[X_EST]]-Tabella1[[#This Row],[X]])^2</f>
        <v>7.6394986694413478E-6</v>
      </c>
      <c r="L4" s="17">
        <f>(Tabella1[[#This Row],[Y_EST]]-Tabella1[[#This Row],[Y]])^2</f>
        <v>4.5388671762520474E-5</v>
      </c>
      <c r="M4" t="s">
        <v>42</v>
      </c>
      <c r="N4" s="11">
        <v>2.4312570000000001E-4</v>
      </c>
    </row>
    <row r="5" spans="1:17" x14ac:dyDescent="0.25">
      <c r="A5">
        <v>7</v>
      </c>
      <c r="B5" s="2">
        <v>10.59</v>
      </c>
      <c r="C5">
        <v>6.1029999999999998</v>
      </c>
      <c r="D5">
        <v>2542</v>
      </c>
      <c r="E5">
        <v>752</v>
      </c>
      <c r="F5" s="10" t="s">
        <v>48</v>
      </c>
      <c r="G5">
        <f t="shared" si="0"/>
        <v>10.586426697953801</v>
      </c>
      <c r="H5">
        <f t="shared" si="1"/>
        <v>6.0944789951081511</v>
      </c>
      <c r="I5" s="2">
        <v>-3.0000000000000001E-3</v>
      </c>
      <c r="J5" s="2">
        <v>-8.0000000000000002E-3</v>
      </c>
      <c r="K5" s="17">
        <f>(Tabella1[[#This Row],[X_EST]]-Tabella1[[#This Row],[X]])^2</f>
        <v>1.2768487513369885E-5</v>
      </c>
      <c r="L5" s="17">
        <f>(Tabella1[[#This Row],[Y_EST]]-Tabella1[[#This Row],[Y]])^2</f>
        <v>7.2607524366909558E-5</v>
      </c>
      <c r="M5" t="s">
        <v>43</v>
      </c>
      <c r="N5" s="11">
        <v>-6.3328259999999997E-3</v>
      </c>
    </row>
    <row r="6" spans="1:17" x14ac:dyDescent="0.25">
      <c r="A6">
        <v>8</v>
      </c>
      <c r="B6" s="2">
        <v>0</v>
      </c>
      <c r="C6">
        <v>0.31900000000000001</v>
      </c>
      <c r="D6">
        <v>780</v>
      </c>
      <c r="E6">
        <v>1730</v>
      </c>
      <c r="F6" s="10" t="s">
        <v>48</v>
      </c>
      <c r="G6">
        <f t="shared" si="0"/>
        <v>4.1664694039948019E-3</v>
      </c>
      <c r="H6">
        <f t="shared" si="1"/>
        <v>0.31758234253744955</v>
      </c>
      <c r="I6" s="2">
        <v>1.0999999999999999E-2</v>
      </c>
      <c r="J6" s="2">
        <v>3.0000000000000001E-3</v>
      </c>
      <c r="K6" s="17">
        <f>(Tabella1[[#This Row],[X_EST]]-Tabella1[[#This Row],[X]])^2</f>
        <v>1.7359467294424799E-5</v>
      </c>
      <c r="L6" s="17">
        <f>(Tabella1[[#This Row],[Y_EST]]-Tabella1[[#This Row],[Y]])^2</f>
        <v>2.009752681125006E-6</v>
      </c>
      <c r="M6" t="s">
        <v>44</v>
      </c>
      <c r="N6" s="11">
        <v>-5.4435770881999996</v>
      </c>
    </row>
    <row r="7" spans="1:17" x14ac:dyDescent="0.25">
      <c r="A7">
        <v>10</v>
      </c>
      <c r="B7" s="2">
        <v>3.9860000000000002</v>
      </c>
      <c r="C7">
        <v>-0.127</v>
      </c>
      <c r="D7">
        <v>1461</v>
      </c>
      <c r="E7">
        <v>1801</v>
      </c>
      <c r="F7" s="10" t="s">
        <v>48</v>
      </c>
      <c r="G7">
        <f t="shared" si="0"/>
        <v>3.9773623354922192</v>
      </c>
      <c r="H7">
        <f t="shared" si="1"/>
        <v>-0.13828395471047672</v>
      </c>
      <c r="I7" s="2">
        <v>-8.9999999999999993E-3</v>
      </c>
      <c r="J7" s="2">
        <v>-5.0000000000000001E-3</v>
      </c>
      <c r="K7" s="17">
        <f>(Tabella1[[#This Row],[X_EST]]-Tabella1[[#This Row],[X]])^2</f>
        <v>7.4609248148980087E-5</v>
      </c>
      <c r="L7" s="17">
        <f>(Tabella1[[#This Row],[Y_EST]]-Tabella1[[#This Row],[Y]])^2</f>
        <v>1.273276339080897E-4</v>
      </c>
      <c r="M7" t="s">
        <v>45</v>
      </c>
      <c r="N7" s="11">
        <v>11.368052428</v>
      </c>
    </row>
    <row r="8" spans="1:17" x14ac:dyDescent="0.25">
      <c r="A8">
        <v>13</v>
      </c>
      <c r="B8" s="2">
        <v>10.904999999999999</v>
      </c>
      <c r="C8">
        <v>0.10100000000000001</v>
      </c>
      <c r="D8">
        <v>2654</v>
      </c>
      <c r="E8">
        <v>1744</v>
      </c>
      <c r="F8" s="10" t="s">
        <v>49</v>
      </c>
      <c r="G8">
        <f t="shared" si="0"/>
        <v>10.899057816246103</v>
      </c>
      <c r="H8">
        <f t="shared" si="1"/>
        <v>0.10178089780569</v>
      </c>
      <c r="I8" s="2">
        <v>-0.01</v>
      </c>
      <c r="J8" s="2">
        <v>-3.0000000000000001E-3</v>
      </c>
      <c r="K8" s="17">
        <f>(Tabella1[[#This Row],[X_EST]]-Tabella1[[#This Row],[X]])^2</f>
        <v>3.5309547765073368E-5</v>
      </c>
      <c r="L8" s="17">
        <f>(Tabella1[[#This Row],[Y_EST]]-Tabella1[[#This Row],[Y]])^2</f>
        <v>6.0980138293144074E-7</v>
      </c>
      <c r="M8" t="s">
        <v>46</v>
      </c>
      <c r="N8" s="11">
        <v>2.7018000000000001E-6</v>
      </c>
    </row>
    <row r="9" spans="1:17" x14ac:dyDescent="0.25">
      <c r="A9">
        <v>24</v>
      </c>
      <c r="B9" s="2">
        <v>1.145</v>
      </c>
      <c r="C9">
        <v>8.7850000000000001</v>
      </c>
      <c r="D9">
        <v>1015</v>
      </c>
      <c r="E9">
        <v>364</v>
      </c>
      <c r="F9" s="10" t="s">
        <v>48</v>
      </c>
      <c r="G9">
        <f t="shared" si="0"/>
        <v>1.1593816696411157</v>
      </c>
      <c r="H9">
        <f t="shared" si="1"/>
        <v>8.7718270438373018</v>
      </c>
      <c r="I9" s="2">
        <v>1.9E-2</v>
      </c>
      <c r="J9" s="2">
        <v>-1.6E-2</v>
      </c>
      <c r="K9" s="17">
        <f>(Tabella1[[#This Row],[X_EST]]-Tabella1[[#This Row],[X]])^2</f>
        <v>2.0683242166618746E-4</v>
      </c>
      <c r="L9" s="17">
        <f>(Tabella1[[#This Row],[Y_EST]]-Tabella1[[#This Row],[Y]])^2</f>
        <v>1.7352677406437146E-4</v>
      </c>
      <c r="M9" t="s">
        <v>47</v>
      </c>
      <c r="N9" s="11">
        <v>5.8388099999999998E-5</v>
      </c>
    </row>
    <row r="10" spans="1:17" x14ac:dyDescent="0.25">
      <c r="A10">
        <v>25</v>
      </c>
      <c r="B10" s="2">
        <v>5.4850000000000003</v>
      </c>
      <c r="C10">
        <v>8.782</v>
      </c>
      <c r="D10">
        <v>1704</v>
      </c>
      <c r="E10">
        <v>351</v>
      </c>
      <c r="F10" s="10" t="s">
        <v>48</v>
      </c>
      <c r="G10">
        <f t="shared" si="0"/>
        <v>5.4873358404694725</v>
      </c>
      <c r="H10">
        <f t="shared" si="1"/>
        <v>8.7893364891190053</v>
      </c>
      <c r="I10" s="2">
        <v>4.0000000000000001E-3</v>
      </c>
      <c r="J10" s="2">
        <v>5.0000000000000001E-3</v>
      </c>
      <c r="K10" s="17">
        <f>(Tabella1[[#This Row],[X_EST]]-Tabella1[[#This Row],[X]])^2</f>
        <v>5.456150698824186E-6</v>
      </c>
      <c r="L10" s="17">
        <f>(Tabella1[[#This Row],[Y_EST]]-Tabella1[[#This Row],[Y]])^2</f>
        <v>5.3824072593283271E-5</v>
      </c>
      <c r="Q10" s="12"/>
    </row>
    <row r="11" spans="1:17" x14ac:dyDescent="0.25">
      <c r="A11">
        <v>26</v>
      </c>
      <c r="B11" s="2">
        <v>9.8140000000000001</v>
      </c>
      <c r="C11">
        <v>8.7650000000000006</v>
      </c>
      <c r="D11">
        <v>2395</v>
      </c>
      <c r="E11">
        <v>345</v>
      </c>
      <c r="F11" s="10" t="s">
        <v>48</v>
      </c>
      <c r="G11">
        <f t="shared" si="0"/>
        <v>9.8162497369369728</v>
      </c>
      <c r="H11">
        <f t="shared" si="1"/>
        <v>8.7599205547324033</v>
      </c>
      <c r="I11" s="2">
        <v>-2E-3</v>
      </c>
      <c r="J11" s="2">
        <v>-8.0000000000000002E-3</v>
      </c>
      <c r="K11" s="17">
        <f>(Tabella1[[#This Row],[X_EST]]-Tabella1[[#This Row],[X]])^2</f>
        <v>5.0613162855794136E-6</v>
      </c>
      <c r="L11" s="17">
        <f>(Tabella1[[#This Row],[Y_EST]]-Tabella1[[#This Row],[Y]])^2</f>
        <v>2.5800764226516539E-5</v>
      </c>
    </row>
    <row r="12" spans="1:17" x14ac:dyDescent="0.25">
      <c r="A12">
        <v>27</v>
      </c>
      <c r="B12" s="2">
        <v>10.106</v>
      </c>
      <c r="C12">
        <v>3.206</v>
      </c>
      <c r="D12">
        <v>2491</v>
      </c>
      <c r="E12">
        <v>1218</v>
      </c>
      <c r="F12" s="10" t="s">
        <v>48</v>
      </c>
      <c r="G12">
        <f t="shared" si="0"/>
        <v>10.120669731253081</v>
      </c>
      <c r="H12">
        <f t="shared" si="1"/>
        <v>3.2072122189663559</v>
      </c>
      <c r="I12" s="2">
        <v>1.4999999999999999E-2</v>
      </c>
      <c r="J12" s="2">
        <v>0</v>
      </c>
      <c r="K12" s="17">
        <f>(Tabella1[[#This Row],[X_EST]]-Tabella1[[#This Row],[X]])^2</f>
        <v>2.1520101503761551E-4</v>
      </c>
      <c r="L12" s="17">
        <f>(Tabella1[[#This Row],[Y_EST]]-Tabella1[[#This Row],[Y]])^2</f>
        <v>1.4694748223930318E-6</v>
      </c>
    </row>
    <row r="13" spans="1:17" x14ac:dyDescent="0.25">
      <c r="A13">
        <v>28</v>
      </c>
      <c r="B13" s="2">
        <v>4.9210000000000003</v>
      </c>
      <c r="C13">
        <v>3.173</v>
      </c>
      <c r="D13">
        <v>1619</v>
      </c>
      <c r="E13">
        <v>1236</v>
      </c>
      <c r="F13" s="10" t="s">
        <v>48</v>
      </c>
      <c r="G13">
        <f t="shared" si="0"/>
        <v>4.9160631401219366</v>
      </c>
      <c r="H13">
        <f t="shared" si="1"/>
        <v>3.1695283426652843</v>
      </c>
      <c r="I13" s="2">
        <v>-5.0000000000000001E-3</v>
      </c>
      <c r="J13" s="2">
        <v>-3.0000000000000001E-3</v>
      </c>
      <c r="K13" s="17">
        <f>(Tabella1[[#This Row],[X_EST]]-Tabella1[[#This Row],[X]])^2</f>
        <v>2.4372585455635062E-5</v>
      </c>
      <c r="L13" s="17">
        <f>(Tabella1[[#This Row],[Y_EST]]-Tabella1[[#This Row],[Y]])^2</f>
        <v>1.2052404649685818E-5</v>
      </c>
      <c r="M13" t="s">
        <v>21</v>
      </c>
    </row>
    <row r="14" spans="1:17" x14ac:dyDescent="0.25">
      <c r="A14">
        <v>29</v>
      </c>
      <c r="B14" s="2">
        <v>0.6</v>
      </c>
      <c r="C14">
        <v>3.1930000000000001</v>
      </c>
      <c r="D14">
        <v>897</v>
      </c>
      <c r="E14">
        <v>1242</v>
      </c>
      <c r="F14" s="10" t="s">
        <v>48</v>
      </c>
      <c r="G14">
        <f t="shared" si="0"/>
        <v>0.59546087780401269</v>
      </c>
      <c r="H14">
        <f t="shared" si="1"/>
        <v>3.1922296947419073</v>
      </c>
      <c r="I14" s="2">
        <v>-2.5000000000000001E-2</v>
      </c>
      <c r="J14" s="2">
        <v>-2.3E-2</v>
      </c>
      <c r="K14" s="17">
        <f>(Tabella1[[#This Row],[X_EST]]-Tabella1[[#This Row],[X]])^2</f>
        <v>2.0603630310104463E-5</v>
      </c>
      <c r="L14" s="17">
        <f>(Tabella1[[#This Row],[Y_EST]]-Tabella1[[#This Row],[Y]])^2</f>
        <v>5.9337019064532357E-7</v>
      </c>
    </row>
    <row r="15" spans="1:17" x14ac:dyDescent="0.25">
      <c r="A15">
        <v>30</v>
      </c>
      <c r="B15" s="2">
        <v>1.7250000000000001</v>
      </c>
      <c r="C15">
        <v>-1.139</v>
      </c>
      <c r="D15">
        <v>1072</v>
      </c>
      <c r="E15">
        <v>1982</v>
      </c>
      <c r="F15" s="10" t="s">
        <v>49</v>
      </c>
      <c r="G15">
        <f t="shared" si="0"/>
        <v>1.7414094616689082</v>
      </c>
      <c r="H15">
        <f t="shared" si="1"/>
        <v>-1.13418702422813</v>
      </c>
      <c r="I15" s="2">
        <v>2.1999999999999999E-2</v>
      </c>
      <c r="J15" s="2">
        <v>3.0000000000000001E-3</v>
      </c>
      <c r="K15" s="17">
        <f>(Tabella1[[#This Row],[X_EST]]-Tabella1[[#This Row],[X]])^2</f>
        <v>2.6927043226336454E-4</v>
      </c>
      <c r="L15" s="17">
        <f>(Tabella1[[#This Row],[Y_EST]]-Tabella1[[#This Row],[Y]])^2</f>
        <v>2.3164735780607713E-5</v>
      </c>
    </row>
    <row r="16" spans="1:17" x14ac:dyDescent="0.25">
      <c r="A16">
        <v>37</v>
      </c>
      <c r="B16" s="2">
        <v>0.34100000000000003</v>
      </c>
      <c r="C16">
        <v>4.758</v>
      </c>
      <c r="D16">
        <v>861</v>
      </c>
      <c r="E16">
        <v>986</v>
      </c>
      <c r="F16" s="10" t="s">
        <v>48</v>
      </c>
      <c r="G16">
        <f t="shared" si="0"/>
        <v>0.32626187485717356</v>
      </c>
      <c r="H16">
        <f t="shared" si="1"/>
        <v>4.7698243888390284</v>
      </c>
      <c r="I16" s="2">
        <v>-1.0999999999999999E-2</v>
      </c>
      <c r="J16" s="2">
        <v>2.1999999999999999E-2</v>
      </c>
      <c r="K16" s="17">
        <f>(Tabella1[[#This Row],[X_EST]]-Tabella1[[#This Row],[X]])^2</f>
        <v>2.1721233272561357E-4</v>
      </c>
      <c r="L16" s="17">
        <f>(Tabella1[[#This Row],[Y_EST]]-Tabella1[[#This Row],[Y]])^2</f>
        <v>1.3981617141653859E-4</v>
      </c>
    </row>
    <row r="17" spans="1:12" x14ac:dyDescent="0.25">
      <c r="A17">
        <v>41</v>
      </c>
      <c r="B17" s="2">
        <v>10.423</v>
      </c>
      <c r="C17">
        <v>4.8159999999999998</v>
      </c>
      <c r="D17">
        <v>2526</v>
      </c>
      <c r="E17">
        <v>954</v>
      </c>
      <c r="F17" s="10" t="s">
        <v>48</v>
      </c>
      <c r="G17">
        <f t="shared" si="0"/>
        <v>10.418505284691431</v>
      </c>
      <c r="H17">
        <f t="shared" si="1"/>
        <v>4.8243205010141477</v>
      </c>
      <c r="I17" s="2">
        <v>2E-3</v>
      </c>
      <c r="J17" s="2">
        <v>8.0000000000000002E-3</v>
      </c>
      <c r="K17" s="17">
        <f>(Tabella1[[#This Row],[X_EST]]-Tabella1[[#This Row],[X]])^2</f>
        <v>2.0202465705084895E-5</v>
      </c>
      <c r="L17" s="17">
        <f>(Tabella1[[#This Row],[Y_EST]]-Tabella1[[#This Row],[Y]])^2</f>
        <v>6.9230737126435059E-5</v>
      </c>
    </row>
    <row r="19" spans="1:12" x14ac:dyDescent="0.25">
      <c r="G19" s="13" t="s">
        <v>64</v>
      </c>
      <c r="H19" s="14" t="s">
        <v>51</v>
      </c>
      <c r="I19" s="19">
        <f>AVERAGE(K2:K3,K5:K7,K9:K14,K16:K17)</f>
        <v>6.8033960785244784E-5</v>
      </c>
      <c r="J19" s="19">
        <f>AVERAGE(L2:L3,L5:L7,L9:L14,L16:L17)</f>
        <v>5.3778382799942433E-5</v>
      </c>
    </row>
    <row r="20" spans="1:12" x14ac:dyDescent="0.25">
      <c r="H20" s="14" t="s">
        <v>52</v>
      </c>
      <c r="I20" s="21">
        <f>_xlfn.STDEV.P(K2:K3,K5:K7,K9:K14,K16:K17)</f>
        <v>8.1952789777375406E-5</v>
      </c>
      <c r="J20" s="21">
        <f>_xlfn.STDEV.P(L2:L3,L5:L7,L9:L14,L16:L17)</f>
        <v>5.7106841373727015E-5</v>
      </c>
    </row>
    <row r="21" spans="1:12" x14ac:dyDescent="0.25">
      <c r="H21" s="14" t="s">
        <v>53</v>
      </c>
      <c r="I21" s="20">
        <f>SQRT((SUM(K2:K3,K5:K7,K9:K14,K16:K17))/13)</f>
        <v>8.2482701692685109E-3</v>
      </c>
      <c r="J21" s="20">
        <f>SQRT((SUM(L2:L3,L5:L7,L9:L14,L16:L17))/13)</f>
        <v>7.3333745847285366E-3</v>
      </c>
      <c r="K21" s="18"/>
      <c r="L21" s="18"/>
    </row>
    <row r="22" spans="1:12" x14ac:dyDescent="0.25">
      <c r="G22" s="15" t="s">
        <v>50</v>
      </c>
      <c r="H22" s="16" t="s">
        <v>51</v>
      </c>
      <c r="I22" s="19">
        <f>AVERAGE(K4,K8,K15)</f>
        <v>1.0407315956595976E-4</v>
      </c>
      <c r="J22" s="19">
        <f>AVERAGE(L4,L8,L15)</f>
        <v>2.305440297535321E-5</v>
      </c>
    </row>
    <row r="23" spans="1:12" x14ac:dyDescent="0.25">
      <c r="H23" s="16" t="s">
        <v>52</v>
      </c>
      <c r="I23" s="21">
        <f>_xlfn.STDEV.P(K4,K8,K15)</f>
        <v>1.1735703951115504E-4</v>
      </c>
      <c r="J23" s="21">
        <f>_xlfn.STDEV.P(L4,L8,L15)</f>
        <v>1.8281063756684502E-5</v>
      </c>
    </row>
    <row r="24" spans="1:12" x14ac:dyDescent="0.25">
      <c r="H24" s="16" t="s">
        <v>53</v>
      </c>
      <c r="I24" s="4">
        <f>SQRT((SUM(K4,K8,K15))/3)</f>
        <v>1.0201625339423114E-2</v>
      </c>
      <c r="J24" s="4">
        <f>SQRT((SUM(L4,L8,L15))/3)</f>
        <v>4.8015000755340211E-3</v>
      </c>
    </row>
    <row r="43" spans="7:12" x14ac:dyDescent="0.25">
      <c r="G43" t="s">
        <v>37</v>
      </c>
      <c r="H43" t="s">
        <v>38</v>
      </c>
      <c r="I43" t="s">
        <v>54</v>
      </c>
      <c r="J43" t="s">
        <v>55</v>
      </c>
      <c r="K43" t="s">
        <v>56</v>
      </c>
      <c r="L43" t="s">
        <v>57</v>
      </c>
    </row>
    <row r="44" spans="7:12" x14ac:dyDescent="0.25">
      <c r="G44">
        <v>1.8982106049194998</v>
      </c>
      <c r="H44">
        <v>5.7593982387993918</v>
      </c>
      <c r="I44">
        <v>-5.0000000000000001E-3</v>
      </c>
      <c r="J44">
        <v>1E-3</v>
      </c>
      <c r="K44" s="24">
        <v>6.0674675720119767E-5</v>
      </c>
      <c r="L44" s="24">
        <v>2.5656389437741013E-6</v>
      </c>
    </row>
    <row r="45" spans="7:12" x14ac:dyDescent="0.25">
      <c r="G45">
        <v>4.5009781954479617</v>
      </c>
      <c r="H45">
        <v>6.3132772254335592</v>
      </c>
      <c r="I45">
        <v>-7.0000000000000001E-3</v>
      </c>
      <c r="J45">
        <v>7.0000000000000001E-3</v>
      </c>
      <c r="K45" s="24">
        <v>4.0876936466430961E-6</v>
      </c>
      <c r="L45" s="24">
        <v>1.8294657409484128E-5</v>
      </c>
    </row>
    <row r="46" spans="7:12" x14ac:dyDescent="0.25">
      <c r="G46">
        <v>6.2497639643032139</v>
      </c>
      <c r="H46">
        <v>6.2167371115296186</v>
      </c>
      <c r="I46">
        <v>4.0000000000000001E-3</v>
      </c>
      <c r="J46">
        <v>1.6E-2</v>
      </c>
      <c r="K46" s="24">
        <v>7.6394986694413478E-6</v>
      </c>
      <c r="L46" s="24">
        <v>4.5388671762520474E-5</v>
      </c>
    </row>
    <row r="47" spans="7:12" x14ac:dyDescent="0.25">
      <c r="G47">
        <v>10.586426697953801</v>
      </c>
      <c r="H47">
        <v>6.0944789951081511</v>
      </c>
      <c r="I47">
        <v>-3.0000000000000001E-3</v>
      </c>
      <c r="J47">
        <v>-8.0000000000000002E-3</v>
      </c>
      <c r="K47" s="24">
        <v>1.2768487513369885E-5</v>
      </c>
      <c r="L47" s="24">
        <v>7.2607524366909558E-5</v>
      </c>
    </row>
    <row r="48" spans="7:12" x14ac:dyDescent="0.25">
      <c r="G48">
        <v>4.1664694039948019E-3</v>
      </c>
      <c r="H48">
        <v>0.31758234253744955</v>
      </c>
      <c r="I48">
        <v>1.0999999999999999E-2</v>
      </c>
      <c r="J48">
        <v>3.0000000000000001E-3</v>
      </c>
      <c r="K48" s="24">
        <v>1.7359467294424799E-5</v>
      </c>
      <c r="L48" s="24">
        <v>2.009752681125006E-6</v>
      </c>
    </row>
    <row r="49" spans="7:14" x14ac:dyDescent="0.25">
      <c r="G49">
        <v>3.9773623354922192</v>
      </c>
      <c r="H49">
        <v>-0.13828395471047672</v>
      </c>
      <c r="I49">
        <v>-8.9999999999999993E-3</v>
      </c>
      <c r="J49">
        <v>-5.0000000000000001E-3</v>
      </c>
      <c r="K49" s="24">
        <v>7.4609248148980087E-5</v>
      </c>
      <c r="L49" s="24">
        <v>1.273276339080897E-4</v>
      </c>
    </row>
    <row r="50" spans="7:14" x14ac:dyDescent="0.25">
      <c r="G50">
        <v>10.899057816246103</v>
      </c>
      <c r="H50">
        <v>0.10178089780569</v>
      </c>
      <c r="I50">
        <v>-0.01</v>
      </c>
      <c r="J50">
        <v>-3.0000000000000001E-3</v>
      </c>
      <c r="K50" s="24">
        <v>3.5309547765073368E-5</v>
      </c>
      <c r="L50" s="24">
        <v>6.0980138293144074E-7</v>
      </c>
    </row>
    <row r="51" spans="7:14" x14ac:dyDescent="0.25">
      <c r="K51" s="24"/>
      <c r="L51" s="24"/>
    </row>
    <row r="52" spans="7:14" x14ac:dyDescent="0.25">
      <c r="G52">
        <v>5.4873358404694725</v>
      </c>
      <c r="H52">
        <v>8.7893364891190053</v>
      </c>
      <c r="I52">
        <v>4.0000000000000001E-3</v>
      </c>
      <c r="J52">
        <v>5.0000000000000001E-3</v>
      </c>
      <c r="K52" s="24">
        <v>5.456150698824186E-6</v>
      </c>
      <c r="L52" s="24">
        <v>5.3824072593283271E-5</v>
      </c>
    </row>
    <row r="53" spans="7:14" x14ac:dyDescent="0.25">
      <c r="G53">
        <v>9.8162497369369728</v>
      </c>
      <c r="H53">
        <v>8.7599205547324033</v>
      </c>
      <c r="I53">
        <v>-2E-3</v>
      </c>
      <c r="J53">
        <v>-8.0000000000000002E-3</v>
      </c>
      <c r="K53" s="24">
        <v>5.0613162855794136E-6</v>
      </c>
      <c r="L53" s="24">
        <v>2.5800764226516539E-5</v>
      </c>
    </row>
    <row r="54" spans="7:14" x14ac:dyDescent="0.25">
      <c r="G54">
        <v>10.120669731253081</v>
      </c>
      <c r="H54">
        <v>3.2072122189663559</v>
      </c>
      <c r="I54">
        <v>1.4999999999999999E-2</v>
      </c>
      <c r="J54">
        <v>0</v>
      </c>
      <c r="K54" s="24">
        <v>2.1520101503761551E-4</v>
      </c>
      <c r="L54" s="24">
        <v>1.4694748223930318E-6</v>
      </c>
    </row>
    <row r="55" spans="7:14" x14ac:dyDescent="0.25">
      <c r="G55">
        <v>4.9160631401219366</v>
      </c>
      <c r="H55">
        <v>3.1695283426652843</v>
      </c>
      <c r="I55">
        <v>-5.0000000000000001E-3</v>
      </c>
      <c r="J55">
        <v>-3.0000000000000001E-3</v>
      </c>
      <c r="K55" s="24">
        <v>2.4372585455635062E-5</v>
      </c>
      <c r="L55" s="24">
        <v>1.2052404649685818E-5</v>
      </c>
    </row>
    <row r="56" spans="7:14" x14ac:dyDescent="0.25">
      <c r="G56">
        <v>0.59546087780401269</v>
      </c>
      <c r="H56">
        <v>3.1922296947419073</v>
      </c>
      <c r="I56">
        <v>-2.5000000000000001E-2</v>
      </c>
      <c r="J56">
        <v>-2.3E-2</v>
      </c>
      <c r="K56" s="24">
        <v>2.0603630310104463E-5</v>
      </c>
      <c r="L56" s="24">
        <v>5.9337019064532357E-7</v>
      </c>
    </row>
    <row r="57" spans="7:14" x14ac:dyDescent="0.25">
      <c r="K57" s="24"/>
      <c r="L57" s="24"/>
    </row>
    <row r="58" spans="7:14" x14ac:dyDescent="0.25">
      <c r="K58" s="24"/>
      <c r="L58" s="24"/>
    </row>
    <row r="59" spans="7:14" x14ac:dyDescent="0.25">
      <c r="G59">
        <v>10.418505284691431</v>
      </c>
      <c r="H59">
        <v>4.8243205010141477</v>
      </c>
      <c r="I59">
        <v>2E-3</v>
      </c>
      <c r="J59">
        <v>8.0000000000000002E-3</v>
      </c>
      <c r="K59" s="24">
        <v>2.0202465705084895E-5</v>
      </c>
      <c r="L59" s="24">
        <v>6.9230737126435059E-5</v>
      </c>
    </row>
    <row r="61" spans="7:14" x14ac:dyDescent="0.25">
      <c r="G61" s="13" t="s">
        <v>64</v>
      </c>
      <c r="H61" s="14" t="s">
        <v>51</v>
      </c>
      <c r="I61" s="19">
        <f>AVERAGE(K44:K45,K47:K49,K51:K56,K58:K59)</f>
        <v>4.1854248710580101E-5</v>
      </c>
      <c r="J61" s="19">
        <f>AVERAGE(L44:L45,L47:L49,L51:L56,L58:L59)</f>
        <v>3.5070548265303771E-5</v>
      </c>
      <c r="K61">
        <v>6.8033960785244784E-5</v>
      </c>
      <c r="L61">
        <v>5.3778382799942433E-5</v>
      </c>
      <c r="N61" t="s">
        <v>21</v>
      </c>
    </row>
    <row r="62" spans="7:14" x14ac:dyDescent="0.25">
      <c r="H62" s="14" t="s">
        <v>52</v>
      </c>
      <c r="I62" s="21">
        <f>_xlfn.STDEV.P(K44:K45,K47:K49,K51:K56,K58:K59)</f>
        <v>5.8970737592853941E-5</v>
      </c>
      <c r="J62" s="21">
        <f>_xlfn.STDEV.P(L44:L45,L47:L49,L51:L56,L58:L59)</f>
        <v>3.9084401944218795E-5</v>
      </c>
      <c r="K62">
        <v>8.1952789777375406E-5</v>
      </c>
      <c r="L62">
        <v>5.7106841373727015E-5</v>
      </c>
    </row>
    <row r="63" spans="7:14" x14ac:dyDescent="0.25">
      <c r="H63" s="14" t="s">
        <v>53</v>
      </c>
      <c r="I63" s="20">
        <f>SQRT((SUM(K44:K45,K47:K49,K51:K56,K58:K59))/13)</f>
        <v>5.9510615460047975E-3</v>
      </c>
      <c r="J63" s="20">
        <f>SQRT((SUM(L44:L45,L47:L49,L51:L56,L58:L59))/13)</f>
        <v>5.4474837587101524E-3</v>
      </c>
      <c r="K63">
        <v>8.2482701692685109E-3</v>
      </c>
      <c r="L63">
        <v>7.3333745847285366E-3</v>
      </c>
    </row>
    <row r="64" spans="7:14" x14ac:dyDescent="0.25">
      <c r="G64" s="15" t="s">
        <v>50</v>
      </c>
      <c r="H64" s="16" t="s">
        <v>51</v>
      </c>
      <c r="I64" s="19">
        <f>AVERAGE(K46,K50,K57)</f>
        <v>2.147452321725736E-5</v>
      </c>
      <c r="J64" s="19">
        <f>AVERAGE(L46,L50,L57)</f>
        <v>2.2999236572725959E-5</v>
      </c>
      <c r="K64">
        <v>1.0407315956595976E-4</v>
      </c>
      <c r="L64">
        <v>2.305440297535321E-5</v>
      </c>
    </row>
    <row r="65" spans="8:12" x14ac:dyDescent="0.25">
      <c r="H65" s="16" t="s">
        <v>52</v>
      </c>
      <c r="I65" s="21">
        <f>_xlfn.STDEV.P(K46,K50,K57)</f>
        <v>1.383502454781601E-5</v>
      </c>
      <c r="J65" s="21">
        <f>_xlfn.STDEV.P(L46,L50,L57)</f>
        <v>2.2389435189794519E-5</v>
      </c>
      <c r="K65">
        <v>1.1735703951115504E-4</v>
      </c>
      <c r="L65">
        <v>1.8281063756684502E-5</v>
      </c>
    </row>
    <row r="66" spans="8:12" x14ac:dyDescent="0.25">
      <c r="H66" s="16" t="s">
        <v>53</v>
      </c>
      <c r="I66" s="4">
        <f>SQRT((SUM(K46,K50,K57))/3)</f>
        <v>3.7836951266592431E-3</v>
      </c>
      <c r="J66" s="4">
        <f>SQRT((SUM(L46,L50,L57))/3)</f>
        <v>3.9157150537056833E-3</v>
      </c>
      <c r="K66">
        <v>1.0201625339423114E-2</v>
      </c>
      <c r="L66">
        <v>4.8015000755340211E-3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8BD3-B061-490D-B1BB-17C9BCCBE4D3}">
  <dimension ref="A1:X23"/>
  <sheetViews>
    <sheetView tabSelected="1" zoomScale="80" zoomScaleNormal="80" workbookViewId="0">
      <selection activeCell="W4" sqref="W4"/>
    </sheetView>
  </sheetViews>
  <sheetFormatPr defaultRowHeight="15" x14ac:dyDescent="0.25"/>
  <cols>
    <col min="2" max="7" width="0" hidden="1" customWidth="1"/>
    <col min="8" max="8" width="10.140625" bestFit="1" customWidth="1"/>
    <col min="9" max="9" width="13.7109375" bestFit="1" customWidth="1"/>
    <col min="17" max="18" width="12.7109375" bestFit="1" customWidth="1"/>
  </cols>
  <sheetData>
    <row r="1" spans="1:22" x14ac:dyDescent="0.25">
      <c r="A1" s="22" t="s">
        <v>1</v>
      </c>
      <c r="B1" s="23" t="s">
        <v>5</v>
      </c>
      <c r="C1" s="23" t="s">
        <v>6</v>
      </c>
      <c r="D1" s="23" t="s">
        <v>19</v>
      </c>
      <c r="E1" s="23" t="s">
        <v>20</v>
      </c>
      <c r="F1" s="23" t="s">
        <v>58</v>
      </c>
      <c r="G1" s="23" t="s">
        <v>59</v>
      </c>
      <c r="H1" s="23" t="s">
        <v>60</v>
      </c>
      <c r="I1" s="23" t="s">
        <v>61</v>
      </c>
      <c r="L1" s="23" t="s">
        <v>31</v>
      </c>
      <c r="M1" s="23" t="s">
        <v>32</v>
      </c>
      <c r="P1" s="22" t="s">
        <v>1</v>
      </c>
      <c r="Q1" s="23" t="s">
        <v>60</v>
      </c>
      <c r="R1" s="23" t="s">
        <v>61</v>
      </c>
      <c r="U1" s="23" t="s">
        <v>31</v>
      </c>
      <c r="V1" s="23" t="s">
        <v>32</v>
      </c>
    </row>
    <row r="2" spans="1:22" x14ac:dyDescent="0.25">
      <c r="A2">
        <v>1</v>
      </c>
      <c r="B2">
        <v>-6.6064875147839111</v>
      </c>
      <c r="C2">
        <v>-20.669723665781262</v>
      </c>
      <c r="D2">
        <v>0.40718411413198952</v>
      </c>
      <c r="E2">
        <v>0.19683765548413745</v>
      </c>
      <c r="F2">
        <v>0.45500000000000002</v>
      </c>
      <c r="G2">
        <v>5.9649999999999999</v>
      </c>
      <c r="H2">
        <f>F2-D2</f>
        <v>4.7815885868010499E-2</v>
      </c>
      <c r="I2">
        <f>G2-E2</f>
        <v>5.7681623445158623</v>
      </c>
      <c r="K2" t="s">
        <v>51</v>
      </c>
      <c r="L2">
        <f>AVERAGE(H2,H3,H4,H5,H6:H7,H8,H9,H10:H11)</f>
        <v>0.1101567907378912</v>
      </c>
      <c r="M2">
        <f>AVERAGE(I2,I3,I4,I5,I6:I7,I8,I9,I10:I11)</f>
        <v>2.601855605130166</v>
      </c>
      <c r="P2">
        <v>12</v>
      </c>
      <c r="Q2">
        <v>-2.9835145388608098E-2</v>
      </c>
      <c r="R2">
        <v>0.49743326024707568</v>
      </c>
      <c r="T2" t="s">
        <v>51</v>
      </c>
      <c r="U2">
        <f>AVERAGE(Q2,Q3,Q4,Q5,Q6)</f>
        <v>1.5396672647878029E-2</v>
      </c>
      <c r="V2">
        <f>AVERAGE(R2,R3,R4,R5,R6)</f>
        <v>0.39866516082233955</v>
      </c>
    </row>
    <row r="3" spans="1:22" x14ac:dyDescent="0.25">
      <c r="A3">
        <v>4</v>
      </c>
      <c r="B3">
        <v>-9.730460319601443</v>
      </c>
      <c r="C3">
        <v>-17.712939262928256</v>
      </c>
      <c r="D3">
        <v>4.7085189329597981</v>
      </c>
      <c r="E3">
        <v>0.17954989872183491</v>
      </c>
      <c r="F3">
        <v>4.7149999999999999</v>
      </c>
      <c r="G3">
        <v>5.9749999999999996</v>
      </c>
      <c r="H3">
        <f t="shared" ref="H3:H11" si="0">F3-D3</f>
        <v>6.4810670402017934E-3</v>
      </c>
      <c r="I3">
        <f t="shared" ref="I3:I11" si="1">G3-E3</f>
        <v>5.7954501012781652</v>
      </c>
      <c r="K3" t="s">
        <v>62</v>
      </c>
      <c r="L3">
        <f>_xlfn.STDEV.P(H2,H3,H4,H5,H6:H7,H8,H9,H10:H11)</f>
        <v>0.30347680416365874</v>
      </c>
      <c r="M3">
        <f>_xlfn.STDEV.P(I2,I3,I4,I5,I6:I7,I8,I9,I10:I11)</f>
        <v>3.4637060252434417</v>
      </c>
      <c r="P3">
        <v>11</v>
      </c>
      <c r="Q3">
        <v>-5.4036453628008019E-3</v>
      </c>
      <c r="R3">
        <v>0.40168570635382028</v>
      </c>
      <c r="T3" t="s">
        <v>62</v>
      </c>
      <c r="U3">
        <f>_xlfn.STDEV.P(Q2,Q3,Q4,Q5,Q6)</f>
        <v>2.817497245871204E-2</v>
      </c>
      <c r="V3">
        <f>_xlfn.STDEV.P(R2,R3,R4,R5,R6)</f>
        <v>6.7571849252109614E-2</v>
      </c>
    </row>
    <row r="4" spans="1:22" x14ac:dyDescent="0.25">
      <c r="A4">
        <v>6</v>
      </c>
      <c r="B4">
        <v>-12.889469738315213</v>
      </c>
      <c r="C4">
        <v>-14.732008141931408</v>
      </c>
      <c r="D4">
        <v>9.051924490459351</v>
      </c>
      <c r="E4">
        <v>0.16864032806891593</v>
      </c>
      <c r="F4">
        <v>9.0350000000000001</v>
      </c>
      <c r="G4">
        <v>6.3949999999999996</v>
      </c>
      <c r="H4">
        <f t="shared" si="0"/>
        <v>-1.6924490459350849E-2</v>
      </c>
      <c r="I4">
        <f t="shared" si="1"/>
        <v>6.2263596719310836</v>
      </c>
      <c r="K4" t="s">
        <v>63</v>
      </c>
      <c r="L4">
        <f>SQRT((SUM(H2,H3,H4,H5,H6:H7,H8,H9,H10:H11))/10)</f>
        <v>0.33189876579748107</v>
      </c>
      <c r="M4">
        <f>SQRT((SUM(I2,I3,I4,I5,I6:I7,I8,I9,I10:I11))/10)</f>
        <v>1.6130268457561907</v>
      </c>
      <c r="P4">
        <v>14</v>
      </c>
      <c r="Q4">
        <v>3.2807609674200933E-2</v>
      </c>
      <c r="R4">
        <v>0.4337032418336057</v>
      </c>
      <c r="T4" t="s">
        <v>63</v>
      </c>
      <c r="U4">
        <f>SQRT((SUM(Q2,Q3,Q4,Q5,Q6)/10))</f>
        <v>8.7740163687669376E-2</v>
      </c>
      <c r="V4">
        <f>SQRT((SUM(R2,R3,R4,R5,R6))/10)</f>
        <v>0.44646677414021502</v>
      </c>
    </row>
    <row r="5" spans="1:22" x14ac:dyDescent="0.25">
      <c r="A5">
        <v>9</v>
      </c>
      <c r="B5">
        <v>-7.4822058705660295</v>
      </c>
      <c r="C5">
        <v>-19.810625591050545</v>
      </c>
      <c r="D5">
        <v>1.6336459813876285</v>
      </c>
      <c r="E5">
        <v>0.16994102321218274</v>
      </c>
      <c r="F5">
        <v>1.675</v>
      </c>
      <c r="G5">
        <v>0.46500000000000002</v>
      </c>
      <c r="H5">
        <f t="shared" si="0"/>
        <v>4.1354018612371535E-2</v>
      </c>
      <c r="I5">
        <f t="shared" si="1"/>
        <v>0.29505897678781728</v>
      </c>
      <c r="P5">
        <v>21</v>
      </c>
      <c r="Q5">
        <v>3.8060525704226578E-2</v>
      </c>
      <c r="R5">
        <v>0.36544461888937868</v>
      </c>
    </row>
    <row r="6" spans="1:22" x14ac:dyDescent="0.25">
      <c r="A6">
        <v>11</v>
      </c>
      <c r="B6">
        <v>-10.625165175179385</v>
      </c>
      <c r="C6">
        <v>-16.836921648078366</v>
      </c>
      <c r="D6">
        <v>5.9604036453628009</v>
      </c>
      <c r="E6">
        <v>0.15331429364617977</v>
      </c>
      <c r="F6">
        <v>5.9550000000000001</v>
      </c>
      <c r="G6">
        <v>0.55500000000000005</v>
      </c>
      <c r="H6">
        <f t="shared" si="0"/>
        <v>-5.4036453628008019E-3</v>
      </c>
      <c r="I6">
        <f t="shared" si="1"/>
        <v>0.40168570635382028</v>
      </c>
      <c r="P6">
        <v>9</v>
      </c>
      <c r="Q6">
        <v>4.1354018612371535E-2</v>
      </c>
      <c r="R6">
        <v>0.29505897678781728</v>
      </c>
    </row>
    <row r="7" spans="1:22" x14ac:dyDescent="0.25">
      <c r="A7">
        <v>12</v>
      </c>
      <c r="B7">
        <v>-12.914064274377518</v>
      </c>
      <c r="C7">
        <v>-14.666293400888474</v>
      </c>
      <c r="D7">
        <v>9.114835145388609</v>
      </c>
      <c r="E7">
        <v>0.13756673975292433</v>
      </c>
      <c r="F7">
        <v>9.0850000000000009</v>
      </c>
      <c r="G7">
        <v>0.63500000000000001</v>
      </c>
      <c r="H7">
        <f t="shared" si="0"/>
        <v>-2.9835145388608098E-2</v>
      </c>
      <c r="I7">
        <f t="shared" si="1"/>
        <v>0.49743326024707568</v>
      </c>
    </row>
    <row r="8" spans="1:22" x14ac:dyDescent="0.25">
      <c r="A8">
        <v>14</v>
      </c>
      <c r="B8">
        <v>-15.242647698872707</v>
      </c>
      <c r="C8">
        <v>-11.963883040225653</v>
      </c>
      <c r="D8">
        <v>12.662192390325799</v>
      </c>
      <c r="E8">
        <v>-0.23870324183360569</v>
      </c>
      <c r="F8">
        <v>12.695</v>
      </c>
      <c r="G8">
        <v>0.19500000000000001</v>
      </c>
      <c r="H8">
        <f t="shared" si="0"/>
        <v>3.2807609674200933E-2</v>
      </c>
      <c r="I8">
        <f t="shared" si="1"/>
        <v>0.4337032418336057</v>
      </c>
      <c r="O8" t="s">
        <v>21</v>
      </c>
    </row>
    <row r="9" spans="1:22" x14ac:dyDescent="0.25">
      <c r="A9">
        <v>16</v>
      </c>
      <c r="B9">
        <v>-4.2557969700884346</v>
      </c>
      <c r="C9">
        <v>-25.439999931276549</v>
      </c>
      <c r="D9">
        <v>-4.5717044113434531</v>
      </c>
      <c r="E9">
        <v>2.0655138545505647</v>
      </c>
      <c r="F9">
        <v>-3.5550000000000002</v>
      </c>
      <c r="G9">
        <v>-0.375</v>
      </c>
      <c r="H9">
        <f t="shared" si="0"/>
        <v>1.0167044113434529</v>
      </c>
      <c r="I9">
        <f t="shared" si="1"/>
        <v>-2.4405138545505647</v>
      </c>
      <c r="O9" t="s">
        <v>21</v>
      </c>
      <c r="P9" s="22" t="s">
        <v>1</v>
      </c>
      <c r="Q9" s="23" t="s">
        <v>60</v>
      </c>
      <c r="R9" s="23" t="s">
        <v>61</v>
      </c>
      <c r="U9" s="23" t="s">
        <v>31</v>
      </c>
      <c r="V9" s="23" t="s">
        <v>32</v>
      </c>
    </row>
    <row r="10" spans="1:22" x14ac:dyDescent="0.25">
      <c r="A10">
        <v>21</v>
      </c>
      <c r="B10">
        <v>-14.957475978034665</v>
      </c>
      <c r="C10">
        <v>-12.325257564499784</v>
      </c>
      <c r="D10">
        <v>12.206939474295773</v>
      </c>
      <c r="E10">
        <v>-0.17044461888937867</v>
      </c>
      <c r="F10">
        <v>12.244999999999999</v>
      </c>
      <c r="G10">
        <v>0.19500000000000001</v>
      </c>
      <c r="H10">
        <f t="shared" si="0"/>
        <v>3.8060525704226578E-2</v>
      </c>
      <c r="I10">
        <f t="shared" si="1"/>
        <v>0.36544461888937868</v>
      </c>
      <c r="P10">
        <v>22</v>
      </c>
      <c r="Q10">
        <v>-2.9492329652792471E-2</v>
      </c>
      <c r="R10">
        <v>8.6757719840154159</v>
      </c>
      <c r="T10" t="s">
        <v>51</v>
      </c>
      <c r="U10">
        <f>AVERAGE(Q10,Q11,Q12,Q13,Q14:Q15,Q16,Q17,Q18:Q19)</f>
        <v>0.15412592814967629</v>
      </c>
      <c r="V10">
        <f>AVERAGE(R10,R11,R12,R13,R14:R15,R16,R17,R18:R19)</f>
        <v>5.0841203847119987</v>
      </c>
    </row>
    <row r="11" spans="1:22" x14ac:dyDescent="0.25">
      <c r="A11">
        <v>22</v>
      </c>
      <c r="B11">
        <v>-5.0165493515293464</v>
      </c>
      <c r="C11">
        <v>-21.726842805460041</v>
      </c>
      <c r="D11">
        <v>-1.4755076703472074</v>
      </c>
      <c r="E11">
        <v>-0.12077198401541689</v>
      </c>
      <c r="F11">
        <v>-1.5049999999999999</v>
      </c>
      <c r="G11">
        <v>8.5549999999999997</v>
      </c>
      <c r="H11">
        <f t="shared" si="0"/>
        <v>-2.9492329652792471E-2</v>
      </c>
      <c r="I11">
        <f t="shared" si="1"/>
        <v>8.6757719840154159</v>
      </c>
      <c r="P11">
        <v>6</v>
      </c>
      <c r="Q11">
        <v>-1.6924490459350849E-2</v>
      </c>
      <c r="R11">
        <v>6.2263596719310836</v>
      </c>
      <c r="T11" t="s">
        <v>62</v>
      </c>
      <c r="U11">
        <f>_xlfn.STDEV.P(Q10,Q11,Q12,Q13,Q14:Q15,Q16,Q17,Q18:Q19)</f>
        <v>0.35319302900772159</v>
      </c>
      <c r="V11">
        <f>_xlfn.STDEV.P(R10,R11,R12,R13,R14:R15,R16,R17,R18:R19)</f>
        <v>3.224296135185674</v>
      </c>
    </row>
    <row r="12" spans="1:22" x14ac:dyDescent="0.25">
      <c r="P12">
        <v>4</v>
      </c>
      <c r="Q12">
        <v>6.4810670402017934E-3</v>
      </c>
      <c r="R12">
        <v>5.7954501012781652</v>
      </c>
      <c r="T12" t="s">
        <v>63</v>
      </c>
      <c r="U12">
        <f>SQRT((SUM(Q10,Q11,Q12,Q13,Q14:Q15,Q16,Q17,Q18:Q19))/10)</f>
        <v>0.32846331561496089</v>
      </c>
      <c r="V12">
        <f>SQRT((SUM(R10,R11,R12,R13,R14:R15,R16,R17,R18:R19))/10)</f>
        <v>1.8865005351969553</v>
      </c>
    </row>
    <row r="13" spans="1:22" x14ac:dyDescent="0.25">
      <c r="P13">
        <v>1</v>
      </c>
      <c r="Q13">
        <v>4.7815885868010499E-2</v>
      </c>
      <c r="R13">
        <v>5.7681623445158623</v>
      </c>
    </row>
    <row r="14" spans="1:22" x14ac:dyDescent="0.25">
      <c r="P14">
        <v>16</v>
      </c>
      <c r="Q14">
        <v>1.0167044113434529</v>
      </c>
      <c r="R14">
        <v>-2.4405138545505647</v>
      </c>
    </row>
    <row r="17" spans="9:24" x14ac:dyDescent="0.25">
      <c r="I17" t="s">
        <v>21</v>
      </c>
      <c r="P17" s="22" t="s">
        <v>1</v>
      </c>
      <c r="Q17" s="23" t="s">
        <v>60</v>
      </c>
      <c r="R17" s="23" t="s">
        <v>61</v>
      </c>
      <c r="U17" s="23" t="s">
        <v>31</v>
      </c>
      <c r="V17" s="23" t="s">
        <v>32</v>
      </c>
    </row>
    <row r="18" spans="9:24" x14ac:dyDescent="0.25">
      <c r="P18">
        <v>1</v>
      </c>
      <c r="Q18">
        <v>4.7815885868010499E-2</v>
      </c>
      <c r="R18">
        <v>5.7681623445158623</v>
      </c>
      <c r="T18" t="s">
        <v>51</v>
      </c>
      <c r="U18">
        <f>AVERAGE(Q18,Q19,Q20,Q21,Q22:Q23,Q27,Q28,Q29:Q30)</f>
        <v>7.2479483849706801E-3</v>
      </c>
      <c r="V18">
        <f>AVERAGE(R18,R19,R20,R21,R22:R23,R27,R28,R29:R30)</f>
        <v>3.1640250101856378</v>
      </c>
    </row>
    <row r="19" spans="9:24" x14ac:dyDescent="0.25">
      <c r="P19">
        <v>4</v>
      </c>
      <c r="Q19">
        <v>6.4810670402017934E-3</v>
      </c>
      <c r="R19">
        <v>5.7954501012781652</v>
      </c>
      <c r="T19" t="s">
        <v>62</v>
      </c>
      <c r="U19">
        <f>_xlfn.STDEV.P(Q18,Q19,Q20,Q21,Q22:Q23,Q27,Q28,Q29:Q30)</f>
        <v>2.8662097948458962E-2</v>
      </c>
      <c r="V19">
        <f>_xlfn.STDEV.P(R18,R19,R20,R21,R22:R23,R27,R28,R29:R30)</f>
        <v>2.7705600798916787</v>
      </c>
    </row>
    <row r="20" spans="9:24" x14ac:dyDescent="0.25">
      <c r="P20">
        <v>6</v>
      </c>
      <c r="Q20">
        <v>-1.6924490459350849E-2</v>
      </c>
      <c r="R20">
        <v>6.2263596719310836</v>
      </c>
      <c r="T20" t="s">
        <v>63</v>
      </c>
      <c r="U20">
        <f>SQRT((SUM(Q18,Q19,Q20,Q21,Q22:Q23,Q27,Q28,Q29:Q30))/10)</f>
        <v>6.5945197179039572E-2</v>
      </c>
      <c r="V20">
        <f>SQRT((SUM(R18,R19,R20,R21,R22:R23,R27,R28,R29:R30))/10)</f>
        <v>1.3778298175432926</v>
      </c>
    </row>
    <row r="21" spans="9:24" x14ac:dyDescent="0.25">
      <c r="P21">
        <v>9</v>
      </c>
      <c r="Q21">
        <v>4.1354018612371535E-2</v>
      </c>
      <c r="R21">
        <v>0.29505897678781728</v>
      </c>
      <c r="X21" t="s">
        <v>21</v>
      </c>
    </row>
    <row r="22" spans="9:24" x14ac:dyDescent="0.25">
      <c r="P22">
        <v>11</v>
      </c>
      <c r="Q22">
        <v>-5.4036453628008019E-3</v>
      </c>
      <c r="R22">
        <v>0.40168570635382028</v>
      </c>
    </row>
    <row r="23" spans="9:24" x14ac:dyDescent="0.25">
      <c r="P23">
        <v>12</v>
      </c>
      <c r="Q23">
        <v>-2.9835145388608098E-2</v>
      </c>
      <c r="R23">
        <v>0.49743326024707568</v>
      </c>
    </row>
  </sheetData>
  <sortState xmlns:xlrd2="http://schemas.microsoft.com/office/spreadsheetml/2017/richdata2" ref="P10:R19">
    <sortCondition descending="1" ref="R10:R1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950B6-3F47-470B-BFF9-5437BC0E9EB5}">
  <dimension ref="A1:E33"/>
  <sheetViews>
    <sheetView workbookViewId="0">
      <selection activeCell="F16" sqref="F16"/>
    </sheetView>
  </sheetViews>
  <sheetFormatPr defaultRowHeight="15" x14ac:dyDescent="0.25"/>
  <sheetData>
    <row r="1" spans="1:5" x14ac:dyDescent="0.25">
      <c r="A1">
        <v>2</v>
      </c>
      <c r="B1">
        <v>1.901</v>
      </c>
      <c r="C1">
        <v>5.7619999999999996</v>
      </c>
      <c r="D1">
        <v>-5.0000000000000001E-3</v>
      </c>
      <c r="E1">
        <v>1E-3</v>
      </c>
    </row>
    <row r="2" spans="1:5" x14ac:dyDescent="0.25">
      <c r="A2">
        <v>3</v>
      </c>
      <c r="B2">
        <v>4.4960000000000004</v>
      </c>
      <c r="C2">
        <v>6.3159999999999998</v>
      </c>
      <c r="D2">
        <v>-7.0000000000000001E-3</v>
      </c>
      <c r="E2">
        <v>7.0000000000000001E-3</v>
      </c>
    </row>
    <row r="3" spans="1:5" x14ac:dyDescent="0.25">
      <c r="A3">
        <v>5</v>
      </c>
      <c r="B3">
        <v>6.2510000000000003</v>
      </c>
      <c r="C3">
        <v>6.2249999999999996</v>
      </c>
      <c r="D3">
        <v>4.0000000000000001E-3</v>
      </c>
      <c r="E3">
        <v>1.6E-2</v>
      </c>
    </row>
    <row r="4" spans="1:5" x14ac:dyDescent="0.25">
      <c r="A4">
        <v>7</v>
      </c>
      <c r="B4">
        <v>10.587</v>
      </c>
      <c r="C4">
        <v>6.0949999999999998</v>
      </c>
      <c r="D4">
        <v>-3.0000000000000001E-3</v>
      </c>
      <c r="E4">
        <v>-8.0000000000000002E-3</v>
      </c>
    </row>
    <row r="5" spans="1:5" x14ac:dyDescent="0.25">
      <c r="A5">
        <v>8</v>
      </c>
      <c r="B5">
        <v>0.01</v>
      </c>
      <c r="C5">
        <v>0.32200000000000001</v>
      </c>
      <c r="D5">
        <v>1.0999999999999999E-2</v>
      </c>
      <c r="E5">
        <v>3.0000000000000001E-3</v>
      </c>
    </row>
    <row r="6" spans="1:5" x14ac:dyDescent="0.25">
      <c r="A6">
        <v>10</v>
      </c>
      <c r="B6">
        <v>3.9780000000000002</v>
      </c>
      <c r="C6">
        <v>-0.13100000000000001</v>
      </c>
      <c r="D6">
        <v>-8.9999999999999993E-3</v>
      </c>
      <c r="E6">
        <v>-5.0000000000000001E-3</v>
      </c>
    </row>
    <row r="7" spans="1:5" x14ac:dyDescent="0.25">
      <c r="A7">
        <v>13</v>
      </c>
      <c r="B7">
        <v>10.896000000000001</v>
      </c>
      <c r="C7">
        <v>9.9000000000000005E-2</v>
      </c>
      <c r="D7">
        <v>-0.01</v>
      </c>
      <c r="E7">
        <v>-3.0000000000000001E-3</v>
      </c>
    </row>
    <row r="8" spans="1:5" x14ac:dyDescent="0.25">
      <c r="A8">
        <v>24</v>
      </c>
      <c r="B8">
        <v>1.1639999999999999</v>
      </c>
      <c r="C8">
        <v>8.77</v>
      </c>
      <c r="D8">
        <v>1.9E-2</v>
      </c>
      <c r="E8">
        <v>-1.6E-2</v>
      </c>
    </row>
    <row r="9" spans="1:5" x14ac:dyDescent="0.25">
      <c r="A9">
        <v>25</v>
      </c>
      <c r="B9">
        <v>5.4889999999999999</v>
      </c>
      <c r="C9">
        <v>8.7870000000000008</v>
      </c>
      <c r="D9">
        <v>4.0000000000000001E-3</v>
      </c>
      <c r="E9">
        <v>5.0000000000000001E-3</v>
      </c>
    </row>
    <row r="10" spans="1:5" x14ac:dyDescent="0.25">
      <c r="A10">
        <v>26</v>
      </c>
      <c r="B10">
        <v>9.8119999999999994</v>
      </c>
      <c r="C10">
        <v>8.7569999999999997</v>
      </c>
      <c r="D10">
        <v>-2E-3</v>
      </c>
      <c r="E10">
        <v>-8.0000000000000002E-3</v>
      </c>
    </row>
    <row r="11" spans="1:5" x14ac:dyDescent="0.25">
      <c r="A11">
        <v>27</v>
      </c>
      <c r="B11">
        <v>10.119999999999999</v>
      </c>
      <c r="C11">
        <v>3.206</v>
      </c>
      <c r="D11">
        <v>1.4999999999999999E-2</v>
      </c>
      <c r="E11">
        <v>0</v>
      </c>
    </row>
    <row r="12" spans="1:5" x14ac:dyDescent="0.25">
      <c r="A12">
        <v>28</v>
      </c>
      <c r="B12">
        <v>4.9169999999999998</v>
      </c>
      <c r="C12">
        <v>3.17</v>
      </c>
      <c r="D12">
        <v>-5.0000000000000001E-3</v>
      </c>
      <c r="E12">
        <v>-3.0000000000000001E-3</v>
      </c>
    </row>
    <row r="13" spans="1:5" x14ac:dyDescent="0.25">
      <c r="A13">
        <v>29</v>
      </c>
      <c r="B13">
        <v>0.57699999999999996</v>
      </c>
      <c r="C13">
        <v>3.1709999999999998</v>
      </c>
      <c r="D13">
        <v>-2.5000000000000001E-2</v>
      </c>
      <c r="E13">
        <v>-2.3E-2</v>
      </c>
    </row>
    <row r="14" spans="1:5" x14ac:dyDescent="0.25">
      <c r="A14">
        <v>30</v>
      </c>
      <c r="B14">
        <v>1.744</v>
      </c>
      <c r="C14">
        <v>-1.1359999999999999</v>
      </c>
      <c r="D14">
        <v>2.1999999999999999E-2</v>
      </c>
      <c r="E14">
        <v>3.0000000000000001E-3</v>
      </c>
    </row>
    <row r="15" spans="1:5" x14ac:dyDescent="0.25">
      <c r="A15">
        <v>37</v>
      </c>
      <c r="B15">
        <v>0.33100000000000002</v>
      </c>
      <c r="C15">
        <v>4.7789999999999999</v>
      </c>
      <c r="D15">
        <v>-1.0999999999999999E-2</v>
      </c>
      <c r="E15">
        <v>2.1999999999999999E-2</v>
      </c>
    </row>
    <row r="16" spans="1:5" x14ac:dyDescent="0.25">
      <c r="A16">
        <v>41</v>
      </c>
      <c r="B16">
        <v>10.425000000000001</v>
      </c>
      <c r="C16">
        <v>4.8239999999999998</v>
      </c>
      <c r="D16">
        <v>2E-3</v>
      </c>
      <c r="E16">
        <v>8.0000000000000002E-3</v>
      </c>
    </row>
    <row r="18" spans="1:3" x14ac:dyDescent="0.25">
      <c r="A18">
        <v>2</v>
      </c>
      <c r="B18">
        <v>1123</v>
      </c>
      <c r="C18">
        <v>825</v>
      </c>
    </row>
    <row r="19" spans="1:3" x14ac:dyDescent="0.25">
      <c r="A19">
        <v>3</v>
      </c>
      <c r="B19">
        <v>1548</v>
      </c>
      <c r="C19">
        <v>732</v>
      </c>
    </row>
    <row r="20" spans="1:3" x14ac:dyDescent="0.25">
      <c r="A20">
        <v>5</v>
      </c>
      <c r="B20">
        <v>1833</v>
      </c>
      <c r="C20">
        <v>743</v>
      </c>
    </row>
    <row r="21" spans="1:3" x14ac:dyDescent="0.25">
      <c r="A21">
        <v>7</v>
      </c>
      <c r="B21">
        <v>2542</v>
      </c>
      <c r="C21">
        <v>752</v>
      </c>
    </row>
    <row r="22" spans="1:3" x14ac:dyDescent="0.25">
      <c r="A22">
        <v>8</v>
      </c>
      <c r="B22">
        <v>780</v>
      </c>
      <c r="C22">
        <v>1730</v>
      </c>
    </row>
    <row r="23" spans="1:3" x14ac:dyDescent="0.25">
      <c r="A23">
        <v>10</v>
      </c>
      <c r="B23">
        <v>1461</v>
      </c>
      <c r="C23">
        <v>1801</v>
      </c>
    </row>
    <row r="24" spans="1:3" x14ac:dyDescent="0.25">
      <c r="A24">
        <v>13</v>
      </c>
      <c r="B24">
        <v>2654</v>
      </c>
      <c r="C24">
        <v>1744</v>
      </c>
    </row>
    <row r="25" spans="1:3" x14ac:dyDescent="0.25">
      <c r="A25">
        <v>24</v>
      </c>
      <c r="B25">
        <v>1015</v>
      </c>
      <c r="C25">
        <v>364</v>
      </c>
    </row>
    <row r="26" spans="1:3" x14ac:dyDescent="0.25">
      <c r="A26">
        <v>25</v>
      </c>
      <c r="B26">
        <v>1704</v>
      </c>
      <c r="C26">
        <v>351</v>
      </c>
    </row>
    <row r="27" spans="1:3" x14ac:dyDescent="0.25">
      <c r="A27">
        <v>26</v>
      </c>
      <c r="B27">
        <v>2395</v>
      </c>
      <c r="C27">
        <v>345</v>
      </c>
    </row>
    <row r="28" spans="1:3" x14ac:dyDescent="0.25">
      <c r="A28">
        <v>27</v>
      </c>
      <c r="B28">
        <v>2491</v>
      </c>
      <c r="C28">
        <v>1218</v>
      </c>
    </row>
    <row r="29" spans="1:3" x14ac:dyDescent="0.25">
      <c r="A29">
        <v>28</v>
      </c>
      <c r="B29">
        <v>1619</v>
      </c>
      <c r="C29">
        <v>1236</v>
      </c>
    </row>
    <row r="30" spans="1:3" x14ac:dyDescent="0.25">
      <c r="A30">
        <v>29</v>
      </c>
      <c r="B30">
        <v>897</v>
      </c>
      <c r="C30">
        <v>1242</v>
      </c>
    </row>
    <row r="31" spans="1:3" x14ac:dyDescent="0.25">
      <c r="A31">
        <v>30</v>
      </c>
      <c r="B31">
        <v>1072</v>
      </c>
      <c r="C31">
        <v>1982</v>
      </c>
    </row>
    <row r="32" spans="1:3" x14ac:dyDescent="0.25">
      <c r="A32">
        <v>37</v>
      </c>
      <c r="B32">
        <v>861</v>
      </c>
      <c r="C32">
        <v>986</v>
      </c>
    </row>
    <row r="33" spans="1:3" x14ac:dyDescent="0.25">
      <c r="A33">
        <v>41</v>
      </c>
      <c r="B33">
        <v>2526</v>
      </c>
      <c r="C33">
        <v>954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536FDB8178FE4449911114969F9DEF6" ma:contentTypeVersion="14" ma:contentTypeDescription="Creare un nuovo documento." ma:contentTypeScope="" ma:versionID="b19b4575ff0a64425710d2fed772de6d">
  <xsd:schema xmlns:xsd="http://www.w3.org/2001/XMLSchema" xmlns:xs="http://www.w3.org/2001/XMLSchema" xmlns:p="http://schemas.microsoft.com/office/2006/metadata/properties" xmlns:ns3="6353608f-b5f1-4f5a-99a4-0cca11fbd1be" xmlns:ns4="4ee50084-0ae5-4c20-87cb-d2bfad0797e2" targetNamespace="http://schemas.microsoft.com/office/2006/metadata/properties" ma:root="true" ma:fieldsID="abb1cde4910527877f913863aef35dab" ns3:_="" ns4:_="">
    <xsd:import namespace="6353608f-b5f1-4f5a-99a4-0cca11fbd1be"/>
    <xsd:import namespace="4ee50084-0ae5-4c20-87cb-d2bfad0797e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53608f-b5f1-4f5a-99a4-0cca11fbd1b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e50084-0ae5-4c20-87cb-d2bfad0797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23E102-566F-43D7-BC0C-FAA9EEF126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53608f-b5f1-4f5a-99a4-0cca11fbd1be"/>
    <ds:schemaRef ds:uri="4ee50084-0ae5-4c20-87cb-d2bfad0797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483AA9-0BD6-4904-8B22-D5CF25C1A39E}">
  <ds:schemaRefs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4ee50084-0ae5-4c20-87cb-d2bfad0797e2"/>
    <ds:schemaRef ds:uri="http://purl.org/dc/dcmitype/"/>
    <ds:schemaRef ds:uri="http://schemas.microsoft.com/office/infopath/2007/PartnerControls"/>
    <ds:schemaRef ds:uri="6353608f-b5f1-4f5a-99a4-0cca11fbd1be"/>
  </ds:schemaRefs>
</ds:datastoreItem>
</file>

<file path=customXml/itemProps3.xml><?xml version="1.0" encoding="utf-8"?>
<ds:datastoreItem xmlns:ds="http://schemas.openxmlformats.org/officeDocument/2006/customXml" ds:itemID="{6B037BC1-098D-4734-8777-30B3F2433E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Observations</vt:lpstr>
      <vt:lpstr>GCP vs CP</vt:lpstr>
      <vt:lpstr>Non-facade Points</vt:lpstr>
      <vt:lpstr>Varie ed Eventuali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Rossi</dc:creator>
  <cp:lastModifiedBy>Gaia Vallarino</cp:lastModifiedBy>
  <dcterms:created xsi:type="dcterms:W3CDTF">2021-11-19T06:47:09Z</dcterms:created>
  <dcterms:modified xsi:type="dcterms:W3CDTF">2023-01-10T20:37:01Z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0x010100B536FDB8178FE4449911114969F9DEF6</vt:lpwstr>
  </property>
</Properties>
</file>