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styles.xml" ContentType="application/vnd.openxmlformats-officedocument.spreadsheetml.styl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9.xml.rels" ContentType="application/vnd.openxmlformats-package.relationships+xml"/>
  <Override PartName="/xl/worksheets/_rels/sheet1.xml.rels" ContentType="application/vnd.openxmlformats-package.relationships+xml"/>
  <Override PartName="/xl/worksheets/_rels/sheet10.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sheet12.xml" ContentType="application/vnd.openxmlformats-officedocument.spreadsheetml.worksheet+xml"/>
  <Override PartName="/xl/workbook.xml" ContentType="application/vnd.openxmlformats-officedocument.spreadsheetml.sheet.main+xml"/>
  <Override PartName="/xl/media/image59.png" ContentType="image/png"/>
  <Override PartName="/xl/media/image51.png" ContentType="image/png"/>
  <Override PartName="/xl/media/image52.png" ContentType="image/png"/>
  <Override PartName="/xl/media/image53.png" ContentType="image/png"/>
  <Override PartName="/xl/media/image54.png" ContentType="image/png"/>
  <Override PartName="/xl/media/image55.png" ContentType="image/png"/>
  <Override PartName="/xl/media/image56.png" ContentType="image/png"/>
  <Override PartName="/xl/media/image57.png" ContentType="image/png"/>
  <Override PartName="/xl/media/image58.png" ContentType="image/png"/>
  <Override PartName="/xl/media/image60.png" ContentType="image/png"/>
  <Override PartName="/xl/sharedStrings.xml" ContentType="application/vnd.openxmlformats-officedocument.spreadsheetml.sharedStrings+xml"/>
  <Override PartName="/xl/externalLinks/_rels/externalLink1.xml.rels" ContentType="application/vnd.openxmlformats-package.relationships+xml"/>
  <Override PartName="/xl/externalLinks/externalLink1.xml" ContentType="application/vnd.openxmlformats-officedocument.spreadsheetml.externalLink+xml"/>
  <Override PartName="/xl/drawings/drawing9.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_rels/drawing2.xml.rels" ContentType="application/vnd.openxmlformats-package.relationships+xml"/>
  <Override PartName="/xl/drawings/_rels/drawing3.xml.rels" ContentType="application/vnd.openxmlformats-package.relationships+xml"/>
  <Override PartName="/xl/drawings/_rels/drawing7.xml.rels" ContentType="application/vnd.openxmlformats-package.relationships+xml"/>
  <Override PartName="/xl/drawings/_rels/drawing9.xml.rels" ContentType="application/vnd.openxmlformats-package.relationships+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ETF List" sheetId="1" state="visible" r:id="rId2"/>
    <sheet name="Final Report" sheetId="2" state="visible" r:id="rId3"/>
    <sheet name="Policy Portfolio" sheetId="3" state="visible" r:id="rId4"/>
    <sheet name="Risk &amp; Returns" sheetId="4" state="visible" r:id="rId5"/>
    <sheet name="Trades" sheetId="5" state="visible" r:id="rId6"/>
    <sheet name="Price Inputs" sheetId="6" state="visible" r:id="rId7"/>
    <sheet name="Current Portfolio" sheetId="7" state="visible" r:id="rId8"/>
    <sheet name="Port Returns" sheetId="8" state="visible" r:id="rId9"/>
    <sheet name="Portfolio Bucket" sheetId="9" state="hidden" r:id="rId10"/>
    <sheet name="Calculations" sheetId="10" state="hidden" r:id="rId11"/>
    <sheet name="Weekly  Sum" sheetId="11" state="hidden" r:id="rId12"/>
    <sheet name="Weighted Returns" sheetId="12" state="hidden" r:id="rId13"/>
  </sheets>
  <externalReferences>
    <externalReference r:id="rId14"/>
  </externalReferences>
  <definedNames>
    <definedName function="false" hidden="false" localSheetId="6" name="_xlnm.Print_Area" vbProcedure="false">'Current Portfolio'!$A$1:$K$40</definedName>
    <definedName function="false" hidden="false" localSheetId="0" name="_xlnm.Print_Area" vbProcedure="false">'ETF List'!$A$1:$J$91</definedName>
    <definedName function="false" hidden="false" localSheetId="1" name="_xlnm.Print_Area" vbProcedure="false">'Final Report'!$C$4:$AD$52</definedName>
    <definedName function="false" hidden="false" localSheetId="2" name="_xlnm.Print_Area" vbProcedure="false">'Policy Portfolio'!$A$1:$I$31</definedName>
    <definedName function="false" hidden="false" localSheetId="7" name="_xlnm.Print_Area" vbProcedure="false">'Port Returns'!$A$1:$M$78</definedName>
    <definedName function="false" hidden="true" localSheetId="8" name="_xlnm._FilterDatabase" vbProcedure="false">'Portfolio Bucket'!$C$2:$I$2</definedName>
    <definedName function="false" hidden="false" localSheetId="5" name="_xlnm.Print_Area" vbProcedure="false">'Price Inputs'!$A$1:$J$49</definedName>
    <definedName function="false" hidden="false" localSheetId="3" name="_xlnm.Print_Area" vbProcedure="false">'Risk &amp; Returns'!$A$1:$Q$55</definedName>
    <definedName function="false" hidden="false" localSheetId="4" name="_xlnm.Print_Area" vbProcedure="false">Trades!$A$1:$O$59</definedName>
    <definedName function="false" hidden="false" name="Alternatives" vbProcedure="false">'Policy Portfolio'!$AJ$2:$AJ$5</definedName>
    <definedName function="false" hidden="false" name="BLPB1" vbProcedure="false">#REF!</definedName>
    <definedName function="false" hidden="false" name="BLPH1" vbProcedure="false">#REF!</definedName>
    <definedName function="false" hidden="false" name="BLPH2" vbProcedure="false">#REF!</definedName>
    <definedName function="false" hidden="false" name="BLPH3" vbProcedure="false">#REF!</definedName>
    <definedName function="false" hidden="false" name="BLPH4" vbProcedure="false">#REF!</definedName>
    <definedName function="false" hidden="false" name="BLPH5" vbProcedure="false">#REF!</definedName>
    <definedName function="false" hidden="false" name="BLPH6" vbProcedure="false">#REF!</definedName>
    <definedName function="false" hidden="false" name="BLPH7" vbProcedure="false">#REF!</definedName>
    <definedName function="false" hidden="false" name="BLPH8" vbProcedure="false">#REF!</definedName>
    <definedName function="false" hidden="false" name="Bonds" vbProcedure="false">'Policy Portfolio'!$AI$2:$AI$11</definedName>
    <definedName function="false" hidden="false" name="Buy_Price" vbProcedure="false">Trades!$L$32:$L$59</definedName>
    <definedName function="false" hidden="false" name="Cost_Basis" vbProcedure="false">Trades!$O$32:$O$59</definedName>
    <definedName function="false" hidden="false" name="Current_Ticker" vbProcedure="false">'Price Inputs'!$C$20:$C$49</definedName>
    <definedName function="false" hidden="false" name="Dates" vbProcedure="false">'Price Inputs'!$E$4:$J$4</definedName>
    <definedName function="false" hidden="false" name="DSTSource" vbProcedure="false">"&lt;DEFAULT&gt;"</definedName>
    <definedName function="false" hidden="false" name="Extra_Cash" vbProcedure="false">Trades!$E$4</definedName>
    <definedName function="false" hidden="false" name="Initial_Cash" vbProcedure="false">Trades!$E$3</definedName>
    <definedName function="false" hidden="false" name="Intl_Equity" vbProcedure="false">'Policy Portfolio'!$AH$2:$AH$8</definedName>
    <definedName function="false" hidden="false" name="IQ_1_4_FAMILY_JUNIOR_LIENS_CHARGE_OFFS_FDIC" vbProcedure="false">"c6605"</definedName>
    <definedName function="false" hidden="false" name="IQ_1_4_FAMILY_JUNIOR_LIENS_NET_CHARGE_OFFS_FDIC" vbProcedure="false">"c6643"</definedName>
    <definedName function="false" hidden="false" name="IQ_1_4_FAMILY_JUNIOR_LIENS_RECOVERIES_FDIC" vbProcedure="false">"c6624"</definedName>
    <definedName function="false" hidden="false" name="IQ_1_4_FAMILY_SENIOR_LIENS_CHARGE_OFFS_FDIC" vbProcedure="false">"c6604"</definedName>
    <definedName function="false" hidden="false" name="IQ_1_4_FAMILY_SENIOR_LIENS_NET_CHARGE_OFFS_FDIC" vbProcedure="false">"c6642"</definedName>
    <definedName function="false" hidden="false" name="IQ_1_4_FAMILY_SENIOR_LIENS_RECOVERIES_FDIC" vbProcedure="false">"c6623"</definedName>
    <definedName function="false" hidden="false" name="IQ_1_4_HOME_EQUITY_NET_LOANS_FDIC" vbProcedure="false">"c6441"</definedName>
    <definedName function="false" hidden="false" name="IQ_1_4_RESIDENTIAL_FIRST_LIENS_NET_LOANS_FDIC" vbProcedure="false">"c6439"</definedName>
    <definedName function="false" hidden="false" name="IQ_1_4_RESIDENTIAL_JUNIOR_LIENS_NET_LOANS_FDIC" vbProcedure="false">"c6440"</definedName>
    <definedName function="false" hidden="false" name="IQ_1_4_RESIDENTIAL_LOANS_FDIC" vbProcedure="false">"c6310"</definedName>
    <definedName function="false" hidden="false" name="IQ_ACQUIRED_BY_REPORTING_BANK_FDIC" vbProcedure="false">"c6535"</definedName>
    <definedName function="false" hidden="false" name="IQ_ADDIN" vbProcedure="false">"AUTO"</definedName>
    <definedName function="false" hidden="false" name="IQ_ADDITIONAL_NON_INT_INC_FDIC" vbProcedure="false">"c6574"</definedName>
    <definedName function="false" hidden="false" name="IQ_ADJUSTABLE_RATE_LOANS_FDIC" vbProcedure="false">"c6375"</definedName>
    <definedName function="false" hidden="false" name="IQ_AFTER_TAX_INCOME_FDIC" vbProcedure="false">"c6583"</definedName>
    <definedName function="false" hidden="false" name="IQ_AGRICULTURAL_PRODUCTION_CHARGE_OFFS_FDIC" vbProcedure="false">"c6597"</definedName>
    <definedName function="false" hidden="false" name="IQ_AGRICULTURAL_PRODUCTION_CHARGE_OFFS_LESS_THAN_300M_FDIC" vbProcedure="false">"c6655"</definedName>
    <definedName function="false" hidden="false" name="IQ_AGRICULTURAL_PRODUCTION_NET_CHARGE_OFFS_FDIC" vbProcedure="false">"c6635"</definedName>
    <definedName function="false" hidden="false" name="IQ_AGRICULTURAL_PRODUCTION_NET_CHARGE_OFFS_LESS_THAN_300M_FDIC" vbProcedure="false">"c6657"</definedName>
    <definedName function="false" hidden="false" name="IQ_AGRICULTURAL_PRODUCTION_RECOVERIES_FDIC" vbProcedure="false">"c6616"</definedName>
    <definedName function="false" hidden="false" name="IQ_AGRICULTURAL_PRODUCTION_RECOVERIES_LESS_THAN_300M_FDIC" vbProcedure="false">"c6656"</definedName>
    <definedName function="false" hidden="false" name="IQ_AMENDED_BALANCE_PREVIOUS_YR_FDIC" vbProcedure="false">"c6499"</definedName>
    <definedName function="false" hidden="false" name="IQ_AMORTIZED_COST_FDIC" vbProcedure="false">"c6426"</definedName>
    <definedName function="false" hidden="false" name="IQ_AMORT_EXPENSE_FDIC" vbProcedure="false">"c6677"</definedName>
    <definedName function="false" hidden="false" name="IQ_ASSETS_HELD_FDIC" vbProcedure="false">"c6305"</definedName>
    <definedName function="false" hidden="false" name="IQ_ASSETS_PER_EMPLOYEE_FDIC" vbProcedure="false">"c6737"</definedName>
    <definedName function="false" hidden="false" name="IQ_ASSETS_SOLD_1_4_FAMILY_LOANS_FDIC" vbProcedure="false">"c6686"</definedName>
    <definedName function="false" hidden="false" name="IQ_ASSETS_SOLD_AUTO_LOANS_FDIC" vbProcedure="false">"c6680"</definedName>
    <definedName function="false" hidden="false" name="IQ_ASSETS_SOLD_CL_LOANS_FDIC" vbProcedure="false">"c6681"</definedName>
    <definedName function="false" hidden="false" name="IQ_ASSETS_SOLD_CREDIT_CARDS_RECEIVABLES_FDIC" vbProcedure="false">"c6683"</definedName>
    <definedName function="false" hidden="false" name="IQ_ASSETS_SOLD_HOME_EQUITY_LINES_FDIC" vbProcedure="false">"c6684"</definedName>
    <definedName function="false" hidden="false" name="IQ_ASSETS_SOLD_OTHER_CONSUMER_LOANS_FDIC" vbProcedure="false">"c6682"</definedName>
    <definedName function="false" hidden="false" name="IQ_ASSETS_SOLD_OTHER_LOANS_FDIC" vbProcedure="false">"c6685"</definedName>
    <definedName function="false" hidden="false" name="IQ_ASSET_BACKED_FDIC" vbProcedure="false">"c6301"</definedName>
    <definedName function="false" hidden="false" name="IQ_AVAILABLE_FOR_SALE_FDIC" vbProcedure="false">"c6409"</definedName>
    <definedName function="false" hidden="false" name="IQ_AVERAGE_ASSETS_FDIC" vbProcedure="false">"c6362"</definedName>
    <definedName function="false" hidden="false" name="IQ_AVERAGE_ASSETS_QUART_FDIC" vbProcedure="false">"c6363"</definedName>
    <definedName function="false" hidden="false" name="IQ_AVERAGE_EARNING_ASSETS_FDIC" vbProcedure="false">"c6748"</definedName>
    <definedName function="false" hidden="false" name="IQ_AVERAGE_EQUITY_FDIC" vbProcedure="false">"c6749"</definedName>
    <definedName function="false" hidden="false" name="IQ_AVERAGE_LOANS_FDIC" vbProcedure="false">"c6750"</definedName>
    <definedName function="false" hidden="false" name="IQ_AVG_PRICE_TARGET" vbProcedure="false">"c82"</definedName>
    <definedName function="false" hidden="false" name="IQ_BALANCES_DUE_DEPOSITORY_INSTITUTIONS_FDIC" vbProcedure="false">"c6389"</definedName>
    <definedName function="false" hidden="false" name="IQ_BALANCES_DUE_FOREIGN_FDIC" vbProcedure="false">"c6391"</definedName>
    <definedName function="false" hidden="false" name="IQ_BALANCES_DUE_FRB_FDIC" vbProcedure="false">"c6393"</definedName>
    <definedName function="false" hidden="false" name="IQ_BALANCE_GOODS_APR_FC_UNUSED_UNUSED_UNUSED" vbProcedure="false">"c8353"</definedName>
    <definedName function="false" hidden="false" name="IQ_BALANCE_GOODS_APR_UNUSED_UNUSED_UNUSED" vbProcedure="false">"c7473"</definedName>
    <definedName function="false" hidden="false" name="IQ_BALANCE_GOODS_FC_UNUSED_UNUSED_UNUSED" vbProcedure="false">"c7693"</definedName>
    <definedName function="false" hidden="false" name="IQ_BALANCE_GOODS_POP_FC_UNUSED_UNUSED_UNUSED" vbProcedure="false">"c7913"</definedName>
    <definedName function="false" hidden="false" name="IQ_BALANCE_GOODS_POP_UNUSED_UNUSED_UNUSED" vbProcedure="false">"c7033"</definedName>
    <definedName function="false" hidden="false" name="IQ_BALANCE_GOODS_UNUSED_UNUSED_UNUSED" vbProcedure="false">"c6813"</definedName>
    <definedName function="false" hidden="false" name="IQ_BALANCE_GOODS_YOY_FC_UNUSED_UNUSED_UNUSED" vbProcedure="false">"c8133"</definedName>
    <definedName function="false" hidden="false" name="IQ_BALANCE_GOODS_YOY_UNUSED_UNUSED_UNUSED" vbProcedure="false">"c7253"</definedName>
    <definedName function="false" hidden="false" name="IQ_BALANCE_SERV_APR_FC_UNUSED_UNUSED_UNUSED" vbProcedure="false">"c8355"</definedName>
    <definedName function="false" hidden="false" name="IQ_BALANCE_SERV_APR_UNUSED_UNUSED_UNUSED" vbProcedure="false">"c7475"</definedName>
    <definedName function="false" hidden="false" name="IQ_BALANCE_SERV_FC_UNUSED_UNUSED_UNUSED" vbProcedure="false">"c7695"</definedName>
    <definedName function="false" hidden="false" name="IQ_BALANCE_SERV_POP_FC_UNUSED_UNUSED_UNUSED" vbProcedure="false">"c7915"</definedName>
    <definedName function="false" hidden="false" name="IQ_BALANCE_SERV_POP_UNUSED_UNUSED_UNUSED" vbProcedure="false">"c7035"</definedName>
    <definedName function="false" hidden="false" name="IQ_BALANCE_SERV_UNUSED_UNUSED_UNUSED" vbProcedure="false">"c6815"</definedName>
    <definedName function="false" hidden="false" name="IQ_BALANCE_SERV_YOY_FC_UNUSED_UNUSED_UNUSED" vbProcedure="false">"c8135"</definedName>
    <definedName function="false" hidden="false" name="IQ_BALANCE_SERV_YOY_UNUSED_UNUSED_UNUSED" vbProcedure="false">"c7255"</definedName>
    <definedName function="false" hidden="false" name="IQ_BALANCE_TRADE_APR_FC_UNUSED_UNUSED_UNUSED" vbProcedure="false">"c8357"</definedName>
    <definedName function="false" hidden="false" name="IQ_BALANCE_TRADE_APR_UNUSED_UNUSED_UNUSED" vbProcedure="false">"c7477"</definedName>
    <definedName function="false" hidden="false" name="IQ_BALANCE_TRADE_FC_UNUSED_UNUSED_UNUSED" vbProcedure="false">"c7697"</definedName>
    <definedName function="false" hidden="false" name="IQ_BALANCE_TRADE_POP_FC_UNUSED_UNUSED_UNUSED" vbProcedure="false">"c7917"</definedName>
    <definedName function="false" hidden="false" name="IQ_BALANCE_TRADE_POP_UNUSED_UNUSED_UNUSED" vbProcedure="false">"c7037"</definedName>
    <definedName function="false" hidden="false" name="IQ_BALANCE_TRADE_UNUSED_UNUSED_UNUSED" vbProcedure="false">"c6817"</definedName>
    <definedName function="false" hidden="false" name="IQ_BALANCE_TRADE_YOY_FC_UNUSED_UNUSED_UNUSED" vbProcedure="false">"c8137"</definedName>
    <definedName function="false" hidden="false" name="IQ_BALANCE_TRADE_YOY_UNUSED_UNUSED_UNUSED" vbProcedure="false">"c7257"</definedName>
    <definedName function="false" hidden="false" name="IQ_BANKS_FOREIGN_COUNTRIES_TOTAL_DEPOSITS_FDIC" vbProcedure="false">"c6475"</definedName>
    <definedName function="false" hidden="false" name="IQ_BANK_BENEFICIARY_FDIC" vbProcedure="false">"c6505"</definedName>
    <definedName function="false" hidden="false" name="IQ_BANK_GUARANTOR_FDIC" vbProcedure="false">"c6506"</definedName>
    <definedName function="false" hidden="false" name="IQ_BANK_PREMISES_FDIC" vbProcedure="false">"c6329"</definedName>
    <definedName function="false" hidden="false" name="IQ_BANK_SECURITIZATION_1_4_FAMILY_LOANS_FDIC" vbProcedure="false">"c6721"</definedName>
    <definedName function="false" hidden="false" name="IQ_BANK_SECURITIZATION_AUTO_LOANS_FDIC" vbProcedure="false">"c6715"</definedName>
    <definedName function="false" hidden="false" name="IQ_BANK_SECURITIZATION_CL_LOANS_FDIC" vbProcedure="false">"c6716"</definedName>
    <definedName function="false" hidden="false" name="IQ_BANK_SECURITIZATION_CREDIT_CARDS_RECEIVABLES_FDIC" vbProcedure="false">"c6718"</definedName>
    <definedName function="false" hidden="false" name="IQ_BANK_SECURITIZATION_HOME_EQUITY_LINES_FDIC" vbProcedure="false">"c6719"</definedName>
    <definedName function="false" hidden="false" name="IQ_BANK_SECURITIZATION_OTHER_CONSUMER_LOANS_FDIC" vbProcedure="false">"c6717"</definedName>
    <definedName function="false" hidden="false" name="IQ_BANK_SECURITIZATION_OTHER_LOANS_FDIC" vbProcedure="false">"c6720"</definedName>
    <definedName function="false" hidden="false" name="IQ_BROKERED_DEPOSITS_FDIC" vbProcedure="false">"c6486"</definedName>
    <definedName function="false" hidden="false" name="IQ_BUDGET_BALANCE_APR_FC_UNUSED_UNUSED_UNUSED" vbProcedure="false">"c8359"</definedName>
    <definedName function="false" hidden="false" name="IQ_BUDGET_BALANCE_APR_UNUSED_UNUSED_UNUSED" vbProcedure="false">"c7479"</definedName>
    <definedName function="false" hidden="false" name="IQ_BUDGET_BALANCE_FC_UNUSED_UNUSED_UNUSED" vbProcedure="false">"c7699"</definedName>
    <definedName function="false" hidden="false" name="IQ_BUDGET_BALANCE_POP_FC_UNUSED_UNUSED_UNUSED" vbProcedure="false">"c7919"</definedName>
    <definedName function="false" hidden="false" name="IQ_BUDGET_BALANCE_POP_UNUSED_UNUSED_UNUSED" vbProcedure="false">"c7039"</definedName>
    <definedName function="false" hidden="false" name="IQ_BUDGET_BALANCE_UNUSED_UNUSED_UNUSED" vbProcedure="false">"c6819"</definedName>
    <definedName function="false" hidden="false" name="IQ_BUDGET_BALANCE_YOY_FC_UNUSED_UNUSED_UNUSED" vbProcedure="false">"c8139"</definedName>
    <definedName function="false" hidden="false" name="IQ_BUDGET_BALANCE_YOY_UNUSED_UNUSED_UNUSED" vbProcedure="false">"c7259"</definedName>
    <definedName function="false" hidden="false" name="IQ_BUDGET_RECEIPTS_APR_FC_UNUSED_UNUSED_UNUSED" vbProcedure="false">"c8361"</definedName>
    <definedName function="false" hidden="false" name="IQ_BUDGET_RECEIPTS_APR_UNUSED_UNUSED_UNUSED" vbProcedure="false">"c7481"</definedName>
    <definedName function="false" hidden="false" name="IQ_BUDGET_RECEIPTS_FC_UNUSED_UNUSED_UNUSED" vbProcedure="false">"c7701"</definedName>
    <definedName function="false" hidden="false" name="IQ_BUDGET_RECEIPTS_POP_FC_UNUSED_UNUSED_UNUSED" vbProcedure="false">"c7921"</definedName>
    <definedName function="false" hidden="false" name="IQ_BUDGET_RECEIPTS_POP_UNUSED_UNUSED_UNUSED" vbProcedure="false">"c7041"</definedName>
    <definedName function="false" hidden="false" name="IQ_BUDGET_RECEIPTS_UNUSED_UNUSED_UNUSED" vbProcedure="false">"c6821"</definedName>
    <definedName function="false" hidden="false" name="IQ_BUDGET_RECEIPTS_YOY_FC_UNUSED_UNUSED_UNUSED" vbProcedure="false">"c8141"</definedName>
    <definedName function="false" hidden="false" name="IQ_BUDGET_RECEIPTS_YOY_UNUSED_UNUSED_UNUSED" vbProcedure="false">"c7261"</definedName>
    <definedName function="false" hidden="false" name="IQ_CASH_DIVIDENDS_NET_INCOME_FDIC" vbProcedure="false">"c6738"</definedName>
    <definedName function="false" hidden="false" name="IQ_CASH_IN_PROCESS_FDIC" vbProcedure="false">"c6386"</definedName>
    <definedName function="false" hidden="false" name="IQ_CCE_FDIC" vbProcedure="false">"c6296"</definedName>
    <definedName function="false" hidden="false" name="IQ_CH" vbProcedure="false">110000</definedName>
    <definedName function="false" hidden="false" name="IQ_CHANGE_INVENT_REAL_APR_FC_UNUSED_UNUSED_UNUSED" vbProcedure="false">"c8500"</definedName>
    <definedName function="false" hidden="false" name="IQ_CHANGE_INVENT_REAL_APR_UNUSED_UNUSED_UNUSED" vbProcedure="false">"c7620"</definedName>
    <definedName function="false" hidden="false" name="IQ_CHANGE_INVENT_REAL_FC_UNUSED_UNUSED_UNUSED" vbProcedure="false">"c7840"</definedName>
    <definedName function="false" hidden="false" name="IQ_CHANGE_INVENT_REAL_POP_FC_UNUSED_UNUSED_UNUSED" vbProcedure="false">"c8060"</definedName>
    <definedName function="false" hidden="false" name="IQ_CHANGE_INVENT_REAL_POP_UNUSED_UNUSED_UNUSED" vbProcedure="false">"c7180"</definedName>
    <definedName function="false" hidden="false" name="IQ_CHANGE_INVENT_REAL_UNUSED_UNUSED_UNUSED" vbProcedure="false">"c6960"</definedName>
    <definedName function="false" hidden="false" name="IQ_CHANGE_INVENT_REAL_YOY_FC_UNUSED_UNUSED_UNUSED" vbProcedure="false">"c8280"</definedName>
    <definedName function="false" hidden="false" name="IQ_CHANGE_INVENT_REAL_YOY_UNUSED_UNUSED_UNUSED" vbProcedure="false">"c7400"</definedName>
    <definedName function="false" hidden="false" name="IQ_CHARGE_OFFS_1_4_FAMILY_FDIC" vbProcedure="false">"c6756"</definedName>
    <definedName function="false" hidden="false" name="IQ_CHARGE_OFFS_1_4_FAMILY_LOANS_FDIC" vbProcedure="false">"c6714"</definedName>
    <definedName function="false" hidden="false" name="IQ_CHARGE_OFFS_AUTO_LOANS_FDIC" vbProcedure="false">"c6708"</definedName>
    <definedName function="false" hidden="false" name="IQ_CHARGE_OFFS_CL_LOANS_FDIC" vbProcedure="false">"c6709"</definedName>
    <definedName function="false" hidden="false" name="IQ_CHARGE_OFFS_COMMERCIAL_INDUSTRIAL_FDIC" vbProcedure="false">"c6759"</definedName>
    <definedName function="false" hidden="false" name="IQ_CHARGE_OFFS_COMMERCIAL_RE_FDIC" vbProcedure="false">"c6754"</definedName>
    <definedName function="false" hidden="false" name="IQ_CHARGE_OFFS_COMMERCIAL_RE_NOT_SECURED_FDIC" vbProcedure="false">"c6764"</definedName>
    <definedName function="false" hidden="false" name="IQ_CHARGE_OFFS_CONSTRUCTION_DEVELOPMENT_FDIC" vbProcedure="false">"c6753"</definedName>
    <definedName function="false" hidden="false" name="IQ_CHARGE_OFFS_CREDIT_CARDS_FDIC" vbProcedure="false">"c6761"</definedName>
    <definedName function="false" hidden="false" name="IQ_CHARGE_OFFS_CREDIT_CARDS_RECEIVABLES_FDIC" vbProcedure="false">"c6711"</definedName>
    <definedName function="false" hidden="false" name="IQ_CHARGE_OFFS_HOME_EQUITY_FDIC" vbProcedure="false">"c6757"</definedName>
    <definedName function="false" hidden="false" name="IQ_CHARGE_OFFS_HOME_EQUITY_LINES_FDIC" vbProcedure="false">"c6712"</definedName>
    <definedName function="false" hidden="false" name="IQ_CHARGE_OFFS_INDIVIDUALS_FDIC" vbProcedure="false">"c6760"</definedName>
    <definedName function="false" hidden="false" name="IQ_CHARGE_OFFS_MULTI_FAMILY_FDIC" vbProcedure="false">"c6755"</definedName>
    <definedName function="false" hidden="false" name="IQ_CHARGE_OFFS_OTHER_1_4_FAMILY_FDIC" vbProcedure="false">"c6758"</definedName>
    <definedName function="false" hidden="false" name="IQ_CHARGE_OFFS_OTHER_CONSUMER_LOANS_FDIC" vbProcedure="false">"c6710"</definedName>
    <definedName function="false" hidden="false" name="IQ_CHARGE_OFFS_OTHER_INDIVIDUAL_FDIC" vbProcedure="false">"c6762"</definedName>
    <definedName function="false" hidden="false" name="IQ_CHARGE_OFFS_OTHER_LOANS_FDIC" vbProcedure="false">"c6763"</definedName>
    <definedName function="false" hidden="false" name="IQ_CHARGE_OFFS_OTHER_LOANS_OTHER_FDIC" vbProcedure="false">"c6713"</definedName>
    <definedName function="false" hidden="false" name="IQ_CHARGE_OFFS_RE_LOANS_FDIC" vbProcedure="false">"c6752"</definedName>
    <definedName function="false" hidden="false" name="IQ_CLASSB_OUTSTANDING_BS_DATE" vbProcedure="false">"c1972"</definedName>
    <definedName function="false" hidden="false" name="IQ_CLASSB_OUTSTANDING_FILING_DATE" vbProcedure="false">"c1974"</definedName>
    <definedName function="false" hidden="false" name="IQ_CMO_FDIC" vbProcedure="false">"c6406"</definedName>
    <definedName function="false" hidden="false" name="IQ_COLLECTION_DOMESTIC_FDIC" vbProcedure="false">"c6387"</definedName>
    <definedName function="false" hidden="false" name="IQ_COMMERCIAL_BANKS_DEPOSITS_FOREIGN_FDIC" vbProcedure="false">"c6480"</definedName>
    <definedName function="false" hidden="false" name="IQ_COMMERCIAL_BANKS_LOANS_FDIC" vbProcedure="false">"c6434"</definedName>
    <definedName function="false" hidden="false" name="IQ_COMMERCIAL_BANKS_NONTRANSACTION_ACCOUNTS_FDIC" vbProcedure="false">"c6548"</definedName>
    <definedName function="false" hidden="false" name="IQ_COMMERCIAL_BANKS_TOTAL_DEPOSITS_FDIC" vbProcedure="false">"c6474"</definedName>
    <definedName function="false" hidden="false" name="IQ_COMMERCIAL_BANKS_TOTAL_LOANS_FOREIGN_FDIC" vbProcedure="false">"c6444"</definedName>
    <definedName function="false" hidden="false" name="IQ_COMMERCIAL_BANKS_TRANSACTION_ACCOUNTS_FDIC" vbProcedure="false">"c6540"</definedName>
    <definedName function="false" hidden="false" name="IQ_COMMERCIAL_INDUSTRIAL_CHARGE_OFFS_FDIC" vbProcedure="false">"c6598"</definedName>
    <definedName function="false" hidden="false" name="IQ_COMMERCIAL_INDUSTRIAL_LOANS_NET_FDIC" vbProcedure="false">"c6317"</definedName>
    <definedName function="false" hidden="false" name="IQ_COMMERCIAL_INDUSTRIAL_NET_CHARGE_OFFS_FDIC" vbProcedure="false">"c6636"</definedName>
    <definedName function="false" hidden="false" name="IQ_COMMERCIAL_INDUSTRIAL_RECOVERIES_FDIC" vbProcedure="false">"c6617"</definedName>
    <definedName function="false" hidden="false" name="IQ_COMMERCIAL_INDUSTRIAL_TOTAL_LOANS_FOREIGN_FDIC" vbProcedure="false">"c6451"</definedName>
    <definedName function="false" hidden="false" name="IQ_COMMERCIAL_RE_CONSTRUCTION_LAND_DEV_FDIC" vbProcedure="false">"c6526"</definedName>
    <definedName function="false" hidden="false" name="IQ_COMMERCIAL_RE_LOANS_FDIC" vbProcedure="false">"c6312"</definedName>
    <definedName function="false" hidden="false" name="IQ_COMMITMENTS_MATURITY_EXCEEDING_1YR_FDIC" vbProcedure="false">"c6531"</definedName>
    <definedName function="false" hidden="false" name="IQ_COMMITMENTS_NOT_SECURED_RE_FDIC" vbProcedure="false">"c6528"</definedName>
    <definedName function="false" hidden="false" name="IQ_COMMITMENTS_SECURED_RE_FDIC" vbProcedure="false">"c6527"</definedName>
    <definedName function="false" hidden="false" name="IQ_COMMODITY_EXPOSURES_FDIC" vbProcedure="false">"c6665"</definedName>
    <definedName function="false" hidden="false" name="IQ_COMMON_FDIC" vbProcedure="false">"c6350"</definedName>
    <definedName function="false" hidden="false" name="IQ_CONSTRUCTION_DEV_LOANS_FDIC" vbProcedure="false">"c6313"</definedName>
    <definedName function="false" hidden="false" name="IQ_CONSTRUCTION_LAND_DEVELOPMENT_CHARGE_OFFS_FDIC" vbProcedure="false">"c6594"</definedName>
    <definedName function="false" hidden="false" name="IQ_CONSTRUCTION_LAND_DEVELOPMENT_NET_CHARGE_OFFS_FDIC" vbProcedure="false">"c6632"</definedName>
    <definedName function="false" hidden="false" name="IQ_CONSTRUCTION_LAND_DEVELOPMENT_RECOVERIES_FDIC" vbProcedure="false">"c6613"</definedName>
    <definedName function="false" hidden="false" name="IQ_CONTRACTS_OTHER_COMMODITIES_EQUITIES._FDIC" vbProcedure="false">"c6522"</definedName>
    <definedName function="false" hidden="false" name="IQ_CONTRACTS_OTHER_COMMODITIES_EQUITIES_FDIC" vbProcedure="false">"c6522"</definedName>
    <definedName function="false" hidden="false" name="IQ_CONVEYED_TO_OTHERS_FDIC" vbProcedure="false">"c6534"</definedName>
    <definedName function="false" hidden="false" name="IQ_CONV_RATE" vbProcedure="false">"c2192"</definedName>
    <definedName function="false" hidden="false" name="IQ_CORE_CAPITAL_RATIO_FDIC" vbProcedure="false">"c6745"</definedName>
    <definedName function="false" hidden="false" name="IQ_CORP_GOODS_PRICE_INDEX_APR_FC_UNUSED_UNUSED_UNUSED" vbProcedure="false">"c8381"</definedName>
    <definedName function="false" hidden="false" name="IQ_CORP_GOODS_PRICE_INDEX_APR_UNUSED_UNUSED_UNUSED" vbProcedure="false">"c7501"</definedName>
    <definedName function="false" hidden="false" name="IQ_CORP_GOODS_PRICE_INDEX_FC_UNUSED_UNUSED_UNUSED" vbProcedure="false">"c7721"</definedName>
    <definedName function="false" hidden="false" name="IQ_CORP_GOODS_PRICE_INDEX_POP_FC_UNUSED_UNUSED_UNUSED" vbProcedure="false">"c7941"</definedName>
    <definedName function="false" hidden="false" name="IQ_CORP_GOODS_PRICE_INDEX_POP_UNUSED_UNUSED_UNUSED" vbProcedure="false">"c7061"</definedName>
    <definedName function="false" hidden="false" name="IQ_CORP_GOODS_PRICE_INDEX_UNUSED_UNUSED_UNUSED" vbProcedure="false">"c6841"</definedName>
    <definedName function="false" hidden="false" name="IQ_CORP_GOODS_PRICE_INDEX_YOY_FC_UNUSED_UNUSED_UNUSED" vbProcedure="false">"c8161"</definedName>
    <definedName function="false" hidden="false" name="IQ_CORP_GOODS_PRICE_INDEX_YOY_UNUSED_UNUSED_UNUSED" vbProcedure="false">"c7281"</definedName>
    <definedName function="false" hidden="false" name="IQ_COST_OF_FUNDING_ASSETS_FDIC" vbProcedure="false">"c6725"</definedName>
    <definedName function="false" hidden="false" name="IQ_CQ" vbProcedure="false">5000</definedName>
    <definedName function="false" hidden="false" name="IQ_CREDIT_CARD_CHARGE_OFFS_FDIC" vbProcedure="false">"c6652"</definedName>
    <definedName function="false" hidden="false" name="IQ_CREDIT_CARD_LINES_FDIC" vbProcedure="false">"c6525"</definedName>
    <definedName function="false" hidden="false" name="IQ_CREDIT_CARD_LOANS_FDIC" vbProcedure="false">"c6319"</definedName>
    <definedName function="false" hidden="false" name="IQ_CREDIT_CARD_NET_CHARGE_OFFS_FDIC" vbProcedure="false">"c6654"</definedName>
    <definedName function="false" hidden="false" name="IQ_CREDIT_CARD_RECOVERIES_FDIC" vbProcedure="false">"c6653"</definedName>
    <definedName function="false" hidden="false" name="IQ_CREDIT_LOSS_PROVISION_NET_CHARGE_OFFS_FDIC" vbProcedure="false">"c6734"</definedName>
    <definedName function="false" hidden="false" name="IQ_CURRENCY_COIN_DOMESTIC_FDIC" vbProcedure="false">"c6388"</definedName>
    <definedName function="false" hidden="false" name="IQ_CURR_ACCT_BALANCE_APR_FC_UNUSED_UNUSED_UNUSED" vbProcedure="false">"c8387"</definedName>
    <definedName function="false" hidden="false" name="IQ_CURR_ACCT_BALANCE_APR_UNUSED_UNUSED_UNUSED" vbProcedure="false">"c7507"</definedName>
    <definedName function="false" hidden="false" name="IQ_CURR_ACCT_BALANCE_FC_UNUSED_UNUSED_UNUSED" vbProcedure="false">"c7727"</definedName>
    <definedName function="false" hidden="false" name="IQ_CURR_ACCT_BALANCE_POP_FC_UNUSED_UNUSED_UNUSED" vbProcedure="false">"c7947"</definedName>
    <definedName function="false" hidden="false" name="IQ_CURR_ACCT_BALANCE_POP_UNUSED_UNUSED_UNUSED" vbProcedure="false">"c7067"</definedName>
    <definedName function="false" hidden="false" name="IQ_CURR_ACCT_BALANCE_UNUSED_UNUSED_UNUSED" vbProcedure="false">"c6847"</definedName>
    <definedName function="false" hidden="false" name="IQ_CURR_ACCT_BALANCE_YOY_FC_UNUSED_UNUSED_UNUSED" vbProcedure="false">"c8167"</definedName>
    <definedName function="false" hidden="false" name="IQ_CURR_ACCT_BALANCE_YOY_UNUSED_UNUSED_UNUSED" vbProcedure="false">"c7287"</definedName>
    <definedName function="false" hidden="false" name="IQ_CY" vbProcedure="false">10000</definedName>
    <definedName function="false" hidden="false" name="IQ_DAILY" vbProcedure="false">500000</definedName>
    <definedName function="false" hidden="false" name="IQ_DEMAND_DEPOSITS_FDIC" vbProcedure="false">"c6489"</definedName>
    <definedName function="false" hidden="false" name="IQ_DEPOSITORY_INSTITUTIONS_CHARGE_OFFS_FDIC" vbProcedure="false">"c6596"</definedName>
    <definedName function="false" hidden="false" name="IQ_DEPOSITORY_INSTITUTIONS_NET_CHARGE_OFFS_FDIC" vbProcedure="false">"c6634"</definedName>
    <definedName function="false" hidden="false" name="IQ_DEPOSITORY_INSTITUTIONS_RECOVERIES_FDIC" vbProcedure="false">"c6615"</definedName>
    <definedName function="false" hidden="false" name="IQ_DEPOSITS_HELD_DOMESTIC_FDIC" vbProcedure="false">"c6340"</definedName>
    <definedName function="false" hidden="false" name="IQ_DEPOSITS_HELD_FOREIGN_FDIC" vbProcedure="false">"c6341"</definedName>
    <definedName function="false" hidden="false" name="IQ_DEPOSITS_LESS_THAN_100K_AFTER_THREE_YEARS_FDIC" vbProcedure="false">"c6464"</definedName>
    <definedName function="false" hidden="false" name="IQ_DEPOSITS_LESS_THAN_100K_THREE_MONTHS_FDIC" vbProcedure="false">"c6461"</definedName>
    <definedName function="false" hidden="false" name="IQ_DEPOSITS_LESS_THAN_100K_THREE_YEARS_FDIC" vbProcedure="false">"c6463"</definedName>
    <definedName function="false" hidden="false" name="IQ_DEPOSITS_LESS_THAN_100K_TWELVE_MONTHS_FDIC" vbProcedure="false">"c6462"</definedName>
    <definedName function="false" hidden="false" name="IQ_DEPOSITS_MORE_THAN_100K_AFTER_THREE_YEARS_FDIC" vbProcedure="false">"c6469"</definedName>
    <definedName function="false" hidden="false" name="IQ_DEPOSITS_MORE_THAN_100K_THREE_MONTHS_FDIC" vbProcedure="false">"c6466"</definedName>
    <definedName function="false" hidden="false" name="IQ_DEPOSITS_MORE_THAN_100K_THREE_YEARS_FDIC" vbProcedure="false">"c6468"</definedName>
    <definedName function="false" hidden="false" name="IQ_DEPOSITS_MORE_THAN_100K_TWELVE_MONTHS_FDIC" vbProcedure="false">"c6467"</definedName>
    <definedName function="false" hidden="false" name="IQ_DEPOSIT_ACCOUNTS_LESS_THAN_100K_FDIC" vbProcedure="false">"c6494"</definedName>
    <definedName function="false" hidden="false" name="IQ_DEPOSIT_ACCOUNTS_MORE_THAN_100K_FDIC" vbProcedure="false">"c6492"</definedName>
    <definedName function="false" hidden="false" name="IQ_DERIVATIVES_FDIC" vbProcedure="false">"c6523"</definedName>
    <definedName function="false" hidden="false" name="IQ_DIVIDENDS_DECLARED_COMMON_FDIC" vbProcedure="false">"c6659"</definedName>
    <definedName function="false" hidden="false" name="IQ_DIVIDENDS_DECLARED_PREFERRED_FDIC" vbProcedure="false">"c6658"</definedName>
    <definedName function="false" hidden="false" name="IQ_DIVIDENDS_FDIC" vbProcedure="false">"c6660"</definedName>
    <definedName function="false" hidden="false" name="IQ_EARNINGS_COVERAGE_NET_CHARGE_OFFS_FDIC" vbProcedure="false">"c6735"</definedName>
    <definedName function="false" hidden="false" name="IQ_EARNING_ASSETS_FDIC" vbProcedure="false">"c6360"</definedName>
    <definedName function="false" hidden="false" name="IQ_EARNING_ASSETS_YIELD_FDIC" vbProcedure="false">"c6724"</definedName>
    <definedName function="false" hidden="false" name="IQ_ECO_METRIC_6825_UNUSED_UNUSED_UNUSED" vbProcedure="false">"c6825"</definedName>
    <definedName function="false" hidden="false" name="IQ_ECO_METRIC_6839_UNUSED_UNUSED_UNUSED" vbProcedure="false">"c6839"</definedName>
    <definedName function="false" hidden="false" name="IQ_ECO_METRIC_6896_UNUSED_UNUSED_UNUSED" vbProcedure="false">"c6896"</definedName>
    <definedName function="false" hidden="false" name="IQ_ECO_METRIC_6897_UNUSED_UNUSED_UNUSED" vbProcedure="false">"c6897"</definedName>
    <definedName function="false" hidden="false" name="IQ_ECO_METRIC_6988_UNUSED_UNUSED_UNUSED" vbProcedure="false">"c6988"</definedName>
    <definedName function="false" hidden="false" name="IQ_ECO_METRIC_7045_UNUSED_UNUSED_UNUSED" vbProcedure="false">"c7045"</definedName>
    <definedName function="false" hidden="false" name="IQ_ECO_METRIC_7059_UNUSED_UNUSED_UNUSED" vbProcedure="false">"c7059"</definedName>
    <definedName function="false" hidden="false" name="IQ_ECO_METRIC_7116_UNUSED_UNUSED_UNUSED" vbProcedure="false">"c7116"</definedName>
    <definedName function="false" hidden="false" name="IQ_ECO_METRIC_7117_UNUSED_UNUSED_UNUSED" vbProcedure="false">"c7117"</definedName>
    <definedName function="false" hidden="false" name="IQ_ECO_METRIC_7208_UNUSED_UNUSED_UNUSED" vbProcedure="false">"c7208"</definedName>
    <definedName function="false" hidden="false" name="IQ_ECO_METRIC_7265_UNUSED_UNUSED_UNUSED" vbProcedure="false">"c7265"</definedName>
    <definedName function="false" hidden="false" name="IQ_ECO_METRIC_7279_UNUSED_UNUSED_UNUSED" vbProcedure="false">"c7279"</definedName>
    <definedName function="false" hidden="false" name="IQ_ECO_METRIC_7336_UNUSED_UNUSED_UNUSED" vbProcedure="false">"c7336"</definedName>
    <definedName function="false" hidden="false" name="IQ_ECO_METRIC_7337_UNUSED_UNUSED_UNUSED" vbProcedure="false">"c7337"</definedName>
    <definedName function="false" hidden="false" name="IQ_ECO_METRIC_7428_UNUSED_UNUSED_UNUSED" vbProcedure="false">"c7428"</definedName>
    <definedName function="false" hidden="false" name="IQ_ECO_METRIC_7556_UNUSED_UNUSED_UNUSED" vbProcedure="false">"c7556"</definedName>
    <definedName function="false" hidden="false" name="IQ_ECO_METRIC_7557_UNUSED_UNUSED_UNUSED" vbProcedure="false">"c7557"</definedName>
    <definedName function="false" hidden="false" name="IQ_ECO_METRIC_7648_UNUSED_UNUSED_UNUSED" vbProcedure="false">"c7648"</definedName>
    <definedName function="false" hidden="false" name="IQ_ECO_METRIC_7705_UNUSED_UNUSED_UNUSED" vbProcedure="false">"c7705"</definedName>
    <definedName function="false" hidden="false" name="IQ_ECO_METRIC_7719_UNUSED_UNUSED_UNUSED" vbProcedure="false">"c7719"</definedName>
    <definedName function="false" hidden="false" name="IQ_ECO_METRIC_7776_UNUSED_UNUSED_UNUSED" vbProcedure="false">"c7776"</definedName>
    <definedName function="false" hidden="false" name="IQ_ECO_METRIC_7777_UNUSED_UNUSED_UNUSED" vbProcedure="false">"c7777"</definedName>
    <definedName function="false" hidden="false" name="IQ_ECO_METRIC_7868_UNUSED_UNUSED_UNUSED" vbProcedure="false">"c7868"</definedName>
    <definedName function="false" hidden="false" name="IQ_ECO_METRIC_7925_UNUSED_UNUSED_UNUSED" vbProcedure="false">"c7925"</definedName>
    <definedName function="false" hidden="false" name="IQ_ECO_METRIC_7939_UNUSED_UNUSED_UNUSED" vbProcedure="false">"c7939"</definedName>
    <definedName function="false" hidden="false" name="IQ_ECO_METRIC_7996_UNUSED_UNUSED_UNUSED" vbProcedure="false">"c7996"</definedName>
    <definedName function="false" hidden="false" name="IQ_ECO_METRIC_7997_UNUSED_UNUSED_UNUSED" vbProcedure="false">"c7997"</definedName>
    <definedName function="false" hidden="false" name="IQ_ECO_METRIC_8088_UNUSED_UNUSED_UNUSED" vbProcedure="false">"c8088"</definedName>
    <definedName function="false" hidden="false" name="IQ_ECO_METRIC_8145_UNUSED_UNUSED_UNUSED" vbProcedure="false">"c8145"</definedName>
    <definedName function="false" hidden="false" name="IQ_ECO_METRIC_8159_UNUSED_UNUSED_UNUSED" vbProcedure="false">"c8159"</definedName>
    <definedName function="false" hidden="false" name="IQ_ECO_METRIC_8216_UNUSED_UNUSED_UNUSED" vbProcedure="false">"c8216"</definedName>
    <definedName function="false" hidden="false" name="IQ_ECO_METRIC_8217_UNUSED_UNUSED_UNUSED" vbProcedure="false">"c8217"</definedName>
    <definedName function="false" hidden="false" name="IQ_ECO_METRIC_8308_UNUSED_UNUSED_UNUSED" vbProcedure="false">"c8308"</definedName>
    <definedName function="false" hidden="false" name="IQ_ECO_METRIC_8436_UNUSED_UNUSED_UNUSED" vbProcedure="false">"c8436"</definedName>
    <definedName function="false" hidden="false" name="IQ_ECO_METRIC_8437_UNUSED_UNUSED_UNUSED" vbProcedure="false">"c8437"</definedName>
    <definedName function="false" hidden="false" name="IQ_ECO_METRIC_8528_UNUSED_UNUSED_UNUSED" vbProcedure="false">"c8528"</definedName>
    <definedName function="false" hidden="false" name="IQ_EFFICIENCY_RATIO_FDIC" vbProcedure="false">"c6736"</definedName>
    <definedName function="false" hidden="false" name="IQ_EPS_PRIMARY_EST" vbProcedure="false">"c2226"</definedName>
    <definedName function="false" hidden="false" name="IQ_EPS_PRIMARY_HIGH_EST" vbProcedure="false">"c2228"</definedName>
    <definedName function="false" hidden="false" name="IQ_EPS_PRIMARY_LOW_EST" vbProcedure="false">"c2229"</definedName>
    <definedName function="false" hidden="false" name="IQ_EPS_PRIMARY_MEDIAN_EST" vbProcedure="false">"c2227"</definedName>
    <definedName function="false" hidden="false" name="IQ_EPS_PRIMARY_NUM_EST" vbProcedure="false">"c2230"</definedName>
    <definedName function="false" hidden="false" name="IQ_EPS_PRIMARY_STDDEV_EST" vbProcedure="false">"c2231"</definedName>
    <definedName function="false" hidden="false" name="IQ_EQUITY_CAPITAL_ASSETS_FDIC" vbProcedure="false">"c6744"</definedName>
    <definedName function="false" hidden="false" name="IQ_EQUITY_FDIC" vbProcedure="false">"c6353"</definedName>
    <definedName function="false" hidden="false" name="IQ_EQUITY_SECURITIES_FDIC" vbProcedure="false">"c6304"</definedName>
    <definedName function="false" hidden="false" name="IQ_EQUITY_SECURITY_EXPOSURES_FDIC" vbProcedure="false">"c6664"</definedName>
    <definedName function="false" hidden="false" name="IQ_ESTIMATED_ASSESSABLE_DEPOSITS_FDIC" vbProcedure="false">"c6490"</definedName>
    <definedName function="false" hidden="false" name="IQ_ESTIMATED_INSURED_DEPOSITS_FDIC" vbProcedure="false">"c6491"</definedName>
    <definedName function="false" hidden="false" name="IQ_EST_ACT_EPS_PRIMARY" vbProcedure="false">"c2232"</definedName>
    <definedName function="false" hidden="false" name="IQ_EST_ACT_FFO_REUT" vbProcedure="false">"c3843"</definedName>
    <definedName function="false" hidden="false" name="IQ_EST_ACT_FFO_THOM" vbProcedure="false">"c4005"</definedName>
    <definedName function="false" hidden="false" name="IQ_EST_EPS_SURPRISE" vbProcedure="false">"c1635"</definedName>
    <definedName function="false" hidden="false" name="IQ_EST_FFO_DIFF_REUT" vbProcedure="false">"c3890"</definedName>
    <definedName function="false" hidden="false" name="IQ_EST_FFO_DIFF_THOM" vbProcedure="false">"c5186"</definedName>
    <definedName function="false" hidden="false" name="IQ_EST_FFO_SURPRISE_PERCENT_REUT" vbProcedure="false">"c3891"</definedName>
    <definedName function="false" hidden="false" name="IQ_EST_FFO_SURPRISE_PERCENT_THOM" vbProcedure="false">"c5187"</definedName>
    <definedName function="false" hidden="false" name="IQ_EST_NUM_BUY_CIQ" vbProcedure="false">"c3700"</definedName>
    <definedName function="false" hidden="false" name="IQ_EST_NUM_BUY_REUT" vbProcedure="false">"c3869"</definedName>
    <definedName function="false" hidden="false" name="IQ_EST_NUM_BUY_THOM" vbProcedure="false">"c5165"</definedName>
    <definedName function="false" hidden="false" name="IQ_EST_NUM_HOLD_CIQ" vbProcedure="false">"c3702"</definedName>
    <definedName function="false" hidden="false" name="IQ_EST_NUM_HOLD_REUT" vbProcedure="false">"c3871"</definedName>
    <definedName function="false" hidden="false" name="IQ_EST_NUM_HOLD_THOM" vbProcedure="false">"c5167"</definedName>
    <definedName function="false" hidden="false" name="IQ_EST_NUM_OUTPERFORM_CIQ" vbProcedure="false">"c3701"</definedName>
    <definedName function="false" hidden="false" name="IQ_EST_NUM_OUTPERFORM_REUT" vbProcedure="false">"c3870"</definedName>
    <definedName function="false" hidden="false" name="IQ_EST_NUM_OUTPERFORM_THOM" vbProcedure="false">"c5166"</definedName>
    <definedName function="false" hidden="false" name="IQ_EST_NUM_SELL_CIQ" vbProcedure="false">"c3704"</definedName>
    <definedName function="false" hidden="false" name="IQ_EST_NUM_SELL_REUT" vbProcedure="false">"c3873"</definedName>
    <definedName function="false" hidden="false" name="IQ_EST_NUM_SELL_THOM" vbProcedure="false">"c5169"</definedName>
    <definedName function="false" hidden="false" name="IQ_EST_NUM_UNDERPERFORM_CIQ" vbProcedure="false">"c3703"</definedName>
    <definedName function="false" hidden="false" name="IQ_EST_NUM_UNDERPERFORM_REUT" vbProcedure="false">"c3872"</definedName>
    <definedName function="false" hidden="false" name="IQ_EST_NUM_UNDERPERFORM_THOM" vbProcedure="false">"c5168"</definedName>
    <definedName function="false" hidden="false" name="IQ_EXPORTS_APR_FC_UNUSED_UNUSED_UNUSED" vbProcedure="false">"c8401"</definedName>
    <definedName function="false" hidden="false" name="IQ_EXPORTS_APR_UNUSED_UNUSED_UNUSED" vbProcedure="false">"c7521"</definedName>
    <definedName function="false" hidden="false" name="IQ_EXPORTS_FC_UNUSED_UNUSED_UNUSED" vbProcedure="false">"c7741"</definedName>
    <definedName function="false" hidden="false" name="IQ_EXPORTS_GOODS_REAL_SAAR_APR_FC_UNUSED_UNUSED_UNUSED" vbProcedure="false">"c8512"</definedName>
    <definedName function="false" hidden="false" name="IQ_EXPORTS_GOODS_REAL_SAAR_APR_UNUSED_UNUSED_UNUSED" vbProcedure="false">"c7632"</definedName>
    <definedName function="false" hidden="false" name="IQ_EXPORTS_GOODS_REAL_SAAR_FC_UNUSED_UNUSED_UNUSED" vbProcedure="false">"c7852"</definedName>
    <definedName function="false" hidden="false" name="IQ_EXPORTS_GOODS_REAL_SAAR_POP_FC_UNUSED_UNUSED_UNUSED" vbProcedure="false">"c8072"</definedName>
    <definedName function="false" hidden="false" name="IQ_EXPORTS_GOODS_REAL_SAAR_POP_UNUSED_UNUSED_UNUSED" vbProcedure="false">"c7192"</definedName>
    <definedName function="false" hidden="false" name="IQ_EXPORTS_GOODS_REAL_SAAR_UNUSED_UNUSED_UNUSED" vbProcedure="false">"c6972"</definedName>
    <definedName function="false" hidden="false" name="IQ_EXPORTS_GOODS_REAL_SAAR_YOY_FC_UNUSED_UNUSED_UNUSED" vbProcedure="false">"c8292"</definedName>
    <definedName function="false" hidden="false" name="IQ_EXPORTS_GOODS_REAL_SAAR_YOY_UNUSED_UNUSED_UNUSED" vbProcedure="false">"c7412"</definedName>
    <definedName function="false" hidden="false" name="IQ_EXPORTS_POP_FC_UNUSED_UNUSED_UNUSED" vbProcedure="false">"c7961"</definedName>
    <definedName function="false" hidden="false" name="IQ_EXPORTS_POP_UNUSED_UNUSED_UNUSED" vbProcedure="false">"c7081"</definedName>
    <definedName function="false" hidden="false" name="IQ_EXPORTS_SERVICES_REAL_SAAR_APR_FC_UNUSED_UNUSED_UNUSED" vbProcedure="false">"c8516"</definedName>
    <definedName function="false" hidden="false" name="IQ_EXPORTS_SERVICES_REAL_SAAR_APR_UNUSED_UNUSED_UNUSED" vbProcedure="false">"c7636"</definedName>
    <definedName function="false" hidden="false" name="IQ_EXPORTS_SERVICES_REAL_SAAR_FC_UNUSED_UNUSED_UNUSED" vbProcedure="false">"c7856"</definedName>
    <definedName function="false" hidden="false" name="IQ_EXPORTS_SERVICES_REAL_SAAR_POP_FC_UNUSED_UNUSED_UNUSED" vbProcedure="false">"c8076"</definedName>
    <definedName function="false" hidden="false" name="IQ_EXPORTS_SERVICES_REAL_SAAR_POP_UNUSED_UNUSED_UNUSED" vbProcedure="false">"c7196"</definedName>
    <definedName function="false" hidden="false" name="IQ_EXPORTS_SERVICES_REAL_SAAR_UNUSED_UNUSED_UNUSED" vbProcedure="false">"c6976"</definedName>
    <definedName function="false" hidden="false" name="IQ_EXPORTS_SERVICES_REAL_SAAR_YOY_FC_UNUSED_UNUSED_UNUSED" vbProcedure="false">"c8296"</definedName>
    <definedName function="false" hidden="false" name="IQ_EXPORTS_SERVICES_REAL_SAAR_YOY_UNUSED_UNUSED_UNUSED" vbProcedure="false">"c7416"</definedName>
    <definedName function="false" hidden="false" name="IQ_EXPORTS_UNUSED_UNUSED_UNUSED" vbProcedure="false">"c6861"</definedName>
    <definedName function="false" hidden="false" name="IQ_EXPORTS_YOY_FC_UNUSED_UNUSED_UNUSED" vbProcedure="false">"c8181"</definedName>
    <definedName function="false" hidden="false" name="IQ_EXPORTS_YOY_UNUSED_UNUSED_UNUSED" vbProcedure="false">"c7301"</definedName>
    <definedName function="false" hidden="false" name="IQ_EXTRAORDINARY_GAINS_FDIC" vbProcedure="false">"c6586"</definedName>
    <definedName function="false" hidden="false" name="IQ_FAIR_VALUE_FDIC" vbProcedure="false">"c6427"</definedName>
    <definedName function="false" hidden="false" name="IQ_FARMLAND_LOANS_FDIC" vbProcedure="false">"c6314"</definedName>
    <definedName function="false" hidden="false" name="IQ_FARM_LOANS_NET_FDIC" vbProcedure="false">"c6316"</definedName>
    <definedName function="false" hidden="false" name="IQ_FARM_LOANS_TOTAL_LOANS_FOREIGN_FDIC" vbProcedure="false">"c6450"</definedName>
    <definedName function="false" hidden="false" name="IQ_FED_FUNDS_PURCHASED_FDIC" vbProcedure="false">"c6343"</definedName>
    <definedName function="false" hidden="false" name="IQ_FED_FUNDS_SOLD_FDIC" vbProcedure="false">"c6307"</definedName>
    <definedName function="false" hidden="false" name="IQ_FFO_EST_REUT" vbProcedure="false">"c3837"</definedName>
    <definedName function="false" hidden="false" name="IQ_FFO_EST_THOM" vbProcedure="false">"c3999"</definedName>
    <definedName function="false" hidden="false" name="IQ_FFO_HIGH_EST_REUT" vbProcedure="false">"c3839"</definedName>
    <definedName function="false" hidden="false" name="IQ_FFO_HIGH_EST_THOM" vbProcedure="false">"c4001"</definedName>
    <definedName function="false" hidden="false" name="IQ_FFO_LOW_EST_REUT" vbProcedure="false">"c3840"</definedName>
    <definedName function="false" hidden="false" name="IQ_FFO_LOW_EST_THOM" vbProcedure="false">"c4002"</definedName>
    <definedName function="false" hidden="false" name="IQ_FFO_MEDIAN_EST_REUT" vbProcedure="false">"c3838"</definedName>
    <definedName function="false" hidden="false" name="IQ_FFO_MEDIAN_EST_THOM" vbProcedure="false">"c4000"</definedName>
    <definedName function="false" hidden="false" name="IQ_FFO_NUM_EST_REUT" vbProcedure="false">"c3841"</definedName>
    <definedName function="false" hidden="false" name="IQ_FFO_NUM_EST_THOM" vbProcedure="false">"c4003"</definedName>
    <definedName function="false" hidden="false" name="IQ_FFO_STDDEV_EST_REUT" vbProcedure="false">"c3842"</definedName>
    <definedName function="false" hidden="false" name="IQ_FFO_STDDEV_EST_THOM" vbProcedure="false">"c4004"</definedName>
    <definedName function="false" hidden="false" name="IQ_FH" vbProcedure="false">100000</definedName>
    <definedName function="false" hidden="false" name="IQ_FHLB_ADVANCES_FDIC" vbProcedure="false">"c6366"</definedName>
    <definedName function="false" hidden="false" name="IQ_FHLB_DUE_AFTER_FIVE" vbProcedure="false">"c2086"</definedName>
    <definedName function="false" hidden="false" name="IQ_FIDUCIARY_ACTIVITIES_FDIC" vbProcedure="false">"c6571"</definedName>
    <definedName function="false" hidden="false" name="IQ_FIFETEEN_YEAR_FIXED_AND_FLOATING_RATE_FDIC" vbProcedure="false">"c6423"</definedName>
    <definedName function="false" hidden="false" name="IQ_FIFETEEN_YEAR_MORTGAGE_PASS_THROUGHS_FDIC" vbProcedure="false">"c6415"</definedName>
    <definedName function="false" hidden="false" name="IQ_FIN_DIV_CURRENT_PORT_DEBT_TOTAL" vbProcedure="false">"c5524"</definedName>
    <definedName function="false" hidden="false" name="IQ_FIN_DIV_CURRENT_PORT_LEASES_TOTAL" vbProcedure="false">"c5523"</definedName>
    <definedName function="false" hidden="false" name="IQ_FIN_DIV_DEBT_LT_TOTAL" vbProcedure="false">"c5526"</definedName>
    <definedName function="false" hidden="false" name="IQ_FIN_DIV_LEASES_LT_TOTAL" vbProcedure="false">"c5525"</definedName>
    <definedName function="false" hidden="false" name="IQ_FIN_DIV_NOTES_PAY_TOTAL" vbProcedure="false">"c5522"</definedName>
    <definedName function="false" hidden="false" name="IQ_FIVE_YEAR_FIXED_AND_FLOATING_RATE_FDIC" vbProcedure="false">"c6422"</definedName>
    <definedName function="false" hidden="false" name="IQ_FIVE_YEAR_MORTGAGE_PASS_THROUGHS_FDIC" vbProcedure="false">"c6414"</definedName>
    <definedName function="false" hidden="false" name="IQ_FIXED_INVEST_APR_FC_UNUSED_UNUSED_UNUSED" vbProcedure="false">"c8410"</definedName>
    <definedName function="false" hidden="false" name="IQ_FIXED_INVEST_APR_UNUSED_UNUSED_UNUSED" vbProcedure="false">"c7530"</definedName>
    <definedName function="false" hidden="false" name="IQ_FIXED_INVEST_FC_UNUSED_UNUSED_UNUSED" vbProcedure="false">"c7750"</definedName>
    <definedName function="false" hidden="false" name="IQ_FIXED_INVEST_POP_FC_UNUSED_UNUSED_UNUSED" vbProcedure="false">"c7970"</definedName>
    <definedName function="false" hidden="false" name="IQ_FIXED_INVEST_POP_UNUSED_UNUSED_UNUSED" vbProcedure="false">"c7090"</definedName>
    <definedName function="false" hidden="false" name="IQ_FIXED_INVEST_REAL_APR_FC_UNUSED_UNUSED_UNUSED" vbProcedure="false">"c8518"</definedName>
    <definedName function="false" hidden="false" name="IQ_FIXED_INVEST_REAL_APR_UNUSED_UNUSED_UNUSED" vbProcedure="false">"c7638"</definedName>
    <definedName function="false" hidden="false" name="IQ_FIXED_INVEST_REAL_FC_UNUSED_UNUSED_UNUSED" vbProcedure="false">"c7858"</definedName>
    <definedName function="false" hidden="false" name="IQ_FIXED_INVEST_REAL_POP_FC_UNUSED_UNUSED_UNUSED" vbProcedure="false">"c8078"</definedName>
    <definedName function="false" hidden="false" name="IQ_FIXED_INVEST_REAL_POP_UNUSED_UNUSED_UNUSED" vbProcedure="false">"c7198"</definedName>
    <definedName function="false" hidden="false" name="IQ_FIXED_INVEST_REAL_UNUSED_UNUSED_UNUSED" vbProcedure="false">"c6978"</definedName>
    <definedName function="false" hidden="false" name="IQ_FIXED_INVEST_REAL_YOY_FC_UNUSED_UNUSED_UNUSED" vbProcedure="false">"c8298"</definedName>
    <definedName function="false" hidden="false" name="IQ_FIXED_INVEST_REAL_YOY_UNUSED_UNUSED_UNUSED" vbProcedure="false">"c7418"</definedName>
    <definedName function="false" hidden="false" name="IQ_FIXED_INVEST_UNUSED_UNUSED_UNUSED" vbProcedure="false">"c6870"</definedName>
    <definedName function="false" hidden="false" name="IQ_FIXED_INVEST_YOY_FC_UNUSED_UNUSED_UNUSED" vbProcedure="false">"c8190"</definedName>
    <definedName function="false" hidden="false" name="IQ_FIXED_INVEST_YOY_UNUSED_UNUSED_UNUSED" vbProcedure="false">"c7310"</definedName>
    <definedName function="false" hidden="false" name="IQ_FNMA_FHLMC_FDIC" vbProcedure="false">"c6397"</definedName>
    <definedName function="false" hidden="false" name="IQ_FNMA_FHLMC_GNMA_FDIC" vbProcedure="false">"c6399"</definedName>
    <definedName function="false" hidden="false" name="IQ_FORECLOSED_PROPERTIES_FDIC" vbProcedure="false">"c6459"</definedName>
    <definedName function="false" hidden="false" name="IQ_FOREIGN_BANKS_DEPOSITS_FOREIGN_FDIC" vbProcedure="false">"c6481"</definedName>
    <definedName function="false" hidden="false" name="IQ_FOREIGN_BANKS_LOAN_CHARG_OFFS_FDIC" vbProcedure="false">"c6645"</definedName>
    <definedName function="false" hidden="false" name="IQ_FOREIGN_BANKS_NET_CHARGE_OFFS_FDIC" vbProcedure="false">"c6647"</definedName>
    <definedName function="false" hidden="false" name="IQ_FOREIGN_BANKS_NONTRANSACTION_ACCOUNTS_FDIC" vbProcedure="false">"c6550"</definedName>
    <definedName function="false" hidden="false" name="IQ_FOREIGN_BANKS_RECOVERIES_FDIC" vbProcedure="false">"c6646"</definedName>
    <definedName function="false" hidden="false" name="IQ_FOREIGN_BANKS_TRANSACTION_ACCOUNTS_FDIC" vbProcedure="false">"c6542"</definedName>
    <definedName function="false" hidden="false" name="IQ_FOREIGN_BANK_LOANS_FDIC" vbProcedure="false">"c6437"</definedName>
    <definedName function="false" hidden="false" name="IQ_FOREIGN_BRANCHES_U.S._BANKS_LOANS_FDIC" vbProcedure="false">"c6438"</definedName>
    <definedName function="false" hidden="false" name="IQ_FOREIGN_BRANCHES_US_BANKS_FDIC" vbProcedure="false">"c6392"</definedName>
    <definedName function="false" hidden="false" name="IQ_FOREIGN_BRANCHES_US_BANKS_LOANS_FDIC" vbProcedure="false">"c6438"</definedName>
    <definedName function="false" hidden="false" name="IQ_FOREIGN_COUNTRIES_BANKS_TOTAL_LOANS_FOREIGN_FDIC" vbProcedure="false">"c6445"</definedName>
    <definedName function="false" hidden="false" name="IQ_FOREIGN_DEBT_SECURITIES_FDIC" vbProcedure="false">"c6303"</definedName>
    <definedName function="false" hidden="false" name="IQ_FOREIGN_DEPOSITS_NONTRANSACTION_ACCOUNTS_FDIC" vbProcedure="false">"c6549"</definedName>
    <definedName function="false" hidden="false" name="IQ_FOREIGN_DEPOSITS_TRANSACTION_ACCOUNTS_FDIC" vbProcedure="false">"c6541"</definedName>
    <definedName function="false" hidden="false" name="IQ_FOREIGN_EXCHANGE_EXPOSURES_FDIC" vbProcedure="false">"c6663"</definedName>
    <definedName function="false" hidden="false" name="IQ_FOREIGN_GOVERNMENTS_CHARGE_OFFS_FDIC" vbProcedure="false">"c6600"</definedName>
    <definedName function="false" hidden="false" name="IQ_FOREIGN_GOVERNMENTS_DEPOSITS_FOREIGN_FDIC" vbProcedure="false">"c6482"</definedName>
    <definedName function="false" hidden="false" name="IQ_FOREIGN_GOVERNMENTS_NET_CHARGE_OFFS_FDIC" vbProcedure="false">"c6638"</definedName>
    <definedName function="false" hidden="false" name="IQ_FOREIGN_GOVERNMENTS_NONTRANSACTION_ACCOUNTS_FDIC" vbProcedure="false">"c6551"</definedName>
    <definedName function="false" hidden="false" name="IQ_FOREIGN_GOVERNMENTS_RECOVERIES_FDIC" vbProcedure="false">"c6619"</definedName>
    <definedName function="false" hidden="false" name="IQ_FOREIGN_GOVERNMENTS_TOTAL_DEPOSITS_FDIC" vbProcedure="false">"c6476"</definedName>
    <definedName function="false" hidden="false" name="IQ_FOREIGN_GOVERNMENTS_TRANSACTION_ACCOUNTS_FDIC" vbProcedure="false">"c6543"</definedName>
    <definedName function="false" hidden="false" name="IQ_FOREIGN_GOVERNMENT_LOANS_FDIC" vbProcedure="false">"c6430"</definedName>
    <definedName function="false" hidden="false" name="IQ_FQ" vbProcedure="false">500</definedName>
    <definedName function="false" hidden="false" name="IQ_FULLY_INSURED_DEPOSITS_FDIC" vbProcedure="false">"c6487"</definedName>
    <definedName function="false" hidden="false" name="IQ_FUTURES_FORWARD_CONTRACTS_NOTIONAL_AMOUNT_FDIC" vbProcedure="false">"c6518"</definedName>
    <definedName function="false" hidden="false" name="IQ_FUTURES_FORWARD_CONTRACTS_RATE_RISK_FDIC" vbProcedure="false">"c6508"</definedName>
    <definedName function="false" hidden="false" name="IQ_FWD_CY" vbProcedure="false">10001</definedName>
    <definedName function="false" hidden="false" name="IQ_FWD_CY1" vbProcedure="false">10002</definedName>
    <definedName function="false" hidden="false" name="IQ_FWD_CY2" vbProcedure="false">10003</definedName>
    <definedName function="false" hidden="false" name="IQ_FWD_FY" vbProcedure="false">1001</definedName>
    <definedName function="false" hidden="false" name="IQ_FWD_FY1" vbProcedure="false">1002</definedName>
    <definedName function="false" hidden="false" name="IQ_FWD_FY2" vbProcedure="false">1003</definedName>
    <definedName function="false" hidden="false" name="IQ_FWD_Q" vbProcedure="false">501</definedName>
    <definedName function="false" hidden="false" name="IQ_FWD_Q1" vbProcedure="false">502</definedName>
    <definedName function="false" hidden="false" name="IQ_FWD_Q2" vbProcedure="false">503</definedName>
    <definedName function="false" hidden="false" name="IQ_FX_CONTRACTS_FDIC" vbProcedure="false">"c6517"</definedName>
    <definedName function="false" hidden="false" name="IQ_FX_CONTRACTS_SPOT_FDIC" vbProcedure="false">"c6356"</definedName>
    <definedName function="false" hidden="false" name="IQ_FY" vbProcedure="false">1000</definedName>
    <definedName function="false" hidden="false" name="IQ_GAINS_SALE_ASSETS_FDIC" vbProcedure="false">"c6675"</definedName>
    <definedName function="false" hidden="false" name="IQ_GAIN_SALE_LOANS_FDIC" vbProcedure="false">"c6673"</definedName>
    <definedName function="false" hidden="false" name="IQ_GAIN_SALE_RE_FDIC" vbProcedure="false">"c6674"</definedName>
    <definedName function="false" hidden="false" name="IQ_GNMA_FDIC" vbProcedure="false">"c6398"</definedName>
    <definedName function="false" hidden="false" name="IQ_GOODWILL_FDIC" vbProcedure="false">"c6334"</definedName>
    <definedName function="false" hidden="false" name="IQ_GOODWILL_IMPAIRMENT_FDIC" vbProcedure="false">"c6678"</definedName>
    <definedName function="false" hidden="false" name="IQ_GOODWILL_INTAN_FDIC" vbProcedure="false">"c6333"</definedName>
    <definedName function="false" hidden="false" name="IQ_HELD_MATURITY_FDIC" vbProcedure="false">"c6408"</definedName>
    <definedName function="false" hidden="false" name="IQ_HOME_EQUITY_LOC_NET_CHARGE_OFFS_FDIC" vbProcedure="false">"c6644"</definedName>
    <definedName function="false" hidden="false" name="IQ_HOME_EQUITY_LOC_TOTAL_CHARGE_OFFS_FDIC" vbProcedure="false">"c6606"</definedName>
    <definedName function="false" hidden="false" name="IQ_HOME_EQUITY_LOC_TOTAL_RECOVERIES_FDIC" vbProcedure="false">"c6625"</definedName>
    <definedName function="false" hidden="false" name="IQ_HOUSING_COMPLETIONS_SINGLE_FAM_APR_FC_UNUSED_UNUSED_UNUSED" vbProcedure="false">"c8422"</definedName>
    <definedName function="false" hidden="false" name="IQ_HOUSING_COMPLETIONS_SINGLE_FAM_APR_UNUSED_UNUSED_UNUSED" vbProcedure="false">"c7542"</definedName>
    <definedName function="false" hidden="false" name="IQ_HOUSING_COMPLETIONS_SINGLE_FAM_FC_UNUSED_UNUSED_UNUSED" vbProcedure="false">"c7762"</definedName>
    <definedName function="false" hidden="false" name="IQ_HOUSING_COMPLETIONS_SINGLE_FAM_POP_FC_UNUSED_UNUSED_UNUSED" vbProcedure="false">"c7982"</definedName>
    <definedName function="false" hidden="false" name="IQ_HOUSING_COMPLETIONS_SINGLE_FAM_POP_UNUSED_UNUSED_UNUSED" vbProcedure="false">"c7102"</definedName>
    <definedName function="false" hidden="false" name="IQ_HOUSING_COMPLETIONS_SINGLE_FAM_UNUSED_UNUSED_UNUSED" vbProcedure="false">"c6882"</definedName>
    <definedName function="false" hidden="false" name="IQ_HOUSING_COMPLETIONS_SINGLE_FAM_YOY_FC_UNUSED_UNUSED_UNUSED" vbProcedure="false">"c8202"</definedName>
    <definedName function="false" hidden="false" name="IQ_HOUSING_COMPLETIONS_SINGLE_FAM_YOY_UNUSED_UNUSED_UNUSED" vbProcedure="false">"c7322"</definedName>
    <definedName function="false" hidden="false" name="IQ_IMPORTS_GOODS_REAL_SAAR_APR_FC_UNUSED_UNUSED_UNUSED" vbProcedure="false">"c8523"</definedName>
    <definedName function="false" hidden="false" name="IQ_IMPORTS_GOODS_REAL_SAAR_APR_UNUSED_UNUSED_UNUSED" vbProcedure="false">"c7643"</definedName>
    <definedName function="false" hidden="false" name="IQ_IMPORTS_GOODS_REAL_SAAR_FC_UNUSED_UNUSED_UNUSED" vbProcedure="false">"c7863"</definedName>
    <definedName function="false" hidden="false" name="IQ_IMPORTS_GOODS_REAL_SAAR_POP_FC_UNUSED_UNUSED_UNUSED" vbProcedure="false">"c8083"</definedName>
    <definedName function="false" hidden="false" name="IQ_IMPORTS_GOODS_REAL_SAAR_POP_UNUSED_UNUSED_UNUSED" vbProcedure="false">"c7203"</definedName>
    <definedName function="false" hidden="false" name="IQ_IMPORTS_GOODS_REAL_SAAR_UNUSED_UNUSED_UNUSED" vbProcedure="false">"c6983"</definedName>
    <definedName function="false" hidden="false" name="IQ_IMPORTS_GOODS_REAL_SAAR_YOY_FC_UNUSED_UNUSED_UNUSED" vbProcedure="false">"c8303"</definedName>
    <definedName function="false" hidden="false" name="IQ_IMPORTS_GOODS_REAL_SAAR_YOY_UNUSED_UNUSED_UNUSED" vbProcedure="false">"c7423"</definedName>
    <definedName function="false" hidden="false" name="IQ_IMPORTS_GOODS_SERVICES_APR_FC_UNUSED_UNUSED_UNUSED" vbProcedure="false">"c8429"</definedName>
    <definedName function="false" hidden="false" name="IQ_IMPORTS_GOODS_SERVICES_APR_UNUSED_UNUSED_UNUSED" vbProcedure="false">"c7549"</definedName>
    <definedName function="false" hidden="false" name="IQ_IMPORTS_GOODS_SERVICES_FC_UNUSED_UNUSED_UNUSED" vbProcedure="false">"c7769"</definedName>
    <definedName function="false" hidden="false" name="IQ_IMPORTS_GOODS_SERVICES_POP_FC_UNUSED_UNUSED_UNUSED" vbProcedure="false">"c7989"</definedName>
    <definedName function="false" hidden="false" name="IQ_IMPORTS_GOODS_SERVICES_POP_UNUSED_UNUSED_UNUSED" vbProcedure="false">"c7109"</definedName>
    <definedName function="false" hidden="false" name="IQ_IMPORTS_GOODS_SERVICES_REAL_SAAR_APR_FC_UNUSED_UNUSED_UNUSED" vbProcedure="false">"c8524"</definedName>
    <definedName function="false" hidden="false" name="IQ_IMPORTS_GOODS_SERVICES_REAL_SAAR_APR_UNUSED_UNUSED_UNUSED" vbProcedure="false">"c7644"</definedName>
    <definedName function="false" hidden="false" name="IQ_IMPORTS_GOODS_SERVICES_REAL_SAAR_FC_UNUSED_UNUSED_UNUSED" vbProcedure="false">"c7864"</definedName>
    <definedName function="false" hidden="false" name="IQ_IMPORTS_GOODS_SERVICES_REAL_SAAR_POP_FC_UNUSED_UNUSED_UNUSED" vbProcedure="false">"c8084"</definedName>
    <definedName function="false" hidden="false" name="IQ_IMPORTS_GOODS_SERVICES_REAL_SAAR_POP_UNUSED_UNUSED_UNUSED" vbProcedure="false">"c7204"</definedName>
    <definedName function="false" hidden="false" name="IQ_IMPORTS_GOODS_SERVICES_REAL_SAAR_UNUSED_UNUSED_UNUSED" vbProcedure="false">"c6984"</definedName>
    <definedName function="false" hidden="false" name="IQ_IMPORTS_GOODS_SERVICES_REAL_SAAR_YOY_FC_UNUSED_UNUSED_UNUSED" vbProcedure="false">"c8304"</definedName>
    <definedName function="false" hidden="false" name="IQ_IMPORTS_GOODS_SERVICES_REAL_SAAR_YOY_UNUSED_UNUSED_UNUSED" vbProcedure="false">"c7424"</definedName>
    <definedName function="false" hidden="false" name="IQ_IMPORTS_GOODS_SERVICES_UNUSED_UNUSED_UNUSED" vbProcedure="false">"c6889"</definedName>
    <definedName function="false" hidden="false" name="IQ_IMPORTS_GOODS_SERVICES_YOY_FC_UNUSED_UNUSED_UNUSED" vbProcedure="false">"c8209"</definedName>
    <definedName function="false" hidden="false" name="IQ_IMPORTS_GOODS_SERVICES_YOY_UNUSED_UNUSED_UNUSED" vbProcedure="false">"c7329"</definedName>
    <definedName function="false" hidden="false" name="IQ_INCIDENTAL_CHANGES_BUSINESS_COMBINATIONS_FDIC" vbProcedure="false">"c6502"</definedName>
    <definedName function="false" hidden="false" name="IQ_INCOME_BEFORE_EXTRA_FDIC" vbProcedure="false">"c6585"</definedName>
    <definedName function="false" hidden="false" name="IQ_INCOME_EARNED_FDIC" vbProcedure="false">"c6359"</definedName>
    <definedName function="false" hidden="false" name="IQ_INCOME_TAXES_FDIC" vbProcedure="false">"c6582"</definedName>
    <definedName function="false" hidden="false" name="IQ_INDIVIDUALS_CHARGE_OFFS_FDIC" vbProcedure="false">"c6599"</definedName>
    <definedName function="false" hidden="false" name="IQ_INDIVIDUALS_LOANS_FDIC" vbProcedure="false">"c6318"</definedName>
    <definedName function="false" hidden="false" name="IQ_INDIVIDUALS_NET_CHARGE_OFFS_FDIC" vbProcedure="false">"c6637"</definedName>
    <definedName function="false" hidden="false" name="IQ_INDIVIDUALS_OTHER_LOANS_FDIC" vbProcedure="false">"c6321"</definedName>
    <definedName function="false" hidden="false" name="IQ_INDIVIDUALS_PARTNERSHIPS_CORP_DEPOSITS_FOREIGN_FDIC" vbProcedure="false">"c6479"</definedName>
    <definedName function="false" hidden="false" name="IQ_INDIVIDUALS_PARTNERSHIPS_CORP_NONTRANSACTION_ACCOUNTS_FDIC" vbProcedure="false">"c6545"</definedName>
    <definedName function="false" hidden="false" name="IQ_INDIVIDUALS_PARTNERSHIPS_CORP_TOTAL_DEPOSITS_FDIC" vbProcedure="false">"c6471"</definedName>
    <definedName function="false" hidden="false" name="IQ_INDIVIDUALS_PARTNERSHIPS_CORP_TRANSACTION_ACCOUNTS_FDIC" vbProcedure="false">"c6537"</definedName>
    <definedName function="false" hidden="false" name="IQ_INDIVIDUALS_RECOVERIES_FDIC" vbProcedure="false">"c6618"</definedName>
    <definedName function="false" hidden="false" name="IQ_INSIDER_LOANS_FDIC" vbProcedure="false">"c6365"</definedName>
    <definedName function="false" hidden="false" name="IQ_INSTITUTIONS_EARNINGS_GAINS_FDIC" vbProcedure="false">"c6723"</definedName>
    <definedName function="false" hidden="false" name="IQ_INSURANCE_COMMISSION_FEES_FDIC" vbProcedure="false">"c6670"</definedName>
    <definedName function="false" hidden="false" name="IQ_INSURANCE_UNDERWRITING_INCOME_FDIC" vbProcedure="false">"c6671"</definedName>
    <definedName function="false" hidden="false" name="IQ_INTEREST_BEARING_BALANCES_FDIC" vbProcedure="false">"c6371"</definedName>
    <definedName function="false" hidden="false" name="IQ_INTEREST_BEARING_DEPOSITS_DOMESTIC_FDIC" vbProcedure="false">"c6478"</definedName>
    <definedName function="false" hidden="false" name="IQ_INTEREST_BEARING_DEPOSITS_FDIC" vbProcedure="false">"c6373"</definedName>
    <definedName function="false" hidden="false" name="IQ_INTEREST_BEARING_DEPOSITS_FOREIGN_FDIC" vbProcedure="false">"c6485"</definedName>
    <definedName function="false" hidden="false" name="IQ_INTEREST_LT_DEBT" vbProcedure="false">"c2086"</definedName>
    <definedName function="false" hidden="false" name="IQ_INTEREST_RATE_CONTRACTS_FDIC" vbProcedure="false">"c6512"</definedName>
    <definedName function="false" hidden="false" name="IQ_INTEREST_RATE_EXPOSURES_FDIC" vbProcedure="false">"c6662"</definedName>
    <definedName function="false" hidden="false" name="IQ_INT_DEMAND_NOTES_FDIC" vbProcedure="false">"c6567"</definedName>
    <definedName function="false" hidden="false" name="IQ_INT_DOMESTIC_DEPOSITS_FDIC" vbProcedure="false">"c6564"</definedName>
    <definedName function="false" hidden="false" name="IQ_INT_EXP_TOTAL_FDIC" vbProcedure="false">"c6569"</definedName>
    <definedName function="false" hidden="false" name="IQ_INT_FED_FUNDS_FDIC" vbProcedure="false">"c6566"</definedName>
    <definedName function="false" hidden="false" name="IQ_INT_FOREIGN_DEPOSITS_FDIC" vbProcedure="false">"c6565"</definedName>
    <definedName function="false" hidden="false" name="IQ_INT_INC_DEPOSITORY_INST_FDIC" vbProcedure="false">"c6558"</definedName>
    <definedName function="false" hidden="false" name="IQ_INT_INC_DOM_LOANS_FDIC" vbProcedure="false">"c6555"</definedName>
    <definedName function="false" hidden="false" name="IQ_INT_INC_FED_FUNDS_FDIC" vbProcedure="false">"c6561"</definedName>
    <definedName function="false" hidden="false" name="IQ_INT_INC_FOREIGN_LOANS_FDIC" vbProcedure="false">"c6556"</definedName>
    <definedName function="false" hidden="false" name="IQ_INT_INC_LEASE_RECEIVABLES_FDIC" vbProcedure="false">"c6557"</definedName>
    <definedName function="false" hidden="false" name="IQ_INT_INC_OTHER_FDIC" vbProcedure="false">"c6562"</definedName>
    <definedName function="false" hidden="false" name="IQ_INT_INC_SECURITIES_FDIC" vbProcedure="false">"c6559"</definedName>
    <definedName function="false" hidden="false" name="IQ_INT_INC_TOTAL_FDIC" vbProcedure="false">"c6563"</definedName>
    <definedName function="false" hidden="false" name="IQ_INT_INC_TRADING_ACCOUNTS_FDIC" vbProcedure="false">"c6560"</definedName>
    <definedName function="false" hidden="false" name="IQ_INT_SUB_NOTES_FDIC" vbProcedure="false">"c6568"</definedName>
    <definedName function="false" hidden="false" name="IQ_INVESTMENT_BANKING_OTHER_FEES_FDIC" vbProcedure="false">"c6666"</definedName>
    <definedName function="false" hidden="false" name="IQ_IRA_KEOGH_ACCOUNTS_FDIC" vbProcedure="false">"c6496"</definedName>
    <definedName function="false" hidden="false" name="IQ_ISM_SERVICES_APR_FC_UNUSED_UNUSED_UNUSED" vbProcedure="false">"c8443"</definedName>
    <definedName function="false" hidden="false" name="IQ_ISM_SERVICES_APR_UNUSED_UNUSED_UNUSED" vbProcedure="false">"c7563"</definedName>
    <definedName function="false" hidden="false" name="IQ_ISM_SERVICES_FC_UNUSED_UNUSED_UNUSED" vbProcedure="false">"c7783"</definedName>
    <definedName function="false" hidden="false" name="IQ_ISM_SERVICES_POP_FC_UNUSED_UNUSED_UNUSED" vbProcedure="false">"c8003"</definedName>
    <definedName function="false" hidden="false" name="IQ_ISM_SERVICES_POP_UNUSED_UNUSED_UNUSED" vbProcedure="false">"c7123"</definedName>
    <definedName function="false" hidden="false" name="IQ_ISM_SERVICES_UNUSED_UNUSED_UNUSED" vbProcedure="false">"c6903"</definedName>
    <definedName function="false" hidden="false" name="IQ_ISM_SERVICES_YOY_FC_UNUSED_UNUSED_UNUSED" vbProcedure="false">"c8223"</definedName>
    <definedName function="false" hidden="false" name="IQ_ISM_SERVICES_YOY_UNUSED_UNUSED_UNUSED" vbProcedure="false">"c7343"</definedName>
    <definedName function="false" hidden="false" name="IQ_ISSUED_GUARANTEED_US_FDIC" vbProcedure="false">"c6404"</definedName>
    <definedName function="false" hidden="false" name="IQ_LATESTK" vbProcedure="false">1000</definedName>
    <definedName function="false" hidden="false" name="IQ_LATESTQ" vbProcedure="false">500</definedName>
    <definedName function="false" hidden="false" name="IQ_LEASE_FINANCING_RECEIVABLES_CHARGE_OFFS_FDIC" vbProcedure="false">"c6602"</definedName>
    <definedName function="false" hidden="false" name="IQ_LEASE_FINANCING_RECEIVABLES_FDIC" vbProcedure="false">"c6433"</definedName>
    <definedName function="false" hidden="false" name="IQ_LEASE_FINANCING_RECEIVABLES_NET_CHARGE_OFFS_FDIC" vbProcedure="false">"c6640"</definedName>
    <definedName function="false" hidden="false" name="IQ_LEASE_FINANCING_RECEIVABLES_RECOVERIES_FDIC" vbProcedure="false">"c6621"</definedName>
    <definedName function="false" hidden="false" name="IQ_LEASE_FINANCING_RECEIVABLES_TOTAL_LOANS_FOREIGN_FDIC" vbProcedure="false">"c6449"</definedName>
    <definedName function="false" hidden="false" name="IQ_LIFE_INSURANCE_ASSETS_FDIC" vbProcedure="false">"c6372"</definedName>
    <definedName function="false" hidden="false" name="IQ_LISTING_CURRENCY" vbProcedure="false">"c2127"</definedName>
    <definedName function="false" hidden="false" name="IQ_LOANS_AND_LEASES_HELD_FDIC" vbProcedure="false">"c6367"</definedName>
    <definedName function="false" hidden="false" name="IQ_LOANS_DEPOSITORY_INSTITUTIONS_FDIC" vbProcedure="false">"c6382"</definedName>
    <definedName function="false" hidden="false" name="IQ_LOANS_HELD_FOREIGN_FDIC" vbProcedure="false">"c6315"</definedName>
    <definedName function="false" hidden="false" name="IQ_LOANS_LEASES_FOREIGN_FDIC" vbProcedure="false">"c6383"</definedName>
    <definedName function="false" hidden="false" name="IQ_LOANS_LEASES_GROSS_FDIC" vbProcedure="false">"c6323"</definedName>
    <definedName function="false" hidden="false" name="IQ_LOANS_LEASES_GROSS_FOREIGN_FDIC" vbProcedure="false">"c6384"</definedName>
    <definedName function="false" hidden="false" name="IQ_LOANS_LEASES_NET_FDIC" vbProcedure="false">"c6327"</definedName>
    <definedName function="false" hidden="false" name="IQ_LOANS_LEASES_NET_UNEARNED_FDIC" vbProcedure="false">"c6325"</definedName>
    <definedName function="false" hidden="false" name="IQ_LOANS_NOT_SECURED_RE_FDIC" vbProcedure="false">"c6381"</definedName>
    <definedName function="false" hidden="false" name="IQ_LOANS_SECURED_BY_RE_CHARGE_OFFS_FDIC" vbProcedure="false">"c6588"</definedName>
    <definedName function="false" hidden="false" name="IQ_LOANS_SECURED_BY_RE_RECOVERIES_FDIC" vbProcedure="false">"c6607"</definedName>
    <definedName function="false" hidden="false" name="IQ_LOANS_SECURED_NON_US_FDIC" vbProcedure="false">"c6380"</definedName>
    <definedName function="false" hidden="false" name="IQ_LOANS_SECURED_RE_NET_CHARGE_OFFS_FDIC" vbProcedure="false">"c6626"</definedName>
    <definedName function="false" hidden="false" name="IQ_LOANS_TO_DEPOSITORY_INSTITUTIONS_FOREIGN_FDIC" vbProcedure="false">"c6453"</definedName>
    <definedName function="false" hidden="false" name="IQ_LOANS_TO_FOREIGN_GOVERNMENTS_FDIC" vbProcedure="false">"c6448"</definedName>
    <definedName function="false" hidden="false" name="IQ_LOANS_TO_INDIVIDUALS_FOREIGN_FDIC" vbProcedure="false">"c6452"</definedName>
    <definedName function="false" hidden="false" name="IQ_LOAN_COMMITMENTS_REVOLVING_FDIC" vbProcedure="false">"c6524"</definedName>
    <definedName function="false" hidden="false" name="IQ_LOAN_LOSSES_FDIC" vbProcedure="false">"c6580"</definedName>
    <definedName function="false" hidden="false" name="IQ_LOAN_LOSS_ALLOWANCE_NONCURRENT_LOANS_FDIC" vbProcedure="false">"c6740"</definedName>
    <definedName function="false" hidden="false" name="IQ_LOAN_LOSS_ALLOW_FDIC" vbProcedure="false">"c6326"</definedName>
    <definedName function="false" hidden="false" name="IQ_LONG_TERM_ASSETS_FDIC" vbProcedure="false">"c6361"</definedName>
    <definedName function="false" hidden="false" name="IQ_LOSS_ALLOWANCE_LOANS_FDIC" vbProcedure="false">"c6739"</definedName>
    <definedName function="false" hidden="false" name="IQ_LTM" vbProcedure="false">2000</definedName>
    <definedName function="false" hidden="false" name="IQ_LTMMONTH" vbProcedure="false">120000</definedName>
    <definedName function="false" hidden="false" name="IQ_MATURITY_ONE_YEAR_LESS_FDIC" vbProcedure="false">"c6425"</definedName>
    <definedName function="false" hidden="false" name="IQ_MEDIAN_NEW_HOME_SALES_APR_FC_UNUSED_UNUSED_UNUSED" vbProcedure="false">"c8460"</definedName>
    <definedName function="false" hidden="false" name="IQ_MEDIAN_NEW_HOME_SALES_APR_UNUSED_UNUSED_UNUSED" vbProcedure="false">"c7580"</definedName>
    <definedName function="false" hidden="false" name="IQ_MEDIAN_NEW_HOME_SALES_FC_UNUSED_UNUSED_UNUSED" vbProcedure="false">"c7800"</definedName>
    <definedName function="false" hidden="false" name="IQ_MEDIAN_NEW_HOME_SALES_POP_FC_UNUSED_UNUSED_UNUSED" vbProcedure="false">"c8020"</definedName>
    <definedName function="false" hidden="false" name="IQ_MEDIAN_NEW_HOME_SALES_POP_UNUSED_UNUSED_UNUSED" vbProcedure="false">"c7140"</definedName>
    <definedName function="false" hidden="false" name="IQ_MEDIAN_NEW_HOME_SALES_UNUSED_UNUSED_UNUSED" vbProcedure="false">"c6920"</definedName>
    <definedName function="false" hidden="false" name="IQ_MEDIAN_NEW_HOME_SALES_YOY_FC_UNUSED_UNUSED_UNUSED" vbProcedure="false">"c8240"</definedName>
    <definedName function="false" hidden="false" name="IQ_MEDIAN_NEW_HOME_SALES_YOY_UNUSED_UNUSED_UNUSED" vbProcedure="false">"c7360"</definedName>
    <definedName function="false" hidden="false" name="IQ_MONEY_MARKET_DEPOSIT_ACCOUNTS_FDIC" vbProcedure="false">"c6553"</definedName>
    <definedName function="false" hidden="false" name="IQ_MONTH" vbProcedure="false">15000</definedName>
    <definedName function="false" hidden="false" name="IQ_MORTGAGE_BACKED_SECURITIES_FDIC" vbProcedure="false">"c6402"</definedName>
    <definedName function="false" hidden="false" name="IQ_MORTGAGE_SERVICING_FDIC" vbProcedure="false">"c6335"</definedName>
    <definedName function="false" hidden="false" name="IQ_MULTIFAMILY_RESIDENTIAL_LOANS_FDIC" vbProcedure="false">"c6311"</definedName>
    <definedName function="false" hidden="false" name="IQ_NAMES_REVISION_DATE_" vbProcedure="false">40585.3988773148</definedName>
    <definedName function="false" hidden="false" name="IQ_NAV_ACT_OR_EST" vbProcedure="false">"c2225"</definedName>
    <definedName function="false" hidden="false" name="IQ_NET_CHARGE_OFFS_FDIC" vbProcedure="false">"c6641"</definedName>
    <definedName function="false" hidden="false" name="IQ_NET_CHARGE_OFFS_LOANS_FDIC" vbProcedure="false">"c6751"</definedName>
    <definedName function="false" hidden="false" name="IQ_NET_INCOME_FDIC" vbProcedure="false">"c6587"</definedName>
    <definedName function="false" hidden="false" name="IQ_NET_INTEREST_MARGIN_FDIC" vbProcedure="false">"c6726"</definedName>
    <definedName function="false" hidden="false" name="IQ_NET_INT_INC_BNK_FDIC" vbProcedure="false">"c6570"</definedName>
    <definedName function="false" hidden="false" name="IQ_NET_LOANS_LEASES_CORE_DEPOSITS_FDIC" vbProcedure="false">"c6743"</definedName>
    <definedName function="false" hidden="false" name="IQ_NET_LOANS_LEASES_DEPOSITS_FDIC" vbProcedure="false">"c6742"</definedName>
    <definedName function="false" hidden="false" name="IQ_NET_OPERATING_INCOME_ASSETS_FDIC" vbProcedure="false">"c6729"</definedName>
    <definedName function="false" hidden="false" name="IQ_NET_SECURITIZATION_INCOME_FDIC" vbProcedure="false">"c6669"</definedName>
    <definedName function="false" hidden="false" name="IQ_NET_SERVICING_FEES_FDIC" vbProcedure="false">"c6668"</definedName>
    <definedName function="false" hidden="false" name="IQ_NONCURRENT_LOANS_1_4_FAMILY_FDIC" vbProcedure="false">"c6770"</definedName>
    <definedName function="false" hidden="false" name="IQ_NONCURRENT_LOANS_COMMERCIAL_INDUSTRIAL_FDIC" vbProcedure="false">"c6773"</definedName>
    <definedName function="false" hidden="false" name="IQ_NONCURRENT_LOANS_COMMERCIAL_RE_FDIC" vbProcedure="false">"c6768"</definedName>
    <definedName function="false" hidden="false" name="IQ_NONCURRENT_LOANS_COMMERCIAL_RE_NOT_SECURED_FDIC" vbProcedure="false">"c6778"</definedName>
    <definedName function="false" hidden="false" name="IQ_NONCURRENT_LOANS_CONSTRUCTION_LAND_DEV_FDIC" vbProcedure="false">"c6767"</definedName>
    <definedName function="false" hidden="false" name="IQ_NONCURRENT_LOANS_CREDIT_CARD_FDIC" vbProcedure="false">"c6775"</definedName>
    <definedName function="false" hidden="false" name="IQ_NONCURRENT_LOANS_GUARANTEED_FDIC" vbProcedure="false">"c6358"</definedName>
    <definedName function="false" hidden="false" name="IQ_NONCURRENT_LOANS_HOME_EQUITY_FDIC" vbProcedure="false">"c6771"</definedName>
    <definedName function="false" hidden="false" name="IQ_NONCURRENT_LOANS_INDIVIDUALS_FDIC" vbProcedure="false">"c6774"</definedName>
    <definedName function="false" hidden="false" name="IQ_NONCURRENT_LOANS_LEASES_FDIC" vbProcedure="false">"c6357"</definedName>
    <definedName function="false" hidden="false" name="IQ_NONCURRENT_LOANS_MULTIFAMILY_FDIC" vbProcedure="false">"c6769"</definedName>
    <definedName function="false" hidden="false" name="IQ_NONCURRENT_LOANS_OTHER_FAMILY_FDIC" vbProcedure="false">"c6772"</definedName>
    <definedName function="false" hidden="false" name="IQ_NONCURRENT_LOANS_OTHER_INDIVIDUAL_FDIC" vbProcedure="false">"c6776"</definedName>
    <definedName function="false" hidden="false" name="IQ_NONCURRENT_LOANS_OTHER_LOANS_FDIC" vbProcedure="false">"c6777"</definedName>
    <definedName function="false" hidden="false" name="IQ_NONCURRENT_LOANS_RE_FDIC" vbProcedure="false">"c6766"</definedName>
    <definedName function="false" hidden="false" name="IQ_NONCURRENT_LOANS_TOTAL_LOANS_FDIC" vbProcedure="false">"c6765"</definedName>
    <definedName function="false" hidden="false" name="IQ_NONCURRENT_OREO_ASSETS_FDIC" vbProcedure="false">"c6741"</definedName>
    <definedName function="false" hidden="false" name="IQ_NONINTEREST_BEARING_BALANCES_FDIC" vbProcedure="false">"c6394"</definedName>
    <definedName function="false" hidden="false" name="IQ_NONINTEREST_BEARING_DEPOSITS_DOMESTIC_FDIC" vbProcedure="false">"c6477"</definedName>
    <definedName function="false" hidden="false" name="IQ_NONINTEREST_BEARING_DEPOSITS_FOREIGN_FDIC" vbProcedure="false">"c6484"</definedName>
    <definedName function="false" hidden="false" name="IQ_NONINTEREST_EXPENSE_EARNING_ASSETS_FDIC" vbProcedure="false">"c6728"</definedName>
    <definedName function="false" hidden="false" name="IQ_NONINTEREST_INCOME_EARNING_ASSETS_FDIC" vbProcedure="false">"c6727"</definedName>
    <definedName function="false" hidden="false" name="IQ_NONMORTGAGE_SERVICING_FDIC" vbProcedure="false">"c6336"</definedName>
    <definedName function="false" hidden="false" name="IQ_NONRES_FIXED_INVEST_PRIV_APR_FC_UNUSED_UNUSED_UNUSED" vbProcedure="false">"c8468"</definedName>
    <definedName function="false" hidden="false" name="IQ_NONRES_FIXED_INVEST_PRIV_APR_UNUSED_UNUSED_UNUSED" vbProcedure="false">"c7588"</definedName>
    <definedName function="false" hidden="false" name="IQ_NONRES_FIXED_INVEST_PRIV_FC_UNUSED_UNUSED_UNUSED" vbProcedure="false">"c7808"</definedName>
    <definedName function="false" hidden="false" name="IQ_NONRES_FIXED_INVEST_PRIV_POP_FC_UNUSED_UNUSED_UNUSED" vbProcedure="false">"c8028"</definedName>
    <definedName function="false" hidden="false" name="IQ_NONRES_FIXED_INVEST_PRIV_POP_UNUSED_UNUSED_UNUSED" vbProcedure="false">"c7148"</definedName>
    <definedName function="false" hidden="false" name="IQ_NONRES_FIXED_INVEST_PRIV_UNUSED_UNUSED_UNUSED" vbProcedure="false">"c6928"</definedName>
    <definedName function="false" hidden="false" name="IQ_NONRES_FIXED_INVEST_PRIV_YOY_FC_UNUSED_UNUSED_UNUSED" vbProcedure="false">"c8248"</definedName>
    <definedName function="false" hidden="false" name="IQ_NONRES_FIXED_INVEST_PRIV_YOY_UNUSED_UNUSED_UNUSED" vbProcedure="false">"c7368"</definedName>
    <definedName function="false" hidden="false" name="IQ_NONTRANSACTION_ACCOUNTS_FDIC" vbProcedure="false">"c6552"</definedName>
    <definedName function="false" hidden="false" name="IQ_NON_INT_EXP_FDIC" vbProcedure="false">"c6579"</definedName>
    <definedName function="false" hidden="false" name="IQ_NON_INT_INC_FDIC" vbProcedure="false">"c6575"</definedName>
    <definedName function="false" hidden="false" name="IQ_NON_US_ADDRESSEES_TOTAL_LOANS_FOREIGN_FDIC" vbProcedure="false">"c6443"</definedName>
    <definedName function="false" hidden="false" name="IQ_NON_US_CHARGE_OFFS_AND_RECOVERIES_FDIC" vbProcedure="false">"c6650"</definedName>
    <definedName function="false" hidden="false" name="IQ_NON_US_CHARGE_OFFS_FDIC" vbProcedure="false">"c6648"</definedName>
    <definedName function="false" hidden="false" name="IQ_NON_US_COMMERCIAL_INDUSTRIAL_CHARGE_OFFS_FDIC" vbProcedure="false">"c6651"</definedName>
    <definedName function="false" hidden="false" name="IQ_NON_US_NET_LOANS_FDIC" vbProcedure="false">"c6376"</definedName>
    <definedName function="false" hidden="false" name="IQ_NON_US_RECOVERIES_FDIC" vbProcedure="false">"c6649"</definedName>
    <definedName function="false" hidden="false" name="IQ_NOTIONAL_AMOUNT_CREDIT_DERIVATIVES_FDIC" vbProcedure="false">"c6507"</definedName>
    <definedName function="false" hidden="false" name="IQ_NOTIONAL_VALUE_EXCHANGE_SWAPS_FDIC" vbProcedure="false">"c6516"</definedName>
    <definedName function="false" hidden="false" name="IQ_NOTIONAL_VALUE_OTHER_SWAPS_FDIC" vbProcedure="false">"c6521"</definedName>
    <definedName function="false" hidden="false" name="IQ_NOTIONAL_VALUE_RATE_SWAPS_FDIC" vbProcedure="false">"c6511"</definedName>
    <definedName function="false" hidden="false" name="IQ_NTM" vbProcedure="false">6000</definedName>
    <definedName function="false" hidden="false" name="IQ_NUMBER_DEPOSITS_LESS_THAN_100K_FDIC" vbProcedure="false">"c6495"</definedName>
    <definedName function="false" hidden="false" name="IQ_NUMBER_DEPOSITS_MORE_THAN_100K_FDIC" vbProcedure="false">"c6493"</definedName>
    <definedName function="false" hidden="false" name="IQ_NUMBER_SHAREHOLDERS_CLASSB" vbProcedure="false">"c1969"</definedName>
    <definedName function="false" hidden="false" name="IQ_NUM_OFFICES" vbProcedure="false">"c2088"</definedName>
    <definedName function="false" hidden="false" name="IQ_OBLIGATIONS_OF_STATES_TOTAL_LOANS_FOREIGN_FDIC" vbProcedure="false">"c6447"</definedName>
    <definedName function="false" hidden="false" name="IQ_OBLIGATIONS_STATES_FDIC" vbProcedure="false">"c6431"</definedName>
    <definedName function="false" hidden="false" name="IQ_OG_OTHER_ADJ" vbProcedure="false">"c1999"</definedName>
    <definedName function="false" hidden="false" name="IQ_OG_TOTAL_OIL_PRODUCTON" vbProcedure="false">"c2059"</definedName>
    <definedName function="false" hidden="false" name="IQ_OPENED55" vbProcedure="false">1</definedName>
    <definedName function="false" hidden="false" name="IQ_OPTIONS_EXCERCISED" vbProcedure="false">"c2116"</definedName>
    <definedName function="false" hidden="false" name="IQ_OREO_1_4_RESIDENTIAL_FDIC" vbProcedure="false">"c6454"</definedName>
    <definedName function="false" hidden="false" name="IQ_OREO_COMMERCIAL_RE_FDIC" vbProcedure="false">"c6456"</definedName>
    <definedName function="false" hidden="false" name="IQ_OREO_CONSTRUCTION_DEVELOPMENT_FDIC" vbProcedure="false">"c6457"</definedName>
    <definedName function="false" hidden="false" name="IQ_OREO_FARMLAND_FDIC" vbProcedure="false">"c6458"</definedName>
    <definedName function="false" hidden="false" name="IQ_OREO_FOREIGN_FDIC" vbProcedure="false">"c6460"</definedName>
    <definedName function="false" hidden="false" name="IQ_OREO_MULTI_FAMILY_RESIDENTIAL_FDIC" vbProcedure="false">"c6455"</definedName>
    <definedName function="false" hidden="false" name="IQ_OTHER_ASSETS_FDIC" vbProcedure="false">"c6338"</definedName>
    <definedName function="false" hidden="false" name="IQ_OTHER_BORROWED_FUNDS_FDIC" vbProcedure="false">"c6345"</definedName>
    <definedName function="false" hidden="false" name="IQ_OTHER_COMPREHENSIVE_INCOME_FDIC" vbProcedure="false">"c6503"</definedName>
    <definedName function="false" hidden="false" name="IQ_OTHER_DEPOSITORY_INSTITUTIONS_LOANS_FDIC" vbProcedure="false">"c6436"</definedName>
    <definedName function="false" hidden="false" name="IQ_OTHER_DEPOSITORY_INSTITUTIONS_TOTAL_LOANS_FOREIGN_FDIC" vbProcedure="false">"c6442"</definedName>
    <definedName function="false" hidden="false" name="IQ_OTHER_DOMESTIC_DEBT_SECURITIES_FDIC" vbProcedure="false">"c6302"</definedName>
    <definedName function="false" hidden="false" name="IQ_OTHER_INSURANCE_FEES_FDIC" vbProcedure="false">"c6672"</definedName>
    <definedName function="false" hidden="false" name="IQ_OTHER_INTANGIBLE_FDIC" vbProcedure="false">"c6337"</definedName>
    <definedName function="false" hidden="false" name="IQ_OTHER_LIABILITIES_FDIC" vbProcedure="false">"c6347"</definedName>
    <definedName function="false" hidden="false" name="IQ_OTHER_LOANS_CHARGE_OFFS_FDIC" vbProcedure="false">"c6601"</definedName>
    <definedName function="false" hidden="false" name="IQ_OTHER_LOANS_FOREIGN_FDIC" vbProcedure="false">"c6446"</definedName>
    <definedName function="false" hidden="false" name="IQ_OTHER_LOANS_LEASES_FDIC" vbProcedure="false">"c6322"</definedName>
    <definedName function="false" hidden="false" name="IQ_OTHER_LOANS_NET_CHARGE_OFFS_FDIC" vbProcedure="false">"c6639"</definedName>
    <definedName function="false" hidden="false" name="IQ_OTHER_LOANS_RECOVERIES_FDIC" vbProcedure="false">"c6620"</definedName>
    <definedName function="false" hidden="false" name="IQ_OTHER_LOANS_TOTAL_FDIC" vbProcedure="false">"c6432"</definedName>
    <definedName function="false" hidden="false" name="IQ_OTHER_NON_INT_EXPENSE_FDIC" vbProcedure="false">"c6679"</definedName>
    <definedName function="false" hidden="false" name="IQ_OTHER_NON_INT_EXP_FDIC" vbProcedure="false">"c6578"</definedName>
    <definedName function="false" hidden="false" name="IQ_OTHER_NON_INT_INC_FDIC" vbProcedure="false">"c6676"</definedName>
    <definedName function="false" hidden="false" name="IQ_OTHER_OFF_BS_LIAB_FDIC" vbProcedure="false">"c6533"</definedName>
    <definedName function="false" hidden="false" name="IQ_OTHER_RE_OWNED_FDIC" vbProcedure="false">"c6330"</definedName>
    <definedName function="false" hidden="false" name="IQ_OTHER_SAVINGS_DEPOSITS_FDIC" vbProcedure="false">"c6554"</definedName>
    <definedName function="false" hidden="false" name="IQ_OTHER_TRANSACTIONS_FDIC" vbProcedure="false">"c6504"</definedName>
    <definedName function="false" hidden="false" name="IQ_OTHER_UNUSED_COMMITMENTS_FDIC" vbProcedure="false">"c6530"</definedName>
    <definedName function="false" hidden="false" name="IQ_OUTSTANDING_FILING_DATE_TOTAL" vbProcedure="false">"c2107"</definedName>
    <definedName function="false" hidden="false" name="IQ_OVER_FIFETEEN_YEAR_MORTGAGE_PASS_THROUGHS_FDIC" vbProcedure="false">"c6416"</definedName>
    <definedName function="false" hidden="false" name="IQ_OVER_FIFTEEN_YEAR_FIXED_AND_FLOATING_RATE_FDIC" vbProcedure="false">"c6424"</definedName>
    <definedName function="false" hidden="false" name="IQ_OVER_THREE_YEARS_FDIC" vbProcedure="false">"c6418"</definedName>
    <definedName function="false" hidden="false" name="IQ_PARTICIPATION_POOLS_RESIDENTIAL_MORTGAGES_FDIC" vbProcedure="false">"c6403"</definedName>
    <definedName function="false" hidden="false" name="IQ_PAST_DUE_30_1_4_FAMILY_LOANS_FDIC" vbProcedure="false">"c6693"</definedName>
    <definedName function="false" hidden="false" name="IQ_PAST_DUE_30_AUTO_LOANS_FDIC" vbProcedure="false">"c6687"</definedName>
    <definedName function="false" hidden="false" name="IQ_PAST_DUE_30_CL_LOANS_FDIC" vbProcedure="false">"c6688"</definedName>
    <definedName function="false" hidden="false" name="IQ_PAST_DUE_30_CREDIT_CARDS_RECEIVABLES_FDIC" vbProcedure="false">"c6690"</definedName>
    <definedName function="false" hidden="false" name="IQ_PAST_DUE_30_HOME_EQUITY_LINES_FDIC" vbProcedure="false">"c6691"</definedName>
    <definedName function="false" hidden="false" name="IQ_PAST_DUE_30_OTHER_CONSUMER_LOANS_FDIC" vbProcedure="false">"c6689"</definedName>
    <definedName function="false" hidden="false" name="IQ_PAST_DUE_30_OTHER_LOANS_FDIC" vbProcedure="false">"c6692"</definedName>
    <definedName function="false" hidden="false" name="IQ_PAST_DUE_90_1_4_FAMILY_LOANS_FDIC" vbProcedure="false">"c6700"</definedName>
    <definedName function="false" hidden="false" name="IQ_PAST_DUE_90_AUTO_LOANS_FDIC" vbProcedure="false">"c6694"</definedName>
    <definedName function="false" hidden="false" name="IQ_PAST_DUE_90_CL_LOANS_FDIC" vbProcedure="false">"c6695"</definedName>
    <definedName function="false" hidden="false" name="IQ_PAST_DUE_90_CREDIT_CARDS_RECEIVABLES_FDIC" vbProcedure="false">"c6697"</definedName>
    <definedName function="false" hidden="false" name="IQ_PAST_DUE_90_HOME_EQUITY_LINES_FDIC" vbProcedure="false">"c6698"</definedName>
    <definedName function="false" hidden="false" name="IQ_PAST_DUE_90_OTHER_CONSUMER_LOANS_FDIC" vbProcedure="false">"c6696"</definedName>
    <definedName function="false" hidden="false" name="IQ_PAST_DUE_90_OTHER_LOANS_FDIC" vbProcedure="false">"c6699"</definedName>
    <definedName function="false" hidden="false" name="IQ_PERCENT_CHANGE_EST_FFO_12MONTHS" vbProcedure="false">"c1828"</definedName>
    <definedName function="false" hidden="false" name="IQ_PERCENT_CHANGE_EST_FFO_12MONTHS_CIQ" vbProcedure="false">"c3769"</definedName>
    <definedName function="false" hidden="false" name="IQ_PERCENT_CHANGE_EST_FFO_12MONTHS_CIQ_COL" vbProcedure="false">"c11119"</definedName>
    <definedName function="false" hidden="false" name="IQ_PERCENT_CHANGE_EST_FFO_12MONTHS_REUT" vbProcedure="false">"c3938"</definedName>
    <definedName function="false" hidden="false" name="IQ_PERCENT_CHANGE_EST_FFO_12MONTHS_THOM" vbProcedure="false">"c5248"</definedName>
    <definedName function="false" hidden="false" name="IQ_PERCENT_CHANGE_EST_FFO_18MONTHS" vbProcedure="false">"c1829"</definedName>
    <definedName function="false" hidden="false" name="IQ_PERCENT_CHANGE_EST_FFO_18MONTHS_CIQ" vbProcedure="false">"c3770"</definedName>
    <definedName function="false" hidden="false" name="IQ_PERCENT_CHANGE_EST_FFO_18MONTHS_CIQ_COL" vbProcedure="false">"c11120"</definedName>
    <definedName function="false" hidden="false" name="IQ_PERCENT_CHANGE_EST_FFO_18MONTHS_REUT" vbProcedure="false">"c3939"</definedName>
    <definedName function="false" hidden="false" name="IQ_PERCENT_CHANGE_EST_FFO_18MONTHS_THOM" vbProcedure="false">"c5249"</definedName>
    <definedName function="false" hidden="false" name="IQ_PERCENT_CHANGE_EST_FFO_3MONTHS" vbProcedure="false">"c1825"</definedName>
    <definedName function="false" hidden="false" name="IQ_PERCENT_CHANGE_EST_FFO_3MONTHS_CIQ" vbProcedure="false">"c3766"</definedName>
    <definedName function="false" hidden="false" name="IQ_PERCENT_CHANGE_EST_FFO_3MONTHS_CIQ_COL" vbProcedure="false">"c11116"</definedName>
    <definedName function="false" hidden="false" name="IQ_PERCENT_CHANGE_EST_FFO_3MONTHS_REUT" vbProcedure="false">"c3935"</definedName>
    <definedName function="false" hidden="false" name="IQ_PERCENT_CHANGE_EST_FFO_3MONTHS_THOM" vbProcedure="false">"c5245"</definedName>
    <definedName function="false" hidden="false" name="IQ_PERCENT_CHANGE_EST_FFO_6MONTHS" vbProcedure="false">"c1826"</definedName>
    <definedName function="false" hidden="false" name="IQ_PERCENT_CHANGE_EST_FFO_6MONTHS_CIQ" vbProcedure="false">"c3767"</definedName>
    <definedName function="false" hidden="false" name="IQ_PERCENT_CHANGE_EST_FFO_6MONTHS_CIQ_COL" vbProcedure="false">"c11117"</definedName>
    <definedName function="false" hidden="false" name="IQ_PERCENT_CHANGE_EST_FFO_6MONTHS_REUT" vbProcedure="false">"c3936"</definedName>
    <definedName function="false" hidden="false" name="IQ_PERCENT_CHANGE_EST_FFO_6MONTHS_THOM" vbProcedure="false">"c5246"</definedName>
    <definedName function="false" hidden="false" name="IQ_PERCENT_CHANGE_EST_FFO_9MONTHS" vbProcedure="false">"c1827"</definedName>
    <definedName function="false" hidden="false" name="IQ_PERCENT_CHANGE_EST_FFO_9MONTHS_CIQ" vbProcedure="false">"c3768"</definedName>
    <definedName function="false" hidden="false" name="IQ_PERCENT_CHANGE_EST_FFO_9MONTHS_CIQ_COL" vbProcedure="false">"c11118"</definedName>
    <definedName function="false" hidden="false" name="IQ_PERCENT_CHANGE_EST_FFO_9MONTHS_REUT" vbProcedure="false">"c3937"</definedName>
    <definedName function="false" hidden="false" name="IQ_PERCENT_CHANGE_EST_FFO_9MONTHS_THOM" vbProcedure="false">"c5247"</definedName>
    <definedName function="false" hidden="false" name="IQ_PERCENT_CHANGE_EST_FFO_DAY" vbProcedure="false">"c1822"</definedName>
    <definedName function="false" hidden="false" name="IQ_PERCENT_CHANGE_EST_FFO_DAY_CIQ" vbProcedure="false">"c3764"</definedName>
    <definedName function="false" hidden="false" name="IQ_PERCENT_CHANGE_EST_FFO_DAY_CIQ_COL" vbProcedure="false">"c11114"</definedName>
    <definedName function="false" hidden="false" name="IQ_PERCENT_CHANGE_EST_FFO_DAY_REUT" vbProcedure="false">"c3933"</definedName>
    <definedName function="false" hidden="false" name="IQ_PERCENT_CHANGE_EST_FFO_DAY_THOM" vbProcedure="false">"c5243"</definedName>
    <definedName function="false" hidden="false" name="IQ_PERCENT_CHANGE_EST_FFO_MONTH" vbProcedure="false">"c1824"</definedName>
    <definedName function="false" hidden="false" name="IQ_PERCENT_CHANGE_EST_FFO_MONTH_CIQ" vbProcedure="false">"c3765"</definedName>
    <definedName function="false" hidden="false" name="IQ_PERCENT_CHANGE_EST_FFO_MONTH_CIQ_COL" vbProcedure="false">"c11115"</definedName>
    <definedName function="false" hidden="false" name="IQ_PERCENT_CHANGE_EST_FFO_MONTH_REUT" vbProcedure="false">"c3934"</definedName>
    <definedName function="false" hidden="false" name="IQ_PERCENT_CHANGE_EST_FFO_MONTH_THOM" vbProcedure="false">"c5244"</definedName>
    <definedName function="false" hidden="false" name="IQ_PERCENT_CHANGE_EST_FFO_WEEK" vbProcedure="false">"c1823"</definedName>
    <definedName function="false" hidden="false" name="IQ_PERCENT_CHANGE_EST_FFO_WEEK_CIQ" vbProcedure="false">"c3795"</definedName>
    <definedName function="false" hidden="false" name="IQ_PERCENT_CHANGE_EST_FFO_WEEK_CIQ_COL" vbProcedure="false">"c11145"</definedName>
    <definedName function="false" hidden="false" name="IQ_PERCENT_CHANGE_EST_FFO_WEEK_REUT" vbProcedure="false">"c3964"</definedName>
    <definedName function="false" hidden="false" name="IQ_PERCENT_CHANGE_EST_FFO_WEEK_THOM" vbProcedure="false">"c5274"</definedName>
    <definedName function="false" hidden="false" name="IQ_PERCENT_INSURED_FDIC" vbProcedure="false">"c6374"</definedName>
    <definedName function="false" hidden="false" name="IQ_PLEDGED_SECURITIES_FDIC" vbProcedure="false">"c6401"</definedName>
    <definedName function="false" hidden="false" name="IQ_PREFERRED_FDIC" vbProcedure="false">"c6349"</definedName>
    <definedName function="false" hidden="false" name="IQ_PREMISES_EQUIPMENT_FDIC" vbProcedure="false">"c6577"</definedName>
    <definedName function="false" hidden="false" name="IQ_PRETAX_RETURN_ASSETS_FDIC" vbProcedure="false">"c6731"</definedName>
    <definedName function="false" hidden="false" name="IQ_PRE_TAX_INCOME_FDIC" vbProcedure="false">"c6581"</definedName>
    <definedName function="false" hidden="false" name="IQ_PRIMARY_EPS_TYPE_THOM" vbProcedure="false">"c5297"</definedName>
    <definedName function="false" hidden="false" name="IQ_PRIVATELY_ISSUED_MORTGAGE_BACKED_SECURITIES_FDIC" vbProcedure="false">"c6407"</definedName>
    <definedName function="false" hidden="false" name="IQ_PRIVATELY_ISSUED_MORTGAGE_PASS_THROUGHS_FDIC" vbProcedure="false">"c6405"</definedName>
    <definedName function="false" hidden="false" name="IQ_PRIVATE_CONST_TOTAL_APR_FC_UNUSED_UNUSED_UNUSED" vbProcedure="false">"c8559"</definedName>
    <definedName function="false" hidden="false" name="IQ_PRIVATE_CONST_TOTAL_APR_UNUSED_UNUSED_UNUSED" vbProcedure="false">"c7679"</definedName>
    <definedName function="false" hidden="false" name="IQ_PRIVATE_CONST_TOTAL_FC_UNUSED_UNUSED_UNUSED" vbProcedure="false">"c7899"</definedName>
    <definedName function="false" hidden="false" name="IQ_PRIVATE_CONST_TOTAL_POP_FC_UNUSED_UNUSED_UNUSED" vbProcedure="false">"c8119"</definedName>
    <definedName function="false" hidden="false" name="IQ_PRIVATE_CONST_TOTAL_POP_UNUSED_UNUSED_UNUSED" vbProcedure="false">"c7239"</definedName>
    <definedName function="false" hidden="false" name="IQ_PRIVATE_CONST_TOTAL_UNUSED_UNUSED_UNUSED" vbProcedure="false">"c7019"</definedName>
    <definedName function="false" hidden="false" name="IQ_PRIVATE_CONST_TOTAL_YOY_FC_UNUSED_UNUSED_UNUSED" vbProcedure="false">"c8339"</definedName>
    <definedName function="false" hidden="false" name="IQ_PRIVATE_CONST_TOTAL_YOY_UNUSED_UNUSED_UNUSED" vbProcedure="false">"c7459"</definedName>
    <definedName function="false" hidden="false" name="IQ_PRIVATE_RES_CONST_REAL_APR_FC_UNUSED_UNUSED_UNUSED" vbProcedure="false">"c8535"</definedName>
    <definedName function="false" hidden="false" name="IQ_PRIVATE_RES_CONST_REAL_APR_UNUSED_UNUSED_UNUSED" vbProcedure="false">"c7655"</definedName>
    <definedName function="false" hidden="false" name="IQ_PRIVATE_RES_CONST_REAL_FC_UNUSED_UNUSED_UNUSED" vbProcedure="false">"c7875"</definedName>
    <definedName function="false" hidden="false" name="IQ_PRIVATE_RES_CONST_REAL_POP_FC_UNUSED_UNUSED_UNUSED" vbProcedure="false">"c8095"</definedName>
    <definedName function="false" hidden="false" name="IQ_PRIVATE_RES_CONST_REAL_POP_UNUSED_UNUSED_UNUSED" vbProcedure="false">"c7215"</definedName>
    <definedName function="false" hidden="false" name="IQ_PRIVATE_RES_CONST_REAL_UNUSED_UNUSED_UNUSED" vbProcedure="false">"c6995"</definedName>
    <definedName function="false" hidden="false" name="IQ_PRIVATE_RES_CONST_REAL_YOY_FC_UNUSED_UNUSED_UNUSED" vbProcedure="false">"c8315"</definedName>
    <definedName function="false" hidden="false" name="IQ_PRIVATE_RES_CONST_REAL_YOY_UNUSED_UNUSED_UNUSED" vbProcedure="false">"c7435"</definedName>
    <definedName function="false" hidden="false" name="IQ_PURCHASED_OPTION_CONTRACTS_FDIC" vbProcedure="false">"c6510"</definedName>
    <definedName function="false" hidden="false" name="IQ_PURCHASED_OPTION_CONTRACTS_FX_RISK_FDIC" vbProcedure="false">"c6515"</definedName>
    <definedName function="false" hidden="false" name="IQ_PURCHASED_OPTION_CONTRACTS_NON_FX_IR_FDIC" vbProcedure="false">"c6520"</definedName>
    <definedName function="false" hidden="false" name="IQ_PURCHASES_EQUIP_NONRES_SAAR_APR_FC_UNUSED_UNUSED_UNUSED" vbProcedure="false">"c8491"</definedName>
    <definedName function="false" hidden="false" name="IQ_PURCHASES_EQUIP_NONRES_SAAR_APR_UNUSED_UNUSED_UNUSED" vbProcedure="false">"c7611"</definedName>
    <definedName function="false" hidden="false" name="IQ_PURCHASES_EQUIP_NONRES_SAAR_FC_UNUSED_UNUSED_UNUSED" vbProcedure="false">"c7831"</definedName>
    <definedName function="false" hidden="false" name="IQ_PURCHASES_EQUIP_NONRES_SAAR_POP_FC_UNUSED_UNUSED_UNUSED" vbProcedure="false">"c8051"</definedName>
    <definedName function="false" hidden="false" name="IQ_PURCHASES_EQUIP_NONRES_SAAR_POP_UNUSED_UNUSED_UNUSED" vbProcedure="false">"c7171"</definedName>
    <definedName function="false" hidden="false" name="IQ_PURCHASES_EQUIP_NONRES_SAAR_UNUSED_UNUSED_UNUSED" vbProcedure="false">"c6951"</definedName>
    <definedName function="false" hidden="false" name="IQ_PURCHASES_EQUIP_NONRES_SAAR_YOY_FC_UNUSED_UNUSED_UNUSED" vbProcedure="false">"c8271"</definedName>
    <definedName function="false" hidden="false" name="IQ_PURCHASES_EQUIP_NONRES_SAAR_YOY_UNUSED_UNUSED_UNUSED" vbProcedure="false">"c7391"</definedName>
    <definedName function="false" hidden="false" name="IQ_PURCHASE_FOREIGN_CURRENCIES_FDIC" vbProcedure="false">"c6513"</definedName>
    <definedName function="false" hidden="false" name="IQ_RECOVERIES_1_4_FAMILY_LOANS_FDIC" vbProcedure="false">"c6707"</definedName>
    <definedName function="false" hidden="false" name="IQ_RECOVERIES_AUTO_LOANS_FDIC" vbProcedure="false">"c6701"</definedName>
    <definedName function="false" hidden="false" name="IQ_RECOVERIES_CL_LOANS_FDIC" vbProcedure="false">"c6702"</definedName>
    <definedName function="false" hidden="false" name="IQ_RECOVERIES_CREDIT_CARDS_RECEIVABLES_FDIC" vbProcedure="false">"c6704"</definedName>
    <definedName function="false" hidden="false" name="IQ_RECOVERIES_HOME_EQUITY_LINES_FDIC" vbProcedure="false">"c6705"</definedName>
    <definedName function="false" hidden="false" name="IQ_RECOVERIES_OTHER_CONSUMER_LOANS_FDIC" vbProcedure="false">"c6703"</definedName>
    <definedName function="false" hidden="false" name="IQ_RECOVERIES_OTHER_LOANS_FDIC" vbProcedure="false">"c6706"</definedName>
    <definedName function="false" hidden="false" name="IQ_RELATED_PLANS_FDIC" vbProcedure="false">"c6320"</definedName>
    <definedName function="false" hidden="false" name="IQ_RESTATEMENTS_NET_FDIC" vbProcedure="false">"c6500"</definedName>
    <definedName function="false" hidden="false" name="IQ_RESTRUCTURED_LOANS_1_4_RESIDENTIAL_FDIC" vbProcedure="false">"c6378"</definedName>
    <definedName function="false" hidden="false" name="IQ_RESTRUCTURED_LOANS_LEASES_FDIC" vbProcedure="false">"c6377"</definedName>
    <definedName function="false" hidden="false" name="IQ_RESTRUCTURED_LOANS_NON_1_4_FDIC" vbProcedure="false">"c6379"</definedName>
    <definedName function="false" hidden="false" name="IQ_RES_CONST_REAL_APR_FC_UNUSED_UNUSED_UNUSED" vbProcedure="false">"c8536"</definedName>
    <definedName function="false" hidden="false" name="IQ_RES_CONST_REAL_APR_UNUSED_UNUSED_UNUSED" vbProcedure="false">"c7656"</definedName>
    <definedName function="false" hidden="false" name="IQ_RES_CONST_REAL_FC_UNUSED_UNUSED_UNUSED" vbProcedure="false">"c7876"</definedName>
    <definedName function="false" hidden="false" name="IQ_RES_CONST_REAL_POP_FC_UNUSED_UNUSED_UNUSED" vbProcedure="false">"c8096"</definedName>
    <definedName function="false" hidden="false" name="IQ_RES_CONST_REAL_POP_UNUSED_UNUSED_UNUSED" vbProcedure="false">"c7216"</definedName>
    <definedName function="false" hidden="false" name="IQ_RES_CONST_REAL_SAAR_APR_FC_UNUSED_UNUSED_UNUSED" vbProcedure="false">"c8537"</definedName>
    <definedName function="false" hidden="false" name="IQ_RES_CONST_REAL_SAAR_APR_UNUSED_UNUSED_UNUSED" vbProcedure="false">"c7657"</definedName>
    <definedName function="false" hidden="false" name="IQ_RES_CONST_REAL_SAAR_FC_UNUSED_UNUSED_UNUSED" vbProcedure="false">"c7877"</definedName>
    <definedName function="false" hidden="false" name="IQ_RES_CONST_REAL_SAAR_POP_FC_UNUSED_UNUSED_UNUSED" vbProcedure="false">"c8097"</definedName>
    <definedName function="false" hidden="false" name="IQ_RES_CONST_REAL_SAAR_POP_UNUSED_UNUSED_UNUSED" vbProcedure="false">"c7217"</definedName>
    <definedName function="false" hidden="false" name="IQ_RES_CONST_REAL_SAAR_UNUSED_UNUSED_UNUSED" vbProcedure="false">"c6997"</definedName>
    <definedName function="false" hidden="false" name="IQ_RES_CONST_REAL_SAAR_YOY_FC_UNUSED_UNUSED_UNUSED" vbProcedure="false">"c8317"</definedName>
    <definedName function="false" hidden="false" name="IQ_RES_CONST_REAL_SAAR_YOY_UNUSED_UNUSED_UNUSED" vbProcedure="false">"c7437"</definedName>
    <definedName function="false" hidden="false" name="IQ_RES_CONST_REAL_UNUSED_UNUSED_UNUSED" vbProcedure="false">"c6996"</definedName>
    <definedName function="false" hidden="false" name="IQ_RES_CONST_REAL_YOY_FC_UNUSED_UNUSED_UNUSED" vbProcedure="false">"c8316"</definedName>
    <definedName function="false" hidden="false" name="IQ_RES_CONST_REAL_YOY_UNUSED_UNUSED_UNUSED" vbProcedure="false">"c7436"</definedName>
    <definedName function="false" hidden="false" name="IQ_RES_CONST_SAAR_APR_FC_UNUSED_UNUSED_UNUSED" vbProcedure="false">"c8540"</definedName>
    <definedName function="false" hidden="false" name="IQ_RES_CONST_SAAR_APR_UNUSED_UNUSED_UNUSED" vbProcedure="false">"c7660"</definedName>
    <definedName function="false" hidden="false" name="IQ_RES_CONST_SAAR_FC_UNUSED_UNUSED_UNUSED" vbProcedure="false">"c7880"</definedName>
    <definedName function="false" hidden="false" name="IQ_RES_CONST_SAAR_POP_FC_UNUSED_UNUSED_UNUSED" vbProcedure="false">"c8100"</definedName>
    <definedName function="false" hidden="false" name="IQ_RES_CONST_SAAR_POP_UNUSED_UNUSED_UNUSED" vbProcedure="false">"c7220"</definedName>
    <definedName function="false" hidden="false" name="IQ_RES_CONST_SAAR_UNUSED_UNUSED_UNUSED" vbProcedure="false">"c7000"</definedName>
    <definedName function="false" hidden="false" name="IQ_RES_CONST_SAAR_YOY_FC_UNUSED_UNUSED_UNUSED" vbProcedure="false">"c8320"</definedName>
    <definedName function="false" hidden="false" name="IQ_RES_CONST_SAAR_YOY_UNUSED_UNUSED_UNUSED" vbProcedure="false">"c7440"</definedName>
    <definedName function="false" hidden="false" name="IQ_RETAIL_DEPOSITS_FDIC" vbProcedure="false">"c6488"</definedName>
    <definedName function="false" hidden="false" name="IQ_RETAINED_EARNINGS_AVERAGE_EQUITY_FDIC" vbProcedure="false">"c6733"</definedName>
    <definedName function="false" hidden="false" name="IQ_RETURN_ASSETS_FDIC" vbProcedure="false">"c6730"</definedName>
    <definedName function="false" hidden="false" name="IQ_RETURN_EQUITY_FDIC" vbProcedure="false">"c6732"</definedName>
    <definedName function="false" hidden="false" name="IQ_REVALUATION_GAINS_FDIC" vbProcedure="false">"c6428"</definedName>
    <definedName function="false" hidden="false" name="IQ_REVALUATION_LOSSES_FDIC" vbProcedure="false">"c6429"</definedName>
    <definedName function="false" hidden="false" name="IQ_RE_FORECLOSURE_FDIC" vbProcedure="false">"c6332"</definedName>
    <definedName function="false" hidden="false" name="IQ_RE_INVEST_FDIC" vbProcedure="false">"c6331"</definedName>
    <definedName function="false" hidden="false" name="IQ_RE_LOANS_DOMESTIC_CHARGE_OFFS_FDIC" vbProcedure="false">"c6589"</definedName>
    <definedName function="false" hidden="false" name="IQ_RE_LOANS_DOMESTIC_FDIC" vbProcedure="false">"c6309"</definedName>
    <definedName function="false" hidden="false" name="IQ_RE_LOANS_DOMESTIC_NET_CHARGE_OFFS_FDIC" vbProcedure="false">"c6627"</definedName>
    <definedName function="false" hidden="false" name="IQ_RE_LOANS_DOMESTIC_RECOVERIES_FDIC" vbProcedure="false">"c6608"</definedName>
    <definedName function="false" hidden="false" name="IQ_RE_LOANS_FDIC" vbProcedure="false">"c6308"</definedName>
    <definedName function="false" hidden="false" name="IQ_RE_LOANS_FOREIGN_CHARGE_OFFS_FDIC" vbProcedure="false">"c6595"</definedName>
    <definedName function="false" hidden="false" name="IQ_RE_LOANS_FOREIGN_NET_CHARGE_OFFS_FDIC" vbProcedure="false">"c6633"</definedName>
    <definedName function="false" hidden="false" name="IQ_RE_LOANS_FOREIGN_RECOVERIES_FDIC" vbProcedure="false">"c6614"</definedName>
    <definedName function="false" hidden="false" name="IQ_RISK_WEIGHTED_ASSETS_FDIC" vbProcedure="false">"c6370"</definedName>
    <definedName function="false" hidden="false" name="IQ_SALARY_FDIC" vbProcedure="false">"c6576"</definedName>
    <definedName function="false" hidden="false" name="IQ_SALE_CONVERSION_RETIREMENT_STOCK_FDIC" vbProcedure="false">"c6661"</definedName>
    <definedName function="false" hidden="false" name="IQ_SECURED_1_4_FAMILY_RESIDENTIAL_CHARGE_OFFS_FDIC" vbProcedure="false">"c6590"</definedName>
    <definedName function="false" hidden="false" name="IQ_SECURED_1_4_FAMILY_RESIDENTIAL_NET_CHARGE_OFFS_FDIC" vbProcedure="false">"c6628"</definedName>
    <definedName function="false" hidden="false" name="IQ_SECURED_1_4_FAMILY_RESIDENTIAL_RECOVERIES_FDIC" vbProcedure="false">"c6609"</definedName>
    <definedName function="false" hidden="false" name="IQ_SECURED_FARMLAND_CHARGE_OFFS_FDIC" vbProcedure="false">"c6593"</definedName>
    <definedName function="false" hidden="false" name="IQ_SECURED_FARMLAND_NET_CHARGE_OFFS_FDIC" vbProcedure="false">"c6631"</definedName>
    <definedName function="false" hidden="false" name="IQ_SECURED_FARMLAND_RECOVERIES_FDIC" vbProcedure="false">"c6612"</definedName>
    <definedName function="false" hidden="false" name="IQ_SECURED_MULTIFAMILY_RESIDENTIAL_CHARGE_OFFS_FDIC" vbProcedure="false">"c6591"</definedName>
    <definedName function="false" hidden="false" name="IQ_SECURED_MULTIFAMILY_RESIDENTIAL_NET_CHARGE_OFFS_FDIC" vbProcedure="false">"c6629"</definedName>
    <definedName function="false" hidden="false" name="IQ_SECURED_MULTIFAMILY_RESIDENTIAL_RECOVERIES_FDIC" vbProcedure="false">"c6610"</definedName>
    <definedName function="false" hidden="false" name="IQ_SECURED_NONFARM_NONRESIDENTIAL_CHARGE_OFFS_FDIC" vbProcedure="false">"c6592"</definedName>
    <definedName function="false" hidden="false" name="IQ_SECURED_NONFARM_NONRESIDENTIAL_NET_CHARGE_OFFS_FDIC" vbProcedure="false">"c6630"</definedName>
    <definedName function="false" hidden="false" name="IQ_SECURED_NONFARM_NONRESIDENTIAL_RECOVERIES_FDIC" vbProcedure="false">"c6611"</definedName>
    <definedName function="false" hidden="false" name="IQ_SECURITIES_GAINS_FDIC" vbProcedure="false">"c6584"</definedName>
    <definedName function="false" hidden="false" name="IQ_SECURITIES_ISSUED_STATES_FDIC" vbProcedure="false">"c6300"</definedName>
    <definedName function="false" hidden="false" name="IQ_SECURITIES_LENT_FDIC" vbProcedure="false">"c6532"</definedName>
    <definedName function="false" hidden="false" name="IQ_SECURITIES_UNDERWRITING_FDIC" vbProcedure="false">"c6529"</definedName>
    <definedName function="false" hidden="false" name="IQ_SERVICE_CHARGES_FDIC" vbProcedure="false">"c6572"</definedName>
    <definedName function="false" hidden="false" name="IQ_SHAREOUTSTANDING" vbProcedure="false">"c1347"</definedName>
    <definedName function="false" hidden="false" name="IQ_STATES_NONTRANSACTION_ACCOUNTS_FDIC" vbProcedure="false">"c6547"</definedName>
    <definedName function="false" hidden="false" name="IQ_STATES_TOTAL_DEPOSITS_FDIC" vbProcedure="false">"c6473"</definedName>
    <definedName function="false" hidden="false" name="IQ_STATES_TRANSACTION_ACCOUNTS_FDIC" vbProcedure="false">"c6539"</definedName>
    <definedName function="false" hidden="false" name="IQ_SUB_DEBT_FDIC" vbProcedure="false">"c6346"</definedName>
    <definedName function="false" hidden="false" name="IQ_SURPLUS_FDIC" vbProcedure="false">"c6351"</definedName>
    <definedName function="false" hidden="false" name="IQ_TARGET_PRICE_LASTCLOSE" vbProcedure="false">"c1855"</definedName>
    <definedName function="false" hidden="false" name="IQ_THREE_MONTHS_FIXED_AND_FLOATING_FDIC" vbProcedure="false">"c6419"</definedName>
    <definedName function="false" hidden="false" name="IQ_THREE_MONTHS_MORTGAGE_PASS_THROUGHS_FDIC" vbProcedure="false">"c6411"</definedName>
    <definedName function="false" hidden="false" name="IQ_THREE_YEARS_LESS_FDIC" vbProcedure="false">"c6417"</definedName>
    <definedName function="false" hidden="false" name="IQ_THREE_YEAR_FIXED_AND_FLOATING_RATE_FDIC" vbProcedure="false">"c6421"</definedName>
    <definedName function="false" hidden="false" name="IQ_THREE_YEAR_MORTGAGE_PASS_THROUGHS_FDIC" vbProcedure="false">"c6413"</definedName>
    <definedName function="false" hidden="false" name="IQ_TIER_1_RISK_BASED_CAPITAL_RATIO_FDIC" vbProcedure="false">"c6746"</definedName>
    <definedName function="false" hidden="false" name="IQ_TIER_ONE_FDIC" vbProcedure="false">"c6369"</definedName>
    <definedName function="false" hidden="false" name="IQ_TIME_DEPOSITS_LESS_THAN_100K_FDIC" vbProcedure="false">"c6465"</definedName>
    <definedName function="false" hidden="false" name="IQ_TIME_DEPOSITS_MORE_THAN_100K_FDIC" vbProcedure="false">"c6470"</definedName>
    <definedName function="false" hidden="false" name="IQ_TODAY" vbProcedure="false">0</definedName>
    <definedName function="false" hidden="false" name="IQ_TOTAL_ASSETS_FDIC" vbProcedure="false">"c6339"</definedName>
    <definedName function="false" hidden="false" name="IQ_TOTAL_CHARGE_OFFS_FDIC" vbProcedure="false">"c6603"</definedName>
    <definedName function="false" hidden="false" name="IQ_TOTAL_DEBT_SECURITIES_FDIC" vbProcedure="false">"c6410"</definedName>
    <definedName function="false" hidden="false" name="IQ_TOTAL_DEPOSITS_FDIC" vbProcedure="false">"c6342"</definedName>
    <definedName function="false" hidden="false" name="IQ_TOTAL_EMPLOYEES_FDIC" vbProcedure="false">"c6355"</definedName>
    <definedName function="false" hidden="false" name="IQ_TOTAL_LIABILITIES_FDIC" vbProcedure="false">"c6348"</definedName>
    <definedName function="false" hidden="false" name="IQ_TOTAL_LIAB_EQUITY_FDIC" vbProcedure="false">"c6354"</definedName>
    <definedName function="false" hidden="false" name="IQ_TOTAL_PENSION_OBLIGATION" vbProcedure="false">"c1292"</definedName>
    <definedName function="false" hidden="false" name="IQ_TOTAL_RECOVERIES_FDIC" vbProcedure="false">"c6622"</definedName>
    <definedName function="false" hidden="false" name="IQ_TOTAL_REV_BNK_FDIC" vbProcedure="false">"c6786"</definedName>
    <definedName function="false" hidden="false" name="IQ_TOTAL_RISK_BASED_CAPITAL_RATIO_FDIC" vbProcedure="false">"c6747"</definedName>
    <definedName function="false" hidden="false" name="IQ_TOTAL_SECURITIES_FDIC" vbProcedure="false">"c6306"</definedName>
    <definedName function="false" hidden="false" name="IQ_TOTAL_TIME_DEPOSITS_FDIC" vbProcedure="false">"c6497"</definedName>
    <definedName function="false" hidden="false" name="IQ_TOTAL_TIME_SAVINGS_DEPOSITS_FDIC" vbProcedure="false">"c6498"</definedName>
    <definedName function="false" hidden="false" name="IQ_TOTAL_UNUSED_COMMITMENTS_FDIC" vbProcedure="false">"c6536"</definedName>
    <definedName function="false" hidden="false" name="IQ_TRADING_ACCOUNT_GAINS_FEES_FDIC" vbProcedure="false">"c6573"</definedName>
    <definedName function="false" hidden="false" name="IQ_TRADING_ASSETS_FDIC" vbProcedure="false">"c6328"</definedName>
    <definedName function="false" hidden="false" name="IQ_TRADING_LIABILITIES_FDIC" vbProcedure="false">"c6344"</definedName>
    <definedName function="false" hidden="false" name="IQ_TRANSACTION_ACCOUNTS_FDIC" vbProcedure="false">"c6544"</definedName>
    <definedName function="false" hidden="false" name="IQ_TREASURY_STOCK_TRANSACTIONS_FDIC" vbProcedure="false">"c6501"</definedName>
    <definedName function="false" hidden="false" name="IQ_TWELVE_MONTHS_FIXED_AND_FLOATING_FDIC" vbProcedure="false">"c6420"</definedName>
    <definedName function="false" hidden="false" name="IQ_TWELVE_MONTHS_MORTGAGE_PASS_THROUGHS_FDIC" vbProcedure="false">"c6412"</definedName>
    <definedName function="false" hidden="false" name="IQ_UNDIVIDED_PROFITS_FDIC" vbProcedure="false">"c6352"</definedName>
    <definedName function="false" hidden="false" name="IQ_UNEARNED_INCOME_FDIC" vbProcedure="false">"c6324"</definedName>
    <definedName function="false" hidden="false" name="IQ_UNEARNED_INCOME_FOREIGN_FDIC" vbProcedure="false">"c6385"</definedName>
    <definedName function="false" hidden="false" name="IQ_UNPROFITABLE_INSTITUTIONS_FDIC" vbProcedure="false">"c6722"</definedName>
    <definedName function="false" hidden="false" name="IQ_UNUSED_LOAN_COMMITMENTS_FDIC" vbProcedure="false">"c6368"</definedName>
    <definedName function="false" hidden="false" name="IQ_US_BRANCHES_FOREIGN_BANKS_FDIC" vbProcedure="false">"c6390"</definedName>
    <definedName function="false" hidden="false" name="IQ_US_BRANCHES_FOREIGN_BANK_LOANS_FDIC" vbProcedure="false">"c6435"</definedName>
    <definedName function="false" hidden="false" name="IQ_US_GOV_AGENCIES_FDIC" vbProcedure="false">"c6395"</definedName>
    <definedName function="false" hidden="false" name="IQ_US_GOV_DEPOSITS_FDIC" vbProcedure="false">"c6483"</definedName>
    <definedName function="false" hidden="false" name="IQ_US_GOV_ENTERPRISES_FDIC" vbProcedure="false">"c6396"</definedName>
    <definedName function="false" hidden="false" name="IQ_US_GOV_NONCURRENT_LOANS_TOTAL_NONCURRENT_FDIC" vbProcedure="false">"c6779"</definedName>
    <definedName function="false" hidden="false" name="IQ_US_GOV_NONTRANSACTION_ACCOUNTS_FDIC" vbProcedure="false">"c6546"</definedName>
    <definedName function="false" hidden="false" name="IQ_US_GOV_OBLIGATIONS_FDIC" vbProcedure="false">"c6299"</definedName>
    <definedName function="false" hidden="false" name="IQ_US_GOV_SECURITIES_FDIC" vbProcedure="false">"c6297"</definedName>
    <definedName function="false" hidden="false" name="IQ_US_GOV_TOTAL_DEPOSITS_FDIC" vbProcedure="false">"c6472"</definedName>
    <definedName function="false" hidden="false" name="IQ_US_GOV_TRANSACTION_ACCOUNTS_FDIC" vbProcedure="false">"c6538"</definedName>
    <definedName function="false" hidden="false" name="IQ_US_TREASURY_SECURITIES_FDIC" vbProcedure="false">"c6298"</definedName>
    <definedName function="false" hidden="false" name="IQ_VALUATION_ALLOWANCES_FDIC" vbProcedure="false">"c6400"</definedName>
    <definedName function="false" hidden="false" name="IQ_VC_REVENUE_FDIC" vbProcedure="false">"c6667"</definedName>
    <definedName function="false" hidden="false" name="IQ_VOLATILE_LIABILITIES_FDIC" vbProcedure="false">"c6364"</definedName>
    <definedName function="false" hidden="false" name="IQ_WEEK" vbProcedure="false">50000</definedName>
    <definedName function="false" hidden="false" name="IQ_WRITTEN_OPTION_CONTRACTS_FDIC" vbProcedure="false">"c6509"</definedName>
    <definedName function="false" hidden="false" name="IQ_WRITTEN_OPTION_CONTRACTS_FX_RISK_FDIC" vbProcedure="false">"c6514"</definedName>
    <definedName function="false" hidden="false" name="IQ_WRITTEN_OPTION_CONTRACTS_NON_FX_IR_FDIC" vbProcedure="false">"c6519"</definedName>
    <definedName function="false" hidden="false" name="IQ_YTD" vbProcedure="false">3000</definedName>
    <definedName function="false" hidden="false" name="IQ_YTDMONTH" vbProcedure="false">130000</definedName>
    <definedName function="false" hidden="false" name="Names" vbProcedure="false">40070.4541782407</definedName>
    <definedName function="false" hidden="false" name="Pal_Workbook_GUID" vbProcedure="false">"MJY1UJACJYS1VGBN9LTXTPUE"</definedName>
    <definedName function="false" hidden="false" name="Policy_Tickers" vbProcedure="false">'Price Inputs'!$C$6:$C$14</definedName>
    <definedName function="false" hidden="false" name="PPrices1" vbProcedure="false">'Price Inputs'!$E$6:$J$6</definedName>
    <definedName function="false" hidden="false" name="PPrices2" vbProcedure="false">'Price Inputs'!$E$7:$J$7</definedName>
    <definedName function="false" hidden="false" name="PPrices3" vbProcedure="false">'Price Inputs'!$E$8:$J$8</definedName>
    <definedName function="false" hidden="false" name="PPrices4" vbProcedure="false">'Price Inputs'!$E$9:$J$9</definedName>
    <definedName function="false" hidden="false" name="PPrices5" vbProcedure="false">'Price Inputs'!$E$10:$J$10</definedName>
    <definedName function="false" hidden="false" name="PPrices6" vbProcedure="false">'Price Inputs'!$E$11:$J$11</definedName>
    <definedName function="false" hidden="false" name="PPrices7" vbProcedure="false">'Price Inputs'!$E$12:$J$12</definedName>
    <definedName function="false" hidden="false" name="PPrices8" vbProcedure="false">'Price Inputs'!$E$13:$J$13</definedName>
    <definedName function="false" hidden="false" name="PPrices9" vbProcedure="false">'Price Inputs'!$E$14:$J$14</definedName>
    <definedName function="false" hidden="false" name="Prices10" vbProcedure="false">'Price Inputs'!$E$29:$J$29</definedName>
    <definedName function="false" hidden="false" name="Prices11" vbProcedure="false">'Price Inputs'!$E$30:$J$30</definedName>
    <definedName function="false" hidden="false" name="Prices12" vbProcedure="false">'Price Inputs'!$E$31:$J$31</definedName>
    <definedName function="false" hidden="false" name="Prices13" vbProcedure="false">'Price Inputs'!$E$32:$J$32</definedName>
    <definedName function="false" hidden="false" name="Prices14" vbProcedure="false">'Price Inputs'!$E$33:$J$33</definedName>
    <definedName function="false" hidden="false" name="Prices15" vbProcedure="false">'Price Inputs'!$E$34:$J$34</definedName>
    <definedName function="false" hidden="false" name="Prices16" vbProcedure="false">'Price Inputs'!$E$35:$J$35</definedName>
    <definedName function="false" hidden="false" name="Prices17" vbProcedure="false">'Price Inputs'!$E$36:$J$36</definedName>
    <definedName function="false" hidden="false" name="Prices18" vbProcedure="false">'Price Inputs'!$E$37:$J$37</definedName>
    <definedName function="false" hidden="false" name="Prices19" vbProcedure="false">'Price Inputs'!$E$38:$J$38</definedName>
    <definedName function="false" hidden="false" name="Prices2" vbProcedure="false">'Price Inputs'!$E$21:$J$21</definedName>
    <definedName function="false" hidden="false" name="Prices20" vbProcedure="false">'Price Inputs'!$E$39:$J$39</definedName>
    <definedName function="false" hidden="false" name="Prices21" vbProcedure="false">'Price Inputs'!$E$40:$J$40</definedName>
    <definedName function="false" hidden="false" name="Prices22" vbProcedure="false">'Price Inputs'!$E$41:$J$41</definedName>
    <definedName function="false" hidden="false" name="Prices23" vbProcedure="false">'Price Inputs'!$E$42:$J$42</definedName>
    <definedName function="false" hidden="false" name="Prices24" vbProcedure="false">'Price Inputs'!$E$43:$J$43</definedName>
    <definedName function="false" hidden="false" name="Prices25" vbProcedure="false">'Price Inputs'!$E$44:$J$44</definedName>
    <definedName function="false" hidden="false" name="Prices26" vbProcedure="false">'Price Inputs'!$E$45:$J$45</definedName>
    <definedName function="false" hidden="false" name="Prices27" vbProcedure="false">'Price Inputs'!$E$46:$J$46</definedName>
    <definedName function="false" hidden="false" name="Prices28" vbProcedure="false">'Price Inputs'!$E$47:$J$47</definedName>
    <definedName function="false" hidden="false" name="Prices29" vbProcedure="false">'Price Inputs'!$E$48:$J$48</definedName>
    <definedName function="false" hidden="false" name="Prices3" vbProcedure="false">'Price Inputs'!$E$22:$J$22</definedName>
    <definedName function="false" hidden="false" name="Prices30" vbProcedure="false">'Price Inputs'!$E$49:$J$49</definedName>
    <definedName function="false" hidden="false" name="Prices4" vbProcedure="false">'Price Inputs'!$E$23:$J$23</definedName>
    <definedName function="false" hidden="false" name="Prices5" vbProcedure="false">'Price Inputs'!$E$24:$J$24</definedName>
    <definedName function="false" hidden="false" name="Prices6" vbProcedure="false">'Price Inputs'!$E$25:$J$25</definedName>
    <definedName function="false" hidden="false" name="Prices7" vbProcedure="false">'Price Inputs'!$E$26:$J$26</definedName>
    <definedName function="false" hidden="false" name="Prices8" vbProcedure="false">'Price Inputs'!$E$27:$J$27</definedName>
    <definedName function="false" hidden="false" name="Prices9" vbProcedure="false">'Price Inputs'!$E$28:$J$28</definedName>
    <definedName function="false" hidden="false" name="Prices_1" vbProcedure="false">'Price Inputs'!$E$20:$J$20</definedName>
    <definedName function="false" hidden="false" name="Realized_Returns" vbProcedure="false">'Port Returns'!$P$132</definedName>
    <definedName function="false" hidden="false" name="RiskAfterRecalcMacro" vbProcedure="false">""</definedName>
    <definedName function="false" hidden="false" name="RiskAfterSimMacro" vbProcedure="false">""</definedName>
    <definedName function="false" hidden="false" name="RiskBeforeRecalcMacro" vbProcedure="false">""</definedName>
    <definedName function="false" hidden="false" name="RiskBeforeSimMacro" vbProcedure="false">""</definedName>
    <definedName function="false" hidden="false" name="RiskCollectDistributionSamples" vbProcedure="false">2</definedName>
    <definedName function="false" hidden="false" name="RiskFixedSeed" vbProcedure="false">1</definedName>
    <definedName function="false" hidden="false" name="RiskHasSettings" vbProcedure="false">7</definedName>
    <definedName function="false" hidden="false" name="RiskMinimizeOnStart" vbProcedure="false">0</definedName>
    <definedName function="false" hidden="false" name="RiskMonitorConvergence" vbProcedure="false">0</definedName>
    <definedName function="false" hidden="false" name="RiskMultipleCPUSupportEnabled" vbProcedure="false">1</definedName>
    <definedName function="false" hidden="false" name="RiskNumIterations" vbProcedure="false">1000</definedName>
    <definedName function="false" hidden="false" name="RiskNumSimulations" vbProcedure="false">1</definedName>
    <definedName function="false" hidden="false" name="RiskPauseOnError" vbProcedure="false">0</definedName>
    <definedName function="false" hidden="false" name="RiskRunAfterRecalcMacro" vbProcedure="false">0</definedName>
    <definedName function="false" hidden="false" name="RiskRunAfterSimMacro" vbProcedure="false">0</definedName>
    <definedName function="false" hidden="false" name="RiskRunBeforeRecalcMacro" vbProcedure="false">0</definedName>
    <definedName function="false" hidden="false" name="RiskRunBeforeSimMacro" vbProcedure="false">0</definedName>
    <definedName function="false" hidden="false" name="RiskSamplingType" vbProcedure="false">3</definedName>
    <definedName function="false" hidden="false" name="RiskStandardRecalc" vbProcedure="false">1</definedName>
    <definedName function="false" hidden="false" name="RiskUpdateDisplay" vbProcedure="false">0</definedName>
    <definedName function="false" hidden="false" name="RiskUseDifferentSeedForEachSim" vbProcedure="false">0</definedName>
    <definedName function="false" hidden="false" name="RiskUseFixedSeed" vbProcedure="false">0</definedName>
    <definedName function="false" hidden="false" name="RiskUseMultipleCPUs" vbProcedure="false">1</definedName>
    <definedName function="false" hidden="false" name="Sell_Price" vbProcedure="false">Trades!$N$32:$N$59</definedName>
    <definedName function="false" hidden="false" name="Share_Count" vbProcedure="false">Trades!$I$32:$I$59</definedName>
    <definedName function="false" hidden="false" name="Tickers" vbProcedure="false">'Current Portfolio'!$C$11:$C$40</definedName>
    <definedName function="false" hidden="false" name="Unrealized_Returns" vbProcedure="false">'Port Returns'!$R$132</definedName>
    <definedName function="false" hidden="false" name="US_Equity" vbProcedure="false">'Policy Portfolio'!$AG$2:$AG$9</definedName>
    <definedName function="false" hidden="false" name="_AtRisk_SimSetting_AutomaticallyGenerateReports" vbProcedure="false">0</definedName>
    <definedName function="false" hidden="false" name="_AtRisk_SimSetting_AutomaticResultsDisplayMode" vbProcedure="false">0</definedName>
    <definedName function="false" hidden="false" name="_AtRisk_SimSetting_ConvergenceConfidenceLevel" vbProcedure="false">0.95</definedName>
    <definedName function="false" hidden="false" name="_AtRisk_SimSetting_ConvergencePercentileToTest" vbProcedure="false">0.9</definedName>
    <definedName function="false" hidden="false" name="_AtRisk_SimSetting_ConvergencePerformMeanTest" vbProcedure="false">1</definedName>
    <definedName function="false" hidden="false" name="_AtRisk_SimSetting_ConvergencePerformPercentileTest" vbProcedure="false">0</definedName>
    <definedName function="false" hidden="false" name="_AtRisk_SimSetting_ConvergencePerformStdDeviationTest" vbProcedure="false">0</definedName>
    <definedName function="false" hidden="false" name="_AtRisk_SimSetting_ConvergenceTestAllOutputs" vbProcedure="false">1</definedName>
    <definedName function="false" hidden="false" name="_AtRisk_SimSetting_ConvergenceTestingPeriod" vbProcedure="false">100</definedName>
    <definedName function="false" hidden="false" name="_AtRisk_SimSetting_ConvergenceTolerance" vbProcedure="false">0.03</definedName>
    <definedName function="false" hidden="false" name="_AtRisk_SimSetting_LiveUpdate" vbProcedure="false">1</definedName>
    <definedName function="false" hidden="false" name="_AtRisk_SimSetting_LiveUpdatePeriod" vbProcedure="false">-1</definedName>
    <definedName function="false" hidden="false" name="_AtRisk_SimSetting_MacroRecalculationBehavior" vbProcedure="false">0</definedName>
    <definedName function="false" hidden="false" name="_AtRisk_SimSetting_RandomNumberGenerator" vbProcedure="false">0</definedName>
    <definedName function="false" hidden="false" name="_AtRisk_SimSetting_ReportOptionCustomItemCumulativeOverlay01" vbProcedure="false">0</definedName>
    <definedName function="false" hidden="false" name="_AtRisk_SimSetting_ReportOptionCustomItemCumulativeOverlay02" vbProcedure="false">0</definedName>
    <definedName function="false" hidden="false" name="_AtRisk_SimSetting_ReportOptionCustomItemCumulativeOverlay03" vbProcedure="false">0</definedName>
    <definedName function="false" hidden="false" name="_AtRisk_SimSetting_ReportOptionCustomItemCumulativeOverlay04" vbProcedure="false">0</definedName>
    <definedName function="false" hidden="false" name="_AtRisk_SimSetting_ReportOptionCustomItemCumulativeOverlay05" vbProcedure="false">0</definedName>
    <definedName function="false" hidden="false" name="_AtRisk_SimSetting_ReportOptionCustomItemCumulativeOverlay06" vbProcedure="false">0</definedName>
    <definedName function="false" hidden="false" name="_AtRisk_SimSetting_ReportOptionCustomItemDistributionFormat01" vbProcedure="false">1</definedName>
    <definedName function="false" hidden="false" name="_AtRisk_SimSetting_ReportOptionCustomItemDistributionFormat02" vbProcedure="false">1</definedName>
    <definedName function="false" hidden="false" name="_AtRisk_SimSetting_ReportOptionCustomItemDistributionFormat03" vbProcedure="false">4</definedName>
    <definedName function="false" hidden="false" name="_AtRisk_SimSetting_ReportOptionCustomItemDistributionFormat04" vbProcedure="false">1</definedName>
    <definedName function="false" hidden="false" name="_AtRisk_SimSetting_ReportOptionCustomItemDistributionFormat05" vbProcedure="false">1</definedName>
    <definedName function="false" hidden="false" name="_AtRisk_SimSetting_ReportOptionCustomItemDistributionFormat06" vbProcedure="false">1</definedName>
    <definedName function="false" hidden="false" name="_AtRisk_SimSetting_ReportOptionCustomItemGraphFormat01" vbProcedure="false">1</definedName>
    <definedName function="false" hidden="false" name="_AtRisk_SimSetting_ReportOptionCustomItemGraphFormat02" vbProcedure="false">1</definedName>
    <definedName function="false" hidden="false" name="_AtRisk_SimSetting_ReportOptionCustomItemGraphFormat03" vbProcedure="false">1</definedName>
    <definedName function="false" hidden="false" name="_AtRisk_SimSetting_ReportOptionCustomItemGraphFormat04" vbProcedure="false">1</definedName>
    <definedName function="false" hidden="false" name="_AtRisk_SimSetting_ReportOptionCustomItemGraphFormat05" vbProcedure="false">1</definedName>
    <definedName function="false" hidden="false" name="_AtRisk_SimSetting_ReportOptionCustomItemGraphFormat06" vbProcedure="false">1</definedName>
    <definedName function="false" hidden="false" name="_AtRisk_SimSetting_ReportOptionCustomItemItemSize01" vbProcedure="false">0</definedName>
    <definedName function="false" hidden="false" name="_AtRisk_SimSetting_ReportOptionCustomItemItemSize02" vbProcedure="false">0</definedName>
    <definedName function="false" hidden="false" name="_AtRisk_SimSetting_ReportOptionCustomItemItemSize03" vbProcedure="false">0</definedName>
    <definedName function="false" hidden="false" name="_AtRisk_SimSetting_ReportOptionCustomItemItemSize04" vbProcedure="false">0</definedName>
    <definedName function="false" hidden="false" name="_AtRisk_SimSetting_ReportOptionCustomItemItemSize05" vbProcedure="false">0</definedName>
    <definedName function="false" hidden="false" name="_AtRisk_SimSetting_ReportOptionCustomItemItemSize06" vbProcedure="false">0</definedName>
    <definedName function="false" hidden="false" name="_AtRisk_SimSetting_ReportOptionCustomItemItemType01" vbProcedure="false">1</definedName>
    <definedName function="false" hidden="false" name="_AtRisk_SimSetting_ReportOptionCustomItemItemType02" vbProcedure="false">5</definedName>
    <definedName function="false" hidden="false" name="_AtRisk_SimSetting_ReportOptionCustomItemItemType03" vbProcedure="false">1</definedName>
    <definedName function="false" hidden="false" name="_AtRisk_SimSetting_ReportOptionCustomItemItemType04" vbProcedure="false">3</definedName>
    <definedName function="false" hidden="false" name="_AtRisk_SimSetting_ReportOptionCustomItemItemType05" vbProcedure="false">2</definedName>
    <definedName function="false" hidden="false" name="_AtRisk_SimSetting_ReportOptionCustomItemItemType06" vbProcedure="false">4</definedName>
    <definedName function="false" hidden="false" name="_AtRisk_SimSetting_ReportOptionCustomItemLegendType01" vbProcedure="false">0</definedName>
    <definedName function="false" hidden="false" name="_AtRisk_SimSetting_ReportOptionCustomItemLegendType02" vbProcedure="false">0</definedName>
    <definedName function="false" hidden="false" name="_AtRisk_SimSetting_ReportOptionCustomItemLegendType03" vbProcedure="false">0</definedName>
    <definedName function="false" hidden="false" name="_AtRisk_SimSetting_ReportOptionCustomItemLegendType04" vbProcedure="false">0</definedName>
    <definedName function="false" hidden="false" name="_AtRisk_SimSetting_ReportOptionCustomItemLegendType05" vbProcedure="false">0</definedName>
    <definedName function="false" hidden="false" name="_AtRisk_SimSetting_ReportOptionCustomItemLegendType06" vbProcedure="false">0</definedName>
    <definedName function="false" hidden="false" name="_AtRisk_SimSetting_ReportOptionCustomItemsCount" vbProcedure="false">0</definedName>
    <definedName function="false" hidden="false" name="_AtRisk_SimSetting_ReportOptionCustomItemSensitivityFormat01" vbProcedure="false">1</definedName>
    <definedName function="false" hidden="false" name="_AtRisk_SimSetting_ReportOptionCustomItemSensitivityFormat02" vbProcedure="false">1</definedName>
    <definedName function="false" hidden="false" name="_AtRisk_SimSetting_ReportOptionCustomItemSensitivityFormat03" vbProcedure="false">1</definedName>
    <definedName function="false" hidden="false" name="_AtRisk_SimSetting_ReportOptionCustomItemSensitivityFormat04" vbProcedure="false">1</definedName>
    <definedName function="false" hidden="false" name="_AtRisk_SimSetting_ReportOptionCustomItemSensitivityFormat05" vbProcedure="false">1</definedName>
    <definedName function="false" hidden="false" name="_AtRisk_SimSetting_ReportOptionCustomItemSensitivityFormat06" vbProcedure="false">1</definedName>
    <definedName function="false" hidden="false" name="_AtRisk_SimSetting_ReportOptionCustomItemSummaryGraphType01" vbProcedure="false">0</definedName>
    <definedName function="false" hidden="false" name="_AtRisk_SimSetting_ReportOptionCustomItemSummaryGraphType02" vbProcedure="false">0</definedName>
    <definedName function="false" hidden="false" name="_AtRisk_SimSetting_ReportOptionCustomItemSummaryGraphType03" vbProcedure="false">0</definedName>
    <definedName function="false" hidden="false" name="_AtRisk_SimSetting_ReportOptionCustomItemSummaryGraphType04" vbProcedure="false">0</definedName>
    <definedName function="false" hidden="false" name="_AtRisk_SimSetting_ReportOptionCustomItemSummaryGraphType05" vbProcedure="false">0</definedName>
    <definedName function="false" hidden="false" name="_AtRisk_SimSetting_ReportOptionCustomItemSummaryGraphType06" vbProcedure="false">0</definedName>
    <definedName function="false" hidden="false" name="_AtRisk_SimSetting_ReportOptionDataMode" vbProcedure="false">1</definedName>
    <definedName function="false" hidden="false" name="_AtRisk_SimSetting_ReportOptionReportMultiSimType" vbProcedure="false">0</definedName>
    <definedName function="false" hidden="false" name="_AtRisk_SimSetting_ReportOptionReportPlacement" vbProcedure="false">1</definedName>
    <definedName function="false" hidden="false" name="_AtRisk_SimSetting_ReportOptionReportSelection" vbProcedure="false">0</definedName>
    <definedName function="false" hidden="false" name="_AtRisk_SimSetting_ReportOptionReportsFileType" vbProcedure="false">1</definedName>
    <definedName function="false" hidden="false" name="_AtRisk_SimSetting_ReportOptionSelectiveQR" vbProcedure="false">0</definedName>
    <definedName function="false" hidden="false" name="_AtRisk_SimSetting_ReportsList" vbProcedure="false">0</definedName>
    <definedName function="false" hidden="false" name="_AtRisk_SimSetting_ShowSimulationProgressWindow" vbProcedure="false">1</definedName>
    <definedName function="false" hidden="false" name="_AtRisk_SimSetting_SimNameCount" vbProcedure="false">0</definedName>
    <definedName function="false" hidden="false" name="_AtRisk_SimSetting_SmartSensitivityAnalysisEnabled" vbProcedure="false">1</definedName>
    <definedName function="false" hidden="false" name="_AtRisk_SimSetting_StatisticFunctionUpdating" vbProcedure="false">1</definedName>
    <definedName function="false" hidden="false" name="_AtRisk_SimSetting_StdRecalcActiveSimulationNumber" vbProcedure="false">1</definedName>
    <definedName function="false" hidden="false" name="_AtRisk_SimSetting_StdRecalcBehavior" vbProcedure="false">0</definedName>
    <definedName function="false" hidden="false" name="_AtRisk_SimSetting_StdRecalcWithoutRiskStatic" vbProcedure="false">0</definedName>
    <definedName function="false" hidden="false" name="_AtRisk_SimSetting_StdRecalcWithoutRiskStaticPercentile" vbProcedure="false">0.5</definedName>
    <definedName function="false" hidden="false" name="__FDS_HYPERLINK_TOGGLE_STATE__" vbProcedure="false">"ON"</definedName>
    <definedName function="false" hidden="false" localSheetId="0" name="_xlnm.Print_Area" vbProcedure="false">'ETF List'!$A$1:$J$91</definedName>
    <definedName function="false" hidden="false" localSheetId="0" name="_xlnm.Print_Area_0" vbProcedure="false">'ETF List'!$A$1:$J$91</definedName>
    <definedName function="false" hidden="false" localSheetId="0" name="_xlnm.Print_Area_0_0" vbProcedure="false">'ETF List'!$A$1:$J$91</definedName>
    <definedName function="false" hidden="false" localSheetId="0" name="_xlnm.Print_Area_0_0_0" vbProcedure="false">'ETF List'!$A$1:$J$91</definedName>
    <definedName function="false" hidden="false" localSheetId="0" name="_xlnm.Print_Area_0_0_0_0" vbProcedure="false">'ETF List'!$A$1:$J$91</definedName>
    <definedName function="false" hidden="false" localSheetId="0" name="_xlnm.Print_Area_0_0_0_0_0" vbProcedure="false">'ETF List'!$A$1:$J$91</definedName>
    <definedName function="false" hidden="false" localSheetId="0" name="_xlnm.Print_Area_0_0_0_0_0_0" vbProcedure="false">'ETF List'!$A$1:$J$91</definedName>
    <definedName function="false" hidden="false" localSheetId="0" name="_xlnm._FilterDatabase" vbProcedure="false">'etf list'!#ref!</definedName>
    <definedName function="false" hidden="false" localSheetId="1" name="BLPB1" vbProcedure="false">[1]Corporate!$D$17</definedName>
    <definedName function="false" hidden="false" localSheetId="1" name="BLPH5" vbProcedure="false">[2]data!#ref!</definedName>
    <definedName function="false" hidden="false" localSheetId="1" name="BLPH6" vbProcedure="false">#REF!</definedName>
    <definedName function="false" hidden="false" localSheetId="1" name="IQ_NAMES_REVISION_DATE_" vbProcedure="false">40149.6200810185</definedName>
    <definedName function="false" hidden="false" localSheetId="1" name="_xlnm.Print_Area" vbProcedure="false">'Final Report'!$C$4:$AD$52</definedName>
    <definedName function="false" hidden="false" localSheetId="1" name="_xlnm.Print_Area_0" vbProcedure="false">'Final Report'!$C$4:$AD$52</definedName>
    <definedName function="false" hidden="false" localSheetId="1" name="_xlnm.Print_Area_0_0" vbProcedure="false">'Final Report'!$C$4:$AD$52</definedName>
    <definedName function="false" hidden="false" localSheetId="1" name="_xlnm.Print_Area_0_0_0" vbProcedure="false">'Final Report'!$C$4:$AD$52</definedName>
    <definedName function="false" hidden="false" localSheetId="1" name="_xlnm.Print_Area_0_0_0_0" vbProcedure="false">'Final Report'!$C$4:$AD$52</definedName>
    <definedName function="false" hidden="false" localSheetId="1" name="_xlnm.Print_Area_0_0_0_0_0" vbProcedure="false">'Final Report'!$C$4:$AD$52</definedName>
    <definedName function="false" hidden="false" localSheetId="1" name="_xlnm.Print_Area_0_0_0_0_0_0" vbProcedure="false">'Final Report'!$C$4:$AD$52</definedName>
    <definedName function="false" hidden="false" localSheetId="2" name="_xlnm.Print_Area" vbProcedure="false">'Policy Portfolio'!$A$1:$I$31</definedName>
    <definedName function="false" hidden="false" localSheetId="2" name="_xlnm.Print_Area_0" vbProcedure="false">'Policy Portfolio'!$A$1:$I$31</definedName>
    <definedName function="false" hidden="false" localSheetId="2" name="_xlnm.Print_Area_0_0" vbProcedure="false">'Policy Portfolio'!$A$1:$I$31</definedName>
    <definedName function="false" hidden="false" localSheetId="2" name="_xlnm.Print_Area_0_0_0" vbProcedure="false">'Policy Portfolio'!$A$1:$I$31</definedName>
    <definedName function="false" hidden="false" localSheetId="2" name="_xlnm.Print_Area_0_0_0_0" vbProcedure="false">'Policy Portfolio'!$A$1:$I$31</definedName>
    <definedName function="false" hidden="false" localSheetId="2" name="_xlnm.Print_Area_0_0_0_0_0" vbProcedure="false">'Policy Portfolio'!$A$1:$I$31</definedName>
    <definedName function="false" hidden="false" localSheetId="2" name="_xlnm.Print_Area_0_0_0_0_0_0" vbProcedure="false">'Policy Portfolio'!$A$1:$I$31</definedName>
    <definedName function="false" hidden="false" localSheetId="3" name="_xlnm.Print_Area" vbProcedure="false">'Risk &amp; Returns'!$A$1:$Q$55</definedName>
    <definedName function="false" hidden="false" localSheetId="3" name="_xlnm.Print_Area_0" vbProcedure="false">'Risk &amp; Returns'!$A$1:$Q$55</definedName>
    <definedName function="false" hidden="false" localSheetId="3" name="_xlnm.Print_Area_0_0" vbProcedure="false">'Risk &amp; Returns'!$A$1:$Q$55</definedName>
    <definedName function="false" hidden="false" localSheetId="3" name="_xlnm.Print_Area_0_0_0" vbProcedure="false">'Risk &amp; Returns'!$A$1:$Q$55</definedName>
    <definedName function="false" hidden="false" localSheetId="3" name="_xlnm.Print_Area_0_0_0_0" vbProcedure="false">'Risk &amp; Returns'!$A$1:$Q$55</definedName>
    <definedName function="false" hidden="false" localSheetId="3" name="_xlnm.Print_Area_0_0_0_0_0" vbProcedure="false">'Risk &amp; Returns'!$A$1:$Q$55</definedName>
    <definedName function="false" hidden="false" localSheetId="3" name="_xlnm.Print_Area_0_0_0_0_0_0" vbProcedure="false">'Risk &amp; Returns'!$A$1:$Q$55</definedName>
    <definedName function="false" hidden="false" localSheetId="4" name="_xlnm.Print_Area" vbProcedure="false">Trades!$A$1:$O$59</definedName>
    <definedName function="false" hidden="false" localSheetId="4" name="_xlnm.Print_Area_0" vbProcedure="false">Trades!$A$1:$O$59</definedName>
    <definedName function="false" hidden="false" localSheetId="4" name="_xlnm.Print_Area_0_0" vbProcedure="false">Trades!$A$1:$O$59</definedName>
    <definedName function="false" hidden="false" localSheetId="4" name="_xlnm.Print_Area_0_0_0" vbProcedure="false">Trades!$A$1:$O$59</definedName>
    <definedName function="false" hidden="false" localSheetId="4" name="_xlnm.Print_Area_0_0_0_0" vbProcedure="false">Trades!$A$1:$O$59</definedName>
    <definedName function="false" hidden="false" localSheetId="4" name="_xlnm.Print_Area_0_0_0_0_0" vbProcedure="false">Trades!$A$1:$O$59</definedName>
    <definedName function="false" hidden="false" localSheetId="4" name="_xlnm.Print_Area_0_0_0_0_0_0" vbProcedure="false">Trades!$A$1:$O$59</definedName>
    <definedName function="false" hidden="false" localSheetId="4" name="_xlnm._FilterDatabase" vbProcedure="false">trades!#ref!</definedName>
    <definedName function="false" hidden="false" localSheetId="5" name="_xlnm.Print_Area" vbProcedure="false">'Price Inputs'!$A$1:$J$49</definedName>
    <definedName function="false" hidden="false" localSheetId="5" name="_xlnm.Print_Area_0" vbProcedure="false">'Price Inputs'!$A$1:$J$49</definedName>
    <definedName function="false" hidden="false" localSheetId="5" name="_xlnm.Print_Area_0_0" vbProcedure="false">'Price Inputs'!$A$1:$J$49</definedName>
    <definedName function="false" hidden="false" localSheetId="5" name="_xlnm.Print_Area_0_0_0" vbProcedure="false">'Price Inputs'!$A$1:$J$49</definedName>
    <definedName function="false" hidden="false" localSheetId="5" name="_xlnm.Print_Area_0_0_0_0" vbProcedure="false">'Price Inputs'!$A$1:$J$49</definedName>
    <definedName function="false" hidden="false" localSheetId="5" name="_xlnm.Print_Area_0_0_0_0_0" vbProcedure="false">'Price Inputs'!$A$1:$J$49</definedName>
    <definedName function="false" hidden="false" localSheetId="5" name="_xlnm.Print_Area_0_0_0_0_0_0" vbProcedure="false">'Price Inputs'!$A$1:$J$49</definedName>
    <definedName function="false" hidden="false" localSheetId="6" name="BLPB1" vbProcedure="false">#REF!</definedName>
    <definedName function="false" hidden="false" localSheetId="6" name="BLPH1" vbProcedure="false">#REF!</definedName>
    <definedName function="false" hidden="false" localSheetId="6" name="BLPH2" vbProcedure="false">#REF!</definedName>
    <definedName function="false" hidden="false" localSheetId="6" name="BLPH3" vbProcedure="false">#REF!</definedName>
    <definedName function="false" hidden="false" localSheetId="6" name="BLPH4" vbProcedure="false">#REF!</definedName>
    <definedName function="false" hidden="false" localSheetId="6" name="BLPH5" vbProcedure="false">#REF!</definedName>
    <definedName function="false" hidden="false" localSheetId="6" name="BLPH6" vbProcedure="false">#REF!</definedName>
    <definedName function="false" hidden="false" localSheetId="6" name="BLPH7" vbProcedure="false">#REF!</definedName>
    <definedName function="false" hidden="false" localSheetId="6" name="BLPH8" vbProcedure="false">#REF!</definedName>
    <definedName function="false" hidden="false" localSheetId="6" name="Mrkt_Value" vbProcedure="false">'Current Portfolio'!$J$11:$J$40</definedName>
    <definedName function="false" hidden="false" localSheetId="6" name="Share_Count" vbProcedure="false">'Current Portfolio'!$H$11:$H$25</definedName>
    <definedName function="false" hidden="false" localSheetId="6" name="_xlnm.Print_Area" vbProcedure="false">'Current Portfolio'!$A$1:$K$40</definedName>
    <definedName function="false" hidden="false" localSheetId="6" name="_xlnm.Print_Area_0" vbProcedure="false">'Current Portfolio'!$A$1:$K$40</definedName>
    <definedName function="false" hidden="false" localSheetId="6" name="_xlnm.Print_Area_0_0" vbProcedure="false">'Current Portfolio'!$A$1:$K$40</definedName>
    <definedName function="false" hidden="false" localSheetId="6" name="_xlnm.Print_Area_0_0_0" vbProcedure="false">'Current Portfolio'!$A$1:$K$40</definedName>
    <definedName function="false" hidden="false" localSheetId="6" name="_xlnm.Print_Area_0_0_0_0" vbProcedure="false">'Current Portfolio'!$A$1:$K$40</definedName>
    <definedName function="false" hidden="false" localSheetId="6" name="_xlnm.Print_Area_0_0_0_0_0" vbProcedure="false">'Current Portfolio'!$A$1:$K$40</definedName>
    <definedName function="false" hidden="false" localSheetId="6" name="_xlnm.Print_Area_0_0_0_0_0_0" vbProcedure="false">'Current Portfolio'!$A$1:$K$40</definedName>
    <definedName function="false" hidden="false" localSheetId="6" name="_xlnm._FilterDatabase" vbProcedure="false">'current portfolio'!#ref!</definedName>
    <definedName function="false" hidden="false" localSheetId="7" name="Mrkt_Value" vbProcedure="false">'Port Returns'!$K$11:$K$25</definedName>
    <definedName function="false" hidden="false" localSheetId="7" name="_xlnm.Print_Area" vbProcedure="false">'Port Returns'!$A$1:$M$78</definedName>
    <definedName function="false" hidden="false" localSheetId="7" name="_xlnm.Print_Area_0" vbProcedure="false">'Port Returns'!$A$1:$M$78</definedName>
    <definedName function="false" hidden="false" localSheetId="7" name="_xlnm.Print_Area_0_0" vbProcedure="false">'Port Returns'!$A$1:$M$78</definedName>
    <definedName function="false" hidden="false" localSheetId="7" name="_xlnm.Print_Area_0_0_0" vbProcedure="false">'Port Returns'!$A$1:$M$78</definedName>
    <definedName function="false" hidden="false" localSheetId="7" name="_xlnm.Print_Area_0_0_0_0" vbProcedure="false">'Port Returns'!$A$1:$M$78</definedName>
    <definedName function="false" hidden="false" localSheetId="7" name="_xlnm.Print_Area_0_0_0_0_0" vbProcedure="false">'Port Returns'!$A$1:$M$78</definedName>
    <definedName function="false" hidden="false" localSheetId="7" name="_xlnm.Print_Area_0_0_0_0_0_0" vbProcedure="false">'Port Returns'!$A$1:$M$78</definedName>
    <definedName function="false" hidden="false" localSheetId="7" name="_xlnm._FilterDatabase" vbProcedure="false">'port returns'!#ref!</definedName>
    <definedName function="false" hidden="false" localSheetId="8" name="_xlnm._FilterDatabase" vbProcedure="false">'Portfolio Bucket'!$C$2:$I$2</definedName>
    <definedName function="false" hidden="false" localSheetId="8" name="_xlnm._FilterDatabase_0" vbProcedure="false">'Portfolio Bucket'!$C$2:$I$2</definedName>
    <definedName function="false" hidden="false" localSheetId="8" name="_xlnm._FilterDatabase_0_0" vbProcedure="false">'Portfolio Bucket'!$C$2:$I$2</definedName>
    <definedName function="false" hidden="false" localSheetId="8" name="_xlnm._FilterDatabase_0_0_0" vbProcedure="false">'Portfolio Bucket'!$C$2:$I$2</definedName>
    <definedName function="false" hidden="false" localSheetId="8" name="_xlnm._FilterDatabase_0_0_0_0" vbProcedure="false">'Portfolio Bucket'!$C$2:$I$2</definedName>
    <definedName function="false" hidden="false" localSheetId="8" name="_xlnm._FilterDatabase_0_0_0_0_0" vbProcedure="false">'Portfolio Bucket'!$C$2:$I$2</definedName>
    <definedName function="false" hidden="false" localSheetId="8" name="_xlnm._FilterDatabase_0_0_0_0_0_0" vbProcedure="false">'Portfolio Bucket'!$C$2:$I$2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<sst xmlns="http://schemas.openxmlformats.org/spreadsheetml/2006/main" count="1153" uniqueCount="496">
  <si>
    <t xml:space="preserve">Category</t>
  </si>
  <si>
    <t xml:space="preserve">Ticker</t>
  </si>
  <si>
    <t xml:space="preserve">Fund Inception Date</t>
  </si>
  <si>
    <t xml:space="preserve">Name</t>
  </si>
  <si>
    <t xml:space="preserve">Asset Class</t>
  </si>
  <si>
    <t xml:space="preserve">Fund Type</t>
  </si>
  <si>
    <t xml:space="preserve">Expense Ratio</t>
  </si>
  <si>
    <t xml:space="preserve">Volume</t>
  </si>
  <si>
    <t xml:space="preserve">Commodities</t>
  </si>
  <si>
    <t xml:space="preserve">ETF Reference</t>
  </si>
  <si>
    <t xml:space="preserve">Website</t>
  </si>
  <si>
    <t xml:space="preserve">IAU</t>
  </si>
  <si>
    <t xml:space="preserve">iShares Gold Trust</t>
  </si>
  <si>
    <t xml:space="preserve">Alternatives</t>
  </si>
  <si>
    <t xml:space="preserve">Commodity</t>
  </si>
  <si>
    <t xml:space="preserve">Gold</t>
  </si>
  <si>
    <t xml:space="preserve">iShares Website</t>
  </si>
  <si>
    <t xml:space="preserve">https://www.ishares.com/us/</t>
  </si>
  <si>
    <t xml:space="preserve">SLV</t>
  </si>
  <si>
    <t xml:space="preserve">iShares Silver Trust</t>
  </si>
  <si>
    <t xml:space="preserve">Silver</t>
  </si>
  <si>
    <t xml:space="preserve">SPDR Website</t>
  </si>
  <si>
    <t xml:space="preserve">https://us.spdrs.com/en/product/index.seam</t>
  </si>
  <si>
    <t xml:space="preserve">USO</t>
  </si>
  <si>
    <t xml:space="preserve">United States Commodity Fund - Oil</t>
  </si>
  <si>
    <t xml:space="preserve">Oil</t>
  </si>
  <si>
    <t xml:space="preserve">iPath</t>
  </si>
  <si>
    <t xml:space="preserve">http://www.uscfinvestments.com/</t>
  </si>
  <si>
    <t xml:space="preserve">Real Estate - US</t>
  </si>
  <si>
    <t xml:space="preserve">Invesco PowerShares</t>
  </si>
  <si>
    <t xml:space="preserve">https://www.invesco.com/portal/site/us/investors/etfs/</t>
  </si>
  <si>
    <t xml:space="preserve">IYR</t>
  </si>
  <si>
    <t xml:space="preserve">iShares US Real Estate </t>
  </si>
  <si>
    <t xml:space="preserve">REIT</t>
  </si>
  <si>
    <t xml:space="preserve">Real Estate</t>
  </si>
  <si>
    <t xml:space="preserve">Vanguard ETFs</t>
  </si>
  <si>
    <t xml:space="preserve">https://investor.vanguard.com/etf/</t>
  </si>
  <si>
    <t xml:space="preserve">Real Estate - EX-US</t>
  </si>
  <si>
    <t xml:space="preserve">RWX</t>
  </si>
  <si>
    <t xml:space="preserve">SPDR DJ Intl Real Estate</t>
  </si>
  <si>
    <t xml:space="preserve">US Stock Market</t>
  </si>
  <si>
    <t xml:space="preserve">VTI</t>
  </si>
  <si>
    <t xml:space="preserve">Vanguard Total Stock Mrkt </t>
  </si>
  <si>
    <t xml:space="preserve">US Equity</t>
  </si>
  <si>
    <t xml:space="preserve">Broad Mrkt</t>
  </si>
  <si>
    <t xml:space="preserve">DVY</t>
  </si>
  <si>
    <t xml:space="preserve">iShares  Dividend </t>
  </si>
  <si>
    <t xml:space="preserve">US Large Cap</t>
  </si>
  <si>
    <t xml:space="preserve">SPY</t>
  </si>
  <si>
    <t xml:space="preserve">SPDR S&amp;P 500  </t>
  </si>
  <si>
    <t xml:space="preserve">Large-Cap Blend</t>
  </si>
  <si>
    <t xml:space="preserve">DIA</t>
  </si>
  <si>
    <t xml:space="preserve">SPDR DJIA </t>
  </si>
  <si>
    <t xml:space="preserve">RSP</t>
  </si>
  <si>
    <t xml:space="preserve">Guggenheim S&amp;P 500 Equal Weighted</t>
  </si>
  <si>
    <t xml:space="preserve">IWB</t>
  </si>
  <si>
    <t xml:space="preserve">iShares Russell 1000 </t>
  </si>
  <si>
    <t xml:space="preserve">VYM</t>
  </si>
  <si>
    <t xml:space="preserve">Vanguard High Dividend Yield </t>
  </si>
  <si>
    <t xml:space="preserve">US Large Cap Growth</t>
  </si>
  <si>
    <t xml:space="preserve">IWF</t>
  </si>
  <si>
    <t xml:space="preserve">iShares Russell 1000 Growth</t>
  </si>
  <si>
    <t xml:space="preserve">Large-Cap Growth</t>
  </si>
  <si>
    <t xml:space="preserve">US Large Cap Value</t>
  </si>
  <si>
    <t xml:space="preserve">IWD</t>
  </si>
  <si>
    <t xml:space="preserve">iShares Russell 1000 Value</t>
  </si>
  <si>
    <t xml:space="preserve">Large-Cap Value</t>
  </si>
  <si>
    <t xml:space="preserve">US Mid Cap</t>
  </si>
  <si>
    <t xml:space="preserve">MDY</t>
  </si>
  <si>
    <t xml:space="preserve">SPDR S&amp;P MidCap 400  </t>
  </si>
  <si>
    <t xml:space="preserve">Mid-Cap Blend</t>
  </si>
  <si>
    <t xml:space="preserve">US Small Cap</t>
  </si>
  <si>
    <t xml:space="preserve">IWM</t>
  </si>
  <si>
    <t xml:space="preserve">iShares Russell 2000 </t>
  </si>
  <si>
    <t xml:space="preserve">Small-Cap Blend</t>
  </si>
  <si>
    <t xml:space="preserve">IWN</t>
  </si>
  <si>
    <t xml:space="preserve">iShares Russell 2000 Value</t>
  </si>
  <si>
    <t xml:space="preserve">Small-Cap Value</t>
  </si>
  <si>
    <t xml:space="preserve">US Small-Cap Value</t>
  </si>
  <si>
    <t xml:space="preserve">IWO</t>
  </si>
  <si>
    <t xml:space="preserve">iShares Russell 2000 Growth</t>
  </si>
  <si>
    <t xml:space="preserve">Small-Cap Growth</t>
  </si>
  <si>
    <t xml:space="preserve">US Small-Cap Growth</t>
  </si>
  <si>
    <t xml:space="preserve">US Sector ETFs</t>
  </si>
  <si>
    <t xml:space="preserve">XLY</t>
  </si>
  <si>
    <t xml:space="preserve">SPDR Consumer Discretionary </t>
  </si>
  <si>
    <t xml:space="preserve">Consumer Discretionary</t>
  </si>
  <si>
    <t xml:space="preserve">XLP</t>
  </si>
  <si>
    <t xml:space="preserve">SPDR Consumer Staples </t>
  </si>
  <si>
    <t xml:space="preserve">Consumer Staples </t>
  </si>
  <si>
    <t xml:space="preserve">XLE</t>
  </si>
  <si>
    <t xml:space="preserve">SPDR Energy </t>
  </si>
  <si>
    <t xml:space="preserve">Energy</t>
  </si>
  <si>
    <t xml:space="preserve">XLF</t>
  </si>
  <si>
    <t xml:space="preserve">SPDR Financials </t>
  </si>
  <si>
    <t xml:space="preserve">Financial </t>
  </si>
  <si>
    <t xml:space="preserve">XLV</t>
  </si>
  <si>
    <t xml:space="preserve">SPDR Health Care </t>
  </si>
  <si>
    <t xml:space="preserve">Health Care</t>
  </si>
  <si>
    <t xml:space="preserve">XLI</t>
  </si>
  <si>
    <t xml:space="preserve">SPDR Industrials </t>
  </si>
  <si>
    <t xml:space="preserve">Industrials</t>
  </si>
  <si>
    <t xml:space="preserve">XLB</t>
  </si>
  <si>
    <t xml:space="preserve">SPDR Materials </t>
  </si>
  <si>
    <t xml:space="preserve">Materials</t>
  </si>
  <si>
    <t xml:space="preserve">XLK</t>
  </si>
  <si>
    <t xml:space="preserve">SPDR Technology  </t>
  </si>
  <si>
    <t xml:space="preserve">Technology</t>
  </si>
  <si>
    <t xml:space="preserve">XLU</t>
  </si>
  <si>
    <t xml:space="preserve">SPDR Utilities </t>
  </si>
  <si>
    <t xml:space="preserve">Utilities</t>
  </si>
  <si>
    <t xml:space="preserve">All-World Ex-US</t>
  </si>
  <si>
    <t xml:space="preserve">VEU</t>
  </si>
  <si>
    <t xml:space="preserve">Vanguard FTSE All-World EX-US</t>
  </si>
  <si>
    <t xml:space="preserve">Intl Equity</t>
  </si>
  <si>
    <t xml:space="preserve">All World Ex-US</t>
  </si>
  <si>
    <t xml:space="preserve">International Small-Cap</t>
  </si>
  <si>
    <t xml:space="preserve">SCZ</t>
  </si>
  <si>
    <t xml:space="preserve">iShares EAFE Small-Cap</t>
  </si>
  <si>
    <t xml:space="preserve">Developed Mrkts</t>
  </si>
  <si>
    <t xml:space="preserve">Intl Small Cap</t>
  </si>
  <si>
    <t xml:space="preserve">Ex-US Developed Mrkts</t>
  </si>
  <si>
    <t xml:space="preserve">EZU</t>
  </si>
  <si>
    <t xml:space="preserve">iShares Eurozone </t>
  </si>
  <si>
    <t xml:space="preserve">European Stocks</t>
  </si>
  <si>
    <t xml:space="preserve">EFA</t>
  </si>
  <si>
    <t xml:space="preserve">iShares EAFE </t>
  </si>
  <si>
    <t xml:space="preserve">International</t>
  </si>
  <si>
    <t xml:space="preserve">AAXJ</t>
  </si>
  <si>
    <t xml:space="preserve">iShares All Country Asia</t>
  </si>
  <si>
    <t xml:space="preserve">Asian Pacific ex Japan</t>
  </si>
  <si>
    <t xml:space="preserve">Developed Mrkts Country Specific</t>
  </si>
  <si>
    <t xml:space="preserve">EWU</t>
  </si>
  <si>
    <t xml:space="preserve">iShares United Kingdon</t>
  </si>
  <si>
    <t xml:space="preserve">United Kingdom</t>
  </si>
  <si>
    <t xml:space="preserve">EWL</t>
  </si>
  <si>
    <t xml:space="preserve">iShares Switzerland Cap</t>
  </si>
  <si>
    <t xml:space="preserve">Switzerland</t>
  </si>
  <si>
    <t xml:space="preserve">EWI</t>
  </si>
  <si>
    <t xml:space="preserve">iShares Italy </t>
  </si>
  <si>
    <t xml:space="preserve">Italy</t>
  </si>
  <si>
    <t xml:space="preserve">EWJ</t>
  </si>
  <si>
    <t xml:space="preserve">iShares Japan </t>
  </si>
  <si>
    <t xml:space="preserve">Japan</t>
  </si>
  <si>
    <t xml:space="preserve">EWH</t>
  </si>
  <si>
    <t xml:space="preserve">iShares Hong Kong </t>
  </si>
  <si>
    <t xml:space="preserve">Hong Kong</t>
  </si>
  <si>
    <t xml:space="preserve">EWQ</t>
  </si>
  <si>
    <t xml:space="preserve">iShares France </t>
  </si>
  <si>
    <t xml:space="preserve">France</t>
  </si>
  <si>
    <t xml:space="preserve">EWG</t>
  </si>
  <si>
    <t xml:space="preserve">iShares Germany </t>
  </si>
  <si>
    <t xml:space="preserve">Germany</t>
  </si>
  <si>
    <t xml:space="preserve">EWA</t>
  </si>
  <si>
    <t xml:space="preserve">iShares Australia </t>
  </si>
  <si>
    <t xml:space="preserve">Australia</t>
  </si>
  <si>
    <t xml:space="preserve">EWC</t>
  </si>
  <si>
    <t xml:space="preserve">iShares Canada </t>
  </si>
  <si>
    <t xml:space="preserve">Canada</t>
  </si>
  <si>
    <t xml:space="preserve">EWS</t>
  </si>
  <si>
    <t xml:space="preserve">iShares Singapore </t>
  </si>
  <si>
    <t xml:space="preserve">Singapore</t>
  </si>
  <si>
    <t xml:space="preserve">EWP</t>
  </si>
  <si>
    <t xml:space="preserve">iShares Spain ET</t>
  </si>
  <si>
    <t xml:space="preserve">Spain</t>
  </si>
  <si>
    <t xml:space="preserve">EWM</t>
  </si>
  <si>
    <t xml:space="preserve">iShares Malaysia </t>
  </si>
  <si>
    <t xml:space="preserve">Malaysia</t>
  </si>
  <si>
    <t xml:space="preserve">EWW</t>
  </si>
  <si>
    <t xml:space="preserve">iShares Mexico </t>
  </si>
  <si>
    <t xml:space="preserve">Mexico</t>
  </si>
  <si>
    <t xml:space="preserve">Emerging Mrkts</t>
  </si>
  <si>
    <t xml:space="preserve">EEM</t>
  </si>
  <si>
    <t xml:space="preserve">iShares Emerging Mrkt</t>
  </si>
  <si>
    <t xml:space="preserve">ILF</t>
  </si>
  <si>
    <t xml:space="preserve">iShares Latin America 40 </t>
  </si>
  <si>
    <t xml:space="preserve">Latin America</t>
  </si>
  <si>
    <t xml:space="preserve">Emerging Mrkts Country Specific</t>
  </si>
  <si>
    <t xml:space="preserve">EWZ</t>
  </si>
  <si>
    <t xml:space="preserve">iShares Brazil </t>
  </si>
  <si>
    <t xml:space="preserve">Brazil</t>
  </si>
  <si>
    <t xml:space="preserve">EWY</t>
  </si>
  <si>
    <t xml:space="preserve">iShares South Korea </t>
  </si>
  <si>
    <t xml:space="preserve">Korea</t>
  </si>
  <si>
    <t xml:space="preserve">PIN</t>
  </si>
  <si>
    <t xml:space="preserve">Powershares India </t>
  </si>
  <si>
    <t xml:space="preserve">India</t>
  </si>
  <si>
    <t xml:space="preserve">FXI</t>
  </si>
  <si>
    <t xml:space="preserve">iShares China Large-Cap </t>
  </si>
  <si>
    <t xml:space="preserve">China</t>
  </si>
  <si>
    <t xml:space="preserve">EZA</t>
  </si>
  <si>
    <t xml:space="preserve">iShares South Africa </t>
  </si>
  <si>
    <t xml:space="preserve">South Africa</t>
  </si>
  <si>
    <t xml:space="preserve">EWT</t>
  </si>
  <si>
    <t xml:space="preserve">iShares Taiwan </t>
  </si>
  <si>
    <t xml:space="preserve">Taiwan</t>
  </si>
  <si>
    <t xml:space="preserve">Bonds - US Treasuries</t>
  </si>
  <si>
    <t xml:space="preserve">TLT</t>
  </si>
  <si>
    <t xml:space="preserve">iShares 20+ Yr Treasury</t>
  </si>
  <si>
    <t xml:space="preserve">Bonds</t>
  </si>
  <si>
    <t xml:space="preserve">US Government</t>
  </si>
  <si>
    <t xml:space="preserve">Long Term Treasury</t>
  </si>
  <si>
    <t xml:space="preserve">IEF</t>
  </si>
  <si>
    <t xml:space="preserve">iShares 7-10 Yr Treasury</t>
  </si>
  <si>
    <t xml:space="preserve">Intermediate Term Treasury</t>
  </si>
  <si>
    <t xml:space="preserve">SHY</t>
  </si>
  <si>
    <t xml:space="preserve">iShares 1-3 Yr Treasury</t>
  </si>
  <si>
    <t xml:space="preserve">Short Term Treasury</t>
  </si>
  <si>
    <t xml:space="preserve">Bonds - International</t>
  </si>
  <si>
    <t xml:space="preserve">BWX</t>
  </si>
  <si>
    <t xml:space="preserve">SPDR BBG Barclays Intl Treasury</t>
  </si>
  <si>
    <t xml:space="preserve">Sovereigns</t>
  </si>
  <si>
    <t xml:space="preserve">Government</t>
  </si>
  <si>
    <t xml:space="preserve">EMB</t>
  </si>
  <si>
    <t xml:space="preserve">iShares JP Morgan USD Emerging</t>
  </si>
  <si>
    <t xml:space="preserve">Emerging Mrkt</t>
  </si>
  <si>
    <t xml:space="preserve">Emerging Mrkt Bonds (USD Hedged)</t>
  </si>
  <si>
    <t xml:space="preserve">PCY</t>
  </si>
  <si>
    <t xml:space="preserve">Powershares Em Mrkt Sovr Debt</t>
  </si>
  <si>
    <t xml:space="preserve">Emerging Mrkt Bonds (Not Hedged)</t>
  </si>
  <si>
    <t xml:space="preserve">Bonds - Aggregate</t>
  </si>
  <si>
    <t xml:space="preserve">AGG</t>
  </si>
  <si>
    <t xml:space="preserve">iShares Core U.S. Aggregate</t>
  </si>
  <si>
    <t xml:space="preserve">Aggregate Bond</t>
  </si>
  <si>
    <t xml:space="preserve">BSV</t>
  </si>
  <si>
    <t xml:space="preserve">Vanguard Short-Term Bond </t>
  </si>
  <si>
    <t xml:space="preserve">Short-Term Investment Grade</t>
  </si>
  <si>
    <t xml:space="preserve">BIV</t>
  </si>
  <si>
    <t xml:space="preserve">Vanguard Intermediate-Term Bond</t>
  </si>
  <si>
    <t xml:space="preserve">Intermediate-Term Investment Grade</t>
  </si>
  <si>
    <t xml:space="preserve">Bonds - High Yield Corporates</t>
  </si>
  <si>
    <t xml:space="preserve">HYG</t>
  </si>
  <si>
    <t xml:space="preserve">iShares High Yield Bonds</t>
  </si>
  <si>
    <t xml:space="preserve">Corporate</t>
  </si>
  <si>
    <t xml:space="preserve">High Yield Corporate Bonds</t>
  </si>
  <si>
    <t xml:space="preserve">Bonds - Investment Grade Corporates</t>
  </si>
  <si>
    <t xml:space="preserve">LQD</t>
  </si>
  <si>
    <t xml:space="preserve">iShares Investment Grade</t>
  </si>
  <si>
    <t xml:space="preserve">Investment Grade Corporate Bonds</t>
  </si>
  <si>
    <t xml:space="preserve">Bonds -Misc</t>
  </si>
  <si>
    <t xml:space="preserve">MBB</t>
  </si>
  <si>
    <t xml:space="preserve">iShares MBS </t>
  </si>
  <si>
    <t xml:space="preserve">Mortgage-Backed</t>
  </si>
  <si>
    <t xml:space="preserve">PFF</t>
  </si>
  <si>
    <t xml:space="preserve">iShares US Preferred Stock </t>
  </si>
  <si>
    <t xml:space="preserve">Preferred</t>
  </si>
  <si>
    <t xml:space="preserve">TIP</t>
  </si>
  <si>
    <t xml:space="preserve">iShares TIPS Bond </t>
  </si>
  <si>
    <t xml:space="preserve">Inflation Protected</t>
  </si>
  <si>
    <t xml:space="preserve">* Data: As of December 30, 2016</t>
  </si>
  <si>
    <t xml:space="preserve">Sim Investment Management</t>
  </si>
  <si>
    <t xml:space="preserve">Investment Strategy &amp; Policy Portfolio</t>
  </si>
  <si>
    <t xml:space="preserve">Behavioral Biases</t>
  </si>
  <si>
    <t xml:space="preserve">Reference Page</t>
  </si>
  <si>
    <t xml:space="preserve">Investment Strategy</t>
  </si>
  <si>
    <t xml:space="preserve">Policy Portfolio</t>
  </si>
  <si>
    <t xml:space="preserve">- Overall Risk Objective</t>
  </si>
  <si>
    <t xml:space="preserve">High</t>
  </si>
  <si>
    <t xml:space="preserve">Policy</t>
  </si>
  <si>
    <t xml:space="preserve">Asset</t>
  </si>
  <si>
    <t xml:space="preserve">Avg. </t>
  </si>
  <si>
    <t xml:space="preserve">Historical</t>
  </si>
  <si>
    <t xml:space="preserve">Standard</t>
  </si>
  <si>
    <t xml:space="preserve">Expected</t>
  </si>
  <si>
    <t xml:space="preserve">Actual</t>
  </si>
  <si>
    <t xml:space="preserve">Annualized</t>
  </si>
  <si>
    <t xml:space="preserve">- Overall Return Objective</t>
  </si>
  <si>
    <t xml:space="preserve">Weight</t>
  </si>
  <si>
    <t xml:space="preserve">Class</t>
  </si>
  <si>
    <t xml:space="preserve">Return</t>
  </si>
  <si>
    <t xml:space="preserve">Deviation</t>
  </si>
  <si>
    <t xml:space="preserve">- Primary Goal</t>
  </si>
  <si>
    <t xml:space="preserve">Growth</t>
  </si>
  <si>
    <t xml:space="preserve">Cash</t>
  </si>
  <si>
    <t xml:space="preserve">- Reason</t>
  </si>
  <si>
    <t xml:space="preserve">Financing Retirement</t>
  </si>
  <si>
    <t xml:space="preserve">- Constraints (Time Horizon, Taxes, Liquidity, Legal, Unique)</t>
  </si>
  <si>
    <t xml:space="preserve">Time horizon is 25 years, based on the current minimum retirement age requirements</t>
  </si>
  <si>
    <t xml:space="preserve">Strategy &amp; Implementation</t>
  </si>
  <si>
    <t xml:space="preserve">Performance &amp; Risks</t>
  </si>
  <si>
    <t xml:space="preserve">Basic strategy is to follow investing some of the investment advices provided by John Bogle &amp; Benjamin Graham:</t>
  </si>
  <si>
    <t xml:space="preserve">Total Return:</t>
  </si>
  <si>
    <t xml:space="preserve">Portfolio Standard Deviation:</t>
  </si>
  <si>
    <t xml:space="preserve">1 – A percentage of bonds more or less equal to your age</t>
  </si>
  <si>
    <t xml:space="preserve">Policy Portfolio Return:</t>
  </si>
  <si>
    <t xml:space="preserve">Correlation with Benchmark:</t>
  </si>
  <si>
    <t xml:space="preserve">&lt;-- Policy Portfolio Total Weighting</t>
  </si>
  <si>
    <t xml:space="preserve">&lt;-- Actual Policy Portfolio Weighting</t>
  </si>
  <si>
    <t xml:space="preserve">2 – Buy when prices are low &amp; sell when the prices are high</t>
  </si>
  <si>
    <t xml:space="preserve">+ / - Performance:</t>
  </si>
  <si>
    <t xml:space="preserve">Beta (Relative to Benchmark):</t>
  </si>
  <si>
    <t xml:space="preserve">Tactical Positions</t>
  </si>
  <si>
    <t xml:space="preserve">3 – Allow deviation from the target portfolio allocation to exploit the market conditions</t>
  </si>
  <si>
    <t xml:space="preserve">Return vs. Benchmark</t>
  </si>
  <si>
    <t xml:space="preserve">Tactical Shifts / Macro Environment &amp; Current Portfolio</t>
  </si>
  <si>
    <t xml:space="preserve">Tactical Shifts</t>
  </si>
  <si>
    <t xml:space="preserve">Current Portfolio Pie Chart</t>
  </si>
  <si>
    <t xml:space="preserve">Macro Environment</t>
  </si>
  <si>
    <t xml:space="preserve">Fed gradually raising interest rates</t>
  </si>
  <si>
    <t xml:space="preserve">Commercial tension between US &amp; China</t>
  </si>
  <si>
    <t xml:space="preserve">Chinese Government aggressively backing up expansion</t>
  </si>
  <si>
    <t xml:space="preserve">Highly unstable EU due to political shifts &amp; migrants crisis</t>
  </si>
  <si>
    <t xml:space="preserve">Efficient Frontiers</t>
  </si>
  <si>
    <t xml:space="preserve">Performance Discussion</t>
  </si>
  <si>
    <t xml:space="preserve">Historical Efficient Frontier</t>
  </si>
  <si>
    <t xml:space="preserve">Forecasted Efficient Frontier</t>
  </si>
  <si>
    <t xml:space="preserve">&lt;-- Actual Tactical Positions Weighting</t>
  </si>
  <si>
    <t xml:space="preserve">RICE UNIVERSITY  |  COURSERA</t>
  </si>
  <si>
    <t xml:space="preserve">Risk Levels</t>
  </si>
  <si>
    <t xml:space="preserve">Very Low</t>
  </si>
  <si>
    <t xml:space="preserve">Low</t>
  </si>
  <si>
    <t xml:space="preserve">Moderate</t>
  </si>
  <si>
    <t xml:space="preserve">Very High</t>
  </si>
  <si>
    <t xml:space="preserve">Asset Classes</t>
  </si>
  <si>
    <t xml:space="preserve">International Equity</t>
  </si>
  <si>
    <t xml:space="preserve">Alternatives &amp; Commodities</t>
  </si>
  <si>
    <t xml:space="preserve">Description</t>
  </si>
  <si>
    <t xml:space="preserve">Intl Stock Market</t>
  </si>
  <si>
    <t xml:space="preserve">Developed Markets</t>
  </si>
  <si>
    <t xml:space="preserve">US_Equity</t>
  </si>
  <si>
    <t xml:space="preserve">International Small Cap</t>
  </si>
  <si>
    <t xml:space="preserve">Precious Metals</t>
  </si>
  <si>
    <t xml:space="preserve">Intl_Equity</t>
  </si>
  <si>
    <t xml:space="preserve">International Value</t>
  </si>
  <si>
    <t xml:space="preserve">Total Bond Market</t>
  </si>
  <si>
    <t xml:space="preserve">TIPS</t>
  </si>
  <si>
    <t xml:space="preserve">Mid-Cap</t>
  </si>
  <si>
    <t xml:space="preserve">Pacific Stocks</t>
  </si>
  <si>
    <t xml:space="preserve">Global Bonds (USD Hedged)</t>
  </si>
  <si>
    <t xml:space="preserve">Small-Cap</t>
  </si>
  <si>
    <t xml:space="preserve">US Small Cap Value</t>
  </si>
  <si>
    <t xml:space="preserve">Emerging Markets</t>
  </si>
  <si>
    <t xml:space="preserve">US Small Cap Growth</t>
  </si>
  <si>
    <t xml:space="preserve">Corporate Bonds</t>
  </si>
  <si>
    <t xml:space="preserve">Intermediate-Term Corporate Bonds</t>
  </si>
  <si>
    <t xml:space="preserve">International - Developed Markets</t>
  </si>
  <si>
    <t xml:space="preserve">iShares Intl Small Cap</t>
  </si>
  <si>
    <t xml:space="preserve">Monday of Portfolio Begin Date:</t>
  </si>
  <si>
    <t xml:space="preserve">iShares 1-3 Yr Treasury BO</t>
  </si>
  <si>
    <t xml:space="preserve">Fixed Income</t>
  </si>
  <si>
    <t xml:space="preserve">iShares 7-10 Yr Treasury B</t>
  </si>
  <si>
    <t xml:space="preserve">Inputs</t>
  </si>
  <si>
    <t xml:space="preserve">Values of the Policy Portfolio by Week</t>
  </si>
  <si>
    <t xml:space="preserve">Assets</t>
  </si>
  <si>
    <t xml:space="preserve">Weighting</t>
  </si>
  <si>
    <t xml:space="preserve">ETF-Used</t>
  </si>
  <si>
    <t xml:space="preserve">Beginning</t>
  </si>
  <si>
    <t xml:space="preserve">Week 1</t>
  </si>
  <si>
    <t xml:space="preserve">Week 2</t>
  </si>
  <si>
    <t xml:space="preserve">Week 3</t>
  </si>
  <si>
    <t xml:space="preserve">Week 4</t>
  </si>
  <si>
    <t xml:space="preserve">Week 5</t>
  </si>
  <si>
    <t xml:space="preserve">Total Policy Portfolio</t>
  </si>
  <si>
    <t xml:space="preserve">Asset 1</t>
  </si>
  <si>
    <t xml:space="preserve">Asset 2</t>
  </si>
  <si>
    <t xml:space="preserve">Asset 3</t>
  </si>
  <si>
    <t xml:space="preserve">Asset 4</t>
  </si>
  <si>
    <t xml:space="preserve">Asset 5</t>
  </si>
  <si>
    <t xml:space="preserve">Asset 6</t>
  </si>
  <si>
    <t xml:space="preserve">Asset 7</t>
  </si>
  <si>
    <t xml:space="preserve">Asset 8</t>
  </si>
  <si>
    <t xml:space="preserve">Asset 9</t>
  </si>
  <si>
    <t xml:space="preserve">Total</t>
  </si>
  <si>
    <t xml:space="preserve">Risk &amp; Returns</t>
  </si>
  <si>
    <t xml:space="preserve">*** Portfolio Visualizer website: </t>
  </si>
  <si>
    <t xml:space="preserve">https://www.portfoliovisualizer.com/ </t>
  </si>
  <si>
    <t xml:space="preserve">Paste Policy Portfolio Correlation Matrix Below (Portfolio Visualizer)</t>
  </si>
  <si>
    <t xml:space="preserve">Correlation Matrix</t>
  </si>
  <si>
    <t xml:space="preserve">Portfolio 1</t>
  </si>
  <si>
    <t xml:space="preserve">Vanguard Interm-Term Bond ETF</t>
  </si>
  <si>
    <t xml:space="preserve">-</t>
  </si>
  <si>
    <t xml:space="preserve">Historical </t>
  </si>
  <si>
    <t xml:space="preserve">2008-2018</t>
  </si>
  <si>
    <t xml:space="preserve">iShares 7-10 Year Treasury Bond ETF</t>
  </si>
  <si>
    <t xml:space="preserve">#</t>
  </si>
  <si>
    <t xml:space="preserve">Average
Weight</t>
  </si>
  <si>
    <t xml:space="preserve">Returns</t>
  </si>
  <si>
    <t xml:space="preserve">Standard Deviation</t>
  </si>
  <si>
    <t xml:space="preserve">Sharpe
Ratio</t>
  </si>
  <si>
    <t xml:space="preserve">Expected Return</t>
  </si>
  <si>
    <t xml:space="preserve">Annualized
Returns</t>
  </si>
  <si>
    <t xml:space="preserve">iShares iBoxx $ High Yield Corp Bd ETF</t>
  </si>
  <si>
    <t xml:space="preserve">Overall Portfolio</t>
  </si>
  <si>
    <t xml:space="preserve">iShares US Real Estate ETF</t>
  </si>
  <si>
    <t xml:space="preserve">Vanguard Total Stock Market ETF</t>
  </si>
  <si>
    <t xml:space="preserve">iShares MSCI EAFE ETF</t>
  </si>
  <si>
    <t xml:space="preserve">iShares MSCI Emerging Markets ETF</t>
  </si>
  <si>
    <t xml:space="preserve">New Tactical Positions</t>
  </si>
  <si>
    <t xml:space="preserve">Trades</t>
  </si>
  <si>
    <t xml:space="preserve">Initial Cash Position For Trading</t>
  </si>
  <si>
    <t xml:space="preserve">Initial Additional Cash</t>
  </si>
  <si>
    <t xml:space="preserve">Policy Portfolio (Initial Trades)</t>
  </si>
  <si>
    <t xml:space="preserve">Buy/Sell</t>
  </si>
  <si>
    <t xml:space="preserve">Transaction Date</t>
  </si>
  <si>
    <t xml:space="preserve"># of Shares</t>
  </si>
  <si>
    <t xml:space="preserve">Purchase Price</t>
  </si>
  <si>
    <t xml:space="preserve">Purchase Date</t>
  </si>
  <si>
    <t xml:space="preserve">Sell Date</t>
  </si>
  <si>
    <t xml:space="preserve">Sell Price</t>
  </si>
  <si>
    <t xml:space="preserve">Transaction Value</t>
  </si>
  <si>
    <t xml:space="preserve">&lt;-- Remaining Cash Value (Policy Portfolio)</t>
  </si>
  <si>
    <t xml:space="preserve">Share Calculator</t>
  </si>
  <si>
    <t xml:space="preserve">% Desired</t>
  </si>
  <si>
    <t xml:space="preserve">Share Price</t>
  </si>
  <si>
    <t xml:space="preserve"># of Shares to Buy / Sell</t>
  </si>
  <si>
    <t xml:space="preserve">Price</t>
  </si>
  <si>
    <t xml:space="preserve">&lt;-- Remaining Cash Value (Current Portfolio)</t>
  </si>
  <si>
    <t xml:space="preserve">Buy</t>
  </si>
  <si>
    <t xml:space="preserve">Sell</t>
  </si>
  <si>
    <t xml:space="preserve">Price Inputs</t>
  </si>
  <si>
    <t xml:space="preserve">Begin</t>
  </si>
  <si>
    <t xml:space="preserve">Trade</t>
  </si>
  <si>
    <t xml:space="preserve">New Buys</t>
  </si>
  <si>
    <t xml:space="preserve">Buys</t>
  </si>
  <si>
    <t xml:space="preserve">iShares EAFE</t>
  </si>
  <si>
    <t xml:space="preserve">Current Portfolio Overview</t>
  </si>
  <si>
    <t xml:space="preserve">Additional Cash</t>
  </si>
  <si>
    <t xml:space="preserve">Prices as of:</t>
  </si>
  <si>
    <t xml:space="preserve">Current Portfolio</t>
  </si>
  <si>
    <t xml:space="preserve">Portfolio Total Value</t>
  </si>
  <si>
    <t xml:space="preserve">Current</t>
  </si>
  <si>
    <t xml:space="preserve">Policy/ Tactical</t>
  </si>
  <si>
    <t xml:space="preserve">* Current Price</t>
  </si>
  <si>
    <t xml:space="preserve">Market Value</t>
  </si>
  <si>
    <t xml:space="preserve">Percentage 
of Entire Portfolio</t>
  </si>
  <si>
    <t xml:space="preserve">Portfolio Returns</t>
  </si>
  <si>
    <t xml:space="preserve">Unrealized Returns</t>
  </si>
  <si>
    <t xml:space="preserve">Average
Historical Cost</t>
  </si>
  <si>
    <t xml:space="preserve">Adjusted
Cost Basis *</t>
  </si>
  <si>
    <t xml:space="preserve">Current Price  **</t>
  </si>
  <si>
    <t xml:space="preserve">Unrealized (+/-)</t>
  </si>
  <si>
    <t xml:space="preserve">% Unrealized Return</t>
  </si>
  <si>
    <t xml:space="preserve">* Adjusted Cost Basis takes a weighted average of share purchases</t>
  </si>
  <si>
    <t xml:space="preserve">** Current price is equal to the price on the Price Inputs tab, if no price is availablethe historical cost will be used</t>
  </si>
  <si>
    <t xml:space="preserve">Realized Returns For Entire Period </t>
  </si>
  <si>
    <t xml:space="preserve"># of Shares Sold</t>
  </si>
  <si>
    <t xml:space="preserve">Average
Sell Price</t>
  </si>
  <si>
    <t xml:space="preserve">Realized
(+/-)</t>
  </si>
  <si>
    <t xml:space="preserve">% Realized
 Return</t>
  </si>
  <si>
    <t xml:space="preserve">Calculations Below</t>
  </si>
  <si>
    <t xml:space="preserve">Portfolio Total Return</t>
  </si>
  <si>
    <t xml:space="preserve">Purchase # of Shares</t>
  </si>
  <si>
    <t xml:space="preserve">Current Price</t>
  </si>
  <si>
    <t xml:space="preserve">Sell # of Shares</t>
  </si>
  <si>
    <t xml:space="preserve">Initial Cost</t>
  </si>
  <si>
    <t xml:space="preserve">Weighted Average Share Cost</t>
  </si>
  <si>
    <t xml:space="preserve">Cost Basis Deduction</t>
  </si>
  <si>
    <t xml:space="preserve">Current Market Value</t>
  </si>
  <si>
    <t xml:space="preserve">Realized Gain/Loss</t>
  </si>
  <si>
    <t xml:space="preserve">% Realized Return</t>
  </si>
  <si>
    <t xml:space="preserve">Unrealized     (+/-)</t>
  </si>
  <si>
    <t xml:space="preserve">Market Value UnSold Stock</t>
  </si>
  <si>
    <t xml:space="preserve">Sub-classification</t>
  </si>
  <si>
    <t xml:space="preserve">Total Cost Basis</t>
  </si>
  <si>
    <t xml:space="preserve">End Market Value Stock Held</t>
  </si>
  <si>
    <t xml:space="preserve">Unrealized Return</t>
  </si>
  <si>
    <t xml:space="preserve">Market Value Stock Sold</t>
  </si>
  <si>
    <t xml:space="preserve">Total  Return</t>
  </si>
  <si>
    <t xml:space="preserve">Total Return (%)</t>
  </si>
  <si>
    <t xml:space="preserve">Position Number for Current Portfolio</t>
  </si>
  <si>
    <t xml:space="preserve">Held</t>
  </si>
  <si>
    <t xml:space="preserve">Number of Shares Purchased</t>
  </si>
  <si>
    <t xml:space="preserve">Average Purchase Price</t>
  </si>
  <si>
    <t xml:space="preserve">Total Sell Value</t>
  </si>
  <si>
    <t xml:space="preserve">Number of Shares Sold</t>
  </si>
  <si>
    <t xml:space="preserve">Average Sell Price</t>
  </si>
  <si>
    <t xml:space="preserve">&lt;-- Number of Shares</t>
  </si>
  <si>
    <t xml:space="preserve">Calculations Tab</t>
  </si>
  <si>
    <t xml:space="preserve">Policy Portfolio </t>
  </si>
  <si>
    <t xml:space="preserve">Prices</t>
  </si>
  <si>
    <t xml:space="preserve">Ticker Number</t>
  </si>
  <si>
    <t xml:space="preserve">Weighted Returns</t>
  </si>
  <si>
    <t xml:space="preserve">Total Return</t>
  </si>
  <si>
    <t xml:space="preserve">Weekly Returns</t>
  </si>
  <si>
    <t xml:space="preserve">Weights</t>
  </si>
  <si>
    <t xml:space="preserve">Market Values</t>
  </si>
  <si>
    <t xml:space="preserve">Amount</t>
  </si>
  <si>
    <t xml:space="preserve">Average Weights</t>
  </si>
  <si>
    <t xml:space="preserve">Average</t>
  </si>
  <si>
    <t xml:space="preserve">Portfolio</t>
  </si>
  <si>
    <t xml:space="preserve">Base 0</t>
  </si>
  <si>
    <t xml:space="preserve">Benchmark</t>
  </si>
  <si>
    <t xml:space="preserve">Correlation with Benchmark</t>
  </si>
  <si>
    <t xml:space="preserve">Beta</t>
  </si>
  <si>
    <t xml:space="preserve">Weekly Summary</t>
  </si>
  <si>
    <t xml:space="preserve">Portfolio Value</t>
  </si>
  <si>
    <t xml:space="preserve">Totals</t>
  </si>
  <si>
    <t xml:space="preserve">Summary</t>
  </si>
  <si>
    <t xml:space="preserve">Average Weight</t>
  </si>
  <si>
    <t xml:space="preserve">Weighted Return</t>
  </si>
  <si>
    <t xml:space="preserve">Adjusted Weighted Return</t>
  </si>
  <si>
    <t xml:space="preserve">Realized Return</t>
  </si>
  <si>
    <t xml:space="preserve">Portfolio Weighting</t>
  </si>
  <si>
    <t xml:space="preserve">Benchmark Weighting</t>
  </si>
  <si>
    <t xml:space="preserve">Portfolio Return</t>
  </si>
  <si>
    <t xml:space="preserve">Benchmark Return</t>
  </si>
</sst>
</file>

<file path=xl/styles.xml><?xml version="1.0" encoding="utf-8"?>
<styleSheet xmlns="http://schemas.openxmlformats.org/spreadsheetml/2006/main">
  <numFmts count="20">
    <numFmt numFmtId="164" formatCode="General"/>
    <numFmt numFmtId="165" formatCode="0.00"/>
    <numFmt numFmtId="166" formatCode="M/D/YYYY"/>
    <numFmt numFmtId="167" formatCode="_(* #,##0.00_);_(* \(#,##0.00\);_(* \-??_);_(@_)"/>
    <numFmt numFmtId="168" formatCode="_(* #,##0_);_(* \(#,##0\);_(* \-??_);_(@_)"/>
    <numFmt numFmtId="169" formatCode="_-* #,##0.0_-;\-* #,##0.0_-;_-* \-??_-;_-@_-"/>
    <numFmt numFmtId="170" formatCode="#,##0.0_);\(#,##0.0\);@_)"/>
    <numFmt numFmtId="171" formatCode="0%"/>
    <numFmt numFmtId="172" formatCode="0.0%"/>
    <numFmt numFmtId="173" formatCode="0.0"/>
    <numFmt numFmtId="174" formatCode="0.00%"/>
    <numFmt numFmtId="175" formatCode="_(\$* #,##0.00_);_(\$* \(#,##0.00\);_(\$* \-??_);_(@_)"/>
    <numFmt numFmtId="176" formatCode="_(\$* #,##0_);_(\$* \(#,##0\);_(\$* \-??_);_(@_)"/>
    <numFmt numFmtId="177" formatCode="#,##0"/>
    <numFmt numFmtId="178" formatCode="\$#,##0.00"/>
    <numFmt numFmtId="179" formatCode="0"/>
    <numFmt numFmtId="180" formatCode="\$#,##0_);&quot;($&quot;#,##0\)"/>
    <numFmt numFmtId="181" formatCode="\$#,##0.00_);&quot;($&quot;#,##0.00\)"/>
    <numFmt numFmtId="182" formatCode="\$#,##0"/>
    <numFmt numFmtId="183" formatCode="_(\$* #,##0.0_);_(\$* \(#,##0.0\);_(\$* \-??_);_(@_)"/>
  </numFmts>
  <fonts count="57">
    <font>
      <sz val="11"/>
      <color rgb="FF000000"/>
      <name val="Calibri"/>
      <family val="2"/>
      <charset val="1"/>
    </font>
    <font>
      <sz val="10"/>
      <name val="Arial"/>
      <family val="0"/>
    </font>
    <font>
      <sz val="10"/>
      <name val="Arial"/>
      <family val="0"/>
    </font>
    <font>
      <sz val="10"/>
      <name val="Arial"/>
      <family val="0"/>
    </font>
    <font>
      <b val="true"/>
      <sz val="14"/>
      <color rgb="FFFFFFFF"/>
      <name val="Calibri"/>
      <family val="2"/>
      <charset val="1"/>
    </font>
    <font>
      <b val="true"/>
      <sz val="11"/>
      <color rgb="FFFFFFFF"/>
      <name val="Calibri"/>
      <family val="2"/>
      <charset val="1"/>
    </font>
    <font>
      <sz val="11"/>
      <color rgb="FFFFFFFF"/>
      <name val="Calibri"/>
      <family val="2"/>
      <charset val="1"/>
    </font>
    <font>
      <b val="true"/>
      <sz val="11"/>
      <color rgb="FF000000"/>
      <name val="Calibri"/>
      <family val="2"/>
      <charset val="1"/>
    </font>
    <font>
      <u val="single"/>
      <sz val="11"/>
      <color rgb="FF0563C1"/>
      <name val="Calibri"/>
      <family val="2"/>
      <charset val="1"/>
    </font>
    <font>
      <i val="true"/>
      <sz val="9"/>
      <color rgb="FF000000"/>
      <name val="Calibri"/>
      <family val="2"/>
      <charset val="1"/>
    </font>
    <font>
      <sz val="11"/>
      <name val="Calibri"/>
      <family val="0"/>
    </font>
    <font>
      <i val="true"/>
      <sz val="11"/>
      <name val="Calibri"/>
      <family val="0"/>
    </font>
    <font>
      <sz val="11"/>
      <name val="Times New Roman"/>
      <family val="0"/>
    </font>
    <font>
      <sz val="24"/>
      <color rgb="FF002060"/>
      <name val="Times New Roman"/>
      <family val="1"/>
      <charset val="1"/>
    </font>
    <font>
      <b val="true"/>
      <sz val="12"/>
      <color rgb="FFFFFFFF"/>
      <name val="Calibri"/>
      <family val="2"/>
      <charset val="1"/>
    </font>
    <font>
      <b val="true"/>
      <sz val="12"/>
      <color rgb="FF000000"/>
      <name val="Calibri"/>
      <family val="2"/>
      <charset val="1"/>
    </font>
    <font>
      <sz val="12"/>
      <color rgb="FF000000"/>
      <name val="Calibri"/>
      <family val="2"/>
      <charset val="1"/>
    </font>
    <font>
      <b val="true"/>
      <sz val="12"/>
      <color rgb="FF0070C0"/>
      <name val="Calibri"/>
      <family val="2"/>
      <charset val="1"/>
    </font>
    <font>
      <b val="true"/>
      <sz val="10.5"/>
      <color rgb="FF000000"/>
      <name val="Calibri"/>
      <family val="2"/>
      <charset val="1"/>
    </font>
    <font>
      <sz val="10.5"/>
      <color rgb="FF000000"/>
      <name val="Calibri"/>
      <family val="2"/>
      <charset val="1"/>
    </font>
    <font>
      <sz val="11"/>
      <name val="Calibri"/>
      <family val="2"/>
      <charset val="1"/>
    </font>
    <font>
      <sz val="12"/>
      <color rgb="FFFFFFFF"/>
      <name val="Calibri"/>
      <family val="2"/>
      <charset val="1"/>
    </font>
    <font>
      <b val="true"/>
      <sz val="18"/>
      <color rgb="FFFFFFFF"/>
      <name val="Times New Roman"/>
      <family val="1"/>
      <charset val="1"/>
    </font>
    <font>
      <b val="true"/>
      <sz val="22"/>
      <color rgb="FF000000"/>
      <name val="Calibri"/>
      <family val="2"/>
      <charset val="1"/>
    </font>
    <font>
      <sz val="11"/>
      <color rgb="FFFF0000"/>
      <name val="Calibri"/>
      <family val="2"/>
      <charset val="1"/>
    </font>
    <font>
      <sz val="18"/>
      <color rgb="FF595959"/>
      <name val="Calibri"/>
      <family val="2"/>
    </font>
    <font>
      <sz val="12"/>
      <color rgb="FF595959"/>
      <name val="Calibri"/>
      <family val="2"/>
    </font>
    <font>
      <sz val="14"/>
      <color rgb="FF595959"/>
      <name val="Calibri"/>
      <family val="2"/>
    </font>
    <font>
      <sz val="10"/>
      <name val="Arial"/>
      <family val="2"/>
    </font>
    <font>
      <sz val="12"/>
      <name val="Times New Roman"/>
      <family val="1"/>
    </font>
    <font>
      <sz val="9"/>
      <color rgb="FF000000"/>
      <name val="Calibri"/>
      <family val="0"/>
    </font>
    <font>
      <sz val="11"/>
      <color rgb="FF000000"/>
      <name val="Calibri"/>
      <family val="0"/>
    </font>
    <font>
      <b val="true"/>
      <sz val="14"/>
      <color rgb="FF000000"/>
      <name val="Calibri"/>
      <family val="2"/>
      <charset val="1"/>
    </font>
    <font>
      <sz val="11"/>
      <color rgb="FF0070C0"/>
      <name val="Calibri"/>
      <family val="2"/>
      <charset val="1"/>
    </font>
    <font>
      <b val="true"/>
      <sz val="16"/>
      <color rgb="FF000000"/>
      <name val="Calibri"/>
      <family val="2"/>
      <charset val="1"/>
    </font>
    <font>
      <sz val="11"/>
      <color rgb="FFF2F2F2"/>
      <name val="Calibri"/>
      <family val="2"/>
      <charset val="1"/>
    </font>
    <font>
      <b val="true"/>
      <sz val="12"/>
      <color rgb="FF404040"/>
      <name val="Calibri"/>
      <family val="2"/>
    </font>
    <font>
      <b val="true"/>
      <sz val="11"/>
      <color rgb="FF000000"/>
      <name val="Calibri"/>
      <family val="0"/>
    </font>
    <font>
      <b val="true"/>
      <sz val="10"/>
      <name val="Times New Roman"/>
      <family val="1"/>
      <charset val="1"/>
    </font>
    <font>
      <sz val="10"/>
      <name val="Times New Roman"/>
      <family val="1"/>
      <charset val="1"/>
    </font>
    <font>
      <sz val="8"/>
      <color rgb="FF000000"/>
      <name val="Calibri"/>
      <family val="2"/>
      <charset val="1"/>
    </font>
    <font>
      <b val="true"/>
      <sz val="11"/>
      <name val="Calibri"/>
      <family val="2"/>
      <charset val="1"/>
    </font>
    <font>
      <b val="true"/>
      <sz val="14"/>
      <name val="Calibri"/>
      <family val="2"/>
      <charset val="1"/>
    </font>
    <font>
      <b val="true"/>
      <sz val="11"/>
      <color rgb="FFFF0000"/>
      <name val="Calibri"/>
      <family val="2"/>
      <charset val="1"/>
    </font>
    <font>
      <sz val="11"/>
      <color rgb="FFD9D9D9"/>
      <name val="Calibri"/>
      <family val="2"/>
      <charset val="1"/>
    </font>
    <font>
      <b val="true"/>
      <sz val="20"/>
      <name val="Calibri"/>
      <family val="2"/>
      <charset val="1"/>
    </font>
    <font>
      <b val="true"/>
      <sz val="11"/>
      <color rgb="FFD9D9D9"/>
      <name val="Calibri"/>
      <family val="2"/>
      <charset val="1"/>
    </font>
    <font>
      <b val="true"/>
      <sz val="16"/>
      <color rgb="FFFFFFFF"/>
      <name val="Calibri"/>
      <family val="2"/>
      <charset val="1"/>
    </font>
    <font>
      <b val="true"/>
      <sz val="11"/>
      <color rgb="FF0070C0"/>
      <name val="Calibri"/>
      <family val="2"/>
      <charset val="1"/>
    </font>
    <font>
      <sz val="11"/>
      <color rgb="FFAFABAB"/>
      <name val="Calibri"/>
      <family val="2"/>
      <charset val="1"/>
    </font>
    <font>
      <sz val="12"/>
      <color rgb="FF0070C0"/>
      <name val="Calibri"/>
      <family val="2"/>
      <charset val="1"/>
    </font>
    <font>
      <sz val="12"/>
      <name val="Calibri"/>
      <family val="2"/>
      <charset val="1"/>
    </font>
    <font>
      <sz val="16"/>
      <name val="Calibri"/>
      <family val="2"/>
      <charset val="1"/>
    </font>
    <font>
      <b val="true"/>
      <sz val="11"/>
      <color rgb="FFAFABAB"/>
      <name val="Calibri"/>
      <family val="2"/>
      <charset val="1"/>
    </font>
    <font>
      <sz val="10"/>
      <name val="Calibri"/>
      <family val="2"/>
      <charset val="1"/>
    </font>
    <font>
      <b val="true"/>
      <sz val="16"/>
      <name val="Calibri"/>
      <family val="2"/>
      <charset val="1"/>
    </font>
    <font>
      <sz val="9"/>
      <color rgb="FF595959"/>
      <name val="Calibri"/>
      <family val="2"/>
    </font>
  </fonts>
  <fills count="14">
    <fill>
      <patternFill patternType="none"/>
    </fill>
    <fill>
      <patternFill patternType="gray125"/>
    </fill>
    <fill>
      <patternFill patternType="solid">
        <fgColor rgb="FF808080"/>
        <bgColor rgb="FF595959"/>
      </patternFill>
    </fill>
    <fill>
      <patternFill patternType="solid">
        <fgColor rgb="FF002060"/>
        <bgColor rgb="FF000080"/>
      </patternFill>
    </fill>
    <fill>
      <patternFill patternType="solid">
        <fgColor rgb="FF000000"/>
        <bgColor rgb="FF003300"/>
      </patternFill>
    </fill>
    <fill>
      <patternFill patternType="solid">
        <fgColor rgb="FFFFFFFF"/>
        <bgColor rgb="FFF2F2F2"/>
      </patternFill>
    </fill>
    <fill>
      <patternFill patternType="solid">
        <fgColor rgb="FFF2F2F2"/>
        <bgColor rgb="FFDEEBF7"/>
      </patternFill>
    </fill>
    <fill>
      <patternFill patternType="solid">
        <fgColor rgb="FFDEEBF7"/>
        <bgColor rgb="FFF2F2F2"/>
      </patternFill>
    </fill>
    <fill>
      <patternFill patternType="solid">
        <fgColor rgb="FFD9D9D9"/>
        <bgColor rgb="FFD0CECE"/>
      </patternFill>
    </fill>
    <fill>
      <patternFill patternType="solid">
        <fgColor rgb="FFFFFFCC"/>
        <bgColor rgb="FFFFFBCC"/>
      </patternFill>
    </fill>
    <fill>
      <patternFill patternType="solid">
        <fgColor rgb="FFBFBFBF"/>
        <bgColor rgb="FFD0CECE"/>
      </patternFill>
    </fill>
    <fill>
      <patternFill patternType="solid">
        <fgColor rgb="FFFFFBCC"/>
        <bgColor rgb="FFFFFFCC"/>
      </patternFill>
    </fill>
    <fill>
      <patternFill patternType="solid">
        <fgColor rgb="FFD0CECE"/>
        <bgColor rgb="FFD9D9D9"/>
      </patternFill>
    </fill>
    <fill>
      <patternFill patternType="solid">
        <fgColor rgb="FF3B3838"/>
        <bgColor rgb="FF404040"/>
      </patternFill>
    </fill>
  </fills>
  <borders count="25">
    <border diagonalUp="false" diagonalDown="false">
      <left/>
      <right/>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right/>
      <top/>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diagonal/>
    </border>
    <border diagonalUp="false" diagonalDown="false">
      <left/>
      <right style="thin"/>
      <top/>
      <bottom/>
      <diagonal/>
    </border>
    <border diagonalUp="false" diagonalDown="false">
      <left style="medium"/>
      <right style="medium"/>
      <top style="medium"/>
      <bottom style="medium"/>
      <diagonal/>
    </border>
    <border diagonalUp="false" diagonalDown="false">
      <left style="medium"/>
      <right/>
      <top/>
      <bottom style="thin"/>
      <diagonal/>
    </border>
    <border diagonalUp="false" diagonalDown="false">
      <left/>
      <right style="medium"/>
      <top/>
      <bottom style="thin"/>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175"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171" fontId="0"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cellStyleXfs>
  <cellXfs count="62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4" fillId="2" borderId="2" xfId="0" applyFont="true" applyBorder="true" applyAlignment="true" applyProtection="false">
      <alignment horizontal="center" vertical="bottom" textRotation="0" wrapText="true" indent="0" shrinkToFit="false"/>
      <protection locked="true" hidden="false"/>
    </xf>
    <xf numFmtId="165" fontId="4" fillId="2" borderId="2" xfId="0" applyFont="true" applyBorder="true" applyAlignment="true" applyProtection="false">
      <alignment horizontal="center" vertical="bottom" textRotation="0" wrapText="true" indent="0" shrinkToFit="false"/>
      <protection locked="true" hidden="false"/>
    </xf>
    <xf numFmtId="164" fontId="4" fillId="2" borderId="3" xfId="0" applyFont="true" applyBorder="true" applyAlignment="true" applyProtection="false">
      <alignment horizontal="center" vertical="bottom" textRotation="0" wrapText="true" indent="0" shrinkToFit="false"/>
      <protection locked="true" hidden="false"/>
    </xf>
    <xf numFmtId="164" fontId="5" fillId="3" borderId="4" xfId="0" applyFont="true" applyBorder="true" applyAlignment="true" applyProtection="false">
      <alignment horizontal="left" vertical="bottom"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6" fillId="3" borderId="5" xfId="0" applyFont="true" applyBorder="true" applyAlignment="true" applyProtection="false">
      <alignment horizontal="center" vertical="bottom" textRotation="0" wrapText="false" indent="0" shrinkToFit="false"/>
      <protection locked="true" hidden="false"/>
    </xf>
    <xf numFmtId="164" fontId="6" fillId="4" borderId="0" xfId="0" applyFont="true" applyBorder="true" applyAlignment="true" applyProtection="false">
      <alignment horizontal="general" vertical="bottom" textRotation="9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7" fillId="5" borderId="4"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true" applyAlignment="true" applyProtection="false">
      <alignment horizontal="center" vertical="bottom" textRotation="0" wrapText="false" indent="0" shrinkToFit="false"/>
      <protection locked="true" hidden="false"/>
    </xf>
    <xf numFmtId="166" fontId="0" fillId="5" borderId="0" xfId="0" applyFont="false" applyBorder="true" applyAlignment="true" applyProtection="false">
      <alignment horizontal="left" vertical="bottom" textRotation="0" wrapText="false" indent="0" shrinkToFit="false"/>
      <protection locked="true" hidden="false"/>
    </xf>
    <xf numFmtId="164" fontId="0" fillId="5" borderId="0" xfId="0" applyFont="true" applyBorder="true" applyAlignment="true" applyProtection="false">
      <alignment horizontal="left" vertical="bottom" textRotation="0" wrapText="false" indent="0" shrinkToFit="false"/>
      <protection locked="true" hidden="false"/>
    </xf>
    <xf numFmtId="165" fontId="0" fillId="5" borderId="0" xfId="0" applyFont="false" applyBorder="true" applyAlignment="true" applyProtection="false">
      <alignment horizontal="center" vertical="bottom" textRotation="0" wrapText="false" indent="0" shrinkToFit="false"/>
      <protection locked="true" hidden="false"/>
    </xf>
    <xf numFmtId="168" fontId="0" fillId="5" borderId="5" xfId="15" applyFont="true" applyBorder="true" applyAlignment="true" applyProtection="true">
      <alignment horizontal="center" vertical="bottom" textRotation="0" wrapText="false" indent="0" shrinkToFit="false"/>
      <protection locked="true" hidden="false"/>
    </xf>
    <xf numFmtId="164" fontId="0" fillId="6" borderId="0" xfId="0" applyFont="true" applyBorder="true" applyAlignment="false" applyProtection="false">
      <alignment horizontal="general" vertical="bottom" textRotation="0" wrapText="false" indent="0" shrinkToFit="false"/>
      <protection locked="true" hidden="false"/>
    </xf>
    <xf numFmtId="164" fontId="8" fillId="7" borderId="0" xfId="20" applyFont="true" applyBorder="true" applyAlignment="true" applyProtection="true">
      <alignment horizontal="general" vertical="bottom" textRotation="0" wrapText="false" indent="0" shrinkToFit="false"/>
      <protection locked="false" hidden="false"/>
    </xf>
    <xf numFmtId="164" fontId="7" fillId="0" borderId="4" xfId="0" applyFont="true" applyBorder="true" applyAlignment="false" applyProtection="false">
      <alignment horizontal="general" vertical="bottom" textRotation="0" wrapText="false" indent="0" shrinkToFit="false"/>
      <protection locked="true" hidden="false"/>
    </xf>
    <xf numFmtId="166" fontId="0" fillId="0" borderId="0" xfId="0" applyFont="fals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5" fontId="0" fillId="0" borderId="0" xfId="0" applyFont="false" applyBorder="true" applyAlignment="true" applyProtection="false">
      <alignment horizontal="center" vertical="bottom" textRotation="0" wrapText="false" indent="0" shrinkToFit="false"/>
      <protection locked="true" hidden="false"/>
    </xf>
    <xf numFmtId="168" fontId="0" fillId="0" borderId="5" xfId="15" applyFont="true" applyBorder="true" applyAlignment="true" applyProtection="true">
      <alignment horizontal="center" vertical="bottom" textRotation="0" wrapText="false" indent="0" shrinkToFit="false"/>
      <protection locked="true" hidden="false"/>
    </xf>
    <xf numFmtId="164" fontId="5" fillId="3" borderId="4" xfId="0" applyFont="true" applyBorder="true" applyAlignment="fals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center" vertical="bottom" textRotation="0" wrapText="false" indent="0" shrinkToFit="false"/>
      <protection locked="true" hidden="false"/>
    </xf>
    <xf numFmtId="166" fontId="0" fillId="3" borderId="0" xfId="0" applyFont="false" applyBorder="true" applyAlignment="true" applyProtection="false">
      <alignment horizontal="left" vertical="bottom" textRotation="0" wrapText="false" indent="0" shrinkToFit="false"/>
      <protection locked="true" hidden="false"/>
    </xf>
    <xf numFmtId="164" fontId="0" fillId="3" borderId="0" xfId="0" applyFont="false" applyBorder="true" applyAlignment="true" applyProtection="false">
      <alignment horizontal="left" vertical="bottom" textRotation="0" wrapText="false" indent="0" shrinkToFit="false"/>
      <protection locked="true" hidden="false"/>
    </xf>
    <xf numFmtId="165" fontId="0" fillId="3" borderId="0" xfId="0" applyFont="false" applyBorder="true" applyAlignment="true" applyProtection="false">
      <alignment horizontal="center" vertical="bottom" textRotation="0" wrapText="false" indent="0" shrinkToFit="false"/>
      <protection locked="true" hidden="false"/>
    </xf>
    <xf numFmtId="168" fontId="0" fillId="3" borderId="5" xfId="15" applyFont="true" applyBorder="true" applyAlignment="true" applyProtection="true">
      <alignment horizontal="center"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6" fontId="7" fillId="3" borderId="0" xfId="0" applyFont="true" applyBorder="true" applyAlignment="true" applyProtection="false">
      <alignment horizontal="left" vertical="bottom" textRotation="0" wrapText="false" indent="0" shrinkToFit="false"/>
      <protection locked="true" hidden="false"/>
    </xf>
    <xf numFmtId="164" fontId="7" fillId="3" borderId="0" xfId="0" applyFont="true" applyBorder="true" applyAlignment="true" applyProtection="false">
      <alignment horizontal="left" vertical="bottom" textRotation="0" wrapText="false" indent="0" shrinkToFit="false"/>
      <protection locked="true" hidden="false"/>
    </xf>
    <xf numFmtId="164" fontId="7" fillId="3" borderId="5" xfId="0" applyFont="true" applyBorder="true" applyAlignment="true" applyProtection="false">
      <alignment horizontal="left" vertical="bottom" textRotation="0" wrapText="false" indent="0" shrinkToFit="false"/>
      <protection locked="true" hidden="false"/>
    </xf>
    <xf numFmtId="166" fontId="6" fillId="3" borderId="0" xfId="0" applyFont="true" applyBorder="true" applyAlignment="true" applyProtection="false">
      <alignment horizontal="left" vertical="bottom" textRotation="0" wrapText="false" indent="0" shrinkToFit="false"/>
      <protection locked="true" hidden="false"/>
    </xf>
    <xf numFmtId="164" fontId="6" fillId="3" borderId="0" xfId="0" applyFont="true" applyBorder="true" applyAlignment="true" applyProtection="false">
      <alignment horizontal="left" vertical="bottom" textRotation="0" wrapText="false" indent="0" shrinkToFit="false"/>
      <protection locked="true" hidden="false"/>
    </xf>
    <xf numFmtId="165" fontId="6" fillId="3" borderId="0" xfId="0" applyFont="true" applyBorder="true" applyAlignment="true" applyProtection="false">
      <alignment horizontal="center" vertical="bottom" textRotation="0" wrapText="false" indent="0" shrinkToFit="false"/>
      <protection locked="true" hidden="false"/>
    </xf>
    <xf numFmtId="168" fontId="6" fillId="3" borderId="5" xfId="15" applyFont="true" applyBorder="true" applyAlignment="true" applyProtection="true">
      <alignment horizontal="center" vertical="bottom" textRotation="0" wrapText="false" indent="0" shrinkToFit="false"/>
      <protection locked="true" hidden="false"/>
    </xf>
    <xf numFmtId="164" fontId="5" fillId="5" borderId="4"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3" borderId="5" xfId="0" applyFont="false" applyBorder="true" applyAlignment="true" applyProtection="false">
      <alignment horizontal="center" vertical="bottom"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center" vertical="bottom" textRotation="0" wrapText="false" indent="0" shrinkToFit="false"/>
      <protection locked="true" hidden="false"/>
    </xf>
    <xf numFmtId="166" fontId="0" fillId="0" borderId="7" xfId="0" applyFont="false" applyBorder="true" applyAlignment="true" applyProtection="false">
      <alignment horizontal="left" vertical="bottom" textRotation="0" wrapText="false" indent="0" shrinkToFit="false"/>
      <protection locked="true" hidden="false"/>
    </xf>
    <xf numFmtId="164" fontId="0" fillId="0" borderId="7" xfId="0" applyFont="true" applyBorder="true" applyAlignment="true" applyProtection="false">
      <alignment horizontal="left" vertical="bottom" textRotation="0" wrapText="false" indent="0" shrinkToFit="false"/>
      <protection locked="true" hidden="false"/>
    </xf>
    <xf numFmtId="165" fontId="0" fillId="0" borderId="7" xfId="0" applyFont="false" applyBorder="true" applyAlignment="true" applyProtection="false">
      <alignment horizontal="center" vertical="bottom" textRotation="0" wrapText="false" indent="0" shrinkToFit="false"/>
      <protection locked="true" hidden="false"/>
    </xf>
    <xf numFmtId="168" fontId="0" fillId="0" borderId="8" xfId="15" applyFont="true" applyBorder="true" applyAlignment="true" applyProtection="true">
      <alignment horizontal="center"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13" fillId="5" borderId="0" xfId="0" applyFont="true" applyBorder="true" applyAlignment="true" applyProtection="false">
      <alignment horizontal="center" vertical="bottom" textRotation="0" wrapText="false" indent="0" shrinkToFit="false"/>
      <protection locked="true" hidden="false"/>
    </xf>
    <xf numFmtId="164" fontId="13" fillId="5" borderId="9" xfId="0" applyFont="true" applyBorder="true" applyAlignment="true" applyProtection="false">
      <alignment horizontal="center" vertical="bottom" textRotation="0" wrapText="false" indent="0" shrinkToFit="false"/>
      <protection locked="true" hidden="false"/>
    </xf>
    <xf numFmtId="164" fontId="14" fillId="3" borderId="0" xfId="0" applyFont="true" applyBorder="true" applyAlignment="true" applyProtection="false">
      <alignment horizontal="center" vertical="bottom" textRotation="0" wrapText="false" indent="0" shrinkToFit="false"/>
      <protection locked="true" hidden="false"/>
    </xf>
    <xf numFmtId="164" fontId="14" fillId="3" borderId="10" xfId="0" applyFont="true" applyBorder="true" applyAlignment="true" applyProtection="true">
      <alignment horizontal="center" vertical="bottom" textRotation="0" wrapText="false" indent="0" shrinkToFit="false"/>
      <protection locked="true" hidden="false"/>
    </xf>
    <xf numFmtId="164" fontId="15" fillId="5" borderId="0" xfId="0" applyFont="true" applyBorder="true" applyAlignment="false" applyProtection="true">
      <alignment horizontal="general" vertical="bottom" textRotation="0" wrapText="false" indent="0" shrinkToFit="false"/>
      <protection locked="true" hidden="false"/>
    </xf>
    <xf numFmtId="164" fontId="16" fillId="5" borderId="0" xfId="0" applyFont="true" applyBorder="true" applyAlignment="true" applyProtection="true">
      <alignment horizontal="left" vertical="bottom" textRotation="0" wrapText="false" indent="0" shrinkToFit="false"/>
      <protection locked="false" hidden="false"/>
    </xf>
    <xf numFmtId="164" fontId="16" fillId="5" borderId="0" xfId="0" applyFont="true" applyBorder="true" applyAlignment="false" applyProtection="true">
      <alignment horizontal="general" vertical="bottom" textRotation="0" wrapText="false" indent="0" shrinkToFit="false"/>
      <protection locked="false" hidden="false"/>
    </xf>
    <xf numFmtId="169" fontId="16" fillId="5" borderId="0" xfId="0" applyFont="true" applyBorder="true" applyAlignment="true" applyProtection="true">
      <alignment horizontal="right" vertical="bottom" textRotation="0" wrapText="false" indent="0" shrinkToFit="false"/>
      <protection locked="false" hidden="false"/>
    </xf>
    <xf numFmtId="164" fontId="0" fillId="5" borderId="0" xfId="0" applyFont="false" applyBorder="false" applyAlignment="false" applyProtection="true">
      <alignment horizontal="general" vertical="bottom" textRotation="0" wrapText="false" indent="0" shrinkToFit="false"/>
      <protection locked="false" hidden="false"/>
    </xf>
    <xf numFmtId="164" fontId="14" fillId="3" borderId="11" xfId="0" applyFont="true" applyBorder="true" applyAlignment="true" applyProtection="true">
      <alignment horizontal="center" vertical="bottom" textRotation="0" wrapText="false" indent="0" shrinkToFit="false"/>
      <protection locked="true" hidden="false"/>
    </xf>
    <xf numFmtId="164" fontId="15" fillId="5" borderId="0" xfId="0" applyFont="true" applyBorder="true" applyAlignment="true" applyProtection="true">
      <alignment horizontal="general" vertical="bottom" textRotation="0" wrapText="false" indent="0" shrinkToFit="false"/>
      <protection locked="true" hidden="false"/>
    </xf>
    <xf numFmtId="164" fontId="17" fillId="5" borderId="0" xfId="0" applyFont="true" applyBorder="true" applyAlignment="true" applyProtection="true">
      <alignment horizontal="left" vertical="bottom" textRotation="0" wrapText="false" indent="15" shrinkToFit="false"/>
      <protection locked="false" hidden="false"/>
    </xf>
    <xf numFmtId="170" fontId="16" fillId="5" borderId="0" xfId="0" applyFont="true" applyBorder="true" applyAlignment="false" applyProtection="true">
      <alignment horizontal="general" vertical="bottom" textRotation="0" wrapText="false" indent="0" shrinkToFit="false"/>
      <protection locked="false" hidden="false"/>
    </xf>
    <xf numFmtId="164" fontId="15" fillId="5" borderId="0" xfId="0" applyFont="true" applyBorder="true" applyAlignment="false" applyProtection="true">
      <alignment horizontal="general" vertical="bottom" textRotation="0" wrapText="false" indent="0" shrinkToFit="false"/>
      <protection locked="false" hidden="false"/>
    </xf>
    <xf numFmtId="164" fontId="18" fillId="8" borderId="12" xfId="0" applyFont="true" applyBorder="true" applyAlignment="true" applyProtection="true">
      <alignment horizontal="center" vertical="bottom" textRotation="0" wrapText="false" indent="0" shrinkToFit="false"/>
      <protection locked="true" hidden="false"/>
    </xf>
    <xf numFmtId="164" fontId="18" fillId="8" borderId="13" xfId="0" applyFont="true" applyBorder="true" applyAlignment="true" applyProtection="true">
      <alignment horizontal="center" vertical="bottom" textRotation="0" wrapText="false" indent="0" shrinkToFit="false"/>
      <protection locked="true" hidden="false"/>
    </xf>
    <xf numFmtId="164" fontId="18" fillId="8" borderId="14" xfId="0" applyFont="true" applyBorder="true" applyAlignment="true" applyProtection="true">
      <alignment horizontal="center" vertical="bottom" textRotation="0" wrapText="false" indent="0" shrinkToFit="false"/>
      <protection locked="true" hidden="false"/>
    </xf>
    <xf numFmtId="164" fontId="18" fillId="8" borderId="10" xfId="0" applyFont="true" applyBorder="true" applyAlignment="true" applyProtection="true">
      <alignment horizontal="center" vertical="bottom" textRotation="0" wrapText="false" indent="0" shrinkToFit="false"/>
      <protection locked="true" hidden="false"/>
    </xf>
    <xf numFmtId="171" fontId="17" fillId="5" borderId="0" xfId="0" applyFont="true" applyBorder="true" applyAlignment="true" applyProtection="true">
      <alignment horizontal="left" vertical="bottom" textRotation="0" wrapText="false" indent="15" shrinkToFit="false"/>
      <protection locked="false" hidden="false"/>
    </xf>
    <xf numFmtId="164" fontId="18" fillId="8" borderId="15" xfId="0" applyFont="true" applyBorder="true" applyAlignment="true" applyProtection="true">
      <alignment horizontal="center" vertical="bottom" textRotation="0" wrapText="false" indent="0" shrinkToFit="false"/>
      <protection locked="true" hidden="false"/>
    </xf>
    <xf numFmtId="164" fontId="18" fillId="8" borderId="9" xfId="0" applyFont="true" applyBorder="true" applyAlignment="true" applyProtection="true">
      <alignment horizontal="left" vertical="bottom" textRotation="0" wrapText="false" indent="0" shrinkToFit="false"/>
      <protection locked="true" hidden="false"/>
    </xf>
    <xf numFmtId="164" fontId="18" fillId="8" borderId="9" xfId="0" applyFont="true" applyBorder="true" applyAlignment="true" applyProtection="true">
      <alignment horizontal="center" vertical="bottom" textRotation="0" wrapText="false" indent="0" shrinkToFit="false"/>
      <protection locked="true" hidden="false"/>
    </xf>
    <xf numFmtId="164" fontId="18" fillId="8" borderId="16" xfId="0" applyFont="true" applyBorder="true" applyAlignment="true" applyProtection="true">
      <alignment horizontal="center" vertical="bottom" textRotation="0" wrapText="false" indent="0" shrinkToFit="false"/>
      <protection locked="true" hidden="false"/>
    </xf>
    <xf numFmtId="164" fontId="18" fillId="8" borderId="17" xfId="0" applyFont="true" applyBorder="true" applyAlignment="true" applyProtection="true">
      <alignment horizontal="center" vertical="bottom" textRotation="0" wrapText="false" indent="0" shrinkToFit="false"/>
      <protection locked="true" hidden="false"/>
    </xf>
    <xf numFmtId="171" fontId="19" fillId="5" borderId="18" xfId="19" applyFont="true" applyBorder="true" applyAlignment="true" applyProtection="true">
      <alignment horizontal="left" vertical="bottom" textRotation="0" wrapText="false" indent="15" shrinkToFit="false"/>
      <protection locked="true" hidden="false"/>
    </xf>
    <xf numFmtId="164" fontId="19" fillId="5" borderId="0" xfId="0" applyFont="true" applyBorder="true" applyAlignment="false" applyProtection="true">
      <alignment horizontal="general" vertical="bottom" textRotation="0" wrapText="false" indent="0" shrinkToFit="false"/>
      <protection locked="true" hidden="false"/>
    </xf>
    <xf numFmtId="164" fontId="19" fillId="5" borderId="0" xfId="0" applyFont="true" applyBorder="true" applyAlignment="true" applyProtection="true">
      <alignment horizontal="center" vertical="bottom" textRotation="0" wrapText="false" indent="0" shrinkToFit="false"/>
      <protection locked="true" hidden="false"/>
    </xf>
    <xf numFmtId="172" fontId="19" fillId="5" borderId="19" xfId="19" applyFont="true" applyBorder="true" applyAlignment="true" applyProtection="true">
      <alignment horizontal="center" vertical="bottom" textRotation="0" wrapText="false" indent="0" shrinkToFit="false"/>
      <protection locked="true" hidden="false"/>
    </xf>
    <xf numFmtId="172" fontId="19" fillId="5" borderId="18" xfId="0" applyFont="true" applyBorder="true" applyAlignment="true" applyProtection="true">
      <alignment horizontal="center" vertical="bottom" textRotation="0" wrapText="false" indent="0" shrinkToFit="false"/>
      <protection locked="true" hidden="false"/>
    </xf>
    <xf numFmtId="172" fontId="19" fillId="5" borderId="19" xfId="0" applyFont="true" applyBorder="true" applyAlignment="true" applyProtection="true">
      <alignment horizontal="center" vertical="bottom" textRotation="0" wrapText="false" indent="0" shrinkToFit="false"/>
      <protection locked="true" hidden="false"/>
    </xf>
    <xf numFmtId="172" fontId="19" fillId="5" borderId="11" xfId="0" applyFont="true" applyBorder="true" applyAlignment="true" applyProtection="true">
      <alignment horizontal="center" vertical="bottom" textRotation="0" wrapText="false" indent="0" shrinkToFit="false"/>
      <protection locked="true" hidden="false"/>
    </xf>
    <xf numFmtId="172" fontId="19" fillId="5" borderId="18" xfId="19" applyFont="true" applyBorder="true" applyAlignment="true" applyProtection="true">
      <alignment horizontal="center" vertical="bottom" textRotation="0" wrapText="false" indent="0" shrinkToFit="false"/>
      <protection locked="true" hidden="false"/>
    </xf>
    <xf numFmtId="172" fontId="19" fillId="5" borderId="11" xfId="19" applyFont="true" applyBorder="true" applyAlignment="true" applyProtection="true">
      <alignment horizontal="center" vertical="bottom" textRotation="0" wrapText="false" indent="0" shrinkToFit="false"/>
      <protection locked="true" hidden="false"/>
    </xf>
    <xf numFmtId="164" fontId="16" fillId="5" borderId="0" xfId="0" applyFont="true" applyBorder="true" applyAlignment="true" applyProtection="true">
      <alignment horizontal="left" vertical="top" textRotation="0" wrapText="false" indent="0" shrinkToFit="false"/>
      <protection locked="false" hidden="false"/>
    </xf>
    <xf numFmtId="164" fontId="15" fillId="5" borderId="0" xfId="0" applyFont="true" applyBorder="true" applyAlignment="true" applyProtection="true">
      <alignment horizontal="general" vertical="bottom" textRotation="0" wrapText="false" indent="0" shrinkToFit="false"/>
      <protection locked="false" hidden="false"/>
    </xf>
    <xf numFmtId="164" fontId="14" fillId="3" borderId="0" xfId="0" applyFont="true" applyBorder="true" applyAlignment="true" applyProtection="true">
      <alignment horizontal="center" vertical="bottom" textRotation="0" wrapText="false" indent="0" shrinkToFit="false"/>
      <protection locked="false" hidden="false"/>
    </xf>
    <xf numFmtId="164" fontId="14" fillId="3" borderId="0" xfId="0" applyFont="true" applyBorder="true" applyAlignment="true" applyProtection="true">
      <alignment horizontal="center" vertical="bottom" textRotation="0" wrapText="false" indent="0" shrinkToFit="false"/>
      <protection locked="true" hidden="false"/>
    </xf>
    <xf numFmtId="164" fontId="7" fillId="5" borderId="0" xfId="0" applyFont="true" applyBorder="true" applyAlignment="false" applyProtection="true">
      <alignment horizontal="general" vertical="bottom" textRotation="0" wrapText="false" indent="0" shrinkToFit="false"/>
      <protection locked="true" hidden="false"/>
    </xf>
    <xf numFmtId="164" fontId="0" fillId="5" borderId="0" xfId="0" applyFont="true" applyBorder="false" applyAlignment="false" applyProtection="true">
      <alignment horizontal="general" vertical="bottom" textRotation="0" wrapText="false" indent="0" shrinkToFit="false"/>
      <protection locked="true" hidden="false"/>
    </xf>
    <xf numFmtId="172" fontId="0" fillId="5" borderId="0" xfId="0" applyFont="true" applyBorder="true" applyAlignment="false" applyProtection="true">
      <alignment horizontal="general" vertical="bottom" textRotation="0" wrapText="false" indent="0" shrinkToFit="false"/>
      <protection locked="true" hidden="false"/>
    </xf>
    <xf numFmtId="172" fontId="0" fillId="5" borderId="0" xfId="0" applyFont="true" applyBorder="true" applyAlignment="true" applyProtection="true">
      <alignment horizontal="left" vertical="bottom" textRotation="0" wrapText="false" indent="0" shrinkToFit="false"/>
      <protection locked="true" hidden="false"/>
    </xf>
    <xf numFmtId="164" fontId="7" fillId="5" borderId="0" xfId="0" applyFont="true" applyBorder="true" applyAlignment="true" applyProtection="true">
      <alignment horizontal="left" vertical="bottom" textRotation="0" wrapText="false" indent="1" shrinkToFit="false"/>
      <protection locked="true" hidden="false"/>
    </xf>
    <xf numFmtId="164" fontId="7" fillId="5" borderId="0" xfId="0" applyFont="true" applyBorder="true" applyAlignment="true" applyProtection="true">
      <alignment horizontal="right" vertical="bottom" textRotation="0" wrapText="false" indent="0" shrinkToFit="false"/>
      <protection locked="true" hidden="false"/>
    </xf>
    <xf numFmtId="172" fontId="0" fillId="5" borderId="0" xfId="19" applyFont="true" applyBorder="true" applyAlignment="true" applyProtection="true">
      <alignment horizontal="right" vertical="bottom" textRotation="0" wrapText="false" indent="0" shrinkToFit="false"/>
      <protection locked="true" hidden="false"/>
    </xf>
    <xf numFmtId="164" fontId="20" fillId="5" borderId="0" xfId="0" applyFont="true" applyBorder="true" applyAlignment="false" applyProtection="true">
      <alignment horizontal="general" vertical="bottom" textRotation="0" wrapText="false" indent="0" shrinkToFit="false"/>
      <protection locked="true" hidden="false"/>
    </xf>
    <xf numFmtId="172" fontId="19" fillId="5" borderId="15" xfId="19"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5" fontId="0" fillId="5" borderId="0" xfId="0" applyFont="true" applyBorder="false" applyAlignment="false" applyProtection="true">
      <alignment horizontal="general" vertical="bottom" textRotation="0" wrapText="false" indent="0" shrinkToFit="false"/>
      <protection locked="true" hidden="false"/>
    </xf>
    <xf numFmtId="171" fontId="19" fillId="5" borderId="1" xfId="0" applyFont="true" applyBorder="true" applyAlignment="true" applyProtection="true">
      <alignment horizontal="left" vertical="bottom" textRotation="0" wrapText="false" indent="15" shrinkToFit="false"/>
      <protection locked="true" hidden="false"/>
    </xf>
    <xf numFmtId="164" fontId="18" fillId="8" borderId="2" xfId="0" applyFont="true" applyBorder="true" applyAlignment="true" applyProtection="true">
      <alignment horizontal="general" vertical="bottom" textRotation="0" wrapText="false" indent="0" shrinkToFit="false"/>
      <protection locked="true" hidden="false"/>
    </xf>
    <xf numFmtId="164" fontId="19" fillId="8" borderId="2" xfId="0" applyFont="true" applyBorder="true" applyAlignment="false" applyProtection="true">
      <alignment horizontal="general" vertical="bottom" textRotation="0" wrapText="false" indent="0" shrinkToFit="false"/>
      <protection locked="true" hidden="false"/>
    </xf>
    <xf numFmtId="164" fontId="19" fillId="8" borderId="3" xfId="0" applyFont="true" applyBorder="true" applyAlignment="false" applyProtection="true">
      <alignment horizontal="general" vertical="bottom" textRotation="0" wrapText="false" indent="0" shrinkToFit="false"/>
      <protection locked="true" hidden="false"/>
    </xf>
    <xf numFmtId="172" fontId="19" fillId="5" borderId="1" xfId="0" applyFont="true" applyBorder="true" applyAlignment="true" applyProtection="true">
      <alignment horizontal="left" vertical="bottom" textRotation="0" wrapText="false" indent="15" shrinkToFit="false"/>
      <protection locked="true" hidden="false"/>
    </xf>
    <xf numFmtId="164" fontId="18" fillId="8" borderId="2" xfId="0" applyFont="true" applyBorder="true" applyAlignment="false" applyProtection="true">
      <alignment horizontal="general" vertical="bottom" textRotation="0" wrapText="false" indent="0" shrinkToFit="false"/>
      <protection locked="true" hidden="false"/>
    </xf>
    <xf numFmtId="164" fontId="7" fillId="0" borderId="0" xfId="0" applyFont="true" applyBorder="false" applyAlignment="false" applyProtection="true">
      <alignment horizontal="general" vertical="bottom" textRotation="0" wrapText="false" indent="0" shrinkToFit="false"/>
      <protection locked="true" hidden="false"/>
    </xf>
    <xf numFmtId="172" fontId="0" fillId="0" borderId="0" xfId="0" applyFont="false" applyBorder="false" applyAlignment="false" applyProtection="true">
      <alignment horizontal="general" vertical="bottom" textRotation="0" wrapText="false" indent="0" shrinkToFit="false"/>
      <protection locked="true" hidden="false"/>
    </xf>
    <xf numFmtId="164" fontId="7" fillId="5" borderId="0" xfId="0" applyFont="true" applyBorder="false" applyAlignment="true" applyProtection="true">
      <alignment horizontal="left" vertical="bottom" textRotation="0" wrapText="false" indent="1" shrinkToFit="false"/>
      <protection locked="true" hidden="false"/>
    </xf>
    <xf numFmtId="164" fontId="19" fillId="5" borderId="18" xfId="0" applyFont="true" applyBorder="true" applyAlignment="true" applyProtection="true">
      <alignment horizontal="center" vertical="bottom" textRotation="0" wrapText="false" indent="0" shrinkToFit="false"/>
      <protection locked="true" hidden="false"/>
    </xf>
    <xf numFmtId="164" fontId="19" fillId="5" borderId="0" xfId="0" applyFont="true" applyBorder="true" applyAlignment="true" applyProtection="true">
      <alignment horizontal="left" vertical="bottom" textRotation="0" wrapText="false" indent="0" shrinkToFit="false"/>
      <protection locked="true" hidden="false"/>
    </xf>
    <xf numFmtId="172" fontId="19" fillId="5" borderId="0" xfId="19" applyFont="true" applyBorder="true" applyAlignment="true" applyProtection="true">
      <alignment horizontal="center" vertical="bottom" textRotation="0" wrapText="false" indent="0" shrinkToFit="false"/>
      <protection locked="true" hidden="false"/>
    </xf>
    <xf numFmtId="164" fontId="0" fillId="5" borderId="0" xfId="0" applyFont="true" applyBorder="false" applyAlignment="false" applyProtection="true">
      <alignment horizontal="general" vertical="bottom" textRotation="0" wrapText="false" indent="0" shrinkToFit="false"/>
      <protection locked="false" hidden="false"/>
    </xf>
    <xf numFmtId="164" fontId="0" fillId="5" borderId="0" xfId="0" applyFont="true" applyBorder="false" applyAlignment="true" applyProtection="true">
      <alignment horizontal="general" vertical="top" textRotation="0" wrapText="true" indent="0" shrinkToFit="false"/>
      <protection locked="false" hidden="false"/>
    </xf>
    <xf numFmtId="164" fontId="15" fillId="5" borderId="0" xfId="0" applyFont="true" applyBorder="true" applyAlignment="true" applyProtection="true">
      <alignment horizontal="center" vertical="top" textRotation="0" wrapText="true" indent="0" shrinkToFit="false"/>
      <protection locked="true" hidden="false"/>
    </xf>
    <xf numFmtId="164" fontId="15" fillId="5" borderId="0" xfId="0" applyFont="true" applyBorder="true" applyAlignment="true" applyProtection="true">
      <alignment horizontal="center" vertical="bottom" textRotation="0" wrapText="false" indent="0" shrinkToFit="false"/>
      <protection locked="true" hidden="false"/>
    </xf>
    <xf numFmtId="164" fontId="7" fillId="5" borderId="0" xfId="0" applyFont="true" applyBorder="true" applyAlignment="true" applyProtection="true">
      <alignment horizontal="left" vertical="bottom" textRotation="0" wrapText="false" indent="0" shrinkToFit="false"/>
      <protection locked="false" hidden="false"/>
    </xf>
    <xf numFmtId="164" fontId="7" fillId="5" borderId="0" xfId="0" applyFont="true" applyBorder="true" applyAlignment="true" applyProtection="true">
      <alignment horizontal="center" vertical="bottom" textRotation="0" wrapText="false" indent="0" shrinkToFit="false"/>
      <protection locked="false" hidden="false"/>
    </xf>
    <xf numFmtId="164" fontId="14" fillId="5" borderId="0" xfId="0" applyFont="true" applyBorder="true" applyAlignment="true" applyProtection="true">
      <alignment horizontal="center" vertical="bottom" textRotation="0" wrapText="false" indent="0" shrinkToFit="false"/>
      <protection locked="false" hidden="false"/>
    </xf>
    <xf numFmtId="164" fontId="21" fillId="5" borderId="0" xfId="0" applyFont="true" applyBorder="true" applyAlignment="true" applyProtection="true">
      <alignment horizontal="center" vertical="bottom" textRotation="0" wrapText="false" indent="0" shrinkToFit="false"/>
      <protection locked="false" hidden="false"/>
    </xf>
    <xf numFmtId="164" fontId="5" fillId="5" borderId="0" xfId="0" applyFont="true" applyBorder="true" applyAlignment="true" applyProtection="true">
      <alignment horizontal="center" vertical="bottom" textRotation="0" wrapText="false" indent="0" shrinkToFit="false"/>
      <protection locked="false" hidden="false"/>
    </xf>
    <xf numFmtId="164" fontId="6" fillId="5" borderId="0" xfId="0" applyFont="true" applyBorder="true" applyAlignment="true" applyProtection="true">
      <alignment horizontal="center" vertical="bottom" textRotation="0" wrapText="false" indent="0" shrinkToFit="false"/>
      <protection locked="false" hidden="false"/>
    </xf>
    <xf numFmtId="164" fontId="0" fillId="5" borderId="1" xfId="0" applyFont="true" applyBorder="true" applyAlignment="true" applyProtection="true">
      <alignment horizontal="center" vertical="bottom" textRotation="0" wrapText="false" indent="0" shrinkToFit="false"/>
      <protection locked="true" hidden="false"/>
    </xf>
    <xf numFmtId="164" fontId="0" fillId="5" borderId="2" xfId="0" applyFont="true" applyBorder="true" applyAlignment="true" applyProtection="true">
      <alignment horizontal="left" vertical="bottom" textRotation="0" wrapText="false" indent="0" shrinkToFit="false"/>
      <protection locked="true" hidden="false"/>
    </xf>
    <xf numFmtId="172" fontId="0" fillId="5" borderId="1" xfId="19" applyFont="true" applyBorder="true" applyAlignment="true" applyProtection="true">
      <alignment horizontal="center" vertical="bottom" textRotation="0" wrapText="false" indent="0" shrinkToFit="false"/>
      <protection locked="true" hidden="false"/>
    </xf>
    <xf numFmtId="164" fontId="7" fillId="8" borderId="2" xfId="0" applyFont="true" applyBorder="true" applyAlignment="false" applyProtection="true">
      <alignment horizontal="general" vertical="bottom" textRotation="0" wrapText="false" indent="0" shrinkToFit="false"/>
      <protection locked="true" hidden="false"/>
    </xf>
    <xf numFmtId="164" fontId="0" fillId="8" borderId="2" xfId="0" applyFont="false" applyBorder="true" applyAlignment="false" applyProtection="true">
      <alignment horizontal="general" vertical="bottom" textRotation="0" wrapText="false" indent="0" shrinkToFit="false"/>
      <protection locked="true" hidden="false"/>
    </xf>
    <xf numFmtId="164" fontId="0" fillId="8" borderId="3" xfId="0" applyFont="false" applyBorder="true" applyAlignment="false" applyProtection="true">
      <alignment horizontal="general" vertical="bottom" textRotation="0" wrapText="false" indent="0" shrinkToFit="false"/>
      <protection locked="true" hidden="false"/>
    </xf>
    <xf numFmtId="164" fontId="22" fillId="3" borderId="0" xfId="0" applyFont="true" applyBorder="true" applyAlignment="true" applyProtection="false">
      <alignment horizontal="center" vertical="center" textRotation="0" wrapText="false" indent="0" shrinkToFit="false"/>
      <protection locked="true" hidden="false"/>
    </xf>
    <xf numFmtId="164" fontId="22" fillId="3" borderId="12" xfId="0" applyFont="true" applyBorder="true" applyAlignment="true" applyProtection="true">
      <alignment horizontal="center" vertical="center" textRotation="0" wrapText="false" indent="0" shrinkToFit="false"/>
      <protection locked="true" hidden="false"/>
    </xf>
    <xf numFmtId="164" fontId="23" fillId="5" borderId="0" xfId="0" applyFont="true" applyBorder="false" applyAlignment="false" applyProtection="false">
      <alignment horizontal="general" vertical="bottom" textRotation="0" wrapText="false" indent="0" shrinkToFit="false"/>
      <protection locked="true" hidden="false"/>
    </xf>
    <xf numFmtId="164" fontId="24" fillId="5" borderId="0" xfId="0" applyFont="true" applyBorder="false" applyAlignment="false" applyProtection="false">
      <alignment horizontal="general" vertical="bottom" textRotation="0" wrapText="false" indent="0" shrinkToFit="false"/>
      <protection locked="true" hidden="false"/>
    </xf>
    <xf numFmtId="164" fontId="24" fillId="5" borderId="0" xfId="0" applyFont="true" applyBorder="false" applyAlignment="true" applyProtection="false">
      <alignment horizontal="left" vertical="bottom" textRotation="0" wrapText="false" indent="0" shrinkToFit="false"/>
      <protection locked="true" hidden="false"/>
    </xf>
    <xf numFmtId="164" fontId="7"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0" fillId="5" borderId="10" xfId="0" applyFont="true" applyBorder="true" applyAlignment="true" applyProtection="false">
      <alignment horizontal="left" vertical="bottom" textRotation="0" wrapText="false" indent="0" shrinkToFit="false"/>
      <protection locked="true" hidden="false"/>
    </xf>
    <xf numFmtId="164" fontId="0" fillId="5" borderId="14" xfId="0" applyFont="false" applyBorder="true" applyAlignment="false" applyProtection="false">
      <alignment horizontal="general" vertical="bottom" textRotation="0" wrapText="false" indent="0" shrinkToFit="false"/>
      <protection locked="true" hidden="false"/>
    </xf>
    <xf numFmtId="166" fontId="33" fillId="9" borderId="10" xfId="0" applyFont="true" applyBorder="true" applyAlignment="false" applyProtection="true">
      <alignment horizontal="general" vertical="bottom" textRotation="0" wrapText="false" indent="0" shrinkToFit="false"/>
      <protection locked="false" hidden="false"/>
    </xf>
    <xf numFmtId="164" fontId="0" fillId="5" borderId="11" xfId="0" applyFont="true" applyBorder="true" applyAlignment="true" applyProtection="false">
      <alignment horizontal="left" vertical="bottom" textRotation="0" wrapText="false" indent="1" shrinkToFit="false"/>
      <protection locked="true" hidden="false"/>
    </xf>
    <xf numFmtId="164" fontId="0" fillId="5" borderId="0" xfId="0" applyFont="false" applyBorder="true" applyAlignment="false" applyProtection="false">
      <alignment horizontal="general" vertical="bottom" textRotation="0" wrapText="false" indent="0" shrinkToFit="false"/>
      <protection locked="true" hidden="false"/>
    </xf>
    <xf numFmtId="164" fontId="0" fillId="6" borderId="10" xfId="0" applyFont="true" applyBorder="true" applyAlignment="true" applyProtection="false">
      <alignment horizontal="right" vertical="bottom" textRotation="0" wrapText="false" indent="0" shrinkToFit="false"/>
      <protection locked="true" hidden="false"/>
    </xf>
    <xf numFmtId="164" fontId="0" fillId="5" borderId="17" xfId="0" applyFont="true" applyBorder="true" applyAlignment="true" applyProtection="false">
      <alignment horizontal="left" vertical="bottom" textRotation="0" wrapText="false" indent="1" shrinkToFit="false"/>
      <protection locked="true" hidden="false"/>
    </xf>
    <xf numFmtId="164" fontId="0" fillId="5" borderId="9" xfId="0" applyFont="false" applyBorder="true" applyAlignment="false" applyProtection="false">
      <alignment horizontal="general" vertical="bottom" textRotation="0" wrapText="false" indent="0" shrinkToFit="false"/>
      <protection locked="true" hidden="false"/>
    </xf>
    <xf numFmtId="171" fontId="0" fillId="6" borderId="17"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3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15" shrinkToFit="false"/>
      <protection locked="true" hidden="false"/>
    </xf>
    <xf numFmtId="164" fontId="5" fillId="3" borderId="12" xfId="0" applyFont="true" applyBorder="true" applyAlignment="true" applyProtection="false">
      <alignment horizontal="center" vertical="bottom" textRotation="0" wrapText="false" indent="0" shrinkToFit="false"/>
      <protection locked="true" hidden="false"/>
    </xf>
    <xf numFmtId="164" fontId="5" fillId="3" borderId="13" xfId="0" applyFont="true" applyBorder="true" applyAlignment="true" applyProtection="false">
      <alignment horizontal="center" vertical="bottom" textRotation="0" wrapText="false" indent="0" shrinkToFit="false"/>
      <protection locked="true" hidden="false"/>
    </xf>
    <xf numFmtId="164" fontId="5" fillId="3" borderId="14" xfId="0" applyFont="true" applyBorder="true" applyAlignment="true" applyProtection="false">
      <alignment horizontal="center" vertical="bottom" textRotation="0" wrapText="false" indent="0" shrinkToFit="false"/>
      <protection locked="true" hidden="false"/>
    </xf>
    <xf numFmtId="164" fontId="0" fillId="6" borderId="18" xfId="0" applyFont="false" applyBorder="true" applyAlignment="true" applyProtection="false">
      <alignment horizontal="left" vertical="bottom" textRotation="0" wrapText="false" indent="15" shrinkToFit="false"/>
      <protection locked="true" hidden="false"/>
    </xf>
    <xf numFmtId="164" fontId="0" fillId="6" borderId="9" xfId="0" applyFont="true" applyBorder="true" applyAlignment="true" applyProtection="false">
      <alignment horizontal="center" vertical="bottom" textRotation="0" wrapText="false" indent="0" shrinkToFit="false"/>
      <protection locked="true" hidden="false"/>
    </xf>
    <xf numFmtId="171" fontId="0" fillId="6" borderId="20" xfId="19" applyFont="true" applyBorder="true" applyAlignment="true" applyProtection="true">
      <alignment horizontal="center" vertical="bottom" textRotation="0" wrapText="false" indent="0" shrinkToFit="false"/>
      <protection locked="false" hidden="false"/>
    </xf>
    <xf numFmtId="164" fontId="0" fillId="6" borderId="0" xfId="0" applyFont="false" applyBorder="true" applyAlignment="true" applyProtection="false">
      <alignment horizontal="right" vertical="bottom" textRotation="0" wrapText="false" indent="15" shrinkToFit="false"/>
      <protection locked="true" hidden="false"/>
    </xf>
    <xf numFmtId="164" fontId="0" fillId="6" borderId="19" xfId="0" applyFont="false" applyBorder="true" applyAlignment="false" applyProtection="false">
      <alignment horizontal="general" vertical="bottom" textRotation="0" wrapText="false" indent="0" shrinkToFit="false"/>
      <protection locked="true" hidden="false"/>
    </xf>
    <xf numFmtId="173" fontId="6" fillId="0" borderId="0" xfId="0" applyFont="true" applyBorder="true" applyAlignment="true" applyProtection="false">
      <alignment horizontal="right" vertical="bottom" textRotation="0" wrapText="false" indent="15" shrinkToFit="false"/>
      <protection locked="true" hidden="false"/>
    </xf>
    <xf numFmtId="164" fontId="33" fillId="9" borderId="4" xfId="0" applyFont="true" applyBorder="true" applyAlignment="true" applyProtection="true">
      <alignment horizontal="center" vertical="bottom" textRotation="0" wrapText="false" indent="0" shrinkToFit="false"/>
      <protection locked="false" hidden="false"/>
    </xf>
    <xf numFmtId="164" fontId="33" fillId="9" borderId="0" xfId="0" applyFont="true" applyBorder="true" applyAlignment="true" applyProtection="true">
      <alignment horizontal="center" vertical="bottom" textRotation="0" wrapText="false" indent="0" shrinkToFit="false"/>
      <protection locked="false" hidden="false"/>
    </xf>
    <xf numFmtId="171" fontId="33" fillId="9" borderId="5" xfId="19" applyFont="true" applyBorder="true" applyAlignment="true" applyProtection="true">
      <alignment horizontal="center" vertical="bottom" textRotation="0" wrapText="false" indent="0" shrinkToFit="false"/>
      <protection locked="false" hidden="false"/>
    </xf>
    <xf numFmtId="164" fontId="6" fillId="0" borderId="0" xfId="0" applyFont="true" applyBorder="true" applyAlignment="true" applyProtection="false">
      <alignment horizontal="right" vertical="bottom" textRotation="0" wrapText="false" indent="15" shrinkToFit="false"/>
      <protection locked="true" hidden="false"/>
    </xf>
    <xf numFmtId="164" fontId="0" fillId="6" borderId="15" xfId="0" applyFont="true" applyBorder="true" applyAlignment="true" applyProtection="false">
      <alignment horizontal="left" vertical="bottom" textRotation="0" wrapText="false" indent="15" shrinkToFit="false"/>
      <protection locked="true" hidden="false"/>
    </xf>
    <xf numFmtId="164" fontId="33" fillId="9" borderId="21" xfId="0" applyFont="true" applyBorder="true" applyAlignment="true" applyProtection="true">
      <alignment horizontal="center" vertical="bottom" textRotation="0" wrapText="false" indent="0" shrinkToFit="false"/>
      <protection locked="false" hidden="false"/>
    </xf>
    <xf numFmtId="164" fontId="33" fillId="9" borderId="9" xfId="0" applyFont="true" applyBorder="true" applyAlignment="true" applyProtection="true">
      <alignment horizontal="center" vertical="bottom" textRotation="0" wrapText="false" indent="0" shrinkToFit="false"/>
      <protection locked="false" hidden="false"/>
    </xf>
    <xf numFmtId="171" fontId="33" fillId="9" borderId="22" xfId="19" applyFont="true" applyBorder="true" applyAlignment="true" applyProtection="true">
      <alignment horizontal="center" vertical="bottom" textRotation="0" wrapText="false" indent="0" shrinkToFit="false"/>
      <protection locked="false" hidden="false"/>
    </xf>
    <xf numFmtId="164" fontId="0" fillId="6" borderId="9" xfId="0" applyFont="false" applyBorder="true" applyAlignment="true" applyProtection="false">
      <alignment horizontal="right" vertical="bottom" textRotation="0" wrapText="false" indent="15" shrinkToFit="false"/>
      <protection locked="true" hidden="false"/>
    </xf>
    <xf numFmtId="164" fontId="0" fillId="6" borderId="16" xfId="0" applyFont="false" applyBorder="tru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71" fontId="5" fillId="3" borderId="0" xfId="0" applyFont="true" applyBorder="false" applyAlignment="true" applyProtection="false">
      <alignment horizontal="center" vertical="bottom" textRotation="0" wrapText="false" indent="0" shrinkToFit="false"/>
      <protection locked="true" hidden="false"/>
    </xf>
    <xf numFmtId="172" fontId="6" fillId="0" borderId="0" xfId="19" applyFont="true" applyBorder="true" applyAlignment="true" applyProtection="true">
      <alignment horizontal="general" vertical="bottom" textRotation="0" wrapText="false" indent="0" shrinkToFit="false"/>
      <protection locked="true" hidden="false"/>
    </xf>
    <xf numFmtId="164" fontId="14" fillId="3" borderId="12" xfId="0" applyFont="true" applyBorder="true" applyAlignment="true" applyProtection="false">
      <alignment horizontal="left" vertical="bottom" textRotation="0" wrapText="false" indent="15" shrinkToFit="false"/>
      <protection locked="true" hidden="false"/>
    </xf>
    <xf numFmtId="173" fontId="6" fillId="3" borderId="13" xfId="0" applyFont="true" applyBorder="true" applyAlignment="true" applyProtection="false">
      <alignment horizontal="right" vertical="bottom" textRotation="0" wrapText="false" indent="15" shrinkToFit="false"/>
      <protection locked="true" hidden="false"/>
    </xf>
    <xf numFmtId="164" fontId="6" fillId="3" borderId="14" xfId="0" applyFont="true" applyBorder="true" applyAlignment="false" applyProtection="false">
      <alignment horizontal="general" vertical="bottom" textRotation="0" wrapText="false" indent="0" shrinkToFit="false"/>
      <protection locked="true" hidden="false"/>
    </xf>
    <xf numFmtId="164" fontId="5" fillId="3" borderId="18" xfId="0" applyFont="true" applyBorder="true" applyAlignment="true" applyProtection="false">
      <alignment horizontal="center" vertical="bottom" textRotation="0" wrapText="false" indent="0" shrinkToFit="false"/>
      <protection locked="true" hidden="false"/>
    </xf>
    <xf numFmtId="164" fontId="5" fillId="3" borderId="0" xfId="0" applyFont="true" applyBorder="true" applyAlignment="true" applyProtection="false">
      <alignment horizontal="center" vertical="bottom" textRotation="0" wrapText="false" indent="0" shrinkToFit="false"/>
      <protection locked="true" hidden="false"/>
    </xf>
    <xf numFmtId="164" fontId="5" fillId="3" borderId="19" xfId="0" applyFont="true" applyBorder="true" applyAlignment="true" applyProtection="false">
      <alignment horizontal="center" vertical="bottom" textRotation="0" wrapText="false" indent="0" shrinkToFit="false"/>
      <protection locked="true" hidden="false"/>
    </xf>
    <xf numFmtId="164" fontId="0" fillId="6" borderId="18" xfId="0" applyFont="false" applyBorder="true" applyAlignment="true" applyProtection="false">
      <alignment horizontal="center" vertical="bottom" textRotation="0" wrapText="false" indent="0" shrinkToFit="false"/>
      <protection locked="true" hidden="false"/>
    </xf>
    <xf numFmtId="164" fontId="35" fillId="6" borderId="0" xfId="0" applyFont="true" applyBorder="true" applyAlignment="true" applyProtection="false">
      <alignment horizontal="center" vertical="bottom" textRotation="0" wrapText="false" indent="0" shrinkToFit="false"/>
      <protection locked="true" hidden="false"/>
    </xf>
    <xf numFmtId="171" fontId="0" fillId="6" borderId="19" xfId="19" applyFont="true" applyBorder="true" applyAlignment="true" applyProtection="true">
      <alignment horizontal="center" vertical="bottom" textRotation="0" wrapText="false" indent="0" shrinkToFit="false"/>
      <protection locked="true" hidden="false"/>
    </xf>
    <xf numFmtId="164" fontId="0" fillId="6" borderId="15" xfId="0" applyFont="false" applyBorder="true" applyAlignment="true" applyProtection="false">
      <alignment horizontal="center" vertical="bottom" textRotation="0" wrapText="false" indent="0" shrinkToFit="false"/>
      <protection locked="true" hidden="false"/>
    </xf>
    <xf numFmtId="164" fontId="35" fillId="6" borderId="9" xfId="0" applyFont="true" applyBorder="true" applyAlignment="true" applyProtection="false">
      <alignment horizontal="center" vertical="bottom" textRotation="0" wrapText="false" indent="0" shrinkToFit="false"/>
      <protection locked="true" hidden="false"/>
    </xf>
    <xf numFmtId="171" fontId="0" fillId="6" borderId="16" xfId="19" applyFont="true" applyBorder="true" applyAlignment="true" applyProtection="true">
      <alignment horizontal="center" vertical="bottom" textRotation="0" wrapText="false" indent="0" shrinkToFit="false"/>
      <protection locked="true" hidden="false"/>
    </xf>
    <xf numFmtId="171" fontId="6" fillId="0" borderId="0" xfId="19"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1"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38" fillId="0" borderId="23" xfId="0" applyFont="true" applyBorder="true" applyAlignment="true" applyProtection="true">
      <alignment horizontal="center" vertical="bottom" textRotation="0" wrapText="true" indent="0" shrinkToFit="false"/>
      <protection locked="false" hidden="false"/>
    </xf>
    <xf numFmtId="164" fontId="0" fillId="6" borderId="0" xfId="0" applyFont="false" applyBorder="false" applyAlignment="false" applyProtection="true">
      <alignment horizontal="general" vertical="bottom" textRotation="0" wrapText="false" indent="0" shrinkToFit="false"/>
      <protection locked="false" hidden="false"/>
    </xf>
    <xf numFmtId="164" fontId="39" fillId="0" borderId="23" xfId="0" applyFont="true" applyBorder="true" applyAlignment="true" applyProtection="true">
      <alignment horizontal="general" vertical="bottom" textRotation="0" wrapText="true" indent="0" shrinkToFit="false"/>
      <protection locked="false" hidden="false"/>
    </xf>
    <xf numFmtId="164" fontId="7" fillId="3" borderId="12" xfId="0" applyFont="true" applyBorder="true" applyAlignment="false" applyProtection="false">
      <alignment horizontal="general" vertical="bottom" textRotation="0" wrapText="false" indent="0" shrinkToFit="false"/>
      <protection locked="true" hidden="false"/>
    </xf>
    <xf numFmtId="164" fontId="7" fillId="3" borderId="13" xfId="0" applyFont="true" applyBorder="true" applyAlignment="true" applyProtection="false">
      <alignment horizontal="left" vertical="bottom" textRotation="0" wrapText="false" indent="0" shrinkToFit="false"/>
      <protection locked="true" hidden="false"/>
    </xf>
    <xf numFmtId="164" fontId="7" fillId="3" borderId="13" xfId="0" applyFont="true" applyBorder="true" applyAlignment="false" applyProtection="false">
      <alignment horizontal="general" vertical="bottom" textRotation="0" wrapText="false" indent="0" shrinkToFit="false"/>
      <protection locked="true" hidden="false"/>
    </xf>
    <xf numFmtId="164" fontId="7" fillId="3" borderId="13" xfId="0" applyFont="true" applyBorder="true" applyAlignment="true" applyProtection="false">
      <alignment horizontal="center" vertical="bottom" textRotation="0" wrapText="false" indent="0" shrinkToFit="false"/>
      <protection locked="true" hidden="false"/>
    </xf>
    <xf numFmtId="164" fontId="5" fillId="3" borderId="12" xfId="0" applyFont="true" applyBorder="true" applyAlignment="true" applyProtection="false">
      <alignment horizontal="left" vertical="bottom" textRotation="0" wrapText="false" indent="15" shrinkToFit="false"/>
      <protection locked="true" hidden="false"/>
    </xf>
    <xf numFmtId="164" fontId="6" fillId="3" borderId="13" xfId="0" applyFont="true" applyBorder="true" applyAlignment="true" applyProtection="false">
      <alignment horizontal="center" vertical="bottom" textRotation="0" wrapText="false" indent="0" shrinkToFit="false"/>
      <protection locked="true" hidden="false"/>
    </xf>
    <xf numFmtId="164" fontId="6" fillId="3" borderId="13" xfId="0" applyFont="true" applyBorder="true" applyAlignment="true" applyProtection="true">
      <alignment horizontal="right" vertical="bottom" textRotation="0" wrapText="false" indent="15" shrinkToFit="false"/>
      <protection locked="false" hidden="false"/>
    </xf>
    <xf numFmtId="164" fontId="5" fillId="3" borderId="10" xfId="0" applyFont="true" applyBorder="true" applyAlignment="true" applyProtection="false">
      <alignment horizontal="center" vertical="bottom" textRotation="0" wrapText="false" indent="0" shrinkToFit="false"/>
      <protection locked="true" hidden="false"/>
    </xf>
    <xf numFmtId="164" fontId="5" fillId="3" borderId="15" xfId="0" applyFont="true" applyBorder="true" applyAlignment="true" applyProtection="false">
      <alignment horizontal="center" vertical="center" textRotation="0" wrapText="true" indent="0" shrinkToFit="false"/>
      <protection locked="true" hidden="false"/>
    </xf>
    <xf numFmtId="164" fontId="5" fillId="3" borderId="9" xfId="0" applyFont="true" applyBorder="true" applyAlignment="true" applyProtection="false">
      <alignment horizontal="left" vertical="center" textRotation="0" wrapText="true" indent="0" shrinkToFit="false"/>
      <protection locked="true" hidden="false"/>
    </xf>
    <xf numFmtId="164" fontId="5" fillId="3" borderId="9" xfId="0" applyFont="true" applyBorder="true" applyAlignment="true" applyProtection="false">
      <alignment horizontal="center" vertical="center" textRotation="0" wrapText="true" indent="0" shrinkToFit="false"/>
      <protection locked="true" hidden="false"/>
    </xf>
    <xf numFmtId="164" fontId="5" fillId="3" borderId="16" xfId="0" applyFont="true" applyBorder="true" applyAlignment="true" applyProtection="false">
      <alignment horizontal="center" vertical="center" textRotation="0" wrapText="true" indent="0" shrinkToFit="false"/>
      <protection locked="true" hidden="false"/>
    </xf>
    <xf numFmtId="164" fontId="0" fillId="10" borderId="1" xfId="0" applyFont="true" applyBorder="true" applyAlignment="true" applyProtection="false">
      <alignment horizontal="left" vertical="bottom" textRotation="0" wrapText="false" indent="15" shrinkToFit="false"/>
      <protection locked="true" hidden="false"/>
    </xf>
    <xf numFmtId="164" fontId="15" fillId="10" borderId="2" xfId="0" applyFont="true" applyBorder="true" applyAlignment="true" applyProtection="false">
      <alignment horizontal="left" vertical="bottom" textRotation="0" wrapText="false" indent="15" shrinkToFit="false"/>
      <protection locked="true" hidden="false"/>
    </xf>
    <xf numFmtId="164" fontId="0" fillId="10" borderId="2" xfId="0" applyFont="true" applyBorder="true" applyAlignment="false" applyProtection="false">
      <alignment horizontal="general" vertical="bottom" textRotation="0" wrapText="false" indent="0" shrinkToFit="false"/>
      <protection locked="true" hidden="false"/>
    </xf>
    <xf numFmtId="164" fontId="40" fillId="10" borderId="2" xfId="0" applyFont="true" applyBorder="true" applyAlignment="true" applyProtection="false">
      <alignment horizontal="left" vertical="bottom" textRotation="0" wrapText="false" indent="15" shrinkToFit="false"/>
      <protection locked="true" hidden="false"/>
    </xf>
    <xf numFmtId="164" fontId="0" fillId="10" borderId="2" xfId="0" applyFont="true" applyBorder="true" applyAlignment="true" applyProtection="false">
      <alignment horizontal="center" vertical="bottom" textRotation="0" wrapText="false" indent="0" shrinkToFit="false"/>
      <protection locked="true" hidden="false"/>
    </xf>
    <xf numFmtId="164" fontId="0" fillId="10" borderId="1" xfId="0" applyFont="true" applyBorder="true" applyAlignment="false" applyProtection="false">
      <alignment horizontal="general" vertical="bottom" textRotation="0" wrapText="false" indent="0" shrinkToFit="false"/>
      <protection locked="true" hidden="false"/>
    </xf>
    <xf numFmtId="164" fontId="0" fillId="10" borderId="3" xfId="0" applyFont="true" applyBorder="true" applyAlignment="false" applyProtection="false">
      <alignment horizontal="general" vertical="bottom" textRotation="0" wrapText="false" indent="0" shrinkToFit="false"/>
      <protection locked="true" hidden="false"/>
    </xf>
    <xf numFmtId="164" fontId="0" fillId="5" borderId="12" xfId="0" applyFont="false" applyBorder="true" applyAlignment="true" applyProtection="false">
      <alignment horizontal="center" vertical="bottom" textRotation="0" wrapText="false" indent="0" shrinkToFit="false"/>
      <protection locked="true" hidden="false"/>
    </xf>
    <xf numFmtId="164" fontId="0" fillId="5" borderId="13" xfId="0" applyFont="false" applyBorder="true" applyAlignment="true" applyProtection="false">
      <alignment horizontal="left" vertical="bottom" textRotation="0" wrapText="false" indent="15" shrinkToFit="false"/>
      <protection locked="true" hidden="false"/>
    </xf>
    <xf numFmtId="164" fontId="0" fillId="5" borderId="13" xfId="0" applyFont="false" applyBorder="true" applyAlignment="true" applyProtection="false">
      <alignment horizontal="left" vertical="bottom" textRotation="0" wrapText="false" indent="0" shrinkToFit="false"/>
      <protection locked="true" hidden="false"/>
    </xf>
    <xf numFmtId="164" fontId="0" fillId="5" borderId="13" xfId="0" applyFont="false" applyBorder="true" applyAlignment="true" applyProtection="false">
      <alignment horizontal="left" vertical="bottom" textRotation="0" wrapText="false" indent="1" shrinkToFit="false"/>
      <protection locked="true" hidden="false"/>
    </xf>
    <xf numFmtId="172" fontId="0" fillId="5" borderId="13" xfId="0" applyFont="false" applyBorder="true" applyAlignment="true" applyProtection="false">
      <alignment horizontal="center" vertical="bottom" textRotation="0" wrapText="false" indent="0" shrinkToFit="false"/>
      <protection locked="true" hidden="false"/>
    </xf>
    <xf numFmtId="174" fontId="0" fillId="11" borderId="0" xfId="0" applyFont="false" applyBorder="false" applyAlignment="false" applyProtection="true">
      <alignment horizontal="general" vertical="bottom" textRotation="0" wrapText="false" indent="0" shrinkToFit="false"/>
      <protection locked="false" hidden="false"/>
    </xf>
    <xf numFmtId="174" fontId="39" fillId="11" borderId="0" xfId="0" applyFont="true" applyBorder="false" applyAlignment="true" applyProtection="true">
      <alignment horizontal="general" vertical="bottom" textRotation="0" wrapText="true" indent="0" shrinkToFit="false"/>
      <protection locked="false" hidden="false"/>
    </xf>
    <xf numFmtId="164" fontId="39" fillId="11" borderId="0" xfId="0" applyFont="true" applyBorder="false" applyAlignment="true" applyProtection="true">
      <alignment horizontal="general" vertical="bottom" textRotation="0" wrapText="true" indent="0" shrinkToFit="false"/>
      <protection locked="false" hidden="false"/>
    </xf>
    <xf numFmtId="172" fontId="0" fillId="5" borderId="12" xfId="19" applyFont="true" applyBorder="true" applyAlignment="true" applyProtection="true">
      <alignment horizontal="center" vertical="bottom" textRotation="0" wrapText="false" indent="0" shrinkToFit="false"/>
      <protection locked="true" hidden="false"/>
    </xf>
    <xf numFmtId="172" fontId="0" fillId="5" borderId="14" xfId="19" applyFont="true" applyBorder="true" applyAlignment="true" applyProtection="true">
      <alignment horizontal="general" vertical="bottom" textRotation="0" wrapText="false" indent="0" shrinkToFit="false"/>
      <protection locked="true" hidden="false"/>
    </xf>
    <xf numFmtId="164" fontId="0" fillId="5" borderId="18" xfId="0" applyFont="false" applyBorder="true" applyAlignment="true" applyProtection="false">
      <alignment horizontal="center" vertical="bottom" textRotation="0" wrapText="false" indent="0" shrinkToFit="false"/>
      <protection locked="true" hidden="false"/>
    </xf>
    <xf numFmtId="164" fontId="0" fillId="5" borderId="0" xfId="0" applyFont="false" applyBorder="true" applyAlignment="true" applyProtection="false">
      <alignment horizontal="left" vertical="bottom" textRotation="0" wrapText="false" indent="15" shrinkToFit="false"/>
      <protection locked="true" hidden="false"/>
    </xf>
    <xf numFmtId="164" fontId="0" fillId="5" borderId="0" xfId="0" applyFont="false" applyBorder="true" applyAlignment="true" applyProtection="false">
      <alignment horizontal="left" vertical="bottom" textRotation="0" wrapText="false" indent="1" shrinkToFit="false"/>
      <protection locked="true" hidden="false"/>
    </xf>
    <xf numFmtId="172" fontId="0" fillId="5" borderId="0" xfId="0" applyFont="false" applyBorder="true" applyAlignment="true" applyProtection="false">
      <alignment horizontal="center" vertical="bottom" textRotation="0" wrapText="false" indent="0" shrinkToFit="false"/>
      <protection locked="true" hidden="false"/>
    </xf>
    <xf numFmtId="172" fontId="0" fillId="5" borderId="18" xfId="19" applyFont="true" applyBorder="true" applyAlignment="true" applyProtection="true">
      <alignment horizontal="center" vertical="bottom" textRotation="0" wrapText="false" indent="0" shrinkToFit="false"/>
      <protection locked="true" hidden="false"/>
    </xf>
    <xf numFmtId="172" fontId="0" fillId="5" borderId="19" xfId="19" applyFont="true" applyBorder="true" applyAlignment="true" applyProtection="true">
      <alignment horizontal="general" vertical="bottom" textRotation="0" wrapText="false" indent="0" shrinkToFit="false"/>
      <protection locked="true" hidden="false"/>
    </xf>
    <xf numFmtId="172" fontId="33" fillId="11" borderId="18" xfId="0" applyFont="true" applyBorder="true" applyAlignment="true" applyProtection="true">
      <alignment horizontal="right" vertical="bottom" textRotation="0" wrapText="false" indent="15" shrinkToFit="false"/>
      <protection locked="false" hidden="false"/>
    </xf>
    <xf numFmtId="172" fontId="33" fillId="9" borderId="0" xfId="0" applyFont="true" applyBorder="true" applyAlignment="true" applyProtection="true">
      <alignment horizontal="right" vertical="bottom" textRotation="0" wrapText="false" indent="15" shrinkToFit="false"/>
      <protection locked="false" hidden="false"/>
    </xf>
    <xf numFmtId="165" fontId="33" fillId="9" borderId="0" xfId="0" applyFont="true" applyBorder="true" applyAlignment="true" applyProtection="true">
      <alignment horizontal="right" vertical="bottom" textRotation="0" wrapText="false" indent="15" shrinkToFit="false"/>
      <protection locked="false" hidden="false"/>
    </xf>
    <xf numFmtId="172" fontId="33" fillId="9" borderId="11" xfId="0" applyFont="true" applyBorder="true" applyAlignment="true" applyProtection="true">
      <alignment horizontal="right" vertical="bottom" textRotation="0" wrapText="false" indent="15" shrinkToFit="false"/>
      <protection locked="false" hidden="false"/>
    </xf>
    <xf numFmtId="164" fontId="0" fillId="5" borderId="15" xfId="0" applyFont="false" applyBorder="true" applyAlignment="true" applyProtection="false">
      <alignment horizontal="center" vertical="bottom" textRotation="0" wrapText="false" indent="0" shrinkToFit="false"/>
      <protection locked="true" hidden="false"/>
    </xf>
    <xf numFmtId="164" fontId="0" fillId="5" borderId="9" xfId="0" applyFont="false" applyBorder="true" applyAlignment="true" applyProtection="false">
      <alignment horizontal="left" vertical="bottom" textRotation="0" wrapText="false" indent="15" shrinkToFit="false"/>
      <protection locked="true" hidden="false"/>
    </xf>
    <xf numFmtId="164" fontId="0" fillId="5" borderId="9" xfId="0" applyFont="false" applyBorder="true" applyAlignment="true" applyProtection="false">
      <alignment horizontal="left" vertical="bottom" textRotation="0" wrapText="false" indent="0" shrinkToFit="false"/>
      <protection locked="true" hidden="false"/>
    </xf>
    <xf numFmtId="164" fontId="0" fillId="5" borderId="9" xfId="0" applyFont="false" applyBorder="true" applyAlignment="true" applyProtection="false">
      <alignment horizontal="left" vertical="bottom" textRotation="0" wrapText="false" indent="1" shrinkToFit="false"/>
      <protection locked="true" hidden="false"/>
    </xf>
    <xf numFmtId="172" fontId="0" fillId="5" borderId="9" xfId="0" applyFont="false" applyBorder="true" applyAlignment="true" applyProtection="false">
      <alignment horizontal="center" vertical="bottom" textRotation="0" wrapText="false" indent="0" shrinkToFit="false"/>
      <protection locked="true" hidden="false"/>
    </xf>
    <xf numFmtId="172" fontId="33" fillId="9" borderId="15" xfId="0" applyFont="true" applyBorder="true" applyAlignment="true" applyProtection="true">
      <alignment horizontal="right" vertical="bottom" textRotation="0" wrapText="false" indent="15" shrinkToFit="false"/>
      <protection locked="false" hidden="false"/>
    </xf>
    <xf numFmtId="172" fontId="33" fillId="9" borderId="9" xfId="0" applyFont="true" applyBorder="true" applyAlignment="true" applyProtection="true">
      <alignment horizontal="right" vertical="bottom" textRotation="0" wrapText="false" indent="15" shrinkToFit="false"/>
      <protection locked="false" hidden="false"/>
    </xf>
    <xf numFmtId="165" fontId="33" fillId="9" borderId="9" xfId="0" applyFont="true" applyBorder="true" applyAlignment="true" applyProtection="true">
      <alignment horizontal="right" vertical="bottom" textRotation="0" wrapText="false" indent="15" shrinkToFit="false"/>
      <protection locked="false" hidden="false"/>
    </xf>
    <xf numFmtId="172" fontId="33" fillId="9" borderId="17" xfId="0" applyFont="true" applyBorder="true" applyAlignment="true" applyProtection="true">
      <alignment horizontal="right" vertical="bottom" textRotation="0" wrapText="false" indent="15" shrinkToFit="false"/>
      <protection locked="false" hidden="false"/>
    </xf>
    <xf numFmtId="172" fontId="0" fillId="5" borderId="15" xfId="19" applyFont="true" applyBorder="true" applyAlignment="true" applyProtection="true">
      <alignment horizontal="center" vertical="bottom" textRotation="0" wrapText="false" indent="0" shrinkToFit="false"/>
      <protection locked="true" hidden="false"/>
    </xf>
    <xf numFmtId="172" fontId="0" fillId="5" borderId="16" xfId="19" applyFont="true" applyBorder="true" applyAlignment="true" applyProtection="true">
      <alignment horizontal="general" vertical="bottom" textRotation="0" wrapText="false" indent="0" shrinkToFit="false"/>
      <protection locked="true" hidden="false"/>
    </xf>
    <xf numFmtId="172" fontId="0" fillId="0" borderId="0" xfId="0" applyFont="false" applyBorder="false" applyAlignment="true" applyProtection="false">
      <alignment horizontal="center" vertical="bottom" textRotation="0" wrapText="false" indent="0" shrinkToFit="false"/>
      <protection locked="true" hidden="false"/>
    </xf>
    <xf numFmtId="164" fontId="5" fillId="3" borderId="18" xfId="0" applyFont="true" applyBorder="true" applyAlignment="true" applyProtection="false">
      <alignment horizontal="center" vertical="center" textRotation="0" wrapText="true" indent="0" shrinkToFit="false"/>
      <protection locked="true" hidden="false"/>
    </xf>
    <xf numFmtId="164" fontId="5" fillId="3" borderId="0" xfId="0" applyFont="true" applyBorder="true" applyAlignment="true" applyProtection="false">
      <alignment horizontal="left" vertical="center" textRotation="0" wrapText="true" indent="0" shrinkToFit="false"/>
      <protection locked="true" hidden="false"/>
    </xf>
    <xf numFmtId="164" fontId="5" fillId="3" borderId="0" xfId="0" applyFont="true" applyBorder="true" applyAlignment="true" applyProtection="false">
      <alignment horizontal="center" vertical="center" textRotation="0" wrapText="true" indent="0" shrinkToFit="false"/>
      <protection locked="true" hidden="false"/>
    </xf>
    <xf numFmtId="164" fontId="5" fillId="3" borderId="19" xfId="0" applyFont="true" applyBorder="true" applyAlignment="true" applyProtection="false">
      <alignment horizontal="center" vertical="center" textRotation="0" wrapText="true" indent="0" shrinkToFit="false"/>
      <protection locked="true" hidden="false"/>
    </xf>
    <xf numFmtId="164" fontId="0" fillId="10" borderId="2" xfId="0" applyFont="true" applyBorder="true" applyAlignment="true" applyProtection="false">
      <alignment horizontal="left" vertical="bottom" textRotation="0" wrapText="false" indent="15" shrinkToFit="false"/>
      <protection locked="true" hidden="false"/>
    </xf>
    <xf numFmtId="164" fontId="15" fillId="10" borderId="3" xfId="0" applyFont="true" applyBorder="true" applyAlignment="true" applyProtection="false">
      <alignment horizontal="left" vertical="bottom" textRotation="0" wrapText="false" indent="15" shrinkToFit="false"/>
      <protection locked="true" hidden="false"/>
    </xf>
    <xf numFmtId="164" fontId="0" fillId="5" borderId="13" xfId="0" applyFont="false" applyBorder="true" applyAlignment="false" applyProtection="false">
      <alignment horizontal="general" vertical="bottom" textRotation="0" wrapText="false" indent="0" shrinkToFit="false"/>
      <protection locked="true" hidden="false"/>
    </xf>
    <xf numFmtId="172" fontId="0" fillId="5" borderId="12" xfId="19" applyFont="true" applyBorder="true" applyAlignment="true" applyProtection="true">
      <alignment horizontal="right" vertical="bottom" textRotation="0" wrapText="false" indent="15" shrinkToFit="false"/>
      <protection locked="true" hidden="false"/>
    </xf>
    <xf numFmtId="172" fontId="0" fillId="5" borderId="18" xfId="19" applyFont="true" applyBorder="true" applyAlignment="true" applyProtection="true">
      <alignment horizontal="right" vertical="bottom" textRotation="0" wrapText="false" indent="15" shrinkToFit="false"/>
      <protection locked="true" hidden="false"/>
    </xf>
    <xf numFmtId="172" fontId="0" fillId="5" borderId="19" xfId="0" applyFont="false" applyBorder="true" applyAlignment="false" applyProtection="false">
      <alignment horizontal="general" vertical="bottom" textRotation="0" wrapText="false" indent="0" shrinkToFit="false"/>
      <protection locked="true" hidden="false"/>
    </xf>
    <xf numFmtId="172" fontId="33" fillId="9" borderId="18" xfId="0" applyFont="true" applyBorder="true" applyAlignment="true" applyProtection="true">
      <alignment horizontal="right" vertical="bottom" textRotation="0" wrapText="false" indent="15" shrinkToFit="false"/>
      <protection locked="false" hidden="false"/>
    </xf>
    <xf numFmtId="172" fontId="0" fillId="5" borderId="18" xfId="0" applyFont="false" applyBorder="true" applyAlignment="true" applyProtection="false">
      <alignment horizontal="right" vertical="bottom" textRotation="0" wrapText="false" indent="15" shrinkToFit="false"/>
      <protection locked="true" hidden="false"/>
    </xf>
    <xf numFmtId="172" fontId="0" fillId="5" borderId="15" xfId="0" applyFont="false" applyBorder="true" applyAlignment="true" applyProtection="false">
      <alignment horizontal="right" vertical="bottom" textRotation="0" wrapText="false" indent="15" shrinkToFit="false"/>
      <protection locked="true" hidden="false"/>
    </xf>
    <xf numFmtId="172" fontId="0" fillId="5" borderId="16" xfId="0" applyFont="false" applyBorder="true" applyAlignment="false" applyProtection="false">
      <alignment horizontal="general" vertical="bottom" textRotation="0" wrapText="false" indent="0" shrinkToFit="false"/>
      <protection locked="true" hidden="false"/>
    </xf>
    <xf numFmtId="164" fontId="2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41" fillId="0" borderId="0" xfId="0" applyFont="true" applyBorder="true" applyAlignment="false" applyProtection="false">
      <alignment horizontal="general" vertical="bottom" textRotation="0" wrapText="false" indent="0" shrinkToFit="false"/>
      <protection locked="true" hidden="false"/>
    </xf>
    <xf numFmtId="176" fontId="41" fillId="0" borderId="24" xfId="17" applyFont="true" applyBorder="true" applyAlignment="true" applyProtection="true">
      <alignment horizontal="general" vertical="bottom" textRotation="0" wrapText="false" indent="0" shrinkToFit="false"/>
      <protection locked="true" hidden="false"/>
    </xf>
    <xf numFmtId="176" fontId="41" fillId="0" borderId="0" xfId="17" applyFont="true" applyBorder="true" applyAlignment="true" applyProtection="true">
      <alignment horizontal="general" vertical="bottom" textRotation="0" wrapText="false" indent="0" shrinkToFit="false"/>
      <protection locked="true" hidden="false"/>
    </xf>
    <xf numFmtId="164" fontId="42" fillId="0" borderId="0" xfId="0" applyFont="true" applyBorder="true" applyAlignment="fals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center" vertical="bottom" textRotation="0" wrapText="true" indent="0" shrinkToFit="false"/>
      <protection locked="true" hidden="false"/>
    </xf>
    <xf numFmtId="164" fontId="5" fillId="3" borderId="19" xfId="0" applyFont="true" applyBorder="true" applyAlignment="true" applyProtection="false">
      <alignment horizontal="center" vertical="bottom" textRotation="0" wrapText="true" indent="0" shrinkToFit="false"/>
      <protection locked="true" hidden="false"/>
    </xf>
    <xf numFmtId="164" fontId="7" fillId="0" borderId="0" xfId="0" applyFont="true" applyBorder="true" applyAlignment="true" applyProtection="false">
      <alignment horizontal="right"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5" fillId="2" borderId="18"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75" fontId="5" fillId="2" borderId="19" xfId="17" applyFont="true" applyBorder="true" applyAlignment="true" applyProtection="true">
      <alignment horizontal="general" vertical="bottom" textRotation="0" wrapText="false" indent="0" shrinkToFit="false"/>
      <protection locked="true" hidden="false"/>
    </xf>
    <xf numFmtId="164" fontId="43" fillId="0" borderId="0" xfId="0" applyFont="true" applyBorder="true" applyAlignment="false" applyProtection="false">
      <alignment horizontal="general" vertical="bottom" textRotation="0" wrapText="false" indent="0" shrinkToFit="false"/>
      <protection locked="true" hidden="false"/>
    </xf>
    <xf numFmtId="164" fontId="33" fillId="8" borderId="12" xfId="0" applyFont="true" applyBorder="true" applyAlignment="false" applyProtection="false">
      <alignment horizontal="general" vertical="bottom" textRotation="0" wrapText="false" indent="0" shrinkToFit="false"/>
      <protection locked="true" hidden="false"/>
    </xf>
    <xf numFmtId="164" fontId="20" fillId="5" borderId="13" xfId="0" applyFont="true" applyBorder="true" applyAlignment="false" applyProtection="false">
      <alignment horizontal="general" vertical="bottom" textRotation="0" wrapText="false" indent="0" shrinkToFit="false"/>
      <protection locked="true" hidden="false"/>
    </xf>
    <xf numFmtId="168" fontId="0" fillId="0" borderId="13" xfId="15" applyFont="true" applyBorder="true" applyAlignment="true" applyProtection="true">
      <alignment horizontal="general" vertical="bottom" textRotation="0" wrapText="false" indent="0" shrinkToFit="false"/>
      <protection locked="true" hidden="false"/>
    </xf>
    <xf numFmtId="175" fontId="33" fillId="9" borderId="13" xfId="17" applyFont="true" applyBorder="true" applyAlignment="true" applyProtection="true">
      <alignment horizontal="general" vertical="bottom" textRotation="0" wrapText="false" indent="0" shrinkToFit="false"/>
      <protection locked="false" hidden="false"/>
    </xf>
    <xf numFmtId="166" fontId="0" fillId="0" borderId="13" xfId="0" applyFont="true" applyBorder="true" applyAlignment="false" applyProtection="false">
      <alignment horizontal="general" vertical="bottom" textRotation="0" wrapText="false" indent="0" shrinkToFit="false"/>
      <protection locked="true" hidden="false"/>
    </xf>
    <xf numFmtId="164" fontId="20" fillId="0" borderId="13" xfId="0" applyFont="true" applyBorder="true" applyAlignment="false" applyProtection="false">
      <alignment horizontal="general" vertical="bottom" textRotation="0" wrapText="false" indent="0" shrinkToFit="false"/>
      <protection locked="true" hidden="false"/>
    </xf>
    <xf numFmtId="164" fontId="20" fillId="4" borderId="13" xfId="0" applyFont="true" applyBorder="true" applyAlignment="false" applyProtection="false">
      <alignment horizontal="general" vertical="bottom" textRotation="0" wrapText="false" indent="0" shrinkToFit="false"/>
      <protection locked="true" hidden="false"/>
    </xf>
    <xf numFmtId="167" fontId="0" fillId="5" borderId="14" xfId="15" applyFont="true" applyBorder="true" applyAlignment="true" applyProtection="true">
      <alignment horizontal="general"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true" indent="0" shrinkToFit="false"/>
      <protection locked="true" hidden="false"/>
    </xf>
    <xf numFmtId="164" fontId="33" fillId="8" borderId="18" xfId="0" applyFont="true" applyBorder="true" applyAlignment="false" applyProtection="false">
      <alignment horizontal="general" vertical="bottom" textRotation="0" wrapText="false" indent="0" shrinkToFit="false"/>
      <protection locked="true" hidden="false"/>
    </xf>
    <xf numFmtId="164" fontId="20" fillId="5" borderId="0" xfId="0" applyFont="true" applyBorder="true" applyAlignment="false" applyProtection="false">
      <alignment horizontal="general" vertical="bottom" textRotation="0" wrapText="false" indent="0" shrinkToFit="false"/>
      <protection locked="true" hidden="false"/>
    </xf>
    <xf numFmtId="168" fontId="0" fillId="0" borderId="0" xfId="15" applyFont="true" applyBorder="true" applyAlignment="true" applyProtection="true">
      <alignment horizontal="general" vertical="bottom" textRotation="0" wrapText="false" indent="0" shrinkToFit="false"/>
      <protection locked="true" hidden="false"/>
    </xf>
    <xf numFmtId="175" fontId="33" fillId="9" borderId="0" xfId="17" applyFont="true" applyBorder="true" applyAlignment="true" applyProtection="true">
      <alignment horizontal="general" vertical="bottom" textRotation="0" wrapText="false" indent="0" shrinkToFit="false"/>
      <protection locked="false" hidden="false"/>
    </xf>
    <xf numFmtId="166" fontId="0" fillId="0" borderId="0" xfId="0" applyFont="true" applyBorder="true" applyAlignment="false" applyProtection="false">
      <alignment horizontal="general" vertical="bottom" textRotation="0" wrapText="false" indent="0" shrinkToFit="false"/>
      <protection locked="true" hidden="false"/>
    </xf>
    <xf numFmtId="164" fontId="20" fillId="4" borderId="0" xfId="0" applyFont="true" applyBorder="true" applyAlignment="false" applyProtection="false">
      <alignment horizontal="general" vertical="bottom" textRotation="0" wrapText="false" indent="0" shrinkToFit="false"/>
      <protection locked="true" hidden="false"/>
    </xf>
    <xf numFmtId="167" fontId="0" fillId="5" borderId="19" xfId="15" applyFont="true" applyBorder="true" applyAlignment="true" applyProtection="true">
      <alignment horizontal="general" vertical="bottom" textRotation="0" wrapText="false" indent="0" shrinkToFit="false"/>
      <protection locked="true" hidden="false"/>
    </xf>
    <xf numFmtId="164" fontId="33" fillId="8" borderId="15" xfId="0" applyFont="true" applyBorder="true" applyAlignment="false" applyProtection="false">
      <alignment horizontal="general" vertical="bottom" textRotation="0" wrapText="false" indent="0" shrinkToFit="false"/>
      <protection locked="true" hidden="false"/>
    </xf>
    <xf numFmtId="164" fontId="20" fillId="5" borderId="9" xfId="0" applyFont="true" applyBorder="true" applyAlignment="false" applyProtection="false">
      <alignment horizontal="general" vertical="bottom" textRotation="0" wrapText="false" indent="0" shrinkToFit="false"/>
      <protection locked="true" hidden="false"/>
    </xf>
    <xf numFmtId="168" fontId="0" fillId="0" borderId="9" xfId="15" applyFont="true" applyBorder="true" applyAlignment="true" applyProtection="true">
      <alignment horizontal="general" vertical="bottom" textRotation="0" wrapText="false" indent="0" shrinkToFit="false"/>
      <protection locked="true" hidden="false"/>
    </xf>
    <xf numFmtId="175" fontId="33" fillId="9" borderId="9" xfId="17" applyFont="true" applyBorder="true" applyAlignment="true" applyProtection="true">
      <alignment horizontal="general" vertical="bottom" textRotation="0" wrapText="false" indent="0" shrinkToFit="false"/>
      <protection locked="false" hidden="false"/>
    </xf>
    <xf numFmtId="166" fontId="0" fillId="0" borderId="9" xfId="0" applyFont="true" applyBorder="true" applyAlignment="false" applyProtection="false">
      <alignment horizontal="general" vertical="bottom" textRotation="0" wrapText="false" indent="0" shrinkToFit="false"/>
      <protection locked="true" hidden="false"/>
    </xf>
    <xf numFmtId="164" fontId="20" fillId="0" borderId="9" xfId="0" applyFont="true" applyBorder="true" applyAlignment="false" applyProtection="false">
      <alignment horizontal="general" vertical="bottom" textRotation="0" wrapText="false" indent="0" shrinkToFit="false"/>
      <protection locked="true" hidden="false"/>
    </xf>
    <xf numFmtId="164" fontId="20" fillId="4" borderId="9" xfId="0" applyFont="true" applyBorder="true" applyAlignment="false" applyProtection="false">
      <alignment horizontal="general" vertical="bottom" textRotation="0" wrapText="false" indent="0" shrinkToFit="false"/>
      <protection locked="true" hidden="false"/>
    </xf>
    <xf numFmtId="167" fontId="0" fillId="5" borderId="16" xfId="15" applyFont="true" applyBorder="true" applyAlignment="true" applyProtection="true">
      <alignment horizontal="general" vertical="bottom" textRotation="0" wrapText="false" indent="0" shrinkToFit="false"/>
      <protection locked="true" hidden="false"/>
    </xf>
    <xf numFmtId="167" fontId="0" fillId="5" borderId="0" xfId="15" applyFont="true" applyBorder="true" applyAlignment="true" applyProtection="true">
      <alignment horizontal="general" vertical="bottom" textRotation="0" wrapText="fals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7" fontId="0" fillId="4" borderId="0" xfId="15" applyFont="true" applyBorder="true" applyAlignment="true" applyProtection="true">
      <alignment horizontal="general" vertical="bottom" textRotation="0" wrapText="false" indent="0" shrinkToFit="false"/>
      <protection locked="true" hidden="false"/>
    </xf>
    <xf numFmtId="164" fontId="7" fillId="4" borderId="0" xfId="0" applyFont="true" applyBorder="true" applyAlignment="true" applyProtection="false">
      <alignment horizontal="center" vertical="bottom" textRotation="0" wrapText="tru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6" fillId="5" borderId="0" xfId="0" applyFont="true" applyBorder="true" applyAlignment="false" applyProtection="false">
      <alignment horizontal="general" vertical="bottom" textRotation="0" wrapText="false" indent="0" shrinkToFit="false"/>
      <protection locked="true" hidden="false"/>
    </xf>
    <xf numFmtId="164" fontId="7" fillId="5" borderId="0" xfId="0" applyFont="true" applyBorder="true" applyAlignment="true" applyProtection="false">
      <alignment horizontal="center" vertical="bottom" textRotation="0" wrapText="tru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4" fontId="41" fillId="0" borderId="0" xfId="0" applyFont="true" applyBorder="true" applyAlignment="true" applyProtection="false">
      <alignment horizontal="center" vertical="bottom" textRotation="0" wrapText="false" indent="0" shrinkToFit="false"/>
      <protection locked="true" hidden="false"/>
    </xf>
    <xf numFmtId="164" fontId="41" fillId="0" borderId="0" xfId="0" applyFont="true" applyBorder="true" applyAlignment="true" applyProtection="false">
      <alignment horizontal="center" vertical="bottom" textRotation="0" wrapText="true" indent="0" shrinkToFit="false"/>
      <protection locked="true" hidden="false"/>
    </xf>
    <xf numFmtId="164" fontId="5" fillId="3" borderId="0" xfId="0" applyFont="true" applyBorder="true" applyAlignment="true" applyProtection="false">
      <alignment horizontal="left" vertical="bottom" textRotation="0" wrapText="false" indent="15" shrinkToFit="false"/>
      <protection locked="true" hidden="false"/>
    </xf>
    <xf numFmtId="177" fontId="41" fillId="0" borderId="0" xfId="0" applyFont="true" applyBorder="true" applyAlignment="true" applyProtection="false">
      <alignment horizontal="center"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true" applyAlignment="true" applyProtection="false">
      <alignment horizontal="center" vertical="bottom" textRotation="0" wrapText="false" indent="0" shrinkToFit="false"/>
      <protection locked="true" hidden="false"/>
    </xf>
    <xf numFmtId="172" fontId="33" fillId="9" borderId="1" xfId="19" applyFont="true" applyBorder="true" applyAlignment="true" applyProtection="true">
      <alignment horizontal="left" vertical="bottom" textRotation="0" wrapText="false" indent="15" shrinkToFit="false"/>
      <protection locked="false" hidden="false"/>
    </xf>
    <xf numFmtId="178" fontId="33" fillId="9" borderId="3" xfId="19" applyFont="true" applyBorder="true" applyAlignment="true" applyProtection="true">
      <alignment horizontal="center" vertical="bottom" textRotation="0" wrapText="false" indent="0" shrinkToFit="false"/>
      <protection locked="false" hidden="false"/>
    </xf>
    <xf numFmtId="177" fontId="20" fillId="0" borderId="3" xfId="15" applyFont="true" applyBorder="true" applyAlignment="true" applyProtection="true">
      <alignment horizontal="right" vertical="bottom" textRotation="0" wrapText="false" indent="15" shrinkToFit="false"/>
      <protection locked="true" hidden="false"/>
    </xf>
    <xf numFmtId="179" fontId="20" fillId="0" borderId="0" xfId="15" applyFont="true" applyBorder="true" applyAlignment="true" applyProtection="true">
      <alignment horizontal="right" vertical="bottom" textRotation="0" wrapText="false" indent="15" shrinkToFit="false"/>
      <protection locked="true" hidden="false"/>
    </xf>
    <xf numFmtId="164" fontId="42" fillId="0" borderId="0" xfId="0" applyFont="true" applyBorder="true" applyAlignment="true" applyProtection="false">
      <alignment horizontal="left" vertical="bottom" textRotation="0" wrapText="false" indent="0" shrinkToFit="false"/>
      <protection locked="true" hidden="false"/>
    </xf>
    <xf numFmtId="164" fontId="33" fillId="9" borderId="12" xfId="0" applyFont="true" applyBorder="true" applyAlignment="false" applyProtection="true">
      <alignment horizontal="general" vertical="bottom" textRotation="0" wrapText="false" indent="0" shrinkToFit="false"/>
      <protection locked="false" hidden="false"/>
    </xf>
    <xf numFmtId="164" fontId="33" fillId="9" borderId="13" xfId="0" applyFont="true" applyBorder="true" applyAlignment="true" applyProtection="true">
      <alignment horizontal="center" vertical="bottom" textRotation="0" wrapText="false" indent="0" shrinkToFit="false"/>
      <protection locked="false" hidden="false"/>
    </xf>
    <xf numFmtId="166" fontId="33" fillId="9" borderId="13" xfId="0" applyFont="true" applyBorder="true" applyAlignment="false" applyProtection="true">
      <alignment horizontal="general" vertical="bottom" textRotation="0" wrapText="false" indent="0" shrinkToFit="false"/>
      <protection locked="false" hidden="false"/>
    </xf>
    <xf numFmtId="168" fontId="33" fillId="9" borderId="13" xfId="15" applyFont="true" applyBorder="true" applyAlignment="true" applyProtection="true">
      <alignment horizontal="general" vertical="bottom" textRotation="0" wrapText="false" indent="0" shrinkToFit="false"/>
      <protection locked="false" hidden="false"/>
    </xf>
    <xf numFmtId="175" fontId="0" fillId="0" borderId="13" xfId="17" applyFont="true" applyBorder="true" applyAlignment="true" applyProtection="true">
      <alignment horizontal="general" vertical="bottom" textRotation="0" wrapText="false" indent="0" shrinkToFit="false"/>
      <protection locked="true" hidden="false"/>
    </xf>
    <xf numFmtId="175" fontId="0" fillId="0" borderId="14" xfId="17" applyFont="true" applyBorder="true" applyAlignment="true" applyProtection="true">
      <alignment horizontal="general" vertical="bottom" textRotation="0" wrapText="false" indent="0" shrinkToFit="false"/>
      <protection locked="true" hidden="false"/>
    </xf>
    <xf numFmtId="167" fontId="0" fillId="0" borderId="0" xfId="15" applyFont="true" applyBorder="true" applyAlignment="true" applyProtection="true">
      <alignment horizontal="general" vertical="bottom" textRotation="0" wrapText="false" indent="0" shrinkToFit="false"/>
      <protection locked="true" hidden="false"/>
    </xf>
    <xf numFmtId="164" fontId="33" fillId="9" borderId="18" xfId="0" applyFont="true" applyBorder="true" applyAlignment="false" applyProtection="true">
      <alignment horizontal="general" vertical="bottom" textRotation="0" wrapText="false" indent="0" shrinkToFit="false"/>
      <protection locked="false" hidden="false"/>
    </xf>
    <xf numFmtId="166" fontId="33" fillId="9" borderId="0" xfId="0" applyFont="true" applyBorder="true" applyAlignment="false" applyProtection="true">
      <alignment horizontal="general" vertical="bottom" textRotation="0" wrapText="false" indent="0" shrinkToFit="false"/>
      <protection locked="false" hidden="false"/>
    </xf>
    <xf numFmtId="168" fontId="33" fillId="9" borderId="0" xfId="15" applyFont="true" applyBorder="true" applyAlignment="true" applyProtection="true">
      <alignment horizontal="general" vertical="bottom" textRotation="0" wrapText="false" indent="0" shrinkToFit="false"/>
      <protection locked="false" hidden="false"/>
    </xf>
    <xf numFmtId="175" fontId="0" fillId="0" borderId="0" xfId="17" applyFont="true" applyBorder="true" applyAlignment="true" applyProtection="true">
      <alignment horizontal="general" vertical="bottom" textRotation="0" wrapText="false" indent="0" shrinkToFit="false"/>
      <protection locked="true" hidden="false"/>
    </xf>
    <xf numFmtId="175" fontId="0" fillId="0" borderId="19" xfId="17" applyFont="true" applyBorder="true" applyAlignment="true" applyProtection="true">
      <alignment horizontal="general" vertical="bottom" textRotation="0" wrapText="false" indent="0" shrinkToFit="false"/>
      <protection locked="true" hidden="false"/>
    </xf>
    <xf numFmtId="164" fontId="33" fillId="9" borderId="15" xfId="0" applyFont="true" applyBorder="true" applyAlignment="false" applyProtection="true">
      <alignment horizontal="general" vertical="bottom" textRotation="0" wrapText="false" indent="0" shrinkToFit="false"/>
      <protection locked="false" hidden="false"/>
    </xf>
    <xf numFmtId="166" fontId="33" fillId="9" borderId="9" xfId="0" applyFont="true" applyBorder="true" applyAlignment="false" applyProtection="true">
      <alignment horizontal="general" vertical="bottom" textRotation="0" wrapText="false" indent="0" shrinkToFit="false"/>
      <protection locked="false" hidden="false"/>
    </xf>
    <xf numFmtId="168" fontId="33" fillId="9" borderId="9" xfId="15" applyFont="true" applyBorder="true" applyAlignment="true" applyProtection="true">
      <alignment horizontal="general" vertical="bottom" textRotation="0" wrapText="false" indent="0" shrinkToFit="false"/>
      <protection locked="false" hidden="false"/>
    </xf>
    <xf numFmtId="175" fontId="0" fillId="0" borderId="9" xfId="17" applyFont="true" applyBorder="true" applyAlignment="true" applyProtection="true">
      <alignment horizontal="general" vertical="bottom" textRotation="0" wrapText="false" indent="0" shrinkToFit="false"/>
      <protection locked="true" hidden="false"/>
    </xf>
    <xf numFmtId="175" fontId="0" fillId="0" borderId="16" xfId="17" applyFont="true" applyBorder="true" applyAlignment="true" applyProtection="true">
      <alignment horizontal="general" vertical="bottom" textRotation="0" wrapText="false" indent="0" shrinkToFit="false"/>
      <protection locked="true" hidden="false"/>
    </xf>
    <xf numFmtId="164" fontId="5" fillId="3" borderId="13" xfId="0" applyFont="true" applyBorder="true" applyAlignment="true" applyProtection="false">
      <alignment horizontal="left" vertical="bottom" textRotation="0" wrapText="false" indent="15" shrinkToFit="false"/>
      <protection locked="true" hidden="false"/>
    </xf>
    <xf numFmtId="164" fontId="5" fillId="3" borderId="14" xfId="0" applyFont="true" applyBorder="true" applyAlignment="true" applyProtection="false">
      <alignment horizontal="left" vertical="bottom" textRotation="0" wrapText="false" indent="15"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0" fillId="5" borderId="2" xfId="0" applyFont="false" applyBorder="true" applyAlignment="false" applyProtection="false">
      <alignment horizontal="general" vertical="bottom" textRotation="0" wrapText="false" indent="0" shrinkToFit="false"/>
      <protection locked="true" hidden="false"/>
    </xf>
    <xf numFmtId="166" fontId="0" fillId="5" borderId="2" xfId="0" applyFont="false" applyBorder="true" applyAlignment="false" applyProtection="false">
      <alignment horizontal="general" vertical="bottom" textRotation="0" wrapText="false" indent="0" shrinkToFit="false"/>
      <protection locked="true" hidden="false"/>
    </xf>
    <xf numFmtId="166" fontId="0" fillId="5" borderId="3" xfId="0" applyFont="false" applyBorder="true" applyAlignment="false" applyProtection="false">
      <alignment horizontal="general" vertical="bottom" textRotation="0" wrapText="false" indent="0" shrinkToFit="false"/>
      <protection locked="true" hidden="false"/>
    </xf>
    <xf numFmtId="164" fontId="0" fillId="8" borderId="12" xfId="0" applyFont="false" applyBorder="true" applyAlignment="false" applyProtection="false">
      <alignment horizontal="general" vertical="bottom" textRotation="0" wrapText="false" indent="0" shrinkToFit="false"/>
      <protection locked="true" hidden="false"/>
    </xf>
    <xf numFmtId="164" fontId="0" fillId="8" borderId="13" xfId="0" applyFont="false" applyBorder="true" applyAlignment="false" applyProtection="false">
      <alignment horizontal="general" vertical="bottom" textRotation="0" wrapText="false" indent="0" shrinkToFit="false"/>
      <protection locked="true" hidden="false"/>
    </xf>
    <xf numFmtId="165" fontId="0" fillId="8" borderId="14" xfId="0" applyFont="true" applyBorder="true" applyAlignment="true" applyProtection="false">
      <alignment horizontal="right" vertical="bottom" textRotation="0" wrapText="false" indent="1" shrinkToFit="false"/>
      <protection locked="true" hidden="false"/>
    </xf>
    <xf numFmtId="165" fontId="33" fillId="9" borderId="13" xfId="0" applyFont="true" applyBorder="true" applyAlignment="true" applyProtection="true">
      <alignment horizontal="right" vertical="bottom" textRotation="0" wrapText="false" indent="1" shrinkToFit="false"/>
      <protection locked="false" hidden="false"/>
    </xf>
    <xf numFmtId="165" fontId="33" fillId="9" borderId="10" xfId="0" applyFont="true" applyBorder="true" applyAlignment="true" applyProtection="true">
      <alignment horizontal="right" vertical="bottom" textRotation="0" wrapText="false" indent="1" shrinkToFit="false"/>
      <protection locked="false" hidden="false"/>
    </xf>
    <xf numFmtId="164" fontId="0" fillId="8" borderId="18" xfId="0" applyFont="false" applyBorder="true" applyAlignment="false" applyProtection="false">
      <alignment horizontal="general" vertical="bottom" textRotation="0" wrapText="false" indent="0" shrinkToFit="false"/>
      <protection locked="true" hidden="false"/>
    </xf>
    <xf numFmtId="164" fontId="0" fillId="8" borderId="0" xfId="0" applyFont="false" applyBorder="true" applyAlignment="false" applyProtection="false">
      <alignment horizontal="general" vertical="bottom" textRotation="0" wrapText="false" indent="0" shrinkToFit="false"/>
      <protection locked="true" hidden="false"/>
    </xf>
    <xf numFmtId="165" fontId="0" fillId="8" borderId="19" xfId="0" applyFont="true" applyBorder="true" applyAlignment="true" applyProtection="false">
      <alignment horizontal="right" vertical="bottom" textRotation="0" wrapText="false" indent="1" shrinkToFit="false"/>
      <protection locked="true" hidden="false"/>
    </xf>
    <xf numFmtId="165" fontId="33" fillId="9" borderId="0" xfId="0" applyFont="true" applyBorder="true" applyAlignment="true" applyProtection="true">
      <alignment horizontal="right" vertical="bottom" textRotation="0" wrapText="false" indent="1" shrinkToFit="false"/>
      <protection locked="false" hidden="false"/>
    </xf>
    <xf numFmtId="165" fontId="33" fillId="9" borderId="11" xfId="0" applyFont="true" applyBorder="true" applyAlignment="true" applyProtection="true">
      <alignment horizontal="right" vertical="bottom" textRotation="0" wrapText="false" indent="1" shrinkToFit="false"/>
      <protection locked="false" hidden="false"/>
    </xf>
    <xf numFmtId="164" fontId="0" fillId="8" borderId="15" xfId="0" applyFont="false" applyBorder="true" applyAlignment="false" applyProtection="false">
      <alignment horizontal="general" vertical="bottom" textRotation="0" wrapText="false" indent="0" shrinkToFit="false"/>
      <protection locked="true" hidden="false"/>
    </xf>
    <xf numFmtId="164" fontId="0" fillId="8" borderId="9" xfId="0" applyFont="false" applyBorder="true" applyAlignment="false" applyProtection="false">
      <alignment horizontal="general" vertical="bottom" textRotation="0" wrapText="false" indent="0" shrinkToFit="false"/>
      <protection locked="true" hidden="false"/>
    </xf>
    <xf numFmtId="165" fontId="0" fillId="8" borderId="16" xfId="0" applyFont="true" applyBorder="true" applyAlignment="true" applyProtection="false">
      <alignment horizontal="right" vertical="bottom" textRotation="0" wrapText="false" indent="1" shrinkToFit="false"/>
      <protection locked="true" hidden="false"/>
    </xf>
    <xf numFmtId="165" fontId="33" fillId="9" borderId="9" xfId="0" applyFont="true" applyBorder="true" applyAlignment="true" applyProtection="true">
      <alignment horizontal="right" vertical="bottom" textRotation="0" wrapText="false" indent="1" shrinkToFit="false"/>
      <protection locked="false" hidden="false"/>
    </xf>
    <xf numFmtId="165" fontId="33" fillId="9" borderId="17" xfId="0" applyFont="true" applyBorder="true" applyAlignment="true" applyProtection="true">
      <alignment horizontal="right" vertical="bottom" textRotation="0" wrapText="false" indent="1" shrinkToFit="false"/>
      <protection locked="false" hidden="false"/>
    </xf>
    <xf numFmtId="164" fontId="5" fillId="3" borderId="1" xfId="0" applyFont="true" applyBorder="true" applyAlignment="true" applyProtection="false">
      <alignment horizontal="left" vertical="bottom" textRotation="0" wrapText="false" indent="15" shrinkToFit="false"/>
      <protection locked="true" hidden="false"/>
    </xf>
    <xf numFmtId="164" fontId="5" fillId="3" borderId="2" xfId="0" applyFont="true" applyBorder="true" applyAlignment="true" applyProtection="false">
      <alignment horizontal="left" vertical="bottom" textRotation="0" wrapText="false" indent="15" shrinkToFit="false"/>
      <protection locked="true" hidden="false"/>
    </xf>
    <xf numFmtId="164" fontId="5" fillId="3" borderId="3" xfId="0" applyFont="true" applyBorder="true" applyAlignment="true" applyProtection="false">
      <alignment horizontal="left" vertical="bottom" textRotation="0" wrapText="false" indent="15" shrinkToFit="false"/>
      <protection locked="true" hidden="false"/>
    </xf>
    <xf numFmtId="164" fontId="0" fillId="12" borderId="12" xfId="0" applyFont="true" applyBorder="true" applyAlignment="false" applyProtection="false">
      <alignment horizontal="general" vertical="bottom" textRotation="0" wrapText="false" indent="0" shrinkToFit="false"/>
      <protection locked="true" hidden="false"/>
    </xf>
    <xf numFmtId="164" fontId="0" fillId="12" borderId="13" xfId="0" applyFont="true" applyBorder="true" applyAlignment="false" applyProtection="false">
      <alignment horizontal="general" vertical="bottom" textRotation="0" wrapText="false" indent="0" shrinkToFit="false"/>
      <protection locked="true" hidden="false"/>
    </xf>
    <xf numFmtId="165" fontId="33" fillId="12" borderId="14" xfId="0" applyFont="true" applyBorder="true" applyAlignment="true" applyProtection="false">
      <alignment horizontal="right" vertical="bottom" textRotation="0" wrapText="false" indent="1" shrinkToFit="false"/>
      <protection locked="true" hidden="false"/>
    </xf>
    <xf numFmtId="165" fontId="33" fillId="9" borderId="14" xfId="0" applyFont="true" applyBorder="true" applyAlignment="true" applyProtection="true">
      <alignment horizontal="right" vertical="bottom" textRotation="0" wrapText="false" indent="1" shrinkToFit="false"/>
      <protection locked="fals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0" fillId="12" borderId="18" xfId="0" applyFont="true" applyBorder="true" applyAlignment="false" applyProtection="false">
      <alignment horizontal="general" vertical="bottom" textRotation="0" wrapText="false" indent="0" shrinkToFit="false"/>
      <protection locked="true" hidden="false"/>
    </xf>
    <xf numFmtId="164" fontId="0" fillId="12" borderId="0" xfId="0" applyFont="true" applyBorder="true" applyAlignment="false" applyProtection="false">
      <alignment horizontal="general" vertical="bottom" textRotation="0" wrapText="false" indent="0" shrinkToFit="false"/>
      <protection locked="true" hidden="false"/>
    </xf>
    <xf numFmtId="165" fontId="33" fillId="12" borderId="19" xfId="0" applyFont="true" applyBorder="true" applyAlignment="true" applyProtection="false">
      <alignment horizontal="right" vertical="bottom" textRotation="0" wrapText="false" indent="1" shrinkToFit="false"/>
      <protection locked="true" hidden="false"/>
    </xf>
    <xf numFmtId="165" fontId="33" fillId="9" borderId="18" xfId="0" applyFont="true" applyBorder="true" applyAlignment="true" applyProtection="true">
      <alignment horizontal="right" vertical="bottom" textRotation="0" wrapText="false" indent="1" shrinkToFit="false"/>
      <protection locked="false" hidden="false"/>
    </xf>
    <xf numFmtId="165" fontId="33" fillId="9" borderId="19" xfId="0" applyFont="true" applyBorder="true" applyAlignment="true" applyProtection="true">
      <alignment horizontal="right" vertical="bottom" textRotation="0" wrapText="false" indent="1" shrinkToFit="false"/>
      <protection locked="false" hidden="false"/>
    </xf>
    <xf numFmtId="164" fontId="0" fillId="12" borderId="15" xfId="0" applyFont="false" applyBorder="true" applyAlignment="false" applyProtection="false">
      <alignment horizontal="general" vertical="bottom" textRotation="0" wrapText="false" indent="0" shrinkToFit="false"/>
      <protection locked="true" hidden="false"/>
    </xf>
    <xf numFmtId="164" fontId="0" fillId="12" borderId="9" xfId="0" applyFont="false" applyBorder="true" applyAlignment="false" applyProtection="false">
      <alignment horizontal="general" vertical="bottom" textRotation="0" wrapText="false" indent="0" shrinkToFit="false"/>
      <protection locked="true" hidden="false"/>
    </xf>
    <xf numFmtId="165" fontId="33" fillId="12" borderId="16" xfId="0" applyFont="true" applyBorder="true" applyAlignment="true" applyProtection="false">
      <alignment horizontal="right" vertical="bottom" textRotation="0" wrapText="false" indent="1" shrinkToFit="false"/>
      <protection locked="true" hidden="false"/>
    </xf>
    <xf numFmtId="165" fontId="33" fillId="9" borderId="15" xfId="0" applyFont="true" applyBorder="true" applyAlignment="true" applyProtection="true">
      <alignment horizontal="right" vertical="bottom" textRotation="0" wrapText="false" indent="1" shrinkToFit="false"/>
      <protection locked="false" hidden="false"/>
    </xf>
    <xf numFmtId="165" fontId="33" fillId="9" borderId="16" xfId="0" applyFont="true" applyBorder="true" applyAlignment="true" applyProtection="true">
      <alignment horizontal="right" vertical="bottom" textRotation="0" wrapText="false" indent="1" shrinkToFit="false"/>
      <protection locked="false" hidden="false"/>
    </xf>
    <xf numFmtId="175" fontId="20" fillId="0" borderId="0" xfId="0" applyFont="true" applyBorder="true" applyAlignment="false" applyProtection="false">
      <alignment horizontal="general" vertical="bottom" textRotation="0" wrapText="false" indent="0" shrinkToFit="false"/>
      <protection locked="true" hidden="false"/>
    </xf>
    <xf numFmtId="164" fontId="44" fillId="0" borderId="0" xfId="0" applyFont="true" applyBorder="true" applyAlignment="false" applyProtection="false">
      <alignment horizontal="general" vertical="bottom" textRotation="0" wrapText="false" indent="0" shrinkToFit="false"/>
      <protection locked="true" hidden="false"/>
    </xf>
    <xf numFmtId="164" fontId="41" fillId="0" borderId="0" xfId="0" applyFont="true" applyBorder="true" applyAlignment="true" applyProtection="false">
      <alignment horizontal="right" vertical="bottom" textRotation="0" wrapText="false" indent="0" shrinkToFit="false"/>
      <protection locked="true" hidden="false"/>
    </xf>
    <xf numFmtId="164" fontId="33" fillId="9" borderId="24" xfId="0" applyFont="true" applyBorder="true" applyAlignment="true" applyProtection="true">
      <alignment horizontal="right" vertical="bottom" textRotation="0" wrapText="false" indent="0" shrinkToFit="false"/>
      <protection locked="false" hidden="false"/>
    </xf>
    <xf numFmtId="164" fontId="45" fillId="0" borderId="0" xfId="0" applyFont="true" applyBorder="true" applyAlignment="false" applyProtection="false">
      <alignment horizontal="general" vertical="bottom" textRotation="0" wrapText="false" indent="0" shrinkToFit="false"/>
      <protection locked="true" hidden="false"/>
    </xf>
    <xf numFmtId="164" fontId="46" fillId="0" borderId="0" xfId="0" applyFont="true" applyBorder="true" applyAlignment="true" applyProtection="false">
      <alignment horizontal="center" vertical="bottom" textRotation="0" wrapText="true" indent="0" shrinkToFit="false"/>
      <protection locked="true" hidden="false"/>
    </xf>
    <xf numFmtId="171" fontId="5" fillId="0" borderId="0" xfId="0" applyFont="true" applyBorder="true" applyAlignment="true" applyProtection="true">
      <alignment horizontal="right" vertical="bottom" textRotation="0" wrapText="false" indent="0" shrinkToFit="false"/>
      <protection locked="true" hidden="false"/>
    </xf>
    <xf numFmtId="164" fontId="47" fillId="2" borderId="12" xfId="0" applyFont="true" applyBorder="true" applyAlignment="true" applyProtection="false">
      <alignment horizontal="left" vertical="bottom" textRotation="0" wrapText="false" indent="0" shrinkToFit="false"/>
      <protection locked="true" hidden="false"/>
    </xf>
    <xf numFmtId="164" fontId="47" fillId="2" borderId="13" xfId="0" applyFont="true" applyBorder="true" applyAlignment="true" applyProtection="false">
      <alignment horizontal="right" vertical="bottom" textRotation="0" wrapText="false" indent="0" shrinkToFit="false"/>
      <protection locked="true" hidden="false"/>
    </xf>
    <xf numFmtId="176" fontId="47" fillId="2" borderId="13" xfId="0" applyFont="true" applyBorder="true" applyAlignment="true" applyProtection="false">
      <alignment horizontal="center" vertical="bottom" textRotation="0" wrapText="false" indent="0" shrinkToFit="false"/>
      <protection locked="true" hidden="false"/>
    </xf>
    <xf numFmtId="164" fontId="5" fillId="2" borderId="13" xfId="0" applyFont="true" applyBorder="true" applyAlignment="true" applyProtection="false">
      <alignment horizontal="center" vertical="bottom" textRotation="0" wrapText="false" indent="0" shrinkToFit="false"/>
      <protection locked="true" hidden="false"/>
    </xf>
    <xf numFmtId="171" fontId="5" fillId="2" borderId="13" xfId="19" applyFont="true" applyBorder="true" applyAlignment="true" applyProtection="true">
      <alignment horizontal="center" vertical="bottom" textRotation="0" wrapText="false" indent="0" shrinkToFit="false"/>
      <protection locked="true" hidden="false"/>
    </xf>
    <xf numFmtId="164" fontId="5" fillId="2" borderId="13" xfId="0" applyFont="true" applyBorder="true" applyAlignment="true" applyProtection="false">
      <alignment horizontal="center" vertical="bottom" textRotation="0" wrapText="true" indent="0" shrinkToFit="false"/>
      <protection locked="true" hidden="false"/>
    </xf>
    <xf numFmtId="164" fontId="47" fillId="2" borderId="13" xfId="0" applyFont="true" applyBorder="true" applyAlignment="true" applyProtection="false">
      <alignment horizontal="center" vertical="bottom" textRotation="0" wrapText="false" indent="0" shrinkToFit="false"/>
      <protection locked="true" hidden="false"/>
    </xf>
    <xf numFmtId="172" fontId="47" fillId="2" borderId="13" xfId="19" applyFont="true" applyBorder="true" applyAlignment="true" applyProtection="true">
      <alignment horizontal="center" vertical="bottom" textRotation="0" wrapText="true" indent="0" shrinkToFit="false"/>
      <protection locked="true" hidden="false"/>
    </xf>
    <xf numFmtId="175" fontId="6" fillId="0" borderId="0" xfId="0" applyFont="true" applyBorder="true" applyAlignment="true" applyProtection="false">
      <alignment horizontal="center" vertical="bottom" textRotation="0" wrapText="false" indent="0" shrinkToFit="false"/>
      <protection locked="true" hidden="false"/>
    </xf>
    <xf numFmtId="175" fontId="6"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48" fillId="0" borderId="0" xfId="0" applyFont="true" applyBorder="true" applyAlignment="false" applyProtection="false">
      <alignment horizontal="general" vertical="bottom" textRotation="0" wrapText="false" indent="0" shrinkToFit="false"/>
      <protection locked="true" hidden="false"/>
    </xf>
    <xf numFmtId="164" fontId="5" fillId="2" borderId="9" xfId="0" applyFont="true" applyBorder="true" applyAlignment="true" applyProtection="false">
      <alignment horizontal="left" vertical="bottom" textRotation="0" wrapText="false" indent="1" shrinkToFit="false"/>
      <protection locked="true" hidden="false"/>
    </xf>
    <xf numFmtId="164" fontId="5" fillId="2" borderId="9" xfId="0" applyFont="true" applyBorder="true" applyAlignment="true" applyProtection="false">
      <alignment horizontal="right" vertical="bottom" textRotation="0" wrapText="false" indent="15" shrinkToFit="false"/>
      <protection locked="true" hidden="false"/>
    </xf>
    <xf numFmtId="180" fontId="5" fillId="2" borderId="0" xfId="0" applyFont="true" applyBorder="true" applyAlignment="true" applyProtection="false">
      <alignment horizontal="right" vertical="bottom" textRotation="0" wrapText="false" indent="15" shrinkToFit="false"/>
      <protection locked="true" hidden="false"/>
    </xf>
    <xf numFmtId="172" fontId="5" fillId="2" borderId="0" xfId="0" applyFont="true" applyBorder="true" applyAlignment="true" applyProtection="true">
      <alignment horizontal="right" vertical="bottom" textRotation="0" wrapText="false" indent="15" shrinkToFit="false"/>
      <protection locked="true" hidden="false"/>
    </xf>
    <xf numFmtId="164" fontId="46" fillId="0" borderId="0" xfId="0" applyFont="true" applyBorder="true" applyAlignment="false" applyProtection="false">
      <alignment horizontal="general" vertical="bottom" textRotation="0" wrapText="false" indent="0" shrinkToFit="false"/>
      <protection locked="true" hidden="false"/>
    </xf>
    <xf numFmtId="174" fontId="5" fillId="0" borderId="0" xfId="0" applyFont="true" applyBorder="true" applyAlignment="true" applyProtection="true">
      <alignment horizontal="general" vertical="bottom" textRotation="0" wrapText="false" indent="0" shrinkToFit="false"/>
      <protection locked="true" hidden="false"/>
    </xf>
    <xf numFmtId="175" fontId="5" fillId="0" borderId="0" xfId="0" applyFont="true" applyBorder="true" applyAlignment="false" applyProtection="false">
      <alignment horizontal="general" vertical="bottom" textRotation="0" wrapText="false" indent="0" shrinkToFit="false"/>
      <protection locked="true" hidden="false"/>
    </xf>
    <xf numFmtId="164" fontId="33" fillId="8" borderId="12" xfId="0" applyFont="true" applyBorder="true" applyAlignment="true" applyProtection="false">
      <alignment horizontal="center" vertical="bottom" textRotation="0" wrapText="false" indent="0" shrinkToFit="false"/>
      <protection locked="true" hidden="false"/>
    </xf>
    <xf numFmtId="177" fontId="0" fillId="0" borderId="13" xfId="0" applyFont="true" applyBorder="true" applyAlignment="true" applyProtection="false">
      <alignment horizontal="left" vertical="bottom" textRotation="0" wrapText="false" indent="15" shrinkToFit="false"/>
      <protection locked="true" hidden="false"/>
    </xf>
    <xf numFmtId="181" fontId="20" fillId="5" borderId="0" xfId="0" applyFont="true" applyBorder="true" applyAlignment="true" applyProtection="false">
      <alignment horizontal="right" vertical="bottom" textRotation="0" wrapText="false" indent="15" shrinkToFit="false"/>
      <protection locked="true" hidden="false"/>
    </xf>
    <xf numFmtId="180" fontId="20" fillId="5" borderId="13" xfId="0" applyFont="true" applyBorder="true" applyAlignment="true" applyProtection="false">
      <alignment horizontal="right" vertical="bottom" textRotation="0" wrapText="false" indent="15" shrinkToFit="false"/>
      <protection locked="true" hidden="false"/>
    </xf>
    <xf numFmtId="172" fontId="20" fillId="5" borderId="14" xfId="0" applyFont="true" applyBorder="true" applyAlignment="true" applyProtection="true">
      <alignment horizontal="right" vertical="bottom" textRotation="0" wrapText="false" indent="15" shrinkToFit="false"/>
      <protection locked="true" hidden="false"/>
    </xf>
    <xf numFmtId="167" fontId="6" fillId="0" borderId="0" xfId="15" applyFont="true" applyBorder="true" applyAlignment="true" applyProtection="true">
      <alignment horizontal="general" vertical="bottom" textRotation="0" wrapText="false" indent="0" shrinkToFit="false"/>
      <protection locked="true" hidden="false"/>
    </xf>
    <xf numFmtId="164" fontId="33" fillId="8" borderId="18" xfId="0" applyFont="true" applyBorder="true" applyAlignment="true" applyProtection="false">
      <alignment horizontal="center" vertical="bottom" textRotation="0" wrapText="false" indent="0" shrinkToFit="false"/>
      <protection locked="true" hidden="false"/>
    </xf>
    <xf numFmtId="177" fontId="0" fillId="0" borderId="0" xfId="0" applyFont="true" applyBorder="true" applyAlignment="true" applyProtection="false">
      <alignment horizontal="left" vertical="bottom" textRotation="0" wrapText="false" indent="15" shrinkToFit="false"/>
      <protection locked="true" hidden="false"/>
    </xf>
    <xf numFmtId="180" fontId="20" fillId="5" borderId="0" xfId="0" applyFont="true" applyBorder="true" applyAlignment="true" applyProtection="false">
      <alignment horizontal="right" vertical="bottom" textRotation="0" wrapText="false" indent="15" shrinkToFit="false"/>
      <protection locked="true" hidden="false"/>
    </xf>
    <xf numFmtId="172" fontId="20" fillId="5" borderId="19" xfId="0" applyFont="true" applyBorder="true" applyAlignment="true" applyProtection="true">
      <alignment horizontal="right" vertical="bottom" textRotation="0" wrapText="false" indent="15" shrinkToFit="false"/>
      <protection locked="true" hidden="false"/>
    </xf>
    <xf numFmtId="164" fontId="33" fillId="8" borderId="15" xfId="0" applyFont="true" applyBorder="true" applyAlignment="true" applyProtection="false">
      <alignment horizontal="center" vertical="bottom" textRotation="0" wrapText="false" indent="0" shrinkToFit="false"/>
      <protection locked="true" hidden="false"/>
    </xf>
    <xf numFmtId="177" fontId="0" fillId="0" borderId="9" xfId="0" applyFont="true" applyBorder="true" applyAlignment="true" applyProtection="false">
      <alignment horizontal="left" vertical="bottom" textRotation="0" wrapText="false" indent="15" shrinkToFit="false"/>
      <protection locked="true" hidden="false"/>
    </xf>
    <xf numFmtId="181" fontId="20" fillId="5" borderId="9" xfId="0" applyFont="true" applyBorder="true" applyAlignment="true" applyProtection="false">
      <alignment horizontal="right" vertical="bottom" textRotation="0" wrapText="false" indent="15" shrinkToFit="false"/>
      <protection locked="true" hidden="false"/>
    </xf>
    <xf numFmtId="180" fontId="20" fillId="5" borderId="9" xfId="0" applyFont="true" applyBorder="true" applyAlignment="true" applyProtection="false">
      <alignment horizontal="right" vertical="bottom" textRotation="0" wrapText="false" indent="15" shrinkToFit="false"/>
      <protection locked="true" hidden="false"/>
    </xf>
    <xf numFmtId="172" fontId="20" fillId="5" borderId="16" xfId="0" applyFont="true" applyBorder="true" applyAlignment="true" applyProtection="true">
      <alignment horizontal="right" vertical="bottom" textRotation="0" wrapText="false" indent="15" shrinkToFit="false"/>
      <protection locked="true" hidden="false"/>
    </xf>
    <xf numFmtId="164" fontId="49" fillId="0" borderId="0" xfId="0" applyFont="true" applyBorder="true" applyAlignment="false" applyProtection="false">
      <alignment horizontal="general" vertical="bottom" textRotation="0" wrapText="false" indent="0" shrinkToFit="false"/>
      <protection locked="true" hidden="false"/>
    </xf>
    <xf numFmtId="164" fontId="32" fillId="0" borderId="0" xfId="0" applyFont="true" applyBorder="true" applyAlignment="false" applyProtection="false">
      <alignment horizontal="general" vertical="bottom" textRotation="0" wrapText="false" indent="0" shrinkToFit="false"/>
      <protection locked="true" hidden="false"/>
    </xf>
    <xf numFmtId="164" fontId="50" fillId="9" borderId="24" xfId="0" applyFont="true" applyBorder="true" applyAlignment="true" applyProtection="true">
      <alignment horizontal="right" vertical="bottom" textRotation="0" wrapText="false" indent="0" shrinkToFit="false"/>
      <protection locked="false" hidden="false"/>
    </xf>
    <xf numFmtId="166" fontId="6" fillId="0" borderId="0" xfId="0" applyFont="true" applyBorder="true" applyAlignment="false" applyProtection="false">
      <alignment horizontal="general" vertical="bottom" textRotation="0" wrapText="false" indent="0" shrinkToFit="false"/>
      <protection locked="true" hidden="false"/>
    </xf>
    <xf numFmtId="164" fontId="51" fillId="0" borderId="0" xfId="0" applyFont="true" applyBorder="true" applyAlignment="false" applyProtection="false">
      <alignment horizontal="general" vertical="bottom" textRotation="0" wrapText="false" indent="0" shrinkToFit="false"/>
      <protection locked="true" hidden="false"/>
    </xf>
    <xf numFmtId="164" fontId="47" fillId="3" borderId="12" xfId="0" applyFont="true" applyBorder="true" applyAlignment="true" applyProtection="false">
      <alignment horizontal="left" vertical="bottom" textRotation="0" wrapText="false" indent="0" shrinkToFit="false"/>
      <protection locked="true" hidden="false"/>
    </xf>
    <xf numFmtId="164" fontId="47" fillId="3" borderId="13" xfId="0" applyFont="true" applyBorder="true" applyAlignment="true" applyProtection="false">
      <alignment horizontal="right" vertical="bottom" textRotation="0" wrapText="false" indent="0" shrinkToFit="false"/>
      <protection locked="true" hidden="false"/>
    </xf>
    <xf numFmtId="176" fontId="47" fillId="3" borderId="13" xfId="0" applyFont="true" applyBorder="true" applyAlignment="true" applyProtection="false">
      <alignment horizontal="center" vertical="bottom" textRotation="0" wrapText="false" indent="0" shrinkToFit="false"/>
      <protection locked="true" hidden="false"/>
    </xf>
    <xf numFmtId="171" fontId="5" fillId="3" borderId="13" xfId="19" applyFont="true" applyBorder="true" applyAlignment="true" applyProtection="true">
      <alignment horizontal="center" vertical="bottom" textRotation="0" wrapText="false" indent="0" shrinkToFit="false"/>
      <protection locked="true" hidden="false"/>
    </xf>
    <xf numFmtId="164" fontId="5" fillId="3" borderId="13" xfId="0" applyFont="true" applyBorder="true" applyAlignment="true" applyProtection="false">
      <alignment horizontal="center" vertical="bottom" textRotation="0" wrapText="true" indent="0" shrinkToFit="false"/>
      <protection locked="true" hidden="false"/>
    </xf>
    <xf numFmtId="164" fontId="47" fillId="3" borderId="13" xfId="0" applyFont="true" applyBorder="true" applyAlignment="true" applyProtection="false">
      <alignment horizontal="center" vertical="bottom" textRotation="0" wrapText="false" indent="0" shrinkToFit="false"/>
      <protection locked="true" hidden="false"/>
    </xf>
    <xf numFmtId="164" fontId="52" fillId="3" borderId="13" xfId="0" applyFont="true" applyBorder="true" applyAlignment="false" applyProtection="false">
      <alignment horizontal="general" vertical="bottom" textRotation="0" wrapText="false" indent="0" shrinkToFit="false"/>
      <protection locked="true" hidden="false"/>
    </xf>
    <xf numFmtId="172" fontId="47" fillId="3" borderId="14" xfId="19" applyFont="true" applyBorder="true" applyAlignment="true" applyProtection="true">
      <alignment horizontal="center" vertical="bottom" textRotation="0" wrapText="false" indent="0" shrinkToFit="false"/>
      <protection locked="true" hidden="false"/>
    </xf>
    <xf numFmtId="164" fontId="53" fillId="0" borderId="0" xfId="0" applyFont="true" applyBorder="true" applyAlignment="false" applyProtection="false">
      <alignment horizontal="general" vertical="bottom" textRotation="0" wrapText="false" indent="0" shrinkToFit="false"/>
      <protection locked="true" hidden="false"/>
    </xf>
    <xf numFmtId="164" fontId="7" fillId="13" borderId="18" xfId="0" applyFont="true" applyBorder="true" applyAlignment="false" applyProtection="false">
      <alignment horizontal="general" vertical="bottom" textRotation="0" wrapText="false" indent="0" shrinkToFit="false"/>
      <protection locked="true" hidden="false"/>
    </xf>
    <xf numFmtId="164" fontId="5" fillId="13" borderId="0" xfId="0" applyFont="true" applyBorder="true" applyAlignment="false" applyProtection="false">
      <alignment horizontal="general" vertical="bottom" textRotation="0" wrapText="false" indent="0" shrinkToFit="false"/>
      <protection locked="true" hidden="false"/>
    </xf>
    <xf numFmtId="180" fontId="5" fillId="13" borderId="0" xfId="0" applyFont="true" applyBorder="true" applyAlignment="true" applyProtection="false">
      <alignment horizontal="right" vertical="bottom" textRotation="0" wrapText="false" indent="15" shrinkToFit="false"/>
      <protection locked="true" hidden="false"/>
    </xf>
    <xf numFmtId="176" fontId="5" fillId="13" borderId="0" xfId="0" applyFont="true" applyBorder="true" applyAlignment="true" applyProtection="false">
      <alignment horizontal="general" vertical="bottom" textRotation="0" wrapText="false" indent="0" shrinkToFit="false"/>
      <protection locked="true" hidden="false"/>
    </xf>
    <xf numFmtId="176" fontId="5" fillId="13" borderId="19" xfId="0" applyFont="true" applyBorder="true" applyAlignment="true" applyProtection="false">
      <alignment horizontal="center" vertical="bottom" textRotation="0" wrapText="false" indent="0" shrinkToFit="false"/>
      <protection locked="true" hidden="false"/>
    </xf>
    <xf numFmtId="164" fontId="0" fillId="6" borderId="10" xfId="0" applyFont="true" applyBorder="true" applyAlignment="true" applyProtection="false">
      <alignment horizontal="center" vertical="bottom" textRotation="0" wrapText="false" indent="0" shrinkToFit="false"/>
      <protection locked="true" hidden="false"/>
    </xf>
    <xf numFmtId="164" fontId="20" fillId="0" borderId="12" xfId="0" applyFont="true" applyBorder="true" applyAlignment="false" applyProtection="false">
      <alignment horizontal="general" vertical="bottom" textRotation="0" wrapText="false" indent="0" shrinkToFit="false"/>
      <protection locked="true" hidden="false"/>
    </xf>
    <xf numFmtId="164" fontId="20" fillId="0" borderId="13" xfId="0" applyFont="true" applyBorder="true" applyAlignment="true" applyProtection="false">
      <alignment horizontal="center" vertical="bottom" textRotation="0" wrapText="false" indent="0" shrinkToFit="false"/>
      <protection locked="true" hidden="false"/>
    </xf>
    <xf numFmtId="177" fontId="0" fillId="0" borderId="13" xfId="0" applyFont="true" applyBorder="true" applyAlignment="true" applyProtection="false">
      <alignment horizontal="right" vertical="bottom" textRotation="0" wrapText="false" indent="15" shrinkToFit="false"/>
      <protection locked="true" hidden="false"/>
    </xf>
    <xf numFmtId="178" fontId="0" fillId="0" borderId="13" xfId="0" applyFont="true" applyBorder="true" applyAlignment="true" applyProtection="false">
      <alignment horizontal="right" vertical="bottom" textRotation="0" wrapText="false" indent="15" shrinkToFit="false"/>
      <protection locked="true" hidden="false"/>
    </xf>
    <xf numFmtId="182" fontId="0" fillId="0" borderId="13" xfId="0" applyFont="true" applyBorder="true" applyAlignment="true" applyProtection="false">
      <alignment horizontal="right" vertical="bottom" textRotation="0" wrapText="false" indent="15" shrinkToFit="false"/>
      <protection locked="true" hidden="false"/>
    </xf>
    <xf numFmtId="180" fontId="0" fillId="0" borderId="0" xfId="0" applyFont="true" applyBorder="true" applyAlignment="true" applyProtection="false">
      <alignment horizontal="right" vertical="bottom" textRotation="0" wrapText="false" indent="15" shrinkToFit="false"/>
      <protection locked="true" hidden="false"/>
    </xf>
    <xf numFmtId="174" fontId="0" fillId="0" borderId="14" xfId="19" applyFont="true" applyBorder="true" applyAlignment="true" applyProtection="true">
      <alignment horizontal="center" vertical="bottom" textRotation="0" wrapText="false" indent="0" shrinkToFit="false"/>
      <protection locked="true" hidden="false"/>
    </xf>
    <xf numFmtId="164" fontId="0" fillId="6" borderId="11" xfId="0" applyFont="true" applyBorder="true" applyAlignment="true" applyProtection="false">
      <alignment horizontal="center" vertical="bottom" textRotation="0" wrapText="false" indent="0" shrinkToFit="false"/>
      <protection locked="true" hidden="false"/>
    </xf>
    <xf numFmtId="164" fontId="20" fillId="0" borderId="18" xfId="0" applyFont="true" applyBorder="true" applyAlignment="false" applyProtection="false">
      <alignment horizontal="general" vertical="bottom" textRotation="0" wrapText="false" indent="0" shrinkToFit="false"/>
      <protection locked="true" hidden="false"/>
    </xf>
    <xf numFmtId="177" fontId="0" fillId="0" borderId="0" xfId="0" applyFont="true" applyBorder="true" applyAlignment="true" applyProtection="false">
      <alignment horizontal="right" vertical="bottom" textRotation="0" wrapText="false" indent="15" shrinkToFit="false"/>
      <protection locked="true" hidden="false"/>
    </xf>
    <xf numFmtId="178" fontId="0" fillId="0" borderId="0" xfId="0" applyFont="true" applyBorder="true" applyAlignment="true" applyProtection="false">
      <alignment horizontal="right" vertical="bottom" textRotation="0" wrapText="false" indent="15" shrinkToFit="false"/>
      <protection locked="true" hidden="false"/>
    </xf>
    <xf numFmtId="182" fontId="0" fillId="0" borderId="0" xfId="0" applyFont="true" applyBorder="true" applyAlignment="true" applyProtection="false">
      <alignment horizontal="right" vertical="bottom" textRotation="0" wrapText="false" indent="15" shrinkToFit="false"/>
      <protection locked="true" hidden="false"/>
    </xf>
    <xf numFmtId="174" fontId="0" fillId="0" borderId="19" xfId="19" applyFont="true" applyBorder="true" applyAlignment="true" applyProtection="true">
      <alignment horizontal="center" vertical="bottom" textRotation="0" wrapText="false" indent="0" shrinkToFit="false"/>
      <protection locked="true" hidden="false"/>
    </xf>
    <xf numFmtId="164" fontId="0" fillId="6" borderId="17" xfId="0" applyFont="true" applyBorder="true" applyAlignment="true" applyProtection="false">
      <alignment horizontal="center" vertical="bottom" textRotation="0" wrapText="false" indent="0" shrinkToFit="false"/>
      <protection locked="true" hidden="false"/>
    </xf>
    <xf numFmtId="164" fontId="20" fillId="0" borderId="15" xfId="0" applyFont="true" applyBorder="true" applyAlignment="false" applyProtection="false">
      <alignment horizontal="general" vertical="bottom" textRotation="0" wrapText="false" indent="0" shrinkToFit="false"/>
      <protection locked="true" hidden="false"/>
    </xf>
    <xf numFmtId="164" fontId="20" fillId="0" borderId="9" xfId="0" applyFont="true" applyBorder="true" applyAlignment="true" applyProtection="false">
      <alignment horizontal="center" vertical="bottom" textRotation="0" wrapText="false" indent="0" shrinkToFit="false"/>
      <protection locked="true" hidden="false"/>
    </xf>
    <xf numFmtId="177" fontId="0" fillId="0" borderId="9" xfId="0" applyFont="true" applyBorder="true" applyAlignment="true" applyProtection="false">
      <alignment horizontal="right" vertical="bottom" textRotation="0" wrapText="false" indent="15" shrinkToFit="false"/>
      <protection locked="true" hidden="false"/>
    </xf>
    <xf numFmtId="178" fontId="0" fillId="0" borderId="9" xfId="0" applyFont="true" applyBorder="true" applyAlignment="true" applyProtection="false">
      <alignment horizontal="right" vertical="bottom" textRotation="0" wrapText="false" indent="15" shrinkToFit="false"/>
      <protection locked="true" hidden="false"/>
    </xf>
    <xf numFmtId="182" fontId="0" fillId="0" borderId="9" xfId="0" applyFont="true" applyBorder="true" applyAlignment="true" applyProtection="false">
      <alignment horizontal="right" vertical="bottom" textRotation="0" wrapText="false" indent="15" shrinkToFit="false"/>
      <protection locked="true" hidden="false"/>
    </xf>
    <xf numFmtId="180" fontId="0" fillId="0" borderId="9" xfId="0" applyFont="true" applyBorder="true" applyAlignment="true" applyProtection="false">
      <alignment horizontal="right" vertical="bottom" textRotation="0" wrapText="false" indent="15" shrinkToFit="false"/>
      <protection locked="true" hidden="false"/>
    </xf>
    <xf numFmtId="174" fontId="0" fillId="0" borderId="16" xfId="19" applyFont="true" applyBorder="true" applyAlignment="true" applyProtection="true">
      <alignment horizontal="center" vertical="bottom" textRotation="0" wrapText="false" indent="0" shrinkToFit="false"/>
      <protection locked="true" hidden="false"/>
    </xf>
    <xf numFmtId="164" fontId="54" fillId="0" borderId="0" xfId="0" applyFont="true" applyBorder="true" applyAlignment="false" applyProtection="false">
      <alignment horizontal="general" vertical="bottom" textRotation="0" wrapText="false" indent="0" shrinkToFit="false"/>
      <protection locked="true" hidden="false"/>
    </xf>
    <xf numFmtId="176" fontId="20" fillId="0" borderId="0" xfId="0" applyFont="true" applyBorder="true" applyAlignment="false" applyProtection="false">
      <alignment horizontal="general" vertical="bottom" textRotation="0" wrapText="false" indent="0" shrinkToFit="false"/>
      <protection locked="true" hidden="false"/>
    </xf>
    <xf numFmtId="172" fontId="20" fillId="0" borderId="0" xfId="0" applyFont="true" applyBorder="true" applyAlignment="true" applyProtection="true">
      <alignment horizontal="general" vertical="bottom" textRotation="0" wrapText="false" indent="0" shrinkToFit="false"/>
      <protection locked="true" hidden="false"/>
    </xf>
    <xf numFmtId="175" fontId="20" fillId="0" borderId="0" xfId="17" applyFont="true" applyBorder="true" applyAlignment="true" applyProtection="true">
      <alignment horizontal="center" vertical="bottom" textRotation="0" wrapText="false" indent="0" shrinkToFit="false"/>
      <protection locked="true" hidden="false"/>
    </xf>
    <xf numFmtId="171" fontId="0" fillId="0" borderId="0" xfId="19" applyFont="true" applyBorder="true" applyAlignment="true" applyProtection="true">
      <alignment horizontal="center" vertical="bottom" textRotation="0" wrapText="false" indent="0" shrinkToFit="false"/>
      <protection locked="true" hidden="false"/>
    </xf>
    <xf numFmtId="164" fontId="33" fillId="0" borderId="0" xfId="0" applyFont="true" applyBorder="true" applyAlignment="false" applyProtection="false">
      <alignment horizontal="general" vertical="bottom" textRotation="0" wrapText="false" indent="0" shrinkToFit="false"/>
      <protection locked="true" hidden="false"/>
    </xf>
    <xf numFmtId="176" fontId="0" fillId="0" borderId="0" xfId="0" applyFont="true" applyBorder="true" applyAlignment="false" applyProtection="false">
      <alignment horizontal="general" vertical="bottom" textRotation="0" wrapText="false" indent="0" shrinkToFit="false"/>
      <protection locked="true" hidden="false"/>
    </xf>
    <xf numFmtId="164" fontId="5" fillId="3" borderId="12" xfId="0" applyFont="true" applyBorder="true" applyAlignment="true" applyProtection="false">
      <alignment horizontal="left" vertical="bottom" textRotation="0" wrapText="false" indent="0" shrinkToFit="false"/>
      <protection locked="true" hidden="false"/>
    </xf>
    <xf numFmtId="164" fontId="5" fillId="3" borderId="13" xfId="0" applyFont="true" applyBorder="true" applyAlignment="true" applyProtection="false">
      <alignment horizontal="right" vertical="bottom" textRotation="0" wrapText="false" indent="0" shrinkToFit="false"/>
      <protection locked="true" hidden="false"/>
    </xf>
    <xf numFmtId="176" fontId="5" fillId="3" borderId="13" xfId="0" applyFont="true" applyBorder="true" applyAlignment="true" applyProtection="false">
      <alignment horizontal="center" vertical="bottom" textRotation="0" wrapText="false" indent="0" shrinkToFit="false"/>
      <protection locked="true" hidden="false"/>
    </xf>
    <xf numFmtId="164" fontId="0" fillId="13" borderId="18" xfId="0" applyFont="true" applyBorder="true" applyAlignment="false" applyProtection="false">
      <alignment horizontal="general" vertical="bottom" textRotation="0" wrapText="false" indent="0" shrinkToFit="false"/>
      <protection locked="true" hidden="false"/>
    </xf>
    <xf numFmtId="164" fontId="6" fillId="13" borderId="0" xfId="0" applyFont="true" applyBorder="true" applyAlignment="false" applyProtection="false">
      <alignment horizontal="general" vertical="bottom" textRotation="0" wrapText="false" indent="0" shrinkToFit="false"/>
      <protection locked="true" hidden="false"/>
    </xf>
    <xf numFmtId="164" fontId="0" fillId="6" borderId="12" xfId="0" applyFont="true" applyBorder="true" applyAlignment="true" applyProtection="false">
      <alignment horizontal="center" vertical="bottom" textRotation="0" wrapText="false" indent="0" shrinkToFit="false"/>
      <protection locked="true" hidden="false"/>
    </xf>
    <xf numFmtId="177" fontId="20" fillId="0" borderId="13" xfId="0" applyFont="true" applyBorder="true" applyAlignment="true" applyProtection="false">
      <alignment horizontal="right" vertical="bottom" textRotation="0" wrapText="false" indent="15" shrinkToFit="false"/>
      <protection locked="true" hidden="false"/>
    </xf>
    <xf numFmtId="164" fontId="0" fillId="6" borderId="18" xfId="0" applyFont="true" applyBorder="true" applyAlignment="true" applyProtection="false">
      <alignment horizontal="center" vertical="bottom" textRotation="0" wrapText="false" indent="0" shrinkToFit="false"/>
      <protection locked="true" hidden="false"/>
    </xf>
    <xf numFmtId="177" fontId="20" fillId="0" borderId="0" xfId="0" applyFont="true" applyBorder="true" applyAlignment="true" applyProtection="false">
      <alignment horizontal="right" vertical="bottom" textRotation="0" wrapText="false" indent="15" shrinkToFit="false"/>
      <protection locked="true" hidden="false"/>
    </xf>
    <xf numFmtId="175" fontId="20" fillId="0" borderId="0" xfId="17" applyFont="true" applyBorder="true" applyAlignment="true" applyProtection="true">
      <alignment horizontal="general" vertical="bottom" textRotation="0" wrapText="false" indent="0" shrinkToFit="false"/>
      <protection locked="true" hidden="false"/>
    </xf>
    <xf numFmtId="164" fontId="20" fillId="6" borderId="15" xfId="0" applyFont="true" applyBorder="true" applyAlignment="true" applyProtection="false">
      <alignment horizontal="center" vertical="bottom" textRotation="0" wrapText="false" indent="0" shrinkToFit="false"/>
      <protection locked="true" hidden="false"/>
    </xf>
    <xf numFmtId="177" fontId="20" fillId="0" borderId="9" xfId="0" applyFont="true" applyBorder="true" applyAlignment="true" applyProtection="false">
      <alignment horizontal="right" vertical="bottom" textRotation="0" wrapText="false" indent="15" shrinkToFit="false"/>
      <protection locked="true" hidden="false"/>
    </xf>
    <xf numFmtId="175" fontId="20" fillId="0" borderId="9" xfId="17" applyFont="true" applyBorder="true" applyAlignment="true" applyProtection="true">
      <alignment horizontal="general" vertical="bottom" textRotation="0" wrapText="false" indent="0" shrinkToFit="false"/>
      <protection locked="true" hidden="false"/>
    </xf>
    <xf numFmtId="164" fontId="33" fillId="4" borderId="0" xfId="0" applyFont="true" applyBorder="true" applyAlignment="false" applyProtection="false">
      <alignment horizontal="general" vertical="bottom" textRotation="0" wrapText="false" indent="0" shrinkToFit="false"/>
      <protection locked="true" hidden="false"/>
    </xf>
    <xf numFmtId="175" fontId="20" fillId="4" borderId="0" xfId="0" applyFont="true" applyBorder="true" applyAlignment="false" applyProtection="false">
      <alignment horizontal="general" vertical="bottom" textRotation="0" wrapText="false" indent="0" shrinkToFit="false"/>
      <protection locked="true" hidden="false"/>
    </xf>
    <xf numFmtId="176" fontId="20" fillId="4" borderId="0" xfId="0" applyFont="true" applyBorder="true" applyAlignment="false" applyProtection="false">
      <alignment horizontal="general" vertical="bottom" textRotation="0" wrapText="false" indent="0" shrinkToFit="false"/>
      <protection locked="true" hidden="false"/>
    </xf>
    <xf numFmtId="172" fontId="20" fillId="4" borderId="0" xfId="0" applyFont="true" applyBorder="true" applyAlignment="true" applyProtection="true">
      <alignment horizontal="general" vertical="bottom" textRotation="0" wrapText="false" indent="0" shrinkToFit="false"/>
      <protection locked="true" hidden="false"/>
    </xf>
    <xf numFmtId="175" fontId="20" fillId="4" borderId="0" xfId="17" applyFont="true" applyBorder="true" applyAlignment="true" applyProtection="true">
      <alignment horizontal="center" vertical="bottom" textRotation="0" wrapText="false" indent="0" shrinkToFit="false"/>
      <protection locked="true" hidden="false"/>
    </xf>
    <xf numFmtId="176" fontId="0" fillId="4" borderId="0" xfId="0" applyFont="true" applyBorder="true" applyAlignment="false" applyProtection="false">
      <alignment horizontal="general" vertical="bottom" textRotation="0" wrapText="false" indent="0" shrinkToFit="false"/>
      <protection locked="true" hidden="false"/>
    </xf>
    <xf numFmtId="171" fontId="0" fillId="4" borderId="0" xfId="19" applyFont="true" applyBorder="true" applyAlignment="true" applyProtection="true">
      <alignment horizontal="center" vertical="bottom" textRotation="0" wrapText="false" indent="0" shrinkToFit="false"/>
      <protection locked="true" hidden="false"/>
    </xf>
    <xf numFmtId="164" fontId="49" fillId="4" borderId="0" xfId="0" applyFont="true" applyBorder="true" applyAlignment="false" applyProtection="false">
      <alignment horizontal="general" vertical="bottom" textRotation="0" wrapText="false" indent="0" shrinkToFit="false"/>
      <protection locked="true" hidden="false"/>
    </xf>
    <xf numFmtId="164" fontId="33" fillId="5" borderId="0" xfId="0" applyFont="true" applyBorder="true" applyAlignment="false" applyProtection="false">
      <alignment horizontal="general" vertical="bottom" textRotation="0" wrapText="false" indent="0" shrinkToFit="false"/>
      <protection locked="true" hidden="false"/>
    </xf>
    <xf numFmtId="171" fontId="20" fillId="0" borderId="0" xfId="19" applyFont="true" applyBorder="true" applyAlignment="true" applyProtection="true">
      <alignment horizontal="center" vertical="bottom" textRotation="0" wrapText="false" indent="0" shrinkToFit="false"/>
      <protection locked="true" hidden="false"/>
    </xf>
    <xf numFmtId="164" fontId="55" fillId="5" borderId="0" xfId="0" applyFont="true" applyBorder="true" applyAlignment="true" applyProtection="false">
      <alignment horizontal="left" vertical="bottom" textRotation="0" wrapText="false" indent="0" shrinkToFit="false"/>
      <protection locked="true" hidden="false"/>
    </xf>
    <xf numFmtId="164" fontId="55" fillId="0" borderId="0" xfId="0" applyFont="true" applyBorder="true" applyAlignment="true" applyProtection="false">
      <alignment horizontal="right" vertical="bottom" textRotation="0" wrapText="false" indent="0" shrinkToFit="false"/>
      <protection locked="true" hidden="false"/>
    </xf>
    <xf numFmtId="174" fontId="55" fillId="0" borderId="0" xfId="19" applyFont="true" applyBorder="true" applyAlignment="true" applyProtection="true">
      <alignment horizontal="center" vertical="bottom" textRotation="0" wrapText="false" indent="0" shrinkToFit="false"/>
      <protection locked="true" hidden="false"/>
    </xf>
    <xf numFmtId="164" fontId="41" fillId="0" borderId="0" xfId="0" applyFont="true" applyBorder="true" applyAlignment="true" applyProtection="true">
      <alignment horizontal="center" vertical="bottom" textRotation="0" wrapText="true" indent="0" shrinkToFit="false"/>
      <protection locked="true" hidden="false"/>
    </xf>
    <xf numFmtId="176" fontId="55" fillId="0" borderId="0" xfId="0" applyFont="true" applyBorder="true" applyAlignment="true" applyProtection="false">
      <alignment horizontal="center" vertical="bottom" textRotation="0" wrapText="false" indent="0" shrinkToFit="false"/>
      <protection locked="true" hidden="false"/>
    </xf>
    <xf numFmtId="164" fontId="5" fillId="5" borderId="0" xfId="0" applyFont="true" applyBorder="true" applyAlignment="true" applyProtection="false">
      <alignment horizontal="center" vertical="bottom" textRotation="0" wrapText="false" indent="0" shrinkToFit="false"/>
      <protection locked="true" hidden="false"/>
    </xf>
    <xf numFmtId="164" fontId="42" fillId="0" borderId="0" xfId="0" applyFont="true" applyBorder="true" applyAlignment="true" applyProtection="false">
      <alignment horizontal="center" vertical="bottom" textRotation="0" wrapText="true" indent="0" shrinkToFit="false"/>
      <protection locked="true" hidden="false"/>
    </xf>
    <xf numFmtId="176" fontId="41" fillId="0" borderId="0" xfId="0" applyFont="true" applyBorder="true" applyAlignment="true" applyProtection="false">
      <alignment horizontal="center" vertical="center" textRotation="0" wrapText="true" indent="0" shrinkToFit="false"/>
      <protection locked="true" hidden="false"/>
    </xf>
    <xf numFmtId="176" fontId="41" fillId="0" borderId="0" xfId="0" applyFont="true" applyBorder="true" applyAlignment="true" applyProtection="false">
      <alignment horizontal="right" vertical="center" textRotation="0" wrapText="true" indent="0" shrinkToFit="false"/>
      <protection locked="true" hidden="false"/>
    </xf>
    <xf numFmtId="172" fontId="41" fillId="0" borderId="0" xfId="19" applyFont="true" applyBorder="true" applyAlignment="true" applyProtection="true">
      <alignment horizontal="right" vertical="center" textRotation="0" wrapText="false" indent="0" shrinkToFit="false"/>
      <protection locked="true" hidden="false"/>
    </xf>
    <xf numFmtId="172" fontId="41" fillId="0" borderId="0" xfId="19" applyFont="true" applyBorder="true" applyAlignment="true" applyProtection="true">
      <alignment horizontal="center" vertical="center" textRotation="0" wrapText="false" indent="0" shrinkToFit="false"/>
      <protection locked="true" hidden="false"/>
    </xf>
    <xf numFmtId="176" fontId="20" fillId="0" borderId="0" xfId="0" applyFont="true" applyBorder="true" applyAlignment="true" applyProtection="false">
      <alignment horizontal="right" vertical="bottom" textRotation="0" wrapText="false" indent="15" shrinkToFit="false"/>
      <protection locked="true" hidden="false"/>
    </xf>
    <xf numFmtId="176" fontId="20" fillId="0" borderId="0" xfId="0" applyFont="true" applyBorder="true" applyAlignment="true" applyProtection="false">
      <alignment horizontal="center" vertical="bottom" textRotation="0" wrapText="false" indent="0" shrinkToFit="false"/>
      <protection locked="true" hidden="false"/>
    </xf>
    <xf numFmtId="174" fontId="20" fillId="0" borderId="0" xfId="0" applyFont="true" applyBorder="true" applyAlignment="true" applyProtection="true">
      <alignment horizontal="general" vertical="bottom" textRotation="0" wrapText="false" indent="0" shrinkToFit="false"/>
      <protection locked="true" hidden="false"/>
    </xf>
    <xf numFmtId="176" fontId="0" fillId="0" borderId="0" xfId="17" applyFont="true" applyBorder="true" applyAlignment="true" applyProtection="true">
      <alignment horizontal="general" vertical="bottom" textRotation="0" wrapText="false" indent="0" shrinkToFit="false"/>
      <protection locked="true" hidden="false"/>
    </xf>
    <xf numFmtId="171" fontId="0" fillId="0" borderId="0" xfId="19" applyFont="true" applyBorder="true" applyAlignment="true" applyProtection="true">
      <alignment horizontal="right" vertical="bottom" textRotation="0" wrapText="false" indent="15" shrinkToFit="false"/>
      <protection locked="true" hidden="false"/>
    </xf>
    <xf numFmtId="167" fontId="49" fillId="0" borderId="0" xfId="15" applyFont="true" applyBorder="true" applyAlignment="true" applyProtection="true">
      <alignment horizontal="general" vertical="bottom" textRotation="0" wrapText="false" indent="0" shrinkToFit="false"/>
      <protection locked="true" hidden="false"/>
    </xf>
    <xf numFmtId="183" fontId="20" fillId="0" borderId="0" xfId="17" applyFont="true" applyBorder="true" applyAlignment="true" applyProtection="true">
      <alignment horizontal="center" vertical="bottom" textRotation="0" wrapText="false" indent="0" shrinkToFit="false"/>
      <protection locked="true" hidden="false"/>
    </xf>
    <xf numFmtId="183" fontId="20" fillId="0" borderId="0" xfId="0" applyFont="true" applyBorder="true" applyAlignment="true" applyProtection="false">
      <alignment horizontal="center" vertical="bottom" textRotation="0" wrapText="false" indent="0" shrinkToFit="false"/>
      <protection locked="true" hidden="false"/>
    </xf>
    <xf numFmtId="172" fontId="20" fillId="0" borderId="0" xfId="19" applyFont="true" applyBorder="true" applyAlignment="true" applyProtection="tru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7" fillId="7"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72" fontId="0" fillId="0" borderId="0" xfId="19" applyFont="true" applyBorder="true" applyAlignment="true" applyProtection="true">
      <alignment horizontal="general" vertical="bottom" textRotation="0" wrapText="false" indent="0" shrinkToFit="false"/>
      <protection locked="true" hidden="false"/>
    </xf>
    <xf numFmtId="174" fontId="0" fillId="0" borderId="0" xfId="19" applyFont="true" applyBorder="true" applyAlignment="true" applyProtection="true">
      <alignment horizontal="general" vertical="bottom" textRotation="0" wrapText="false" indent="0" shrinkToFit="false"/>
      <protection locked="true" hidden="false"/>
    </xf>
    <xf numFmtId="171" fontId="0" fillId="0" borderId="0" xfId="19" applyFont="true" applyBorder="true" applyAlignment="true" applyProtection="true">
      <alignment horizontal="general" vertical="bottom" textRotation="0" wrapText="false" indent="0" shrinkToFit="false"/>
      <protection locked="true" hidden="false"/>
    </xf>
    <xf numFmtId="171" fontId="0" fillId="0" borderId="0" xfId="0" applyFont="false" applyBorder="false" applyAlignment="false" applyProtection="false">
      <alignment horizontal="general" vertical="bottom" textRotation="0" wrapText="false" indent="0" shrinkToFit="false"/>
      <protection locked="true" hidden="false"/>
    </xf>
    <xf numFmtId="175" fontId="0" fillId="0" borderId="0" xfId="0" applyFont="false" applyBorder="false" applyAlignment="false" applyProtection="false">
      <alignment horizontal="general" vertical="bottom" textRotation="0" wrapText="false" indent="0" shrinkToFit="false"/>
      <protection locked="true" hidden="false"/>
    </xf>
    <xf numFmtId="172" fontId="0" fillId="0" borderId="12" xfId="19" applyFont="true" applyBorder="true" applyAlignment="true" applyProtection="true">
      <alignment horizontal="general" vertical="bottom" textRotation="0" wrapText="false" indent="0" shrinkToFit="false"/>
      <protection locked="true" hidden="false"/>
    </xf>
    <xf numFmtId="172" fontId="0" fillId="0" borderId="13" xfId="19" applyFont="true" applyBorder="true" applyAlignment="true" applyProtection="true">
      <alignment horizontal="general" vertical="bottom" textRotation="0" wrapText="false" indent="0" shrinkToFit="false"/>
      <protection locked="true" hidden="false"/>
    </xf>
    <xf numFmtId="172" fontId="0" fillId="0" borderId="14" xfId="19" applyFont="true" applyBorder="true" applyAlignment="true" applyProtection="true">
      <alignment horizontal="general" vertical="bottom" textRotation="0" wrapText="false" indent="0" shrinkToFit="false"/>
      <protection locked="true" hidden="false"/>
    </xf>
    <xf numFmtId="172" fontId="0" fillId="0" borderId="18" xfId="19" applyFont="true" applyBorder="true" applyAlignment="true" applyProtection="true">
      <alignment horizontal="general" vertical="bottom" textRotation="0" wrapText="false" indent="0" shrinkToFit="false"/>
      <protection locked="true" hidden="false"/>
    </xf>
    <xf numFmtId="172" fontId="0" fillId="0" borderId="19" xfId="19" applyFont="true" applyBorder="true" applyAlignment="true" applyProtection="true">
      <alignment horizontal="general" vertical="bottom" textRotation="0" wrapText="false" indent="0" shrinkToFit="false"/>
      <protection locked="true" hidden="false"/>
    </xf>
    <xf numFmtId="172" fontId="0" fillId="0" borderId="15" xfId="19" applyFont="true" applyBorder="true" applyAlignment="true" applyProtection="true">
      <alignment horizontal="general" vertical="bottom" textRotation="0" wrapText="false" indent="0" shrinkToFit="false"/>
      <protection locked="true" hidden="false"/>
    </xf>
    <xf numFmtId="172" fontId="0" fillId="0" borderId="9" xfId="19" applyFont="true" applyBorder="true" applyAlignment="true" applyProtection="true">
      <alignment horizontal="general" vertical="bottom" textRotation="0" wrapText="false" indent="0" shrinkToFit="false"/>
      <protection locked="true" hidden="false"/>
    </xf>
    <xf numFmtId="172" fontId="0" fillId="0" borderId="16" xfId="19" applyFont="true" applyBorder="true" applyAlignment="true" applyProtection="true">
      <alignment horizontal="general" vertical="bottom" textRotation="0" wrapText="false" indent="0" shrinkToFit="false"/>
      <protection locked="true" hidden="false"/>
    </xf>
    <xf numFmtId="166" fontId="0" fillId="5" borderId="12" xfId="0" applyFont="false" applyBorder="true" applyAlignment="false" applyProtection="false">
      <alignment horizontal="general" vertical="bottom" textRotation="0" wrapText="false" indent="0" shrinkToFit="false"/>
      <protection locked="true" hidden="false"/>
    </xf>
    <xf numFmtId="165" fontId="0" fillId="5" borderId="13" xfId="0" applyFont="false" applyBorder="true" applyAlignment="true" applyProtection="false">
      <alignment horizontal="right" vertical="bottom" textRotation="0" wrapText="false" indent="15" shrinkToFit="false"/>
      <protection locked="true" hidden="false"/>
    </xf>
    <xf numFmtId="164" fontId="0" fillId="5" borderId="13" xfId="0" applyFont="false" applyBorder="true" applyAlignment="true" applyProtection="false">
      <alignment horizontal="right" vertical="bottom" textRotation="0" wrapText="false" indent="15" shrinkToFit="false"/>
      <protection locked="true" hidden="false"/>
    </xf>
    <xf numFmtId="172" fontId="0" fillId="5" borderId="13" xfId="19" applyFont="true" applyBorder="true" applyAlignment="true" applyProtection="true">
      <alignment horizontal="right" vertical="bottom" textRotation="0" wrapText="false" indent="15" shrinkToFit="false"/>
      <protection locked="true" hidden="false"/>
    </xf>
    <xf numFmtId="172" fontId="0" fillId="5" borderId="14" xfId="19" applyFont="true" applyBorder="true" applyAlignment="true" applyProtection="true">
      <alignment horizontal="right" vertical="bottom" textRotation="0" wrapText="false" indent="15" shrinkToFit="false"/>
      <protection locked="true" hidden="false"/>
    </xf>
    <xf numFmtId="166" fontId="0" fillId="5" borderId="18" xfId="0" applyFont="false" applyBorder="true" applyAlignment="false" applyProtection="false">
      <alignment horizontal="general" vertical="bottom" textRotation="0" wrapText="false" indent="0" shrinkToFit="false"/>
      <protection locked="true" hidden="false"/>
    </xf>
    <xf numFmtId="165" fontId="0" fillId="5" borderId="0" xfId="0" applyFont="false" applyBorder="true" applyAlignment="true" applyProtection="false">
      <alignment horizontal="right" vertical="bottom" textRotation="0" wrapText="false" indent="15" shrinkToFit="false"/>
      <protection locked="true" hidden="false"/>
    </xf>
    <xf numFmtId="172" fontId="0" fillId="5" borderId="0" xfId="19" applyFont="true" applyBorder="true" applyAlignment="true" applyProtection="true">
      <alignment horizontal="right" vertical="bottom" textRotation="0" wrapText="false" indent="15" shrinkToFit="false"/>
      <protection locked="true" hidden="false"/>
    </xf>
    <xf numFmtId="174" fontId="0" fillId="5" borderId="0" xfId="19" applyFont="true" applyBorder="true" applyAlignment="true" applyProtection="true">
      <alignment horizontal="right" vertical="bottom" textRotation="0" wrapText="false" indent="15" shrinkToFit="false"/>
      <protection locked="true" hidden="false"/>
    </xf>
    <xf numFmtId="172" fontId="0" fillId="5" borderId="19" xfId="19" applyFont="true" applyBorder="true" applyAlignment="true" applyProtection="true">
      <alignment horizontal="right" vertical="bottom" textRotation="0" wrapText="false" indent="15" shrinkToFit="false"/>
      <protection locked="true" hidden="false"/>
    </xf>
    <xf numFmtId="166" fontId="0" fillId="5" borderId="15" xfId="0" applyFont="false" applyBorder="true" applyAlignment="false" applyProtection="false">
      <alignment horizontal="general" vertical="bottom" textRotation="0" wrapText="false" indent="0" shrinkToFit="false"/>
      <protection locked="true" hidden="false"/>
    </xf>
    <xf numFmtId="165" fontId="0" fillId="5" borderId="9" xfId="0" applyFont="false" applyBorder="true" applyAlignment="true" applyProtection="false">
      <alignment horizontal="right" vertical="bottom" textRotation="0" wrapText="false" indent="15" shrinkToFit="false"/>
      <protection locked="true" hidden="false"/>
    </xf>
    <xf numFmtId="172" fontId="0" fillId="5" borderId="9" xfId="19" applyFont="true" applyBorder="true" applyAlignment="true" applyProtection="true">
      <alignment horizontal="right" vertical="bottom" textRotation="0" wrapText="false" indent="15" shrinkToFit="false"/>
      <protection locked="true" hidden="false"/>
    </xf>
    <xf numFmtId="174" fontId="0" fillId="5" borderId="9" xfId="19" applyFont="true" applyBorder="true" applyAlignment="true" applyProtection="true">
      <alignment horizontal="right" vertical="bottom" textRotation="0" wrapText="false" indent="15" shrinkToFit="false"/>
      <protection locked="true" hidden="false"/>
    </xf>
    <xf numFmtId="172" fontId="0" fillId="5" borderId="16" xfId="19" applyFont="true" applyBorder="true" applyAlignment="true" applyProtection="true">
      <alignment horizontal="right" vertical="bottom" textRotation="0" wrapText="false" indent="15" shrinkToFit="false"/>
      <protection locked="true" hidden="false"/>
    </xf>
    <xf numFmtId="164" fontId="6" fillId="3" borderId="18" xfId="0" applyFont="true" applyBorder="true" applyAlignment="false" applyProtection="false">
      <alignment horizontal="general" vertical="bottom" textRotation="0" wrapText="false" indent="0" shrinkToFit="false"/>
      <protection locked="true" hidden="false"/>
    </xf>
    <xf numFmtId="164" fontId="6" fillId="3" borderId="19" xfId="0" applyFont="true" applyBorder="true" applyAlignment="false" applyProtection="false">
      <alignment horizontal="general" vertical="bottom" textRotation="0" wrapText="false" indent="0" shrinkToFit="false"/>
      <protection locked="true" hidden="false"/>
    </xf>
    <xf numFmtId="165" fontId="6" fillId="3" borderId="0" xfId="0" applyFont="true" applyBorder="true" applyAlignment="true" applyProtection="false">
      <alignment horizontal="left" vertical="bottom" textRotation="0" wrapText="false" indent="15" shrinkToFit="false"/>
      <protection locked="true" hidden="false"/>
    </xf>
    <xf numFmtId="165" fontId="6" fillId="3" borderId="0" xfId="15" applyFont="true" applyBorder="true" applyAlignment="true" applyProtection="true">
      <alignment horizontal="left" vertical="bottom" textRotation="0" wrapText="false" indent="15" shrinkToFit="false"/>
      <protection locked="true" hidden="false"/>
    </xf>
    <xf numFmtId="164" fontId="6" fillId="3" borderId="15" xfId="0" applyFont="true" applyBorder="true" applyAlignment="false" applyProtection="false">
      <alignment horizontal="general" vertical="bottom" textRotation="0" wrapText="false" indent="0" shrinkToFit="false"/>
      <protection locked="true" hidden="false"/>
    </xf>
    <xf numFmtId="164" fontId="6" fillId="3" borderId="9" xfId="0" applyFont="true" applyBorder="true" applyAlignment="false" applyProtection="false">
      <alignment horizontal="general" vertical="bottom" textRotation="0" wrapText="false" indent="0" shrinkToFit="false"/>
      <protection locked="true" hidden="false"/>
    </xf>
    <xf numFmtId="172" fontId="6" fillId="3" borderId="9" xfId="19" applyFont="true" applyBorder="true" applyAlignment="true" applyProtection="true">
      <alignment horizontal="left" vertical="bottom" textRotation="0" wrapText="false" indent="15" shrinkToFit="false"/>
      <protection locked="true" hidden="false"/>
    </xf>
    <xf numFmtId="164" fontId="6" fillId="3" borderId="16" xfId="0" applyFont="true" applyBorder="true" applyAlignment="false" applyProtection="false">
      <alignment horizontal="general" vertical="bottom" textRotation="0" wrapText="false" indent="0" shrinkToFit="false"/>
      <protection locked="true" hidden="false"/>
    </xf>
    <xf numFmtId="166" fontId="33" fillId="9" borderId="0" xfId="0" applyFont="true" applyBorder="false" applyAlignment="false" applyProtection="false">
      <alignment horizontal="general" vertical="bottom" textRotation="0" wrapText="false" indent="0" shrinkToFit="false"/>
      <protection locked="true" hidden="false"/>
    </xf>
    <xf numFmtId="176" fontId="0" fillId="0" borderId="0" xfId="0" applyFont="false" applyBorder="false" applyAlignment="false" applyProtection="false">
      <alignment horizontal="general" vertical="bottom" textRotation="0" wrapText="false" indent="0" shrinkToFit="false"/>
      <protection locked="true" hidden="false"/>
    </xf>
    <xf numFmtId="164" fontId="6" fillId="3" borderId="12" xfId="0" applyFont="true" applyBorder="true" applyAlignment="false" applyProtection="false">
      <alignment horizontal="general" vertical="bottom" textRotation="0" wrapText="false" indent="0" shrinkToFit="false"/>
      <protection locked="true" hidden="false"/>
    </xf>
    <xf numFmtId="164" fontId="6" fillId="3" borderId="13" xfId="0" applyFont="true" applyBorder="true" applyAlignment="false" applyProtection="false">
      <alignment horizontal="general" vertical="bottom" textRotation="0" wrapText="false" indent="0" shrinkToFit="false"/>
      <protection locked="true" hidden="false"/>
    </xf>
    <xf numFmtId="164" fontId="6" fillId="13" borderId="12" xfId="0" applyFont="true" applyBorder="true" applyAlignment="false" applyProtection="false">
      <alignment horizontal="general" vertical="bottom" textRotation="0" wrapText="false" indent="0" shrinkToFit="false"/>
      <protection locked="true" hidden="false"/>
    </xf>
    <xf numFmtId="164" fontId="6" fillId="13" borderId="13" xfId="0" applyFont="true" applyBorder="true" applyAlignment="false" applyProtection="false">
      <alignment horizontal="general" vertical="bottom" textRotation="0" wrapText="false" indent="0" shrinkToFit="false"/>
      <protection locked="true" hidden="false"/>
    </xf>
    <xf numFmtId="164" fontId="6" fillId="13" borderId="14" xfId="0" applyFont="true" applyBorder="true" applyAlignment="false" applyProtection="false">
      <alignment horizontal="general" vertical="bottom" textRotation="0" wrapText="false" indent="0" shrinkToFit="false"/>
      <protection locked="true" hidden="false"/>
    </xf>
    <xf numFmtId="164" fontId="6" fillId="13" borderId="0" xfId="0" applyFont="true" applyBorder="false" applyAlignment="false" applyProtection="false">
      <alignment horizontal="general" vertical="bottom" textRotation="0" wrapText="false" indent="0" shrinkToFit="false"/>
      <protection locked="true" hidden="false"/>
    </xf>
    <xf numFmtId="164" fontId="6" fillId="13" borderId="18" xfId="0" applyFont="true" applyBorder="true" applyAlignment="false" applyProtection="false">
      <alignment horizontal="general" vertical="bottom" textRotation="0" wrapText="false" indent="0" shrinkToFit="false"/>
      <protection locked="true" hidden="false"/>
    </xf>
    <xf numFmtId="164" fontId="6" fillId="13" borderId="19" xfId="0" applyFont="true" applyBorder="true" applyAlignment="false" applyProtection="false">
      <alignment horizontal="general" vertical="bottom" textRotation="0" wrapText="false" indent="0" shrinkToFit="false"/>
      <protection locked="true" hidden="false"/>
    </xf>
    <xf numFmtId="168" fontId="0" fillId="7" borderId="0" xfId="15" applyFont="true" applyBorder="true" applyAlignment="true" applyProtection="true">
      <alignment horizontal="general" vertical="bottom" textRotation="0" wrapText="false" indent="0" shrinkToFit="false"/>
      <protection locked="true" hidden="false"/>
    </xf>
    <xf numFmtId="175" fontId="0" fillId="7" borderId="0" xfId="17" applyFont="true" applyBorder="true" applyAlignment="true" applyProtection="true">
      <alignment horizontal="general" vertical="bottom" textRotation="0" wrapText="false" indent="0" shrinkToFit="false"/>
      <protection locked="true" hidden="false"/>
    </xf>
    <xf numFmtId="176" fontId="0" fillId="7" borderId="0" xfId="17" applyFont="true" applyBorder="true" applyAlignment="true" applyProtection="true">
      <alignment horizontal="general" vertical="bottom" textRotation="0" wrapText="false" indent="0" shrinkToFit="false"/>
      <protection locked="true" hidden="false"/>
    </xf>
    <xf numFmtId="171" fontId="0" fillId="7" borderId="0" xfId="19" applyFont="true" applyBorder="true" applyAlignment="true" applyProtection="true">
      <alignment horizontal="general" vertical="bottom" textRotation="0" wrapText="false" indent="0" shrinkToFit="false"/>
      <protection locked="true" hidden="false"/>
    </xf>
    <xf numFmtId="175" fontId="0" fillId="6" borderId="0" xfId="17" applyFont="true" applyBorder="true" applyAlignment="true" applyProtection="true">
      <alignment horizontal="general" vertical="bottom" textRotation="0" wrapText="false" indent="0" shrinkToFit="false"/>
      <protection locked="true" hidden="false"/>
    </xf>
    <xf numFmtId="176" fontId="0" fillId="6" borderId="0" xfId="17" applyFont="true" applyBorder="true" applyAlignment="true" applyProtection="true">
      <alignment horizontal="general" vertical="bottom" textRotation="0" wrapText="false" indent="0" shrinkToFit="false"/>
      <protection locked="true" hidden="false"/>
    </xf>
    <xf numFmtId="171" fontId="0" fillId="6" borderId="19" xfId="19" applyFont="true" applyBorder="true" applyAlignment="true" applyProtection="true">
      <alignment horizontal="general" vertical="bottom" textRotation="0" wrapText="false" indent="0" shrinkToFit="false"/>
      <protection locked="true" hidden="false"/>
    </xf>
    <xf numFmtId="168" fontId="0" fillId="7" borderId="18" xfId="15" applyFont="true" applyBorder="true" applyAlignment="true" applyProtection="true">
      <alignment horizontal="general" vertical="bottom" textRotation="0" wrapText="false" indent="0" shrinkToFit="false"/>
      <protection locked="true" hidden="false"/>
    </xf>
    <xf numFmtId="171" fontId="0" fillId="7" borderId="19" xfId="19" applyFont="true" applyBorder="true" applyAlignment="true" applyProtection="true">
      <alignment horizontal="general" vertical="bottom" textRotation="0" wrapText="false" indent="0" shrinkToFit="false"/>
      <protection locked="true" hidden="false"/>
    </xf>
    <xf numFmtId="171" fontId="0" fillId="6" borderId="0" xfId="19" applyFont="true" applyBorder="true" applyAlignment="true" applyProtection="true">
      <alignment horizontal="general" vertical="bottom" textRotation="0" wrapText="false" indent="0" shrinkToFit="false"/>
      <protection locked="true" hidden="false"/>
    </xf>
    <xf numFmtId="168" fontId="0" fillId="6" borderId="18" xfId="15" applyFont="true" applyBorder="true" applyAlignment="true" applyProtection="true">
      <alignment horizontal="general" vertical="bottom" textRotation="0" wrapText="false" indent="0" shrinkToFit="false"/>
      <protection locked="true" hidden="false"/>
    </xf>
    <xf numFmtId="168" fontId="0" fillId="6" borderId="0" xfId="15" applyFont="true" applyBorder="true" applyAlignment="true" applyProtection="true">
      <alignment horizontal="general" vertical="bottom" textRotation="0" wrapText="false" indent="0" shrinkToFit="false"/>
      <protection locked="true" hidden="false"/>
    </xf>
    <xf numFmtId="168" fontId="0" fillId="7" borderId="9" xfId="15" applyFont="true" applyBorder="true" applyAlignment="true" applyProtection="true">
      <alignment horizontal="general" vertical="bottom" textRotation="0" wrapText="false" indent="0" shrinkToFit="false"/>
      <protection locked="true" hidden="false"/>
    </xf>
    <xf numFmtId="175" fontId="0" fillId="7" borderId="9" xfId="17" applyFont="true" applyBorder="true" applyAlignment="true" applyProtection="true">
      <alignment horizontal="general" vertical="bottom" textRotation="0" wrapText="false" indent="0" shrinkToFit="false"/>
      <protection locked="true" hidden="false"/>
    </xf>
    <xf numFmtId="176" fontId="0" fillId="7" borderId="9" xfId="17" applyFont="true" applyBorder="true" applyAlignment="true" applyProtection="true">
      <alignment horizontal="general" vertical="bottom" textRotation="0" wrapText="false" indent="0" shrinkToFit="false"/>
      <protection locked="true" hidden="false"/>
    </xf>
    <xf numFmtId="171" fontId="0" fillId="7" borderId="9" xfId="19" applyFont="true" applyBorder="true" applyAlignment="true" applyProtection="true">
      <alignment horizontal="general" vertical="bottom" textRotation="0" wrapText="false" indent="0" shrinkToFit="false"/>
      <protection locked="true" hidden="false"/>
    </xf>
    <xf numFmtId="168" fontId="0" fillId="6" borderId="9" xfId="15" applyFont="true" applyBorder="true" applyAlignment="true" applyProtection="true">
      <alignment horizontal="general" vertical="bottom" textRotation="0" wrapText="false" indent="0" shrinkToFit="false"/>
      <protection locked="true" hidden="false"/>
    </xf>
    <xf numFmtId="175" fontId="0" fillId="6" borderId="9" xfId="17" applyFont="true" applyBorder="true" applyAlignment="true" applyProtection="true">
      <alignment horizontal="general" vertical="bottom" textRotation="0" wrapText="false" indent="0" shrinkToFit="false"/>
      <protection locked="true" hidden="false"/>
    </xf>
    <xf numFmtId="176" fontId="0" fillId="6" borderId="9" xfId="17" applyFont="true" applyBorder="true" applyAlignment="true" applyProtection="true">
      <alignment horizontal="general" vertical="bottom" textRotation="0" wrapText="false" indent="0" shrinkToFit="false"/>
      <protection locked="true" hidden="false"/>
    </xf>
    <xf numFmtId="171" fontId="0" fillId="6" borderId="16" xfId="19" applyFont="true" applyBorder="true" applyAlignment="true" applyProtection="true">
      <alignment horizontal="general" vertical="bottom" textRotation="0" wrapText="false" indent="0" shrinkToFit="false"/>
      <protection locked="true" hidden="false"/>
    </xf>
    <xf numFmtId="168" fontId="0" fillId="7" borderId="15" xfId="15" applyFont="true" applyBorder="true" applyAlignment="true" applyProtection="true">
      <alignment horizontal="general" vertical="bottom" textRotation="0" wrapText="false" indent="0" shrinkToFit="false"/>
      <protection locked="true" hidden="false"/>
    </xf>
    <xf numFmtId="171" fontId="0" fillId="7" borderId="16" xfId="19" applyFont="true" applyBorder="true" applyAlignment="true" applyProtection="true">
      <alignment horizontal="general" vertical="bottom" textRotation="0" wrapText="false" indent="0" shrinkToFit="false"/>
      <protection locked="true" hidden="false"/>
    </xf>
    <xf numFmtId="171" fontId="0" fillId="6" borderId="9" xfId="19" applyFont="true" applyBorder="true" applyAlignment="true" applyProtection="true">
      <alignment horizontal="general" vertical="bottom" textRotation="0" wrapText="false" indent="0" shrinkToFit="false"/>
      <protection locked="true" hidden="false"/>
    </xf>
    <xf numFmtId="168" fontId="0" fillId="6" borderId="15" xfId="15" applyFont="true" applyBorder="true" applyAlignment="true" applyProtection="true">
      <alignment horizontal="general" vertical="bottom" textRotation="0" wrapText="false" indent="0" shrinkToFit="false"/>
      <protection locked="true" hidden="false"/>
    </xf>
    <xf numFmtId="164" fontId="0" fillId="5" borderId="15" xfId="0" applyFont="false" applyBorder="true" applyAlignment="false" applyProtection="false">
      <alignment horizontal="general" vertical="bottom" textRotation="0" wrapText="false" indent="0" shrinkToFit="false"/>
      <protection locked="true" hidden="false"/>
    </xf>
    <xf numFmtId="176" fontId="0" fillId="5" borderId="9" xfId="0" applyFont="false" applyBorder="true" applyAlignment="false" applyProtection="false">
      <alignment horizontal="general" vertical="bottom" textRotation="0" wrapText="false" indent="0" shrinkToFit="false"/>
      <protection locked="true" hidden="false"/>
    </xf>
    <xf numFmtId="171" fontId="0" fillId="5" borderId="9" xfId="19" applyFont="true" applyBorder="true" applyAlignment="true" applyProtection="true">
      <alignment horizontal="general" vertical="bottom" textRotation="0" wrapText="false" indent="0" shrinkToFit="false"/>
      <protection locked="true" hidden="false"/>
    </xf>
    <xf numFmtId="176" fontId="0" fillId="5" borderId="2" xfId="0" applyFont="false" applyBorder="true" applyAlignment="false" applyProtection="false">
      <alignment horizontal="general" vertical="bottom" textRotation="0" wrapText="false" indent="0" shrinkToFit="false"/>
      <protection locked="true" hidden="false"/>
    </xf>
    <xf numFmtId="171" fontId="0" fillId="5" borderId="2" xfId="19" applyFont="true" applyBorder="true" applyAlignment="true" applyProtection="true">
      <alignment horizontal="general" vertical="bottom" textRotation="0" wrapText="false" indent="0" shrinkToFit="false"/>
      <protection locked="true" hidden="false"/>
    </xf>
    <xf numFmtId="175" fontId="0" fillId="5" borderId="2" xfId="17" applyFont="true" applyBorder="true" applyAlignment="true" applyProtection="true">
      <alignment horizontal="general" vertical="bottom" textRotation="0" wrapText="false" indent="0" shrinkToFit="false"/>
      <protection locked="true" hidden="false"/>
    </xf>
    <xf numFmtId="171" fontId="0" fillId="5" borderId="3" xfId="19" applyFont="true" applyBorder="true" applyAlignment="true" applyProtection="true">
      <alignment horizontal="general" vertical="bottom" textRotation="0" wrapText="false" indent="0" shrinkToFit="false"/>
      <protection locked="true" hidden="false"/>
    </xf>
    <xf numFmtId="171" fontId="0" fillId="0" borderId="0" xfId="0" applyFont="false" applyBorder="false" applyAlignment="true" applyProtection="false">
      <alignment horizontal="center"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72" fontId="0" fillId="10" borderId="0" xfId="0" applyFont="true" applyBorder="false" applyAlignment="true" applyProtection="false">
      <alignment horizontal="right" vertical="bottom" textRotation="0" wrapText="false" indent="1" shrinkToFit="false"/>
      <protection locked="true" hidden="false"/>
    </xf>
    <xf numFmtId="164" fontId="0" fillId="10" borderId="0" xfId="0" applyFont="true" applyBorder="false" applyAlignment="true" applyProtection="false">
      <alignment horizontal="right" vertical="bottom" textRotation="0" wrapText="false" indent="1" shrinkToFit="false"/>
      <protection locked="true" hidden="false"/>
    </xf>
    <xf numFmtId="164" fontId="6" fillId="3" borderId="1" xfId="0" applyFont="true" applyBorder="true" applyAlignment="true" applyProtection="false">
      <alignment horizontal="center" vertical="bottom" textRotation="0" wrapText="true" indent="0" shrinkToFit="false"/>
      <protection locked="true" hidden="false"/>
    </xf>
    <xf numFmtId="164" fontId="6" fillId="3" borderId="2" xfId="0" applyFont="true" applyBorder="true" applyAlignment="true" applyProtection="false">
      <alignment horizontal="center" vertical="bottom" textRotation="0" wrapText="true" indent="0" shrinkToFit="false"/>
      <protection locked="true" hidden="false"/>
    </xf>
    <xf numFmtId="164" fontId="6" fillId="3" borderId="3" xfId="0" applyFont="true" applyBorder="true" applyAlignment="true" applyProtection="false">
      <alignment horizontal="center" vertical="bottom" textRotation="0" wrapText="true" indent="0" shrinkToFit="false"/>
      <protection locked="true" hidden="false"/>
    </xf>
    <xf numFmtId="164" fontId="6" fillId="3" borderId="0" xfId="0" applyFont="true" applyBorder="true" applyAlignment="true" applyProtection="false">
      <alignment horizontal="center" vertical="bottom" textRotation="0" wrapText="true" indent="0" shrinkToFit="false"/>
      <protection locked="true" hidden="false"/>
    </xf>
    <xf numFmtId="164" fontId="0" fillId="6" borderId="12" xfId="0" applyFont="false" applyBorder="true" applyAlignment="false" applyProtection="false">
      <alignment horizontal="general" vertical="bottom" textRotation="0" wrapText="false" indent="0" shrinkToFit="false"/>
      <protection locked="true" hidden="false"/>
    </xf>
    <xf numFmtId="164" fontId="0" fillId="6" borderId="13" xfId="0" applyFont="true" applyBorder="true" applyAlignment="false" applyProtection="false">
      <alignment horizontal="general" vertical="bottom" textRotation="0" wrapText="false" indent="0" shrinkToFit="false"/>
      <protection locked="true" hidden="false"/>
    </xf>
    <xf numFmtId="172" fontId="0" fillId="6" borderId="13" xfId="19" applyFont="true" applyBorder="true" applyAlignment="true" applyProtection="true">
      <alignment horizontal="right" vertical="bottom" textRotation="0" wrapText="false" indent="1" shrinkToFit="false"/>
      <protection locked="true" hidden="false"/>
    </xf>
    <xf numFmtId="172" fontId="0" fillId="6" borderId="14" xfId="19" applyFont="true" applyBorder="true" applyAlignment="true" applyProtection="true">
      <alignment horizontal="right" vertical="bottom" textRotation="0" wrapText="false" indent="1" shrinkToFit="false"/>
      <protection locked="true" hidden="false"/>
    </xf>
    <xf numFmtId="164" fontId="0" fillId="6" borderId="18" xfId="0" applyFont="false" applyBorder="true" applyAlignment="false" applyProtection="false">
      <alignment horizontal="general" vertical="bottom" textRotation="0" wrapText="false" indent="0" shrinkToFit="false"/>
      <protection locked="true" hidden="false"/>
    </xf>
    <xf numFmtId="164" fontId="0" fillId="6" borderId="0" xfId="0" applyFont="false" applyBorder="true" applyAlignment="false" applyProtection="false">
      <alignment horizontal="general" vertical="bottom" textRotation="0" wrapText="false" indent="0" shrinkToFit="false"/>
      <protection locked="true" hidden="false"/>
    </xf>
    <xf numFmtId="172" fontId="0" fillId="6" borderId="0" xfId="19" applyFont="true" applyBorder="true" applyAlignment="true" applyProtection="true">
      <alignment horizontal="right" vertical="bottom" textRotation="0" wrapText="false" indent="1" shrinkToFit="false"/>
      <protection locked="true" hidden="false"/>
    </xf>
    <xf numFmtId="172" fontId="0" fillId="6" borderId="19" xfId="19" applyFont="true" applyBorder="true" applyAlignment="true" applyProtection="true">
      <alignment horizontal="right" vertical="bottom" textRotation="0" wrapText="false" indent="1" shrinkToFit="false"/>
      <protection locked="true" hidden="false"/>
    </xf>
    <xf numFmtId="164" fontId="0" fillId="6" borderId="9" xfId="0" applyFont="false" applyBorder="true" applyAlignment="false" applyProtection="false">
      <alignment horizontal="general" vertical="bottom" textRotation="0" wrapText="false" indent="0" shrinkToFit="false"/>
      <protection locked="true" hidden="false"/>
    </xf>
    <xf numFmtId="172" fontId="0" fillId="6" borderId="9" xfId="19" applyFont="true" applyBorder="true" applyAlignment="true" applyProtection="true">
      <alignment horizontal="right" vertical="bottom" textRotation="0" wrapText="false" indent="1" shrinkToFit="false"/>
      <protection locked="true" hidden="false"/>
    </xf>
    <xf numFmtId="172" fontId="0" fillId="6" borderId="16" xfId="19" applyFont="true" applyBorder="true" applyAlignment="true" applyProtection="true">
      <alignment horizontal="right" vertical="bottom" textRotation="0" wrapText="false" indent="1" shrinkToFit="false"/>
      <protection locked="true" hidden="false"/>
    </xf>
    <xf numFmtId="164" fontId="6" fillId="3" borderId="18" xfId="0" applyFont="true" applyBorder="true" applyAlignment="true" applyProtection="false">
      <alignment horizontal="center" vertical="bottom" textRotation="0" wrapText="false" indent="0" shrinkToFit="false"/>
      <protection locked="true" hidden="false"/>
    </xf>
    <xf numFmtId="164" fontId="6" fillId="3" borderId="19" xfId="0" applyFont="true" applyBorder="true" applyAlignment="true" applyProtection="false">
      <alignment horizontal="center" vertical="bottom" textRotation="0" wrapText="false" indent="0" shrinkToFit="false"/>
      <protection locked="true" hidden="false"/>
    </xf>
    <xf numFmtId="164" fontId="0" fillId="6" borderId="18" xfId="0" applyFont="true" applyBorder="true" applyAlignment="true" applyProtection="false">
      <alignment horizontal="left" vertical="bottom" textRotation="0" wrapText="false" indent="0" shrinkToFit="false"/>
      <protection locked="true" hidden="false"/>
    </xf>
    <xf numFmtId="172" fontId="0" fillId="7" borderId="10" xfId="19" applyFont="true" applyBorder="true" applyAlignment="true" applyProtection="true">
      <alignment horizontal="right" vertical="bottom" textRotation="0" wrapText="false" indent="15" shrinkToFit="false"/>
      <protection locked="true" hidden="false"/>
    </xf>
    <xf numFmtId="172" fontId="0" fillId="7" borderId="10" xfId="19" applyFont="true" applyBorder="true" applyAlignment="true" applyProtection="true">
      <alignment horizontal="center" vertical="bottom" textRotation="0" wrapText="false" indent="0" shrinkToFit="false"/>
      <protection locked="true" hidden="false"/>
    </xf>
    <xf numFmtId="172" fontId="0" fillId="5" borderId="14" xfId="19" applyFont="true" applyBorder="true" applyAlignment="true" applyProtection="true">
      <alignment horizontal="center" vertical="bottom" textRotation="0" wrapText="false" indent="0" shrinkToFit="false"/>
      <protection locked="true" hidden="false"/>
    </xf>
    <xf numFmtId="172" fontId="0" fillId="7" borderId="11" xfId="19" applyFont="true" applyBorder="true" applyAlignment="true" applyProtection="true">
      <alignment horizontal="right" vertical="bottom" textRotation="0" wrapText="false" indent="15" shrinkToFit="false"/>
      <protection locked="true" hidden="false"/>
    </xf>
    <xf numFmtId="172" fontId="0" fillId="7" borderId="11" xfId="19" applyFont="true" applyBorder="true" applyAlignment="true" applyProtection="true">
      <alignment horizontal="center" vertical="bottom" textRotation="0" wrapText="false" indent="0" shrinkToFit="false"/>
      <protection locked="true" hidden="false"/>
    </xf>
    <xf numFmtId="172" fontId="0" fillId="5" borderId="19" xfId="19" applyFont="true" applyBorder="true" applyAlignment="true" applyProtection="true">
      <alignment horizontal="center" vertical="bottom" textRotation="0" wrapText="false" indent="0" shrinkToFit="false"/>
      <protection locked="true" hidden="false"/>
    </xf>
    <xf numFmtId="164" fontId="7" fillId="5" borderId="1" xfId="0" applyFont="true" applyBorder="true" applyAlignment="false" applyProtection="false">
      <alignment horizontal="general" vertical="bottom" textRotation="0" wrapText="false" indent="0" shrinkToFit="false"/>
      <protection locked="true" hidden="false"/>
    </xf>
    <xf numFmtId="164" fontId="7" fillId="5" borderId="2" xfId="0" applyFont="true" applyBorder="true" applyAlignment="true" applyProtection="false">
      <alignment horizontal="center" vertical="bottom" textRotation="0" wrapText="false" indent="0" shrinkToFit="false"/>
      <protection locked="true" hidden="false"/>
    </xf>
    <xf numFmtId="172" fontId="7" fillId="5" borderId="2" xfId="0" applyFont="true" applyBorder="true" applyAlignment="true" applyProtection="false">
      <alignment horizontal="right" vertical="bottom" textRotation="0" wrapText="false" indent="15" shrinkToFit="false"/>
      <protection locked="true" hidden="false"/>
    </xf>
    <xf numFmtId="172" fontId="7" fillId="5" borderId="2" xfId="0" applyFont="true" applyBorder="true" applyAlignment="true" applyProtection="false">
      <alignment horizontal="center" vertical="bottom" textRotation="0" wrapText="false" indent="0" shrinkToFit="false"/>
      <protection locked="true" hidden="false"/>
    </xf>
    <xf numFmtId="174" fontId="7" fillId="5" borderId="2" xfId="19" applyFont="true" applyBorder="true" applyAlignment="true" applyProtection="true">
      <alignment horizontal="general" vertical="bottom" textRotation="0" wrapText="false" indent="0" shrinkToFit="false"/>
      <protection locked="true" hidden="false"/>
    </xf>
    <xf numFmtId="164" fontId="7" fillId="5" borderId="3"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dxfs count="6">
    <dxf>
      <font>
        <color rgb="FF00B050"/>
      </font>
    </dxf>
    <dxf>
      <font>
        <color rgb="FFFF0000"/>
      </font>
    </dxf>
    <dxf>
      <font>
        <color rgb="FF00B050"/>
      </font>
    </dxf>
    <dxf>
      <font>
        <color rgb="FFFF0000"/>
      </font>
    </dxf>
    <dxf>
      <font>
        <color rgb="FF00B050"/>
      </font>
    </dxf>
    <dxf>
      <font>
        <color rgb="FFFF0000"/>
      </font>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0C0"/>
      <rgbColor rgb="FFBFBFBF"/>
      <rgbColor rgb="FF808080"/>
      <rgbColor rgb="FF8FAADC"/>
      <rgbColor rgb="FF993366"/>
      <rgbColor rgb="FFFFFFCC"/>
      <rgbColor rgb="FFDEEBF7"/>
      <rgbColor rgb="FF660066"/>
      <rgbColor rgb="FFFF8080"/>
      <rgbColor rgb="FF0563C1"/>
      <rgbColor rgb="FFD0CECE"/>
      <rgbColor rgb="FF000080"/>
      <rgbColor rgb="FFFF00FF"/>
      <rgbColor rgb="FFFFFF00"/>
      <rgbColor rgb="FF00FFFF"/>
      <rgbColor rgb="FF800080"/>
      <rgbColor rgb="FF800000"/>
      <rgbColor rgb="FF008080"/>
      <rgbColor rgb="FF0000FF"/>
      <rgbColor rgb="FF00B0F0"/>
      <rgbColor rgb="FFF2F2F2"/>
      <rgbColor rgb="FFD9D9D9"/>
      <rgbColor rgb="FFFFFBCC"/>
      <rgbColor rgb="FF99CCFF"/>
      <rgbColor rgb="FFFF99CC"/>
      <rgbColor rgb="FFCC99FF"/>
      <rgbColor rgb="FFFFCC99"/>
      <rgbColor rgb="FF3366FF"/>
      <rgbColor rgb="FF5B9BD5"/>
      <rgbColor rgb="FF99CC00"/>
      <rgbColor rgb="FFFFCC00"/>
      <rgbColor rgb="FFFF9900"/>
      <rgbColor rgb="FFFF6600"/>
      <rgbColor rgb="FF595959"/>
      <rgbColor rgb="FFAFABAB"/>
      <rgbColor rgb="FF002060"/>
      <rgbColor rgb="FF00B050"/>
      <rgbColor rgb="FF003300"/>
      <rgbColor rgb="FF404040"/>
      <rgbColor rgb="FF993300"/>
      <rgbColor rgb="FF993366"/>
      <rgbColor rgb="FF333399"/>
      <rgbColor rgb="FF3B383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externalLink" Target="externalLinks/externalLink1.xml"/><Relationship Id="rId15" Type="http://schemas.openxmlformats.org/officeDocument/2006/relationships/sharedStrings" Target="sharedStrings.xml"/>
</Relationships>
</file>

<file path=xl/charts/chart26.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800" spc="-1" strike="noStrike">
                <a:solidFill>
                  <a:srgbClr val="595959"/>
                </a:solidFill>
                <a:latin typeface="Calibri"/>
              </a:defRPr>
            </a:pPr>
            <a:r>
              <a:rPr b="0" sz="1800" spc="-1" strike="noStrike">
                <a:solidFill>
                  <a:srgbClr val="595959"/>
                </a:solidFill>
                <a:latin typeface="Calibri"/>
              </a:rPr>
              <a:t>Returns of Current Portfolio vs. Policy Portfolio</a:t>
            </a:r>
          </a:p>
        </c:rich>
      </c:tx>
      <c:layout>
        <c:manualLayout>
          <c:xMode val="edge"/>
          <c:yMode val="edge"/>
          <c:x val="0.303944643193372"/>
          <c:y val="0.0722681252182009"/>
        </c:manualLayout>
      </c:layout>
      <c:overlay val="0"/>
    </c:title>
    <c:autoTitleDeleted val="0"/>
    <c:plotArea>
      <c:layout>
        <c:manualLayout>
          <c:layoutTarget val="inner"/>
          <c:xMode val="edge"/>
          <c:yMode val="edge"/>
          <c:x val="0.150724910562982"/>
          <c:y val="0.173978819969743"/>
          <c:w val="0.813076633402372"/>
          <c:h val="0.609216804375655"/>
        </c:manualLayout>
      </c:layout>
      <c:lineChart>
        <c:varyColors val="0"/>
        <c:grouping val="standard"/>
        <c:ser>
          <c:idx val="0"/>
          <c:order val="0"/>
          <c:tx>
            <c:strRef>
              <c:f>Calculations!$C$73</c:f>
              <c:strCache>
                <c:ptCount val="1"/>
                <c:pt idx="0">
                  <c:v>Portfolio</c:v>
                </c:pt>
              </c:strCache>
            </c:strRef>
          </c:tx>
          <c:spPr>
            <a:solidFill>
              <a:srgbClr val="002060"/>
            </a:solidFill>
            <a:ln w="28440">
              <a:solidFill>
                <a:srgbClr val="002060"/>
              </a:solidFill>
              <a:round/>
            </a:ln>
          </c:spPr>
          <c:marker>
            <c:symbol val="none"/>
          </c:marker>
          <c:dLbls>
            <c:dLblPos val="r"/>
            <c:showLegendKey val="0"/>
            <c:showVal val="0"/>
            <c:showCatName val="0"/>
            <c:showSerName val="0"/>
            <c:showPercent val="0"/>
            <c:showLeaderLines val="0"/>
          </c:dLbls>
          <c:cat>
            <c:strRef>
              <c:f>Calculations!$B$74:$B$79</c:f>
              <c:strCache>
                <c:ptCount val="6"/>
                <c:pt idx="0">
                  <c:v>6/8/2018</c:v>
                </c:pt>
                <c:pt idx="1">
                  <c:v>6/15/2018</c:v>
                </c:pt>
                <c:pt idx="2">
                  <c:v>6/22/2018</c:v>
                </c:pt>
                <c:pt idx="3">
                  <c:v>6/29/2018</c:v>
                </c:pt>
                <c:pt idx="4">
                  <c:v>7/6/2018</c:v>
                </c:pt>
                <c:pt idx="5">
                  <c:v>7/13/2018</c:v>
                </c:pt>
              </c:strCache>
            </c:strRef>
          </c:cat>
          <c:val>
            <c:numRef>
              <c:f>Calculations!$E$74:$E$79</c:f>
              <c:numCache>
                <c:formatCode>General</c:formatCode>
                <c:ptCount val="6"/>
                <c:pt idx="0">
                  <c:v>0</c:v>
                </c:pt>
                <c:pt idx="1">
                  <c:v>-0.00321490000000013</c:v>
                </c:pt>
                <c:pt idx="2">
                  <c:v>-0.0113670300000001</c:v>
                </c:pt>
                <c:pt idx="3">
                  <c:v>-0.98992802</c:v>
                </c:pt>
                <c:pt idx="4">
                  <c:v>-0.98992802</c:v>
                </c:pt>
                <c:pt idx="5">
                  <c:v>-0.98992802</c:v>
                </c:pt>
              </c:numCache>
            </c:numRef>
          </c:val>
          <c:smooth val="0"/>
        </c:ser>
        <c:ser>
          <c:idx val="1"/>
          <c:order val="1"/>
          <c:tx>
            <c:strRef>
              <c:f>Calculations!$F$73</c:f>
              <c:strCache>
                <c:ptCount val="1"/>
                <c:pt idx="0">
                  <c:v>Benchmark</c:v>
                </c:pt>
              </c:strCache>
            </c:strRef>
          </c:tx>
          <c:spPr>
            <a:solidFill>
              <a:srgbClr val="808080"/>
            </a:solidFill>
            <a:ln w="28440">
              <a:solidFill>
                <a:srgbClr val="808080"/>
              </a:solidFill>
              <a:round/>
            </a:ln>
          </c:spPr>
          <c:marker>
            <c:symbol val="none"/>
          </c:marker>
          <c:dLbls>
            <c:dLblPos val="r"/>
            <c:showLegendKey val="0"/>
            <c:showVal val="0"/>
            <c:showCatName val="0"/>
            <c:showSerName val="0"/>
            <c:showPercent val="0"/>
            <c:showLeaderLines val="0"/>
          </c:dLbls>
          <c:cat>
            <c:strRef>
              <c:f>Calculations!$B$74:$B$79</c:f>
              <c:strCache>
                <c:ptCount val="6"/>
                <c:pt idx="0">
                  <c:v>6/8/2018</c:v>
                </c:pt>
                <c:pt idx="1">
                  <c:v>6/15/2018</c:v>
                </c:pt>
                <c:pt idx="2">
                  <c:v>6/22/2018</c:v>
                </c:pt>
                <c:pt idx="3">
                  <c:v>6/29/2018</c:v>
                </c:pt>
                <c:pt idx="4">
                  <c:v>7/6/2018</c:v>
                </c:pt>
                <c:pt idx="5">
                  <c:v>7/13/2018</c:v>
                </c:pt>
              </c:strCache>
            </c:strRef>
          </c:cat>
          <c:val>
            <c:numRef>
              <c:f>Calculations!$H$74:$H$79</c:f>
              <c:numCache>
                <c:formatCode>General</c:formatCode>
                <c:ptCount val="6"/>
                <c:pt idx="0">
                  <c:v>0</c:v>
                </c:pt>
                <c:pt idx="1">
                  <c:v>-0.00321443621354522</c:v>
                </c:pt>
                <c:pt idx="2">
                  <c:v>-0.0147507529326629</c:v>
                </c:pt>
                <c:pt idx="3">
                  <c:v>-0.99</c:v>
                </c:pt>
                <c:pt idx="4">
                  <c:v>-0.99</c:v>
                </c:pt>
                <c:pt idx="5">
                  <c:v>-0.99</c:v>
                </c:pt>
              </c:numCache>
            </c:numRef>
          </c:val>
          <c:smooth val="0"/>
        </c:ser>
        <c:hiLowLines>
          <c:spPr>
            <a:ln>
              <a:noFill/>
            </a:ln>
          </c:spPr>
        </c:hiLowLines>
        <c:marker val="0"/>
        <c:axId val="214967"/>
        <c:axId val="89629322"/>
      </c:lineChart>
      <c:catAx>
        <c:axId val="214967"/>
        <c:scaling>
          <c:orientation val="minMax"/>
        </c:scaling>
        <c:delete val="0"/>
        <c:axPos val="b"/>
        <c:numFmt formatCode="M/D/YYYY" sourceLinked="1"/>
        <c:majorTickMark val="out"/>
        <c:minorTickMark val="none"/>
        <c:tickLblPos val="low"/>
        <c:spPr>
          <a:ln w="9360">
            <a:solidFill>
              <a:srgbClr val="d9d9d9"/>
            </a:solidFill>
            <a:round/>
          </a:ln>
        </c:spPr>
        <c:txPr>
          <a:bodyPr/>
          <a:p>
            <a:pPr>
              <a:defRPr b="0" sz="1200" spc="-1" strike="noStrike">
                <a:solidFill>
                  <a:srgbClr val="595959"/>
                </a:solidFill>
                <a:latin typeface="Calibri"/>
              </a:defRPr>
            </a:pPr>
          </a:p>
        </c:txPr>
        <c:crossAx val="89629322"/>
        <c:crosses val="autoZero"/>
        <c:auto val="1"/>
        <c:lblAlgn val="ctr"/>
        <c:lblOffset val="100"/>
      </c:catAx>
      <c:valAx>
        <c:axId val="89629322"/>
        <c:scaling>
          <c:orientation val="minMax"/>
        </c:scaling>
        <c:delete val="0"/>
        <c:axPos val="l"/>
        <c:numFmt formatCode="0.0%" sourceLinked="0"/>
        <c:majorTickMark val="none"/>
        <c:minorTickMark val="none"/>
        <c:tickLblPos val="nextTo"/>
        <c:spPr>
          <a:ln w="6480">
            <a:noFill/>
          </a:ln>
        </c:spPr>
        <c:txPr>
          <a:bodyPr/>
          <a:p>
            <a:pPr>
              <a:defRPr b="0" sz="1400" spc="-1" strike="noStrike">
                <a:solidFill>
                  <a:srgbClr val="595959"/>
                </a:solidFill>
                <a:latin typeface="Calibri"/>
              </a:defRPr>
            </a:pPr>
          </a:p>
        </c:txPr>
        <c:crossAx val="214967"/>
        <c:crosses val="autoZero"/>
        <c:crossBetween val="midCat"/>
      </c:valAx>
      <c:spPr>
        <a:noFill/>
        <a:ln>
          <a:noFill/>
        </a:ln>
      </c:spPr>
    </c:plotArea>
    <c:legend>
      <c:legendPos val="b"/>
      <c:layout>
        <c:manualLayout>
          <c:xMode val="edge"/>
          <c:yMode val="edge"/>
          <c:x val="0.132995875515561"/>
          <c:y val="0.254018724942893"/>
        </c:manualLayout>
      </c:layout>
      <c:overlay val="0"/>
      <c:spPr>
        <a:noFill/>
        <a:ln>
          <a:noFill/>
        </a:ln>
      </c:spPr>
    </c:legend>
    <c:plotVisOnly val="1"/>
    <c:dispBlanksAs val="gap"/>
  </c:chart>
  <c:spPr>
    <a:solidFill>
      <a:srgbClr val="ffffff"/>
    </a:solidFill>
    <a:ln w="9360">
      <a:noFill/>
    </a:ln>
  </c:spPr>
</c:chartSpace>
</file>

<file path=xl/charts/chart27.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200" spc="-1" strike="noStrike">
                <a:solidFill>
                  <a:srgbClr val="404040"/>
                </a:solidFill>
                <a:latin typeface="Calibri"/>
              </a:defRPr>
            </a:pPr>
            <a:r>
              <a:rPr b="1" sz="1200" spc="-1" strike="noStrike">
                <a:solidFill>
                  <a:srgbClr val="404040"/>
                </a:solidFill>
                <a:latin typeface="Calibri"/>
              </a:rPr>
              <a:t>Policy Portfolio Allocation</a:t>
            </a:r>
          </a:p>
        </c:rich>
      </c:tx>
      <c:overlay val="0"/>
    </c:title>
    <c:autoTitleDeleted val="0"/>
    <c:view3D>
      <c:rotX val="50"/>
      <c:rotY val="0"/>
      <c:rAngAx val="0"/>
      <c:perspective val="30"/>
    </c:view3D>
    <c:floor>
      <c:spPr>
        <a:solidFill>
          <a:srgbClr val="d9d9d9"/>
        </a:solidFill>
        <a:ln>
          <a:noFill/>
        </a:ln>
      </c:spPr>
    </c:floor>
    <c:backWall>
      <c:spPr>
        <a:solidFill>
          <a:srgbClr val="d9d9d9"/>
        </a:solidFill>
        <a:ln>
          <a:noFill/>
        </a:ln>
      </c:spPr>
    </c:backWall>
    <c:plotArea>
      <c:pie3DChart>
        <c:varyColors val="1"/>
        <c:ser>
          <c:idx val="0"/>
          <c:order val="0"/>
          <c:tx>
            <c:strRef>
              <c:f>"Market Value"</c:f>
              <c:strCache>
                <c:ptCount val="1"/>
                <c:pt idx="0">
                  <c:v>Market Value</c:v>
                </c:pt>
              </c:strCache>
            </c:strRef>
          </c:tx>
          <c:spPr>
            <a:solidFill>
              <a:srgbClr val="5b9bd5"/>
            </a:solidFill>
            <a:ln>
              <a:noFill/>
            </a:ln>
          </c:spPr>
          <c:explosion val="0"/>
          <c:dPt>
            <c:idx val="0"/>
            <c:spPr>
              <a:solidFill>
                <a:srgbClr val="002060"/>
              </a:solidFill>
              <a:ln>
                <a:noFill/>
              </a:ln>
            </c:spPr>
          </c:dPt>
          <c:dPt>
            <c:idx val="1"/>
            <c:spPr>
              <a:solidFill>
                <a:srgbClr val="00b0f0"/>
              </a:solidFill>
              <a:ln>
                <a:noFill/>
              </a:ln>
            </c:spPr>
          </c:dPt>
          <c:dPt>
            <c:idx val="2"/>
            <c:spPr>
              <a:solidFill>
                <a:srgbClr val="8faadc"/>
              </a:solidFill>
              <a:ln>
                <a:noFill/>
              </a:ln>
            </c:spPr>
          </c:dPt>
          <c:dPt>
            <c:idx val="3"/>
            <c:spPr>
              <a:solidFill>
                <a:srgbClr val="bfbfbf"/>
              </a:solidFill>
              <a:ln>
                <a:noFill/>
              </a:ln>
            </c:spPr>
          </c:dPt>
          <c:dPt>
            <c:idx val="4"/>
            <c:spPr>
              <a:solidFill>
                <a:srgbClr val="ffffff"/>
              </a:solidFill>
              <a:ln>
                <a:noFill/>
              </a:ln>
            </c:spPr>
          </c:dPt>
          <c:dLbls>
            <c:dLbl>
              <c:idx val="0"/>
              <c:dLblPos val="bestFit"/>
              <c:showLegendKey val="0"/>
              <c:showVal val="0"/>
              <c:showCatName val="0"/>
              <c:showSerName val="0"/>
              <c:showPercent val="1"/>
            </c:dLbl>
            <c:dLbl>
              <c:idx val="1"/>
              <c:dLblPos val="bestFit"/>
              <c:showLegendKey val="0"/>
              <c:showVal val="0"/>
              <c:showCatName val="0"/>
              <c:showSerName val="0"/>
              <c:showPercent val="1"/>
            </c:dLbl>
            <c:dLbl>
              <c:idx val="2"/>
              <c:dLblPos val="bestFit"/>
              <c:showLegendKey val="0"/>
              <c:showVal val="0"/>
              <c:showCatName val="0"/>
              <c:showSerName val="0"/>
              <c:showPercent val="1"/>
            </c:dLbl>
            <c:dLbl>
              <c:idx val="3"/>
              <c:dLblPos val="bestFit"/>
              <c:showLegendKey val="0"/>
              <c:showVal val="0"/>
              <c:showCatName val="0"/>
              <c:showSerName val="0"/>
              <c:showPercent val="1"/>
            </c:dLbl>
            <c:dLbl>
              <c:idx val="4"/>
              <c:dLblPos val="bestFit"/>
              <c:showLegendKey val="0"/>
              <c:showVal val="0"/>
              <c:showCatName val="0"/>
              <c:showSerName val="0"/>
              <c:showPercent val="1"/>
            </c:dLbl>
            <c:dLblPos val="bestFit"/>
            <c:showLegendKey val="0"/>
            <c:showVal val="0"/>
            <c:showCatName val="0"/>
            <c:showSerName val="0"/>
            <c:showPercent val="1"/>
            <c:showLeaderLines val="0"/>
          </c:dLbls>
          <c:cat>
            <c:strRef>
              <c:f>'Policy Portfolio'!$L$39:$L$43</c:f>
              <c:strCache>
                <c:ptCount val="5"/>
                <c:pt idx="0">
                  <c:v>Cash</c:v>
                </c:pt>
                <c:pt idx="1">
                  <c:v>US Equity</c:v>
                </c:pt>
                <c:pt idx="2">
                  <c:v>Intl Equity</c:v>
                </c:pt>
                <c:pt idx="3">
                  <c:v>Bonds</c:v>
                </c:pt>
                <c:pt idx="4">
                  <c:v>Alternatives</c:v>
                </c:pt>
              </c:strCache>
            </c:strRef>
          </c:cat>
          <c:val>
            <c:numRef>
              <c:f>'Policy Portfolio'!$N$39:$N$43</c:f>
              <c:numCache>
                <c:formatCode>General</c:formatCode>
                <c:ptCount val="5"/>
                <c:pt idx="0">
                  <c:v>0.01</c:v>
                </c:pt>
                <c:pt idx="1">
                  <c:v>0.29</c:v>
                </c:pt>
                <c:pt idx="2">
                  <c:v>0.3</c:v>
                </c:pt>
                <c:pt idx="3">
                  <c:v>0.35</c:v>
                </c:pt>
                <c:pt idx="4">
                  <c:v>0.05</c:v>
                </c:pt>
              </c:numCache>
            </c:numRef>
          </c:val>
        </c:ser>
      </c:pie3DChart>
      <c:spPr>
        <a:solidFill>
          <a:srgbClr val="d9d9d9"/>
        </a:solidFill>
        <a:ln>
          <a:noFill/>
        </a:ln>
      </c:spPr>
    </c:plotArea>
    <c:legend>
      <c:legendPos val="b"/>
      <c:overlay val="0"/>
      <c:spPr>
        <a:solidFill>
          <a:srgbClr val="f2f2f2">
            <a:alpha val="39000"/>
          </a:srgbClr>
        </a:solidFill>
        <a:ln>
          <a:noFill/>
        </a:ln>
      </c:spPr>
    </c:legend>
    <c:plotVisOnly val="1"/>
    <c:dispBlanksAs val="gap"/>
  </c:chart>
  <c:spPr>
    <a:noFill/>
    <a:ln w="9360">
      <a:solidFill>
        <a:srgbClr val="bfbfbf"/>
      </a:solidFill>
      <a:round/>
    </a:ln>
  </c:spPr>
</c:chartSpace>
</file>

<file path=xl/charts/chart28.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200" spc="-1" strike="noStrike">
                <a:solidFill>
                  <a:srgbClr val="404040"/>
                </a:solidFill>
                <a:latin typeface="Calibri"/>
              </a:defRPr>
            </a:pPr>
            <a:r>
              <a:rPr b="1" sz="1200" spc="-1" strike="noStrike">
                <a:solidFill>
                  <a:srgbClr val="404040"/>
                </a:solidFill>
                <a:latin typeface="Calibri"/>
              </a:rPr>
              <a:t>Current Portfolio Allocation</a:t>
            </a:r>
          </a:p>
        </c:rich>
      </c:tx>
      <c:overlay val="0"/>
    </c:title>
    <c:autoTitleDeleted val="0"/>
    <c:view3D>
      <c:rotX val="50"/>
      <c:rotY val="0"/>
      <c:rAngAx val="0"/>
      <c:perspective val="30"/>
    </c:view3D>
    <c:floor>
      <c:spPr>
        <a:solidFill>
          <a:srgbClr val="d9d9d9"/>
        </a:solidFill>
        <a:ln>
          <a:noFill/>
        </a:ln>
      </c:spPr>
    </c:floor>
    <c:backWall>
      <c:spPr>
        <a:solidFill>
          <a:srgbClr val="d9d9d9"/>
        </a:solidFill>
        <a:ln>
          <a:noFill/>
        </a:ln>
      </c:spPr>
    </c:backWall>
    <c:plotArea>
      <c:pie3DChart>
        <c:varyColors val="1"/>
        <c:ser>
          <c:idx val="0"/>
          <c:order val="0"/>
          <c:tx>
            <c:strRef>
              <c:f>"Market Value"</c:f>
              <c:strCache>
                <c:ptCount val="1"/>
                <c:pt idx="0">
                  <c:v>Market Value</c:v>
                </c:pt>
              </c:strCache>
            </c:strRef>
          </c:tx>
          <c:spPr>
            <a:solidFill>
              <a:srgbClr val="5b9bd5"/>
            </a:solidFill>
            <a:ln>
              <a:noFill/>
            </a:ln>
          </c:spPr>
          <c:explosion val="0"/>
          <c:dPt>
            <c:idx val="0"/>
            <c:spPr>
              <a:solidFill>
                <a:srgbClr val="002060"/>
              </a:solidFill>
              <a:ln>
                <a:noFill/>
              </a:ln>
            </c:spPr>
          </c:dPt>
          <c:dPt>
            <c:idx val="1"/>
            <c:spPr>
              <a:solidFill>
                <a:srgbClr val="bfbfbf"/>
              </a:solidFill>
              <a:ln>
                <a:noFill/>
              </a:ln>
            </c:spPr>
          </c:dPt>
          <c:dPt>
            <c:idx val="2"/>
            <c:spPr>
              <a:solidFill>
                <a:srgbClr val="00b0f0"/>
              </a:solidFill>
              <a:ln>
                <a:noFill/>
              </a:ln>
            </c:spPr>
          </c:dPt>
          <c:dPt>
            <c:idx val="3"/>
            <c:spPr>
              <a:solidFill>
                <a:srgbClr val="8faadc"/>
              </a:solidFill>
              <a:ln>
                <a:noFill/>
              </a:ln>
            </c:spPr>
          </c:dPt>
          <c:dPt>
            <c:idx val="4"/>
            <c:spPr>
              <a:solidFill>
                <a:srgbClr val="ffffff"/>
              </a:solidFill>
              <a:ln>
                <a:noFill/>
              </a:ln>
            </c:spPr>
          </c:dPt>
          <c:dLbls>
            <c:dLbl>
              <c:idx val="0"/>
              <c:dLblPos val="ctr"/>
              <c:showLegendKey val="0"/>
              <c:showVal val="0"/>
              <c:showCatName val="0"/>
              <c:showSerName val="0"/>
              <c:showPercent val="1"/>
            </c:dLbl>
            <c:dLbl>
              <c:idx val="1"/>
              <c:dLblPos val="ctr"/>
              <c:showLegendKey val="0"/>
              <c:showVal val="0"/>
              <c:showCatName val="0"/>
              <c:showSerName val="0"/>
              <c:showPercent val="1"/>
            </c:dLbl>
            <c:dLbl>
              <c:idx val="2"/>
              <c:dLblPos val="ctr"/>
              <c:showLegendKey val="0"/>
              <c:showVal val="0"/>
              <c:showCatName val="0"/>
              <c:showSerName val="0"/>
              <c:showPercent val="1"/>
            </c:dLbl>
            <c:dLbl>
              <c:idx val="3"/>
              <c:dLblPos val="ctr"/>
              <c:showLegendKey val="0"/>
              <c:showVal val="0"/>
              <c:showCatName val="0"/>
              <c:showSerName val="0"/>
              <c:showPercent val="1"/>
            </c:dLbl>
            <c:dLbl>
              <c:idx val="4"/>
              <c:dLblPos val="ctr"/>
              <c:showLegendKey val="0"/>
              <c:showVal val="0"/>
              <c:showCatName val="0"/>
              <c:showSerName val="0"/>
              <c:showPercent val="1"/>
            </c:dLbl>
            <c:dLblPos val="ctr"/>
            <c:showLegendKey val="0"/>
            <c:showVal val="0"/>
            <c:showCatName val="0"/>
            <c:showSerName val="0"/>
            <c:showPercent val="1"/>
            <c:showLeaderLines val="0"/>
          </c:dLbls>
          <c:cat>
            <c:strRef>
              <c:f>'Current Portfolio'!$V$6:$Z$6</c:f>
              <c:strCache>
                <c:ptCount val="5"/>
                <c:pt idx="0">
                  <c:v>Cash</c:v>
                </c:pt>
                <c:pt idx="1">
                  <c:v>Bonds</c:v>
                </c:pt>
                <c:pt idx="2">
                  <c:v>US Equity</c:v>
                </c:pt>
                <c:pt idx="3">
                  <c:v>Intl Equity</c:v>
                </c:pt>
                <c:pt idx="4">
                  <c:v>Alternatives</c:v>
                </c:pt>
              </c:strCache>
            </c:strRef>
          </c:cat>
          <c:val>
            <c:numRef>
              <c:f>'Current Portfolio'!$V$8:$Z$8</c:f>
              <c:numCache>
                <c:formatCode>General</c:formatCode>
                <c:ptCount val="5"/>
                <c:pt idx="0">
                  <c:v>10071.98</c:v>
                </c:pt>
                <c:pt idx="1">
                  <c:v>449846.42</c:v>
                </c:pt>
                <c:pt idx="2">
                  <c:v>290482.4</c:v>
                </c:pt>
                <c:pt idx="3">
                  <c:v>196639.5</c:v>
                </c:pt>
                <c:pt idx="4">
                  <c:v>49744.8</c:v>
                </c:pt>
              </c:numCache>
            </c:numRef>
          </c:val>
        </c:ser>
      </c:pie3DChart>
      <c:spPr>
        <a:solidFill>
          <a:srgbClr val="d9d9d9"/>
        </a:solidFill>
        <a:ln>
          <a:noFill/>
        </a:ln>
      </c:spPr>
    </c:plotArea>
    <c:legend>
      <c:legendPos val="b"/>
      <c:overlay val="0"/>
      <c:spPr>
        <a:solidFill>
          <a:srgbClr val="f2f2f2">
            <a:alpha val="39000"/>
          </a:srgbClr>
        </a:solidFill>
        <a:ln>
          <a:noFill/>
        </a:ln>
      </c:spPr>
    </c:legend>
    <c:plotVisOnly val="1"/>
    <c:dispBlanksAs val="gap"/>
  </c:chart>
  <c:spPr>
    <a:noFill/>
    <a:ln w="9360">
      <a:solidFill>
        <a:srgbClr val="bfbfbf"/>
      </a:solidFill>
      <a:round/>
    </a:ln>
  </c:spPr>
</c:chartSpace>
</file>

<file path=xl/charts/chart29.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200" spc="-1" strike="noStrike">
                <a:solidFill>
                  <a:srgbClr val="404040"/>
                </a:solidFill>
                <a:latin typeface="Calibri"/>
              </a:defRPr>
            </a:pPr>
            <a:r>
              <a:rPr b="1" sz="1200" spc="-1" strike="noStrike">
                <a:solidFill>
                  <a:srgbClr val="404040"/>
                </a:solidFill>
                <a:latin typeface="Calibri"/>
              </a:rPr>
              <a:t>Policy Portfolio Allocation</a:t>
            </a:r>
          </a:p>
        </c:rich>
      </c:tx>
      <c:overlay val="0"/>
    </c:title>
    <c:autoTitleDeleted val="0"/>
    <c:view3D>
      <c:rotX val="50"/>
      <c:rotY val="0"/>
      <c:rAngAx val="0"/>
      <c:perspective val="30"/>
    </c:view3D>
    <c:floor>
      <c:spPr>
        <a:solidFill>
          <a:srgbClr val="d9d9d9"/>
        </a:solidFill>
        <a:ln>
          <a:noFill/>
        </a:ln>
      </c:spPr>
    </c:floor>
    <c:backWall>
      <c:spPr>
        <a:solidFill>
          <a:srgbClr val="d9d9d9"/>
        </a:solidFill>
        <a:ln>
          <a:noFill/>
        </a:ln>
      </c:spPr>
    </c:backWall>
    <c:plotArea>
      <c:pie3DChart>
        <c:varyColors val="1"/>
        <c:ser>
          <c:idx val="0"/>
          <c:order val="0"/>
          <c:tx>
            <c:strRef>
              <c:f>"Market Value"</c:f>
              <c:strCache>
                <c:ptCount val="1"/>
                <c:pt idx="0">
                  <c:v>Market Value</c:v>
                </c:pt>
              </c:strCache>
            </c:strRef>
          </c:tx>
          <c:spPr>
            <a:solidFill>
              <a:srgbClr val="5b9bd5"/>
            </a:solidFill>
            <a:ln>
              <a:noFill/>
            </a:ln>
          </c:spPr>
          <c:explosion val="0"/>
          <c:dPt>
            <c:idx val="0"/>
            <c:spPr>
              <a:solidFill>
                <a:srgbClr val="002060"/>
              </a:solidFill>
              <a:ln>
                <a:noFill/>
              </a:ln>
            </c:spPr>
          </c:dPt>
          <c:dPt>
            <c:idx val="1"/>
            <c:spPr>
              <a:solidFill>
                <a:srgbClr val="00b0f0"/>
              </a:solidFill>
              <a:ln>
                <a:noFill/>
              </a:ln>
            </c:spPr>
          </c:dPt>
          <c:dPt>
            <c:idx val="2"/>
            <c:spPr>
              <a:solidFill>
                <a:srgbClr val="8faadc"/>
              </a:solidFill>
              <a:ln>
                <a:noFill/>
              </a:ln>
            </c:spPr>
          </c:dPt>
          <c:dPt>
            <c:idx val="3"/>
            <c:spPr>
              <a:solidFill>
                <a:srgbClr val="bfbfbf"/>
              </a:solidFill>
              <a:ln>
                <a:noFill/>
              </a:ln>
            </c:spPr>
          </c:dPt>
          <c:dPt>
            <c:idx val="4"/>
            <c:spPr>
              <a:solidFill>
                <a:srgbClr val="ffffff"/>
              </a:solidFill>
              <a:ln>
                <a:noFill/>
              </a:ln>
            </c:spPr>
          </c:dPt>
          <c:dLbls>
            <c:dLbl>
              <c:idx val="0"/>
              <c:dLblPos val="ctr"/>
              <c:showLegendKey val="0"/>
              <c:showVal val="0"/>
              <c:showCatName val="0"/>
              <c:showSerName val="0"/>
              <c:showPercent val="1"/>
            </c:dLbl>
            <c:dLbl>
              <c:idx val="1"/>
              <c:dLblPos val="ctr"/>
              <c:showLegendKey val="0"/>
              <c:showVal val="0"/>
              <c:showCatName val="0"/>
              <c:showSerName val="0"/>
              <c:showPercent val="1"/>
            </c:dLbl>
            <c:dLbl>
              <c:idx val="2"/>
              <c:dLblPos val="ctr"/>
              <c:showLegendKey val="0"/>
              <c:showVal val="0"/>
              <c:showCatName val="0"/>
              <c:showSerName val="0"/>
              <c:showPercent val="1"/>
            </c:dLbl>
            <c:dLbl>
              <c:idx val="3"/>
              <c:dLblPos val="ctr"/>
              <c:showLegendKey val="0"/>
              <c:showVal val="0"/>
              <c:showCatName val="0"/>
              <c:showSerName val="0"/>
              <c:showPercent val="1"/>
            </c:dLbl>
            <c:dLbl>
              <c:idx val="4"/>
              <c:dLblPos val="ctr"/>
              <c:showLegendKey val="0"/>
              <c:showVal val="0"/>
              <c:showCatName val="0"/>
              <c:showSerName val="0"/>
              <c:showPercent val="1"/>
            </c:dLbl>
            <c:dLblPos val="ctr"/>
            <c:showLegendKey val="0"/>
            <c:showVal val="0"/>
            <c:showCatName val="0"/>
            <c:showSerName val="0"/>
            <c:showPercent val="1"/>
            <c:showLeaderLines val="0"/>
          </c:dLbls>
          <c:cat>
            <c:strRef>
              <c:f>'Policy Portfolio'!$L$39:$L$43</c:f>
              <c:strCache>
                <c:ptCount val="5"/>
                <c:pt idx="0">
                  <c:v>Cash</c:v>
                </c:pt>
                <c:pt idx="1">
                  <c:v>US Equity</c:v>
                </c:pt>
                <c:pt idx="2">
                  <c:v>Intl Equity</c:v>
                </c:pt>
                <c:pt idx="3">
                  <c:v>Bonds</c:v>
                </c:pt>
                <c:pt idx="4">
                  <c:v>Alternatives</c:v>
                </c:pt>
              </c:strCache>
            </c:strRef>
          </c:cat>
          <c:val>
            <c:numRef>
              <c:f>'Policy Portfolio'!$N$39:$N$43</c:f>
              <c:numCache>
                <c:formatCode>General</c:formatCode>
                <c:ptCount val="5"/>
                <c:pt idx="0">
                  <c:v>0.01</c:v>
                </c:pt>
                <c:pt idx="1">
                  <c:v>0.29</c:v>
                </c:pt>
                <c:pt idx="2">
                  <c:v>0.3</c:v>
                </c:pt>
                <c:pt idx="3">
                  <c:v>0.35</c:v>
                </c:pt>
                <c:pt idx="4">
                  <c:v>0.05</c:v>
                </c:pt>
              </c:numCache>
            </c:numRef>
          </c:val>
        </c:ser>
      </c:pie3DChart>
      <c:spPr>
        <a:solidFill>
          <a:srgbClr val="d9d9d9"/>
        </a:solidFill>
        <a:ln>
          <a:noFill/>
        </a:ln>
      </c:spPr>
    </c:plotArea>
    <c:legend>
      <c:legendPos val="b"/>
      <c:overlay val="0"/>
      <c:spPr>
        <a:solidFill>
          <a:srgbClr val="f2f2f2">
            <a:alpha val="39000"/>
          </a:srgbClr>
        </a:solidFill>
        <a:ln>
          <a:noFill/>
        </a:ln>
      </c:spPr>
    </c:legend>
    <c:plotVisOnly val="1"/>
    <c:dispBlanksAs val="gap"/>
  </c:chart>
  <c:spPr>
    <a:noFill/>
    <a:ln w="9360">
      <a:solidFill>
        <a:srgbClr val="bfbfbf"/>
      </a:solidFill>
      <a:round/>
    </a:ln>
  </c:spPr>
</c:chartSpace>
</file>

<file path=xl/charts/chart30.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400" spc="-1" strike="noStrike">
                <a:solidFill>
                  <a:srgbClr val="595959"/>
                </a:solidFill>
                <a:latin typeface="Calibri"/>
              </a:defRPr>
            </a:pPr>
            <a:r>
              <a:rPr b="0" sz="1400" spc="-1" strike="noStrike">
                <a:solidFill>
                  <a:srgbClr val="595959"/>
                </a:solidFill>
                <a:latin typeface="Calibri"/>
              </a:rPr>
              <a:t>Portfolio Returns vs. Policy Portfolio</a:t>
            </a:r>
          </a:p>
        </c:rich>
      </c:tx>
      <c:overlay val="0"/>
    </c:title>
    <c:autoTitleDeleted val="0"/>
    <c:plotArea>
      <c:lineChart>
        <c:varyColors val="0"/>
        <c:grouping val="standard"/>
        <c:ser>
          <c:idx val="0"/>
          <c:order val="0"/>
          <c:tx>
            <c:strRef>
              <c:f>Calculations!$C$73</c:f>
              <c:strCache>
                <c:ptCount val="1"/>
                <c:pt idx="0">
                  <c:v>Portfolio</c:v>
                </c:pt>
              </c:strCache>
            </c:strRef>
          </c:tx>
          <c:spPr>
            <a:solidFill>
              <a:srgbClr val="002060"/>
            </a:solidFill>
            <a:ln w="28440">
              <a:solidFill>
                <a:srgbClr val="002060"/>
              </a:solidFill>
              <a:round/>
            </a:ln>
          </c:spPr>
          <c:marker>
            <c:symbol val="none"/>
          </c:marker>
          <c:dLbls>
            <c:dLblPos val="r"/>
            <c:showLegendKey val="0"/>
            <c:showVal val="0"/>
            <c:showCatName val="0"/>
            <c:showSerName val="0"/>
            <c:showPercent val="0"/>
            <c:showLeaderLines val="0"/>
          </c:dLbls>
          <c:cat>
            <c:strRef>
              <c:f>Calculations!$B$74:$B$79</c:f>
              <c:strCache>
                <c:ptCount val="6"/>
                <c:pt idx="0">
                  <c:v>6/8/2018</c:v>
                </c:pt>
                <c:pt idx="1">
                  <c:v>6/15/2018</c:v>
                </c:pt>
                <c:pt idx="2">
                  <c:v>6/22/2018</c:v>
                </c:pt>
                <c:pt idx="3">
                  <c:v>6/29/2018</c:v>
                </c:pt>
                <c:pt idx="4">
                  <c:v>7/6/2018</c:v>
                </c:pt>
                <c:pt idx="5">
                  <c:v>7/13/2018</c:v>
                </c:pt>
              </c:strCache>
            </c:strRef>
          </c:cat>
          <c:val>
            <c:numRef>
              <c:f>Calculations!$E$74:$E$79</c:f>
              <c:numCache>
                <c:formatCode>General</c:formatCode>
                <c:ptCount val="6"/>
                <c:pt idx="0">
                  <c:v>0</c:v>
                </c:pt>
                <c:pt idx="1">
                  <c:v>-0.00321490000000013</c:v>
                </c:pt>
                <c:pt idx="2">
                  <c:v>-0.0113670300000001</c:v>
                </c:pt>
                <c:pt idx="3">
                  <c:v>-0.98992802</c:v>
                </c:pt>
                <c:pt idx="4">
                  <c:v>-0.98992802</c:v>
                </c:pt>
                <c:pt idx="5">
                  <c:v>-0.98992802</c:v>
                </c:pt>
              </c:numCache>
            </c:numRef>
          </c:val>
          <c:smooth val="0"/>
        </c:ser>
        <c:ser>
          <c:idx val="1"/>
          <c:order val="1"/>
          <c:tx>
            <c:strRef>
              <c:f>Calculations!$F$73</c:f>
              <c:strCache>
                <c:ptCount val="1"/>
                <c:pt idx="0">
                  <c:v>Benchmark</c:v>
                </c:pt>
              </c:strCache>
            </c:strRef>
          </c:tx>
          <c:spPr>
            <a:solidFill>
              <a:srgbClr val="808080"/>
            </a:solidFill>
            <a:ln w="28440">
              <a:solidFill>
                <a:srgbClr val="808080"/>
              </a:solidFill>
              <a:round/>
            </a:ln>
          </c:spPr>
          <c:marker>
            <c:symbol val="none"/>
          </c:marker>
          <c:dLbls>
            <c:dLblPos val="r"/>
            <c:showLegendKey val="0"/>
            <c:showVal val="0"/>
            <c:showCatName val="0"/>
            <c:showSerName val="0"/>
            <c:showPercent val="0"/>
            <c:showLeaderLines val="0"/>
          </c:dLbls>
          <c:cat>
            <c:strRef>
              <c:f>Calculations!$B$74:$B$79</c:f>
              <c:strCache>
                <c:ptCount val="6"/>
                <c:pt idx="0">
                  <c:v>6/8/2018</c:v>
                </c:pt>
                <c:pt idx="1">
                  <c:v>6/15/2018</c:v>
                </c:pt>
                <c:pt idx="2">
                  <c:v>6/22/2018</c:v>
                </c:pt>
                <c:pt idx="3">
                  <c:v>6/29/2018</c:v>
                </c:pt>
                <c:pt idx="4">
                  <c:v>7/6/2018</c:v>
                </c:pt>
                <c:pt idx="5">
                  <c:v>7/13/2018</c:v>
                </c:pt>
              </c:strCache>
            </c:strRef>
          </c:cat>
          <c:val>
            <c:numRef>
              <c:f>Calculations!$H$74:$H$79</c:f>
              <c:numCache>
                <c:formatCode>General</c:formatCode>
                <c:ptCount val="6"/>
                <c:pt idx="0">
                  <c:v>0</c:v>
                </c:pt>
                <c:pt idx="1">
                  <c:v>-0.00321443621354522</c:v>
                </c:pt>
                <c:pt idx="2">
                  <c:v>-0.0147507529326629</c:v>
                </c:pt>
                <c:pt idx="3">
                  <c:v>-0.99</c:v>
                </c:pt>
                <c:pt idx="4">
                  <c:v>-0.99</c:v>
                </c:pt>
                <c:pt idx="5">
                  <c:v>-0.99</c:v>
                </c:pt>
              </c:numCache>
            </c:numRef>
          </c:val>
          <c:smooth val="0"/>
        </c:ser>
        <c:hiLowLines>
          <c:spPr>
            <a:ln>
              <a:noFill/>
            </a:ln>
          </c:spPr>
        </c:hiLowLines>
        <c:marker val="0"/>
        <c:axId val="96862609"/>
        <c:axId val="42359957"/>
      </c:lineChart>
      <c:catAx>
        <c:axId val="96862609"/>
        <c:scaling>
          <c:orientation val="minMax"/>
        </c:scaling>
        <c:delete val="0"/>
        <c:axPos val="b"/>
        <c:numFmt formatCode="M/D/YYYY" sourceLinked="1"/>
        <c:majorTickMark val="out"/>
        <c:minorTickMark val="none"/>
        <c:tickLblPos val="nextTo"/>
        <c:spPr>
          <a:ln w="9360">
            <a:solidFill>
              <a:srgbClr val="d9d9d9"/>
            </a:solidFill>
            <a:round/>
          </a:ln>
        </c:spPr>
        <c:txPr>
          <a:bodyPr/>
          <a:p>
            <a:pPr>
              <a:defRPr b="0" sz="900" spc="-1" strike="noStrike">
                <a:solidFill>
                  <a:srgbClr val="595959"/>
                </a:solidFill>
                <a:latin typeface="Calibri"/>
              </a:defRPr>
            </a:pPr>
          </a:p>
        </c:txPr>
        <c:crossAx val="42359957"/>
        <c:crosses val="autoZero"/>
        <c:auto val="1"/>
        <c:lblAlgn val="ctr"/>
        <c:lblOffset val="100"/>
      </c:catAx>
      <c:valAx>
        <c:axId val="42359957"/>
        <c:scaling>
          <c:orientation val="minMax"/>
        </c:scaling>
        <c:delete val="0"/>
        <c:axPos val="l"/>
        <c:numFmt formatCode="0.0%" sourceLinked="0"/>
        <c:majorTickMark val="none"/>
        <c:minorTickMark val="none"/>
        <c:tickLblPos val="nextTo"/>
        <c:spPr>
          <a:ln w="6480">
            <a:noFill/>
          </a:ln>
        </c:spPr>
        <c:txPr>
          <a:bodyPr/>
          <a:p>
            <a:pPr>
              <a:defRPr b="0" sz="900" spc="-1" strike="noStrike">
                <a:solidFill>
                  <a:srgbClr val="595959"/>
                </a:solidFill>
                <a:latin typeface="Calibri"/>
              </a:defRPr>
            </a:pPr>
          </a:p>
        </c:txPr>
        <c:crossAx val="96862609"/>
        <c:crosses val="autoZero"/>
        <c:crossBetween val="midCat"/>
      </c:valAx>
      <c:spPr>
        <a:noFill/>
        <a:ln>
          <a:noFill/>
        </a:ln>
      </c:spPr>
    </c:plotArea>
    <c:legend>
      <c:legendPos val="b"/>
      <c:overlay val="0"/>
      <c:spPr>
        <a:noFill/>
        <a:ln>
          <a:noFill/>
        </a:ln>
      </c:spPr>
    </c:legend>
    <c:plotVisOnly val="1"/>
    <c:dispBlanksAs val="gap"/>
  </c:chart>
  <c:spPr>
    <a:solidFill>
      <a:srgbClr val="ffffff"/>
    </a:solidFill>
    <a:ln w="9360">
      <a:solidFill>
        <a:srgbClr val="d9d9d9"/>
      </a:solidFill>
      <a:round/>
    </a:ln>
  </c:spPr>
</c:chartSpace>
</file>

<file path=xl/drawings/_rels/drawing2.xml.rels><?xml version="1.0" encoding="UTF-8"?>
<Relationships xmlns="http://schemas.openxmlformats.org/package/2006/relationships"><Relationship Id="rId1" Type="http://schemas.openxmlformats.org/officeDocument/2006/relationships/image" Target="../media/image51.png"/><Relationship Id="rId2" Type="http://schemas.openxmlformats.org/officeDocument/2006/relationships/chart" Target="../charts/chart26.xml"/><Relationship Id="rId3" Type="http://schemas.openxmlformats.org/officeDocument/2006/relationships/image" Target="../media/image52.png"/><Relationship Id="rId4" Type="http://schemas.openxmlformats.org/officeDocument/2006/relationships/image" Target="../media/image53.png"/><Relationship Id="rId5" Type="http://schemas.openxmlformats.org/officeDocument/2006/relationships/image" Target="../media/image54.png"/><Relationship Id="rId6" Type="http://schemas.openxmlformats.org/officeDocument/2006/relationships/image" Target="../media/image55.png"/><Relationship Id="rId7" Type="http://schemas.openxmlformats.org/officeDocument/2006/relationships/image" Target="../media/image56.png"/><Relationship Id="rId8" Type="http://schemas.openxmlformats.org/officeDocument/2006/relationships/image" Target="../media/image57.png"/><Relationship Id="rId9" Type="http://schemas.openxmlformats.org/officeDocument/2006/relationships/image" Target="../media/image58.png"/><Relationship Id="rId10" Type="http://schemas.openxmlformats.org/officeDocument/2006/relationships/image" Target="../media/image59.png"/>
</Relationships>
</file>

<file path=xl/drawings/_rels/drawing3.xml.rels><?xml version="1.0" encoding="UTF-8"?>
<Relationships xmlns="http://schemas.openxmlformats.org/package/2006/relationships"><Relationship Id="rId1" Type="http://schemas.openxmlformats.org/officeDocument/2006/relationships/chart" Target="../charts/chart27.xml"/><Relationship Id="rId2" Type="http://schemas.openxmlformats.org/officeDocument/2006/relationships/image" Target="../media/image60.png"/>
</Relationships>
</file>

<file path=xl/drawings/_rels/drawing7.xml.rels><?xml version="1.0" encoding="UTF-8"?>
<Relationships xmlns="http://schemas.openxmlformats.org/package/2006/relationships"><Relationship Id="rId1" Type="http://schemas.openxmlformats.org/officeDocument/2006/relationships/chart" Target="../charts/chart28.xml"/><Relationship Id="rId2" Type="http://schemas.openxmlformats.org/officeDocument/2006/relationships/chart" Target="../charts/chart29.xml"/>
</Relationships>
</file>

<file path=xl/drawings/_rels/drawing9.xml.rels><?xml version="1.0" encoding="UTF-8"?>
<Relationships xmlns="http://schemas.openxmlformats.org/package/2006/relationships"><Relationship Id="rId1" Type="http://schemas.openxmlformats.org/officeDocument/2006/relationships/chart" Target="../charts/chart30.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495360</xdr:colOff>
      <xdr:row>9</xdr:row>
      <xdr:rowOff>76320</xdr:rowOff>
    </xdr:from>
    <xdr:to>
      <xdr:col>15</xdr:col>
      <xdr:colOff>271800</xdr:colOff>
      <xdr:row>16</xdr:row>
      <xdr:rowOff>54720</xdr:rowOff>
    </xdr:to>
    <xdr:sp>
      <xdr:nvSpPr>
        <xdr:cNvPr id="0" name="CustomShape 1"/>
        <xdr:cNvSpPr/>
      </xdr:nvSpPr>
      <xdr:spPr>
        <a:xfrm>
          <a:off x="14412960" y="2314440"/>
          <a:ext cx="7434720" cy="1311840"/>
        </a:xfrm>
        <a:prstGeom prst="rect">
          <a:avLst/>
        </a:prstGeom>
        <a:noFill/>
        <a:ln w="9360">
          <a:noFill/>
        </a:ln>
      </xdr:spPr>
      <xdr:style>
        <a:lnRef idx="0"/>
        <a:fillRef idx="0"/>
        <a:effectRef idx="0"/>
        <a:fontRef idx="minor"/>
      </xdr:style>
      <xdr:txBody>
        <a:bodyPr lIns="90000" rIns="90000" tIns="45000" bIns="45000"/>
        <a:p>
          <a:r>
            <a:rPr b="0" lang="en-US" sz="1100" spc="-1" strike="noStrike">
              <a:latin typeface="Calibri"/>
            </a:rPr>
            <a:t> </a:t>
          </a:r>
          <a:r>
            <a:rPr b="0" i="1" lang="en-US" sz="1100" spc="-1" strike="noStrike">
              <a:latin typeface="Calibri"/>
            </a:rPr>
            <a:t>DISCLAIMER: Rice University, the instructors and course team do not review, endorse, approve or control, and are not responsible for any sites linked to our course, the content of those sites, the third parties named therein, or their products and services. Linking to any other site is at your sole risk and we will not be responsible or liable for any damages in connection with linking. Links to downloadable software sites are for convenience only and we are not responsible or liable for any difficulties or consequences associated with downloading the software. Use of any downloaded software is governed by the terms of the licensing agreement, if any, which accompanies or is provided with the software.</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565200</xdr:colOff>
      <xdr:row>3</xdr:row>
      <xdr:rowOff>69840</xdr:rowOff>
    </xdr:from>
    <xdr:to>
      <xdr:col>6</xdr:col>
      <xdr:colOff>97200</xdr:colOff>
      <xdr:row>3</xdr:row>
      <xdr:rowOff>758880</xdr:rowOff>
    </xdr:to>
    <xdr:pic>
      <xdr:nvPicPr>
        <xdr:cNvPr id="1" name="Picture 9" descr=""/>
        <xdr:cNvPicPr/>
      </xdr:nvPicPr>
      <xdr:blipFill>
        <a:blip r:embed="rId1"/>
        <a:stretch/>
      </xdr:blipFill>
      <xdr:spPr>
        <a:xfrm>
          <a:off x="3337560" y="641160"/>
          <a:ext cx="2130120" cy="689040"/>
        </a:xfrm>
        <a:prstGeom prst="rect">
          <a:avLst/>
        </a:prstGeom>
        <a:ln>
          <a:noFill/>
        </a:ln>
      </xdr:spPr>
    </xdr:pic>
    <xdr:clientData/>
  </xdr:twoCellAnchor>
  <xdr:twoCellAnchor editAs="oneCell">
    <xdr:from>
      <xdr:col>11</xdr:col>
      <xdr:colOff>51120</xdr:colOff>
      <xdr:row>21</xdr:row>
      <xdr:rowOff>57240</xdr:rowOff>
    </xdr:from>
    <xdr:to>
      <xdr:col>19</xdr:col>
      <xdr:colOff>663480</xdr:colOff>
      <xdr:row>36</xdr:row>
      <xdr:rowOff>169200</xdr:rowOff>
    </xdr:to>
    <xdr:graphicFrame>
      <xdr:nvGraphicFramePr>
        <xdr:cNvPr id="2" name="Chart 13"/>
        <xdr:cNvGraphicFramePr/>
      </xdr:nvGraphicFramePr>
      <xdr:xfrm>
        <a:off x="9192960" y="5048280"/>
        <a:ext cx="7647480" cy="309312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11160</xdr:colOff>
      <xdr:row>16</xdr:row>
      <xdr:rowOff>174960</xdr:rowOff>
    </xdr:from>
    <xdr:to>
      <xdr:col>10</xdr:col>
      <xdr:colOff>433080</xdr:colOff>
      <xdr:row>22</xdr:row>
      <xdr:rowOff>161640</xdr:rowOff>
    </xdr:to>
    <xdr:sp>
      <xdr:nvSpPr>
        <xdr:cNvPr id="3" name="CustomShape 1"/>
        <xdr:cNvSpPr/>
      </xdr:nvSpPr>
      <xdr:spPr>
        <a:xfrm>
          <a:off x="1695600" y="4175280"/>
          <a:ext cx="7405560" cy="1177200"/>
        </a:xfrm>
        <a:prstGeom prst="rect">
          <a:avLst/>
        </a:prstGeom>
        <a:noFill/>
        <a:ln w="9360">
          <a:noFill/>
        </a:ln>
      </xdr:spPr>
      <xdr:style>
        <a:lnRef idx="0"/>
        <a:fillRef idx="0"/>
        <a:effectRef idx="0"/>
        <a:fontRef idx="minor"/>
      </xdr:style>
    </xdr:sp>
    <xdr:clientData/>
  </xdr:twoCellAnchor>
  <xdr:twoCellAnchor editAs="oneCell">
    <xdr:from>
      <xdr:col>11</xdr:col>
      <xdr:colOff>57600</xdr:colOff>
      <xdr:row>38</xdr:row>
      <xdr:rowOff>28800</xdr:rowOff>
    </xdr:from>
    <xdr:to>
      <xdr:col>19</xdr:col>
      <xdr:colOff>740880</xdr:colOff>
      <xdr:row>50</xdr:row>
      <xdr:rowOff>178560</xdr:rowOff>
    </xdr:to>
    <xdr:sp>
      <xdr:nvSpPr>
        <xdr:cNvPr id="4" name="CustomShape 1"/>
        <xdr:cNvSpPr/>
      </xdr:nvSpPr>
      <xdr:spPr>
        <a:xfrm>
          <a:off x="9199440" y="8391600"/>
          <a:ext cx="7718400" cy="2549880"/>
        </a:xfrm>
        <a:prstGeom prst="rect">
          <a:avLst/>
        </a:prstGeom>
        <a:noFill/>
        <a:ln w="9360">
          <a:noFill/>
        </a:ln>
      </xdr:spPr>
      <xdr:style>
        <a:lnRef idx="0"/>
        <a:fillRef idx="0"/>
        <a:effectRef idx="0"/>
        <a:fontRef idx="minor"/>
      </xdr:style>
    </xdr:sp>
    <xdr:clientData/>
  </xdr:twoCellAnchor>
  <xdr:twoCellAnchor editAs="oneCell">
    <xdr:from>
      <xdr:col>2</xdr:col>
      <xdr:colOff>11160</xdr:colOff>
      <xdr:row>24</xdr:row>
      <xdr:rowOff>174240</xdr:rowOff>
    </xdr:from>
    <xdr:to>
      <xdr:col>6</xdr:col>
      <xdr:colOff>401040</xdr:colOff>
      <xdr:row>29</xdr:row>
      <xdr:rowOff>41040</xdr:rowOff>
    </xdr:to>
    <xdr:sp>
      <xdr:nvSpPr>
        <xdr:cNvPr id="5" name="CustomShape 1"/>
        <xdr:cNvSpPr/>
      </xdr:nvSpPr>
      <xdr:spPr>
        <a:xfrm>
          <a:off x="1695600" y="5765400"/>
          <a:ext cx="4075920" cy="866880"/>
        </a:xfrm>
        <a:prstGeom prst="rect">
          <a:avLst/>
        </a:prstGeom>
        <a:noFill/>
        <a:ln w="9360">
          <a:noFill/>
        </a:ln>
      </xdr:spPr>
      <xdr:style>
        <a:lnRef idx="0"/>
        <a:fillRef idx="0"/>
        <a:effectRef idx="0"/>
        <a:fontRef idx="minor"/>
      </xdr:style>
    </xdr:sp>
    <xdr:clientData/>
  </xdr:twoCellAnchor>
  <xdr:twoCellAnchor editAs="oneCell">
    <xdr:from>
      <xdr:col>2</xdr:col>
      <xdr:colOff>33120</xdr:colOff>
      <xdr:row>30</xdr:row>
      <xdr:rowOff>29160</xdr:rowOff>
    </xdr:from>
    <xdr:to>
      <xdr:col>6</xdr:col>
      <xdr:colOff>368280</xdr:colOff>
      <xdr:row>36</xdr:row>
      <xdr:rowOff>178560</xdr:rowOff>
    </xdr:to>
    <xdr:sp>
      <xdr:nvSpPr>
        <xdr:cNvPr id="6" name="CustomShape 1"/>
        <xdr:cNvSpPr/>
      </xdr:nvSpPr>
      <xdr:spPr>
        <a:xfrm>
          <a:off x="1717560" y="6820200"/>
          <a:ext cx="4021200" cy="1330560"/>
        </a:xfrm>
        <a:prstGeom prst="rect">
          <a:avLst/>
        </a:prstGeom>
        <a:noFill/>
        <a:ln w="9360">
          <a:noFill/>
        </a:ln>
      </xdr:spPr>
      <xdr:style>
        <a:lnRef idx="0"/>
        <a:fillRef idx="0"/>
        <a:effectRef idx="0"/>
        <a:fontRef idx="minor"/>
      </xdr:style>
    </xdr:sp>
    <xdr:clientData/>
  </xdr:twoCellAnchor>
  <xdr:twoCellAnchor editAs="oneCell">
    <xdr:from>
      <xdr:col>11</xdr:col>
      <xdr:colOff>685080</xdr:colOff>
      <xdr:row>5</xdr:row>
      <xdr:rowOff>13680</xdr:rowOff>
    </xdr:from>
    <xdr:to>
      <xdr:col>19</xdr:col>
      <xdr:colOff>807840</xdr:colOff>
      <xdr:row>15</xdr:row>
      <xdr:rowOff>187920</xdr:rowOff>
    </xdr:to>
    <xdr:sp>
      <xdr:nvSpPr>
        <xdr:cNvPr id="7" name="CustomShape 1"/>
        <xdr:cNvSpPr/>
      </xdr:nvSpPr>
      <xdr:spPr>
        <a:xfrm>
          <a:off x="9826920" y="1880280"/>
          <a:ext cx="7157880" cy="2107800"/>
        </a:xfrm>
        <a:prstGeom prst="rect">
          <a:avLst/>
        </a:prstGeom>
        <a:solidFill>
          <a:srgbClr val="ffffff"/>
        </a:solidFill>
        <a:ln w="9360">
          <a:noFill/>
        </a:ln>
      </xdr:spPr>
      <xdr:style>
        <a:lnRef idx="0"/>
        <a:fillRef idx="0"/>
        <a:effectRef idx="0"/>
        <a:fontRef idx="minor"/>
      </xdr:style>
      <xdr:txBody>
        <a:bodyPr lIns="90000" rIns="90000" tIns="45000" bIns="45000"/>
        <a:p>
          <a:r>
            <a:rPr b="0" lang="en-US" sz="1200" spc="-1" strike="noStrike">
              <a:latin typeface="Times New Roman"/>
            </a:rPr>
            <a:t>Given my relatively limited experience with investing, I feel that my activities may be affected by the following biases:</a:t>
          </a:r>
          <a:br/>
          <a:r>
            <a:rPr b="0" lang="en-US" sz="1200" spc="-1" strike="noStrike">
              <a:latin typeface="Times New Roman"/>
            </a:rPr>
            <a:t>1.Loss aversion / Disposition effect. I will need to carefully monitor my positions &amp; accept the loss, framing it in the long term investment strategy.</a:t>
          </a:r>
          <a:br/>
          <a:r>
            <a:rPr b="0" lang="en-US" sz="1200" spc="-1" strike="noStrike">
              <a:latin typeface="Times New Roman"/>
            </a:rPr>
            <a:t>2.Regret aversion. Give the limited experience, I believe I will be extra carefully in taking any buy or sell decision. In this case I need to take a detached position and eval</a:t>
          </a:r>
          <a:r>
            <a:rPr b="0" lang="en-US" sz="1200" spc="-1" strike="noStrike">
              <a:latin typeface="Times New Roman"/>
            </a:rPr>
            <a:t>uate the portfolio performance &amp; have confidence in my forecast.</a:t>
          </a:r>
          <a:br/>
          <a:r>
            <a:rPr b="0" lang="en-US" sz="1200" spc="-1" strike="noStrike">
              <a:latin typeface="Times New Roman"/>
            </a:rPr>
            <a:t>3.Home bias. I believe I will be very careful in investing in emerging markets as I am not very familiar with. In this case I need to look objectively at performances &amp; prospects. </a:t>
          </a:r>
          <a:endParaRPr b="0" lang="en-US" sz="1200" spc="-1" strike="noStrike">
            <a:latin typeface="Times New Roman"/>
          </a:endParaRPr>
        </a:p>
      </xdr:txBody>
    </xdr:sp>
    <xdr:clientData/>
  </xdr:twoCellAnchor>
  <xdr:twoCellAnchor editAs="oneCell">
    <xdr:from>
      <xdr:col>9</xdr:col>
      <xdr:colOff>600480</xdr:colOff>
      <xdr:row>3</xdr:row>
      <xdr:rowOff>48240</xdr:rowOff>
    </xdr:from>
    <xdr:to>
      <xdr:col>10</xdr:col>
      <xdr:colOff>416880</xdr:colOff>
      <xdr:row>3</xdr:row>
      <xdr:rowOff>245880</xdr:rowOff>
    </xdr:to>
    <xdr:sp>
      <xdr:nvSpPr>
        <xdr:cNvPr id="8" name="CustomShape 1"/>
        <xdr:cNvSpPr/>
      </xdr:nvSpPr>
      <xdr:spPr>
        <a:xfrm>
          <a:off x="8290800" y="619560"/>
          <a:ext cx="794160" cy="197640"/>
        </a:xfrm>
        <a:prstGeom prst="rect">
          <a:avLst/>
        </a:prstGeom>
        <a:solidFill>
          <a:srgbClr val="ffffff"/>
        </a:solidFill>
        <a:ln w="9360">
          <a:noFill/>
        </a:ln>
      </xdr:spPr>
      <xdr:style>
        <a:lnRef idx="0"/>
        <a:fillRef idx="0"/>
        <a:effectRef idx="0"/>
        <a:fontRef idx="minor"/>
      </xdr:style>
      <xdr:txBody>
        <a:bodyPr lIns="90000" rIns="90000" tIns="45000" bIns="45000"/>
        <a:p>
          <a:pPr algn="r">
            <a:lnSpc>
              <a:spcPct val="100000"/>
            </a:lnSpc>
          </a:pPr>
          <a:r>
            <a:rPr b="0" lang="en-US" sz="900" spc="-1" strike="noStrike">
              <a:solidFill>
                <a:srgbClr val="000000"/>
              </a:solidFill>
              <a:latin typeface="Calibri"/>
            </a:rPr>
            <a:t>2/1/1900</a:t>
          </a:r>
          <a:endParaRPr b="0" lang="en-US" sz="900" spc="-1" strike="noStrike">
            <a:latin typeface="Times New Roman"/>
          </a:endParaRPr>
        </a:p>
      </xdr:txBody>
    </xdr:sp>
    <xdr:clientData/>
  </xdr:twoCellAnchor>
  <xdr:twoCellAnchor editAs="oneCell">
    <xdr:from>
      <xdr:col>9</xdr:col>
      <xdr:colOff>543240</xdr:colOff>
      <xdr:row>3</xdr:row>
      <xdr:rowOff>19800</xdr:rowOff>
    </xdr:from>
    <xdr:to>
      <xdr:col>9</xdr:col>
      <xdr:colOff>778680</xdr:colOff>
      <xdr:row>3</xdr:row>
      <xdr:rowOff>169560</xdr:rowOff>
    </xdr:to>
    <xdr:sp>
      <xdr:nvSpPr>
        <xdr:cNvPr id="9" name="CustomShape 1"/>
        <xdr:cNvSpPr/>
      </xdr:nvSpPr>
      <xdr:spPr>
        <a:xfrm>
          <a:off x="8233560" y="591120"/>
          <a:ext cx="235440" cy="149760"/>
        </a:xfrm>
        <a:prstGeom prst="rect">
          <a:avLst/>
        </a:prstGeom>
        <a:solidFill>
          <a:srgbClr val="ffffff"/>
        </a:solidFill>
        <a:ln w="9360">
          <a:noFill/>
        </a:ln>
      </xdr:spPr>
      <xdr:style>
        <a:lnRef idx="0"/>
        <a:fillRef idx="0"/>
        <a:effectRef idx="0"/>
        <a:fontRef idx="minor"/>
      </xdr:style>
      <xdr:txBody>
        <a:bodyPr lIns="90000" rIns="90000" tIns="45000" bIns="45000"/>
        <a:p>
          <a:pPr algn="r">
            <a:lnSpc>
              <a:spcPct val="100000"/>
            </a:lnSpc>
          </a:pPr>
          <a:r>
            <a:rPr b="0" lang="en-US" sz="1100" spc="-1" strike="noStrike">
              <a:solidFill>
                <a:srgbClr val="000000"/>
              </a:solidFill>
              <a:latin typeface="Calibri"/>
            </a:rPr>
            <a:t>-</a:t>
          </a:r>
          <a:endParaRPr b="0" lang="en-US" sz="1100" spc="-1" strike="noStrike">
            <a:latin typeface="Times New Roman"/>
          </a:endParaRPr>
        </a:p>
      </xdr:txBody>
    </xdr:sp>
    <xdr:clientData/>
  </xdr:twoCellAnchor>
  <xdr:twoCellAnchor editAs="oneCell">
    <xdr:from>
      <xdr:col>8</xdr:col>
      <xdr:colOff>1123920</xdr:colOff>
      <xdr:row>3</xdr:row>
      <xdr:rowOff>48240</xdr:rowOff>
    </xdr:from>
    <xdr:to>
      <xdr:col>9</xdr:col>
      <xdr:colOff>664560</xdr:colOff>
      <xdr:row>3</xdr:row>
      <xdr:rowOff>312480</xdr:rowOff>
    </xdr:to>
    <xdr:sp>
      <xdr:nvSpPr>
        <xdr:cNvPr id="10" name="CustomShape 1"/>
        <xdr:cNvSpPr/>
      </xdr:nvSpPr>
      <xdr:spPr>
        <a:xfrm>
          <a:off x="7623720" y="619560"/>
          <a:ext cx="731160" cy="264240"/>
        </a:xfrm>
        <a:prstGeom prst="rect">
          <a:avLst/>
        </a:prstGeom>
        <a:solidFill>
          <a:srgbClr val="ffffff"/>
        </a:solidFill>
        <a:ln w="9360">
          <a:noFill/>
        </a:ln>
      </xdr:spPr>
      <xdr:style>
        <a:lnRef idx="0"/>
        <a:fillRef idx="0"/>
        <a:effectRef idx="0"/>
        <a:fontRef idx="minor"/>
      </xdr:style>
      <xdr:txBody>
        <a:bodyPr lIns="90000" rIns="90000" tIns="45000" bIns="45000"/>
        <a:p>
          <a:pPr algn="r">
            <a:lnSpc>
              <a:spcPct val="100000"/>
            </a:lnSpc>
          </a:pPr>
          <a:r>
            <a:rPr b="0" lang="en-US" sz="900" spc="-1" strike="noStrike">
              <a:solidFill>
                <a:srgbClr val="000000"/>
              </a:solidFill>
              <a:latin typeface="Calibri"/>
            </a:rPr>
            <a:t> </a:t>
          </a:r>
          <a:endParaRPr b="0" lang="en-US" sz="900" spc="-1" strike="noStrike">
            <a:latin typeface="Times New Roman"/>
          </a:endParaRPr>
        </a:p>
      </xdr:txBody>
    </xdr:sp>
    <xdr:clientData/>
  </xdr:twoCellAnchor>
  <xdr:twoCellAnchor editAs="oneCell">
    <xdr:from>
      <xdr:col>6</xdr:col>
      <xdr:colOff>424080</xdr:colOff>
      <xdr:row>3</xdr:row>
      <xdr:rowOff>127800</xdr:rowOff>
    </xdr:from>
    <xdr:to>
      <xdr:col>8</xdr:col>
      <xdr:colOff>815040</xdr:colOff>
      <xdr:row>3</xdr:row>
      <xdr:rowOff>697680</xdr:rowOff>
    </xdr:to>
    <xdr:pic>
      <xdr:nvPicPr>
        <xdr:cNvPr id="11" name="Picture 7" descr=""/>
        <xdr:cNvPicPr/>
      </xdr:nvPicPr>
      <xdr:blipFill>
        <a:blip r:embed="rId3"/>
        <a:stretch/>
      </xdr:blipFill>
      <xdr:spPr>
        <a:xfrm>
          <a:off x="5794560" y="699120"/>
          <a:ext cx="1520280" cy="569880"/>
        </a:xfrm>
        <a:prstGeom prst="rect">
          <a:avLst/>
        </a:prstGeom>
        <a:ln>
          <a:noFill/>
        </a:ln>
      </xdr:spPr>
    </xdr:pic>
    <xdr:clientData/>
  </xdr:twoCellAnchor>
  <xdr:twoCellAnchor editAs="oneCell">
    <xdr:from>
      <xdr:col>13</xdr:col>
      <xdr:colOff>720</xdr:colOff>
      <xdr:row>3</xdr:row>
      <xdr:rowOff>53640</xdr:rowOff>
    </xdr:from>
    <xdr:to>
      <xdr:col>15</xdr:col>
      <xdr:colOff>177480</xdr:colOff>
      <xdr:row>3</xdr:row>
      <xdr:rowOff>742680</xdr:rowOff>
    </xdr:to>
    <xdr:pic>
      <xdr:nvPicPr>
        <xdr:cNvPr id="12" name="Picture 20" descr=""/>
        <xdr:cNvPicPr/>
      </xdr:nvPicPr>
      <xdr:blipFill>
        <a:blip r:embed="rId4"/>
        <a:stretch/>
      </xdr:blipFill>
      <xdr:spPr>
        <a:xfrm>
          <a:off x="11037960" y="624960"/>
          <a:ext cx="2091960" cy="689040"/>
        </a:xfrm>
        <a:prstGeom prst="rect">
          <a:avLst/>
        </a:prstGeom>
        <a:ln>
          <a:noFill/>
        </a:ln>
      </xdr:spPr>
    </xdr:pic>
    <xdr:clientData/>
  </xdr:twoCellAnchor>
  <xdr:twoCellAnchor editAs="oneCell">
    <xdr:from>
      <xdr:col>16</xdr:col>
      <xdr:colOff>17280</xdr:colOff>
      <xdr:row>3</xdr:row>
      <xdr:rowOff>111240</xdr:rowOff>
    </xdr:from>
    <xdr:to>
      <xdr:col>17</xdr:col>
      <xdr:colOff>959040</xdr:colOff>
      <xdr:row>3</xdr:row>
      <xdr:rowOff>681120</xdr:rowOff>
    </xdr:to>
    <xdr:pic>
      <xdr:nvPicPr>
        <xdr:cNvPr id="13" name="Picture 21" descr=""/>
        <xdr:cNvPicPr/>
      </xdr:nvPicPr>
      <xdr:blipFill>
        <a:blip r:embed="rId5"/>
        <a:stretch/>
      </xdr:blipFill>
      <xdr:spPr>
        <a:xfrm>
          <a:off x="13484160" y="682560"/>
          <a:ext cx="1486080" cy="569880"/>
        </a:xfrm>
        <a:prstGeom prst="rect">
          <a:avLst/>
        </a:prstGeom>
        <a:ln>
          <a:noFill/>
        </a:ln>
      </xdr:spPr>
    </xdr:pic>
    <xdr:clientData/>
  </xdr:twoCellAnchor>
  <xdr:twoCellAnchor editAs="oneCell">
    <xdr:from>
      <xdr:col>22</xdr:col>
      <xdr:colOff>921600</xdr:colOff>
      <xdr:row>3</xdr:row>
      <xdr:rowOff>53640</xdr:rowOff>
    </xdr:from>
    <xdr:to>
      <xdr:col>24</xdr:col>
      <xdr:colOff>494640</xdr:colOff>
      <xdr:row>3</xdr:row>
      <xdr:rowOff>742680</xdr:rowOff>
    </xdr:to>
    <xdr:pic>
      <xdr:nvPicPr>
        <xdr:cNvPr id="14" name="Picture 22" descr=""/>
        <xdr:cNvPicPr/>
      </xdr:nvPicPr>
      <xdr:blipFill>
        <a:blip r:embed="rId6"/>
        <a:stretch/>
      </xdr:blipFill>
      <xdr:spPr>
        <a:xfrm>
          <a:off x="18951480" y="624960"/>
          <a:ext cx="2133000" cy="689040"/>
        </a:xfrm>
        <a:prstGeom prst="rect">
          <a:avLst/>
        </a:prstGeom>
        <a:ln>
          <a:noFill/>
        </a:ln>
      </xdr:spPr>
    </xdr:pic>
    <xdr:clientData/>
  </xdr:twoCellAnchor>
  <xdr:twoCellAnchor editAs="oneCell">
    <xdr:from>
      <xdr:col>25</xdr:col>
      <xdr:colOff>112680</xdr:colOff>
      <xdr:row>3</xdr:row>
      <xdr:rowOff>111240</xdr:rowOff>
    </xdr:from>
    <xdr:to>
      <xdr:col>27</xdr:col>
      <xdr:colOff>133920</xdr:colOff>
      <xdr:row>3</xdr:row>
      <xdr:rowOff>681120</xdr:rowOff>
    </xdr:to>
    <xdr:pic>
      <xdr:nvPicPr>
        <xdr:cNvPr id="15" name="Picture 24" descr=""/>
        <xdr:cNvPicPr/>
      </xdr:nvPicPr>
      <xdr:blipFill>
        <a:blip r:embed="rId7"/>
        <a:stretch/>
      </xdr:blipFill>
      <xdr:spPr>
        <a:xfrm>
          <a:off x="21458160" y="682560"/>
          <a:ext cx="1532520" cy="569880"/>
        </a:xfrm>
        <a:prstGeom prst="rect">
          <a:avLst/>
        </a:prstGeom>
        <a:ln>
          <a:noFill/>
        </a:ln>
      </xdr:spPr>
    </xdr:pic>
    <xdr:clientData/>
  </xdr:twoCellAnchor>
  <xdr:twoCellAnchor editAs="oneCell">
    <xdr:from>
      <xdr:col>2</xdr:col>
      <xdr:colOff>47880</xdr:colOff>
      <xdr:row>11</xdr:row>
      <xdr:rowOff>720</xdr:rowOff>
    </xdr:from>
    <xdr:to>
      <xdr:col>6</xdr:col>
      <xdr:colOff>383040</xdr:colOff>
      <xdr:row>15</xdr:row>
      <xdr:rowOff>179280</xdr:rowOff>
    </xdr:to>
    <xdr:sp>
      <xdr:nvSpPr>
        <xdr:cNvPr id="16" name="CustomShape 1"/>
        <xdr:cNvSpPr/>
      </xdr:nvSpPr>
      <xdr:spPr>
        <a:xfrm>
          <a:off x="1732320" y="3010320"/>
          <a:ext cx="4021200" cy="969120"/>
        </a:xfrm>
        <a:prstGeom prst="rect">
          <a:avLst/>
        </a:prstGeom>
        <a:noFill/>
        <a:ln w="9360">
          <a:noFill/>
        </a:ln>
      </xdr:spPr>
      <xdr:style>
        <a:lnRef idx="0"/>
        <a:fillRef idx="0"/>
        <a:effectRef idx="0"/>
        <a:fontRef idx="minor"/>
      </xdr:style>
    </xdr:sp>
    <xdr:clientData/>
  </xdr:twoCellAnchor>
  <xdr:twoCellAnchor editAs="absolute">
    <xdr:from>
      <xdr:col>8</xdr:col>
      <xdr:colOff>999360</xdr:colOff>
      <xdr:row>5</xdr:row>
      <xdr:rowOff>40680</xdr:rowOff>
    </xdr:from>
    <xdr:to>
      <xdr:col>11</xdr:col>
      <xdr:colOff>618120</xdr:colOff>
      <xdr:row>15</xdr:row>
      <xdr:rowOff>167040</xdr:rowOff>
    </xdr:to>
    <xdr:pic>
      <xdr:nvPicPr>
        <xdr:cNvPr id="17" name="Image 1" descr=""/>
        <xdr:cNvPicPr/>
      </xdr:nvPicPr>
      <xdr:blipFill>
        <a:blip r:embed="rId8"/>
        <a:stretch/>
      </xdr:blipFill>
      <xdr:spPr>
        <a:xfrm>
          <a:off x="7499160" y="1907280"/>
          <a:ext cx="2260800" cy="2059920"/>
        </a:xfrm>
        <a:prstGeom prst="rect">
          <a:avLst/>
        </a:prstGeom>
        <a:ln>
          <a:noFill/>
        </a:ln>
      </xdr:spPr>
    </xdr:pic>
    <xdr:clientData/>
  </xdr:twoCellAnchor>
  <xdr:twoCellAnchor editAs="absolute">
    <xdr:from>
      <xdr:col>2</xdr:col>
      <xdr:colOff>543960</xdr:colOff>
      <xdr:row>39</xdr:row>
      <xdr:rowOff>98640</xdr:rowOff>
    </xdr:from>
    <xdr:to>
      <xdr:col>5</xdr:col>
      <xdr:colOff>605520</xdr:colOff>
      <xdr:row>50</xdr:row>
      <xdr:rowOff>64080</xdr:rowOff>
    </xdr:to>
    <xdr:pic>
      <xdr:nvPicPr>
        <xdr:cNvPr id="18" name="Image 2" descr=""/>
        <xdr:cNvPicPr/>
      </xdr:nvPicPr>
      <xdr:blipFill>
        <a:blip r:embed="rId9"/>
        <a:stretch/>
      </xdr:blipFill>
      <xdr:spPr>
        <a:xfrm>
          <a:off x="2228400" y="8651880"/>
          <a:ext cx="3012480" cy="2175120"/>
        </a:xfrm>
        <a:prstGeom prst="rect">
          <a:avLst/>
        </a:prstGeom>
        <a:ln>
          <a:noFill/>
        </a:ln>
      </xdr:spPr>
    </xdr:pic>
    <xdr:clientData/>
  </xdr:twoCellAnchor>
  <xdr:twoCellAnchor editAs="absolute">
    <xdr:from>
      <xdr:col>7</xdr:col>
      <xdr:colOff>21600</xdr:colOff>
      <xdr:row>39</xdr:row>
      <xdr:rowOff>71280</xdr:rowOff>
    </xdr:from>
    <xdr:to>
      <xdr:col>10</xdr:col>
      <xdr:colOff>420480</xdr:colOff>
      <xdr:row>50</xdr:row>
      <xdr:rowOff>27000</xdr:rowOff>
    </xdr:to>
    <xdr:pic>
      <xdr:nvPicPr>
        <xdr:cNvPr id="19" name="Image 3" descr=""/>
        <xdr:cNvPicPr/>
      </xdr:nvPicPr>
      <xdr:blipFill>
        <a:blip r:embed="rId10"/>
        <a:stretch/>
      </xdr:blipFill>
      <xdr:spPr>
        <a:xfrm>
          <a:off x="6208920" y="8624520"/>
          <a:ext cx="2879640" cy="216540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21600</xdr:colOff>
      <xdr:row>2</xdr:row>
      <xdr:rowOff>5040</xdr:rowOff>
    </xdr:from>
    <xdr:to>
      <xdr:col>8</xdr:col>
      <xdr:colOff>1695600</xdr:colOff>
      <xdr:row>8</xdr:row>
      <xdr:rowOff>163800</xdr:rowOff>
    </xdr:to>
    <xdr:sp>
      <xdr:nvSpPr>
        <xdr:cNvPr id="20" name="CustomShape 1"/>
        <xdr:cNvSpPr/>
      </xdr:nvSpPr>
      <xdr:spPr>
        <a:xfrm>
          <a:off x="665280" y="433440"/>
          <a:ext cx="9867600" cy="130176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Instructions:</a:t>
          </a:r>
          <a:endParaRPr b="0" lang="en-US" sz="1100" spc="-1" strike="noStrike">
            <a:latin typeface="Times New Roman"/>
          </a:endParaRPr>
        </a:p>
        <a:p>
          <a:pPr>
            <a:lnSpc>
              <a:spcPct val="100000"/>
            </a:lnSpc>
          </a:pPr>
          <a:r>
            <a:rPr b="0" lang="en-US" sz="1100" spc="-1" strike="noStrike">
              <a:solidFill>
                <a:srgbClr val="000000"/>
              </a:solidFill>
              <a:latin typeface="Calibri"/>
            </a:rPr>
            <a:t>1) Beginning in Cell E21, select the Asset Class  - (Cash, US Equity, Intl Equity, Bonds, Alternatives)</a:t>
          </a:r>
          <a:endParaRPr b="0" lang="en-US" sz="1100" spc="-1" strike="noStrike">
            <a:latin typeface="Times New Roman"/>
          </a:endParaRPr>
        </a:p>
        <a:p>
          <a:pPr>
            <a:lnSpc>
              <a:spcPct val="100000"/>
            </a:lnSpc>
          </a:pPr>
          <a:r>
            <a:rPr b="0" lang="en-US" sz="1100" spc="-1" strike="noStrike">
              <a:solidFill>
                <a:srgbClr val="000000"/>
              </a:solidFill>
              <a:latin typeface="Calibri"/>
            </a:rPr>
            <a:t>2) Cash default is 1% to allow for liquidity in trading.  You may increase the cash allocation if you need more liquidity (Cell G20)</a:t>
          </a:r>
          <a:endParaRPr b="0" lang="en-US" sz="1100" spc="-1" strike="noStrike">
            <a:latin typeface="Times New Roman"/>
          </a:endParaRPr>
        </a:p>
        <a:p>
          <a:pPr>
            <a:lnSpc>
              <a:spcPct val="100000"/>
            </a:lnSpc>
          </a:pPr>
          <a:r>
            <a:rPr b="0" lang="en-US" sz="1100" spc="-1" strike="noStrike">
              <a:solidFill>
                <a:srgbClr val="000000"/>
              </a:solidFill>
              <a:latin typeface="Calibri"/>
            </a:rPr>
            <a:t>3) Chose the Category within the Asset Class</a:t>
          </a:r>
          <a:endParaRPr b="0" lang="en-US" sz="1100" spc="-1" strike="noStrike">
            <a:latin typeface="Times New Roman"/>
          </a:endParaRPr>
        </a:p>
        <a:p>
          <a:pPr>
            <a:lnSpc>
              <a:spcPct val="100000"/>
            </a:lnSpc>
          </a:pPr>
          <a:r>
            <a:rPr b="0" lang="en-US" sz="1100" spc="-1" strike="noStrike">
              <a:solidFill>
                <a:srgbClr val="000000"/>
              </a:solidFill>
              <a:latin typeface="Calibri"/>
            </a:rPr>
            <a:t>4) Typed target weight for each Asset Class and Category</a:t>
          </a:r>
          <a:endParaRPr b="0" lang="en-US" sz="1100" spc="-1" strike="noStrike">
            <a:latin typeface="Times New Roman"/>
          </a:endParaRPr>
        </a:p>
        <a:p>
          <a:pPr>
            <a:lnSpc>
              <a:spcPct val="100000"/>
            </a:lnSpc>
          </a:pPr>
          <a:r>
            <a:rPr b="0" lang="en-US" sz="1100" spc="-1" strike="noStrike">
              <a:solidFill>
                <a:srgbClr val="000000"/>
              </a:solidFill>
              <a:latin typeface="Calibri"/>
            </a:rPr>
            <a:t>5) If you want to edit selection, delete all the input data in the row and re-enter</a:t>
          </a:r>
          <a:endParaRPr b="0" lang="en-US" sz="1100" spc="-1" strike="noStrike">
            <a:latin typeface="Times New Roman"/>
          </a:endParaRPr>
        </a:p>
      </xdr:txBody>
    </xdr:sp>
    <xdr:clientData/>
  </xdr:twoCellAnchor>
  <xdr:twoCellAnchor editAs="oneCell">
    <xdr:from>
      <xdr:col>9</xdr:col>
      <xdr:colOff>259560</xdr:colOff>
      <xdr:row>16</xdr:row>
      <xdr:rowOff>149400</xdr:rowOff>
    </xdr:from>
    <xdr:to>
      <xdr:col>14</xdr:col>
      <xdr:colOff>145440</xdr:colOff>
      <xdr:row>35</xdr:row>
      <xdr:rowOff>36720</xdr:rowOff>
    </xdr:to>
    <xdr:graphicFrame>
      <xdr:nvGraphicFramePr>
        <xdr:cNvPr id="21" name="Chart 3"/>
        <xdr:cNvGraphicFramePr/>
      </xdr:nvGraphicFramePr>
      <xdr:xfrm>
        <a:off x="11233440" y="3244680"/>
        <a:ext cx="4784400" cy="36021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885960</xdr:colOff>
      <xdr:row>10</xdr:row>
      <xdr:rowOff>9360</xdr:rowOff>
    </xdr:from>
    <xdr:to>
      <xdr:col>8</xdr:col>
      <xdr:colOff>1054800</xdr:colOff>
      <xdr:row>13</xdr:row>
      <xdr:rowOff>115200</xdr:rowOff>
    </xdr:to>
    <xdr:sp>
      <xdr:nvSpPr>
        <xdr:cNvPr id="22" name="CustomShape 1"/>
        <xdr:cNvSpPr/>
      </xdr:nvSpPr>
      <xdr:spPr>
        <a:xfrm>
          <a:off x="6487920" y="1961640"/>
          <a:ext cx="3404160" cy="67752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Please enter the Monday starting Module 1 - Format (MM/DD/YYYY). If your Excel is not set up for US date format, please see instructions to the right.</a:t>
          </a:r>
          <a:endParaRPr b="0" lang="en-US" sz="1100" spc="-1" strike="noStrike">
            <a:latin typeface="Times New Roman"/>
          </a:endParaRPr>
        </a:p>
        <a:p>
          <a:endParaRPr b="0" lang="en-US" sz="1100" spc="-1" strike="noStrike">
            <a:latin typeface="Times New Roman"/>
          </a:endParaRPr>
        </a:p>
      </xdr:txBody>
    </xdr:sp>
    <xdr:clientData/>
  </xdr:twoCellAnchor>
  <xdr:twoCellAnchor editAs="oneCell">
    <xdr:from>
      <xdr:col>5</xdr:col>
      <xdr:colOff>1801800</xdr:colOff>
      <xdr:row>12</xdr:row>
      <xdr:rowOff>28440</xdr:rowOff>
    </xdr:from>
    <xdr:to>
      <xdr:col>6</xdr:col>
      <xdr:colOff>862200</xdr:colOff>
      <xdr:row>12</xdr:row>
      <xdr:rowOff>28800</xdr:rowOff>
    </xdr:to>
    <xdr:sp>
      <xdr:nvSpPr>
        <xdr:cNvPr id="23" name="CustomShape 1"/>
        <xdr:cNvSpPr/>
      </xdr:nvSpPr>
      <xdr:spPr>
        <a:xfrm flipH="1">
          <a:off x="5599440" y="2361960"/>
          <a:ext cx="864720" cy="360"/>
        </a:xfrm>
        <a:custGeom>
          <a:avLst/>
          <a:gdLst/>
          <a:ahLst/>
          <a:rect l="l" t="t" r="r" b="b"/>
          <a:pathLst>
            <a:path w="21600" h="21600">
              <a:moveTo>
                <a:pt x="0" y="0"/>
              </a:moveTo>
              <a:lnTo>
                <a:pt x="21600" y="21600"/>
              </a:lnTo>
            </a:path>
          </a:pathLst>
        </a:custGeom>
        <a:noFill/>
        <a:ln w="38160">
          <a:solidFill>
            <a:srgbClr val="ff0000"/>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6</xdr:col>
      <xdr:colOff>886680</xdr:colOff>
      <xdr:row>14</xdr:row>
      <xdr:rowOff>41400</xdr:rowOff>
    </xdr:from>
    <xdr:to>
      <xdr:col>7</xdr:col>
      <xdr:colOff>207720</xdr:colOff>
      <xdr:row>17</xdr:row>
      <xdr:rowOff>147240</xdr:rowOff>
    </xdr:to>
    <xdr:sp>
      <xdr:nvSpPr>
        <xdr:cNvPr id="24" name="CustomShape 1"/>
        <xdr:cNvSpPr/>
      </xdr:nvSpPr>
      <xdr:spPr>
        <a:xfrm>
          <a:off x="6488640" y="2755800"/>
          <a:ext cx="1770120" cy="67752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Cash is automatically set to 1%, but the cell is changeable.</a:t>
          </a:r>
          <a:endParaRPr b="0" lang="en-US" sz="1100" spc="-1" strike="noStrike">
            <a:latin typeface="Times New Roman"/>
          </a:endParaRPr>
        </a:p>
        <a:p>
          <a:endParaRPr b="0" lang="en-US" sz="1100" spc="-1" strike="noStrike">
            <a:latin typeface="Times New Roman"/>
          </a:endParaRPr>
        </a:p>
      </xdr:txBody>
    </xdr:sp>
    <xdr:clientData/>
  </xdr:twoCellAnchor>
  <xdr:twoCellAnchor editAs="oneCell">
    <xdr:from>
      <xdr:col>6</xdr:col>
      <xdr:colOff>1403280</xdr:colOff>
      <xdr:row>17</xdr:row>
      <xdr:rowOff>136080</xdr:rowOff>
    </xdr:from>
    <xdr:to>
      <xdr:col>6</xdr:col>
      <xdr:colOff>1710360</xdr:colOff>
      <xdr:row>19</xdr:row>
      <xdr:rowOff>87840</xdr:rowOff>
    </xdr:to>
    <xdr:sp>
      <xdr:nvSpPr>
        <xdr:cNvPr id="25" name="CustomShape 1"/>
        <xdr:cNvSpPr/>
      </xdr:nvSpPr>
      <xdr:spPr>
        <a:xfrm flipH="1">
          <a:off x="7005240" y="3422160"/>
          <a:ext cx="307080" cy="418320"/>
        </a:xfrm>
        <a:custGeom>
          <a:avLst/>
          <a:gdLst/>
          <a:ahLst/>
          <a:rect l="l" t="t" r="r" b="b"/>
          <a:pathLst>
            <a:path w="21600" h="21600">
              <a:moveTo>
                <a:pt x="0" y="0"/>
              </a:moveTo>
              <a:lnTo>
                <a:pt x="21600" y="21600"/>
              </a:lnTo>
            </a:path>
          </a:pathLst>
        </a:custGeom>
        <a:noFill/>
        <a:ln w="38160">
          <a:solidFill>
            <a:srgbClr val="ff0000"/>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16</xdr:col>
      <xdr:colOff>47520</xdr:colOff>
      <xdr:row>10</xdr:row>
      <xdr:rowOff>85680</xdr:rowOff>
    </xdr:from>
    <xdr:to>
      <xdr:col>21</xdr:col>
      <xdr:colOff>578520</xdr:colOff>
      <xdr:row>47</xdr:row>
      <xdr:rowOff>56880</xdr:rowOff>
    </xdr:to>
    <xdr:sp>
      <xdr:nvSpPr>
        <xdr:cNvPr id="26" name="CustomShape 1"/>
        <xdr:cNvSpPr/>
      </xdr:nvSpPr>
      <xdr:spPr>
        <a:xfrm>
          <a:off x="17492040" y="2037960"/>
          <a:ext cx="6738120" cy="712476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1" lang="en-US" sz="1100" spc="-1" strike="noStrike">
              <a:solidFill>
                <a:srgbClr val="000000"/>
              </a:solidFill>
              <a:latin typeface="Calibri"/>
            </a:rPr>
            <a:t>Switching to US Date Format:</a:t>
          </a:r>
          <a:r>
            <a:rPr b="0" lang="en-US" sz="1100" spc="-1" strike="noStrike">
              <a:solidFill>
                <a:srgbClr val="000000"/>
              </a:solidFill>
              <a:latin typeface="Calibri"/>
            </a:rPr>
            <a:t> You need to use a US date format (MM/DD/YYYY) in Policy Portfolio worksheet cell F13 for SIMS to work properly. </a:t>
          </a:r>
          <a:endParaRPr b="0" lang="en-US" sz="1100" spc="-1" strike="noStrike">
            <a:latin typeface="Times New Roman"/>
          </a:endParaRPr>
        </a:p>
        <a:p>
          <a:endParaRPr b="0" lang="en-US" sz="1100" spc="-1" strike="noStrike">
            <a:latin typeface="Times New Roman"/>
          </a:endParaRPr>
        </a:p>
        <a:p>
          <a:r>
            <a:rPr b="0" lang="en-US" sz="1100" spc="-1" strike="noStrike">
              <a:solidFill>
                <a:srgbClr val="000000"/>
              </a:solidFill>
              <a:latin typeface="Calibri"/>
            </a:rPr>
            <a:t>To change date format, first unprotect Policy Portfolio Worksheet (no password is needed). Then click on cell F13. In the Home tab, select Number, then "Date" (under Category), then under "Locale" scroll to "English (United States)", and finally under "Type" select "3/14/2012" or "03/14/2012", and hit "OK". Then put in your start date in US format - MM/DD/YYYY. So for instance, April 10, 2017 should appear as 04/10/2017. Below is a picture of this process.</a:t>
          </a:r>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r>
            <a:rPr b="0" lang="en-US" sz="1100" spc="-1" strike="noStrike">
              <a:solidFill>
                <a:srgbClr val="000000"/>
              </a:solidFill>
              <a:latin typeface="Calibri"/>
            </a:rPr>
            <a:t>Once that is done, go to the Price Inputs sheet to make sure your dates flow through (e4-j4 and e18-j18). Also, the Friday before the Capstone started should appear in the date fields in the Policy Portfolio "Trades" worksheet (k9 - k11) as SIMS automatically assumes the assets in the Policy Portfolio were purchased on the Friday before the simulation started.</a:t>
          </a:r>
          <a:endParaRPr b="0" lang="en-US" sz="1100" spc="-1" strike="noStrike">
            <a:latin typeface="Times New Roman"/>
          </a:endParaRPr>
        </a:p>
        <a:p>
          <a:endParaRPr b="0" lang="en-US" sz="1100" spc="-1" strike="noStrike">
            <a:latin typeface="Times New Roman"/>
          </a:endParaRPr>
        </a:p>
        <a:p>
          <a:r>
            <a:rPr b="0" lang="en-US" sz="1100" spc="-1" strike="noStrike">
              <a:solidFill>
                <a:srgbClr val="000000"/>
              </a:solidFill>
              <a:latin typeface="Calibri"/>
            </a:rPr>
            <a:t>Once this step is concluded and checked, I recommend you again protect the worksheet.</a:t>
          </a:r>
          <a:endParaRPr b="0" lang="en-US" sz="1100" spc="-1" strike="noStrike">
            <a:latin typeface="Times New Roman"/>
          </a:endParaRPr>
        </a:p>
        <a:p>
          <a:endParaRPr b="0" lang="en-US" sz="1100" spc="-1" strike="noStrike">
            <a:latin typeface="Times New Roman"/>
          </a:endParaRPr>
        </a:p>
      </xdr:txBody>
    </xdr:sp>
    <xdr:clientData/>
  </xdr:twoCellAnchor>
  <xdr:twoCellAnchor editAs="oneCell">
    <xdr:from>
      <xdr:col>17</xdr:col>
      <xdr:colOff>371520</xdr:colOff>
      <xdr:row>18</xdr:row>
      <xdr:rowOff>2520</xdr:rowOff>
    </xdr:from>
    <xdr:to>
      <xdr:col>21</xdr:col>
      <xdr:colOff>1080</xdr:colOff>
      <xdr:row>39</xdr:row>
      <xdr:rowOff>185760</xdr:rowOff>
    </xdr:to>
    <xdr:pic>
      <xdr:nvPicPr>
        <xdr:cNvPr id="27" name="m_-3500015952832232670Picture 1" descr=""/>
        <xdr:cNvPicPr/>
      </xdr:nvPicPr>
      <xdr:blipFill>
        <a:blip r:embed="rId2"/>
        <a:srcRect l="1179" t="0" r="0" b="0"/>
        <a:stretch/>
      </xdr:blipFill>
      <xdr:spPr>
        <a:xfrm>
          <a:off x="18602280" y="3555000"/>
          <a:ext cx="5050440" cy="421236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6</xdr:col>
      <xdr:colOff>266760</xdr:colOff>
      <xdr:row>4</xdr:row>
      <xdr:rowOff>94680</xdr:rowOff>
    </xdr:from>
    <xdr:to>
      <xdr:col>8</xdr:col>
      <xdr:colOff>805320</xdr:colOff>
      <xdr:row>6</xdr:row>
      <xdr:rowOff>141120</xdr:rowOff>
    </xdr:to>
    <xdr:sp>
      <xdr:nvSpPr>
        <xdr:cNvPr id="28" name="CustomShape 1"/>
        <xdr:cNvSpPr/>
      </xdr:nvSpPr>
      <xdr:spPr>
        <a:xfrm>
          <a:off x="5668560" y="975960"/>
          <a:ext cx="3905280" cy="52704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Change the dates to match the Portfolio Visualizer dataset (L8).</a:t>
          </a:r>
          <a:endParaRPr b="0" lang="en-US" sz="1100" spc="-1" strike="noStrike">
            <a:latin typeface="Times New Roman"/>
          </a:endParaRPr>
        </a:p>
        <a:p>
          <a:pPr>
            <a:lnSpc>
              <a:spcPct val="100000"/>
            </a:lnSpc>
          </a:pPr>
          <a:r>
            <a:rPr b="0" lang="en-US" sz="1100" spc="-1" strike="noStrike">
              <a:solidFill>
                <a:srgbClr val="000000"/>
              </a:solidFill>
              <a:latin typeface="Calibri"/>
            </a:rPr>
            <a:t>Example: 1994-2016</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9</xdr:col>
      <xdr:colOff>9720</xdr:colOff>
      <xdr:row>0</xdr:row>
      <xdr:rowOff>66600</xdr:rowOff>
    </xdr:from>
    <xdr:to>
      <xdr:col>12</xdr:col>
      <xdr:colOff>16200</xdr:colOff>
      <xdr:row>3</xdr:row>
      <xdr:rowOff>187920</xdr:rowOff>
    </xdr:to>
    <xdr:sp>
      <xdr:nvSpPr>
        <xdr:cNvPr id="29" name="CustomShape 1"/>
        <xdr:cNvSpPr/>
      </xdr:nvSpPr>
      <xdr:spPr>
        <a:xfrm>
          <a:off x="9645840" y="66600"/>
          <a:ext cx="2608560" cy="78228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Use PV Data to fill in:</a:t>
          </a:r>
          <a:endParaRPr b="0" lang="en-US" sz="1100" spc="-1" strike="noStrike">
            <a:latin typeface="Times New Roman"/>
          </a:endParaRPr>
        </a:p>
        <a:p>
          <a:pPr>
            <a:lnSpc>
              <a:spcPct val="100000"/>
            </a:lnSpc>
          </a:pPr>
          <a:r>
            <a:rPr b="0" lang="en-US" sz="1100" spc="-1" strike="noStrike">
              <a:solidFill>
                <a:srgbClr val="000000"/>
              </a:solidFill>
              <a:latin typeface="Calibri"/>
            </a:rPr>
            <a:t>1) Historical Returns (CAGR)</a:t>
          </a:r>
          <a:endParaRPr b="0" lang="en-US" sz="1100" spc="-1" strike="noStrike">
            <a:latin typeface="Times New Roman"/>
          </a:endParaRPr>
        </a:p>
        <a:p>
          <a:pPr>
            <a:lnSpc>
              <a:spcPct val="100000"/>
            </a:lnSpc>
          </a:pPr>
          <a:r>
            <a:rPr b="0" lang="en-US" sz="1100" spc="-1" strike="noStrike">
              <a:solidFill>
                <a:srgbClr val="000000"/>
              </a:solidFill>
              <a:latin typeface="Calibri"/>
            </a:rPr>
            <a:t>2) Standard Deviation</a:t>
          </a:r>
          <a:endParaRPr b="0" lang="en-US" sz="1100" spc="-1" strike="noStrike">
            <a:latin typeface="Times New Roman"/>
          </a:endParaRPr>
        </a:p>
        <a:p>
          <a:pPr>
            <a:lnSpc>
              <a:spcPct val="100000"/>
            </a:lnSpc>
          </a:pPr>
          <a:r>
            <a:rPr b="0" lang="en-US" sz="1100" spc="-1" strike="noStrike">
              <a:solidFill>
                <a:srgbClr val="000000"/>
              </a:solidFill>
              <a:latin typeface="Calibri"/>
            </a:rPr>
            <a:t>3) Sharpe Ratio</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12</xdr:col>
      <xdr:colOff>590400</xdr:colOff>
      <xdr:row>2</xdr:row>
      <xdr:rowOff>36720</xdr:rowOff>
    </xdr:from>
    <xdr:to>
      <xdr:col>16</xdr:col>
      <xdr:colOff>188280</xdr:colOff>
      <xdr:row>4</xdr:row>
      <xdr:rowOff>159480</xdr:rowOff>
    </xdr:to>
    <xdr:sp>
      <xdr:nvSpPr>
        <xdr:cNvPr id="30" name="CustomShape 1"/>
        <xdr:cNvSpPr/>
      </xdr:nvSpPr>
      <xdr:spPr>
        <a:xfrm>
          <a:off x="12828600" y="477360"/>
          <a:ext cx="2802600" cy="56340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Using your own forecasts, put the expected return for each asset class in your portfolio.</a:t>
          </a:r>
          <a:endParaRPr b="0" lang="en-US" sz="1100" spc="-1" strike="noStrike">
            <a:latin typeface="Times New Roman"/>
          </a:endParaRPr>
        </a:p>
      </xdr:txBody>
    </xdr:sp>
    <xdr:clientData/>
  </xdr:twoCellAnchor>
  <xdr:twoCellAnchor editAs="oneCell">
    <xdr:from>
      <xdr:col>8</xdr:col>
      <xdr:colOff>807840</xdr:colOff>
      <xdr:row>5</xdr:row>
      <xdr:rowOff>140400</xdr:rowOff>
    </xdr:from>
    <xdr:to>
      <xdr:col>11</xdr:col>
      <xdr:colOff>439920</xdr:colOff>
      <xdr:row>6</xdr:row>
      <xdr:rowOff>187560</xdr:rowOff>
    </xdr:to>
    <xdr:sp>
      <xdr:nvSpPr>
        <xdr:cNvPr id="31" name="CustomShape 1"/>
        <xdr:cNvSpPr/>
      </xdr:nvSpPr>
      <xdr:spPr>
        <a:xfrm>
          <a:off x="9576360" y="1197000"/>
          <a:ext cx="2234160" cy="352440"/>
        </a:xfrm>
        <a:custGeom>
          <a:avLst/>
          <a:gdLst/>
          <a:ahLst/>
          <a:rect l="l" t="t" r="r" b="b"/>
          <a:pathLst>
            <a:path w="21600" h="21600">
              <a:moveTo>
                <a:pt x="0" y="0"/>
              </a:moveTo>
              <a:lnTo>
                <a:pt x="21600" y="21600"/>
              </a:lnTo>
            </a:path>
          </a:pathLst>
        </a:custGeom>
        <a:noFill/>
        <a:ln w="38160">
          <a:solidFill>
            <a:srgbClr val="ff0000"/>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12</xdr:col>
      <xdr:colOff>483480</xdr:colOff>
      <xdr:row>22</xdr:row>
      <xdr:rowOff>38880</xdr:rowOff>
    </xdr:from>
    <xdr:to>
      <xdr:col>12</xdr:col>
      <xdr:colOff>862200</xdr:colOff>
      <xdr:row>23</xdr:row>
      <xdr:rowOff>103680</xdr:rowOff>
    </xdr:to>
    <xdr:sp>
      <xdr:nvSpPr>
        <xdr:cNvPr id="32" name="CustomShape 1"/>
        <xdr:cNvSpPr/>
      </xdr:nvSpPr>
      <xdr:spPr>
        <a:xfrm flipH="1">
          <a:off x="12721680" y="4529880"/>
          <a:ext cx="378720" cy="285480"/>
        </a:xfrm>
        <a:custGeom>
          <a:avLst/>
          <a:gdLst/>
          <a:ahLst/>
          <a:rect l="l" t="t" r="r" b="b"/>
          <a:pathLst>
            <a:path w="21600" h="21600">
              <a:moveTo>
                <a:pt x="0" y="0"/>
              </a:moveTo>
              <a:lnTo>
                <a:pt x="21600" y="21600"/>
              </a:lnTo>
            </a:path>
          </a:pathLst>
        </a:custGeom>
        <a:noFill/>
        <a:ln w="38160">
          <a:solidFill>
            <a:srgbClr val="ff0000"/>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360</xdr:colOff>
      <xdr:row>4</xdr:row>
      <xdr:rowOff>38160</xdr:rowOff>
    </xdr:from>
    <xdr:to>
      <xdr:col>11</xdr:col>
      <xdr:colOff>769320</xdr:colOff>
      <xdr:row>7</xdr:row>
      <xdr:rowOff>16200</xdr:rowOff>
    </xdr:to>
    <xdr:sp>
      <xdr:nvSpPr>
        <xdr:cNvPr id="33" name="CustomShape 1"/>
        <xdr:cNvSpPr/>
      </xdr:nvSpPr>
      <xdr:spPr>
        <a:xfrm>
          <a:off x="9636480" y="919440"/>
          <a:ext cx="2503440" cy="678960"/>
        </a:xfrm>
        <a:prstGeom prst="rightBrace">
          <a:avLst>
            <a:gd name="adj1" fmla="val 8333"/>
            <a:gd name="adj2" fmla="val 50000"/>
          </a:avLst>
        </a:pr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13</xdr:col>
      <xdr:colOff>360</xdr:colOff>
      <xdr:row>21</xdr:row>
      <xdr:rowOff>57240</xdr:rowOff>
    </xdr:from>
    <xdr:to>
      <xdr:col>16</xdr:col>
      <xdr:colOff>416880</xdr:colOff>
      <xdr:row>23</xdr:row>
      <xdr:rowOff>17640</xdr:rowOff>
    </xdr:to>
    <xdr:sp>
      <xdr:nvSpPr>
        <xdr:cNvPr id="34" name="CustomShape 1"/>
        <xdr:cNvSpPr/>
      </xdr:nvSpPr>
      <xdr:spPr>
        <a:xfrm>
          <a:off x="13105800" y="4327920"/>
          <a:ext cx="2754000" cy="40140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Expected Returns optional for New Tactical Positions.</a:t>
          </a:r>
          <a:endParaRPr b="0" lang="en-US" sz="1100" spc="-1" strike="noStrike">
            <a:latin typeface="Times New Roman"/>
          </a:endParaRPr>
        </a:p>
      </xdr:txBody>
    </xdr:sp>
    <xdr:clientData/>
  </xdr:twoCellAnchor>
  <xdr:twoCellAnchor editAs="oneCell">
    <xdr:from>
      <xdr:col>12</xdr:col>
      <xdr:colOff>350280</xdr:colOff>
      <xdr:row>5</xdr:row>
      <xdr:rowOff>23040</xdr:rowOff>
    </xdr:from>
    <xdr:to>
      <xdr:col>12</xdr:col>
      <xdr:colOff>690840</xdr:colOff>
      <xdr:row>6</xdr:row>
      <xdr:rowOff>216000</xdr:rowOff>
    </xdr:to>
    <xdr:sp>
      <xdr:nvSpPr>
        <xdr:cNvPr id="35" name="CustomShape 1"/>
        <xdr:cNvSpPr/>
      </xdr:nvSpPr>
      <xdr:spPr>
        <a:xfrm flipH="1">
          <a:off x="12588480" y="1079640"/>
          <a:ext cx="340560" cy="498240"/>
        </a:xfrm>
        <a:custGeom>
          <a:avLst/>
          <a:gdLst/>
          <a:ahLst/>
          <a:rect l="l" t="t" r="r" b="b"/>
          <a:pathLst>
            <a:path w="21600" h="21600">
              <a:moveTo>
                <a:pt x="0" y="0"/>
              </a:moveTo>
              <a:lnTo>
                <a:pt x="21600" y="21600"/>
              </a:lnTo>
            </a:path>
          </a:pathLst>
        </a:custGeom>
        <a:noFill/>
        <a:ln w="38160">
          <a:solidFill>
            <a:srgbClr val="ff0000"/>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6</xdr:col>
      <xdr:colOff>1546920</xdr:colOff>
      <xdr:row>20</xdr:row>
      <xdr:rowOff>148680</xdr:rowOff>
    </xdr:from>
    <xdr:to>
      <xdr:col>10</xdr:col>
      <xdr:colOff>592920</xdr:colOff>
      <xdr:row>22</xdr:row>
      <xdr:rowOff>154080</xdr:rowOff>
    </xdr:to>
    <xdr:sp>
      <xdr:nvSpPr>
        <xdr:cNvPr id="36" name="CustomShape 1"/>
        <xdr:cNvSpPr/>
      </xdr:nvSpPr>
      <xdr:spPr>
        <a:xfrm>
          <a:off x="6948720" y="4199040"/>
          <a:ext cx="4147560" cy="44604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Change the dates to match the Portfolio Visualizer dataset (L24).</a:t>
          </a:r>
          <a:endParaRPr b="0" lang="en-US" sz="1100" spc="-1" strike="noStrike">
            <a:latin typeface="Times New Roman"/>
          </a:endParaRPr>
        </a:p>
        <a:p>
          <a:r>
            <a:rPr b="0" lang="en-US" sz="1100" spc="-1" strike="noStrike">
              <a:solidFill>
                <a:srgbClr val="000000"/>
              </a:solidFill>
              <a:latin typeface="Calibri"/>
            </a:rPr>
            <a:t>Example: 1994-2016</a:t>
          </a:r>
          <a:endParaRPr b="0" lang="en-US" sz="1100" spc="-1" strike="noStrike">
            <a:latin typeface="Times New Roman"/>
          </a:endParaRPr>
        </a:p>
      </xdr:txBody>
    </xdr:sp>
    <xdr:clientData/>
  </xdr:twoCellAnchor>
  <xdr:twoCellAnchor editAs="oneCell">
    <xdr:from>
      <xdr:col>10</xdr:col>
      <xdr:colOff>595440</xdr:colOff>
      <xdr:row>21</xdr:row>
      <xdr:rowOff>152640</xdr:rowOff>
    </xdr:from>
    <xdr:to>
      <xdr:col>11</xdr:col>
      <xdr:colOff>470160</xdr:colOff>
      <xdr:row>23</xdr:row>
      <xdr:rowOff>78480</xdr:rowOff>
    </xdr:to>
    <xdr:sp>
      <xdr:nvSpPr>
        <xdr:cNvPr id="37" name="CustomShape 1"/>
        <xdr:cNvSpPr/>
      </xdr:nvSpPr>
      <xdr:spPr>
        <a:xfrm>
          <a:off x="11098800" y="4423320"/>
          <a:ext cx="741960" cy="366840"/>
        </a:xfrm>
        <a:custGeom>
          <a:avLst/>
          <a:gdLst/>
          <a:ahLst/>
          <a:rect l="l" t="t" r="r" b="b"/>
          <a:pathLst>
            <a:path w="21600" h="21600">
              <a:moveTo>
                <a:pt x="0" y="0"/>
              </a:moveTo>
              <a:lnTo>
                <a:pt x="21600" y="21600"/>
              </a:lnTo>
            </a:path>
          </a:pathLst>
        </a:custGeom>
        <a:noFill/>
        <a:ln w="38160">
          <a:solidFill>
            <a:srgbClr val="ff0000"/>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21240</xdr:colOff>
      <xdr:row>32</xdr:row>
      <xdr:rowOff>127800</xdr:rowOff>
    </xdr:from>
    <xdr:to>
      <xdr:col>22</xdr:col>
      <xdr:colOff>167040</xdr:colOff>
      <xdr:row>36</xdr:row>
      <xdr:rowOff>18720</xdr:rowOff>
    </xdr:to>
    <xdr:sp>
      <xdr:nvSpPr>
        <xdr:cNvPr id="38" name="CustomShape 1"/>
        <xdr:cNvSpPr/>
      </xdr:nvSpPr>
      <xdr:spPr>
        <a:xfrm>
          <a:off x="16066800" y="6561360"/>
          <a:ext cx="5697000" cy="59220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1" lang="en-US" sz="1100" spc="-1" strike="noStrike">
              <a:solidFill>
                <a:srgbClr val="000000"/>
              </a:solidFill>
              <a:latin typeface="Calibri"/>
            </a:rPr>
            <a:t>Note</a:t>
          </a:r>
          <a:r>
            <a:rPr b="0" lang="en-US" sz="1100" spc="-1" strike="noStrike">
              <a:solidFill>
                <a:srgbClr val="000000"/>
              </a:solidFill>
              <a:latin typeface="Calibri"/>
            </a:rPr>
            <a:t>: If you only buy and sell Policy Portfolio assets, no "New Tactical Positions" will show up in the lower table.</a:t>
          </a:r>
          <a:endParaRPr b="0" lang="en-US" sz="1100" spc="-1" strike="noStrike">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324360</xdr:colOff>
      <xdr:row>2</xdr:row>
      <xdr:rowOff>95400</xdr:rowOff>
    </xdr:from>
    <xdr:to>
      <xdr:col>12</xdr:col>
      <xdr:colOff>178560</xdr:colOff>
      <xdr:row>3</xdr:row>
      <xdr:rowOff>207720</xdr:rowOff>
    </xdr:to>
    <xdr:sp>
      <xdr:nvSpPr>
        <xdr:cNvPr id="39" name="CustomShape 1"/>
        <xdr:cNvSpPr/>
      </xdr:nvSpPr>
      <xdr:spPr>
        <a:xfrm>
          <a:off x="7790400" y="533520"/>
          <a:ext cx="4813200" cy="33120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Module 1: For Policy Portfolio - Enter in Purchase Price Only</a:t>
          </a:r>
          <a:endParaRPr b="0" lang="en-US" sz="1100" spc="-1" strike="noStrike">
            <a:latin typeface="Times New Roman"/>
          </a:endParaRPr>
        </a:p>
      </xdr:txBody>
    </xdr:sp>
    <xdr:clientData/>
  </xdr:twoCellAnchor>
  <xdr:twoCellAnchor editAs="oneCell">
    <xdr:from>
      <xdr:col>9</xdr:col>
      <xdr:colOff>510120</xdr:colOff>
      <xdr:row>3</xdr:row>
      <xdr:rowOff>209880</xdr:rowOff>
    </xdr:from>
    <xdr:to>
      <xdr:col>9</xdr:col>
      <xdr:colOff>522000</xdr:colOff>
      <xdr:row>6</xdr:row>
      <xdr:rowOff>25920</xdr:rowOff>
    </xdr:to>
    <xdr:sp>
      <xdr:nvSpPr>
        <xdr:cNvPr id="40" name="CustomShape 1"/>
        <xdr:cNvSpPr/>
      </xdr:nvSpPr>
      <xdr:spPr>
        <a:xfrm>
          <a:off x="10213920" y="866880"/>
          <a:ext cx="11880" cy="473400"/>
        </a:xfrm>
        <a:custGeom>
          <a:avLst/>
          <a:gdLst/>
          <a:ahLst/>
          <a:rect l="l" t="t" r="r" b="b"/>
          <a:pathLst>
            <a:path w="21600" h="21600">
              <a:moveTo>
                <a:pt x="0" y="0"/>
              </a:moveTo>
              <a:lnTo>
                <a:pt x="21600" y="21600"/>
              </a:lnTo>
            </a:path>
          </a:pathLst>
        </a:custGeom>
        <a:noFill/>
        <a:ln w="38160">
          <a:solidFill>
            <a:srgbClr val="ff0000"/>
          </a:solidFill>
          <a:round/>
          <a:tailEnd len="med" type="triangle" w="med"/>
        </a:ln>
      </xdr:spPr>
      <xdr:style>
        <a:lnRef idx="1">
          <a:schemeClr val="accent2"/>
        </a:lnRef>
        <a:fillRef idx="0">
          <a:schemeClr val="accent2"/>
        </a:fillRef>
        <a:effectRef idx="0">
          <a:schemeClr val="accent2"/>
        </a:effectRef>
        <a:fontRef idx="minor"/>
      </xdr:style>
    </xdr:sp>
    <xdr:clientData/>
  </xdr:twoCellAnchor>
  <xdr:twoCellAnchor editAs="oneCell">
    <xdr:from>
      <xdr:col>7</xdr:col>
      <xdr:colOff>324360</xdr:colOff>
      <xdr:row>21</xdr:row>
      <xdr:rowOff>28800</xdr:rowOff>
    </xdr:from>
    <xdr:to>
      <xdr:col>12</xdr:col>
      <xdr:colOff>283320</xdr:colOff>
      <xdr:row>28</xdr:row>
      <xdr:rowOff>149760</xdr:rowOff>
    </xdr:to>
    <xdr:sp>
      <xdr:nvSpPr>
        <xdr:cNvPr id="41" name="CustomShape 1"/>
        <xdr:cNvSpPr/>
      </xdr:nvSpPr>
      <xdr:spPr>
        <a:xfrm>
          <a:off x="7790400" y="4114800"/>
          <a:ext cx="4917960" cy="142416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Module 2 &amp; Beyond: For all trades after the initial portfolio, input the following:</a:t>
          </a:r>
          <a:endParaRPr b="0" lang="en-US" sz="1100" spc="-1" strike="noStrike">
            <a:latin typeface="Times New Roman"/>
          </a:endParaRPr>
        </a:p>
        <a:p>
          <a:r>
            <a:rPr b="0" lang="en-US" sz="1100" spc="-1" strike="noStrike">
              <a:solidFill>
                <a:srgbClr val="000000"/>
              </a:solidFill>
              <a:latin typeface="Calibri"/>
            </a:rPr>
            <a:t>- Ticker</a:t>
          </a:r>
          <a:endParaRPr b="0" lang="en-US" sz="1100" spc="-1" strike="noStrike">
            <a:latin typeface="Times New Roman"/>
          </a:endParaRPr>
        </a:p>
        <a:p>
          <a:r>
            <a:rPr b="0" lang="en-US" sz="1100" spc="-1" strike="noStrike">
              <a:solidFill>
                <a:srgbClr val="000000"/>
              </a:solidFill>
              <a:latin typeface="Calibri"/>
            </a:rPr>
            <a:t>- Buy/Sell</a:t>
          </a:r>
          <a:endParaRPr b="0" lang="en-US" sz="1100" spc="-1" strike="noStrike">
            <a:latin typeface="Times New Roman"/>
          </a:endParaRPr>
        </a:p>
        <a:p>
          <a:r>
            <a:rPr b="0" lang="en-US" sz="1100" spc="-1" strike="noStrike">
              <a:solidFill>
                <a:srgbClr val="000000"/>
              </a:solidFill>
              <a:latin typeface="Calibri"/>
            </a:rPr>
            <a:t>- Transaction Date</a:t>
          </a:r>
          <a:endParaRPr b="0" lang="en-US" sz="1100" spc="-1" strike="noStrike">
            <a:latin typeface="Times New Roman"/>
          </a:endParaRPr>
        </a:p>
        <a:p>
          <a:r>
            <a:rPr b="0" lang="en-US" sz="1100" spc="-1" strike="noStrike">
              <a:solidFill>
                <a:srgbClr val="000000"/>
              </a:solidFill>
              <a:latin typeface="Calibri"/>
            </a:rPr>
            <a:t>- # of Shares</a:t>
          </a:r>
          <a:endParaRPr b="0" lang="en-US" sz="1100" spc="-1" strike="noStrike">
            <a:latin typeface="Times New Roman"/>
          </a:endParaRPr>
        </a:p>
        <a:p>
          <a:r>
            <a:rPr b="0" lang="en-US" sz="1100" spc="-1" strike="noStrike">
              <a:solidFill>
                <a:srgbClr val="000000"/>
              </a:solidFill>
              <a:latin typeface="Calibri"/>
            </a:rPr>
            <a:t>- Price</a:t>
          </a:r>
          <a:endParaRPr b="0" lang="en-US" sz="1100" spc="-1" strike="noStrike">
            <a:latin typeface="Times New Roman"/>
          </a:endParaRPr>
        </a:p>
        <a:p>
          <a:endParaRPr b="0" lang="en-US" sz="1100" spc="-1" strike="noStrike">
            <a:latin typeface="Times New Roman"/>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474480</xdr:colOff>
      <xdr:row>3</xdr:row>
      <xdr:rowOff>15480</xdr:rowOff>
    </xdr:from>
    <xdr:to>
      <xdr:col>16</xdr:col>
      <xdr:colOff>483480</xdr:colOff>
      <xdr:row>8</xdr:row>
      <xdr:rowOff>7200</xdr:rowOff>
    </xdr:to>
    <xdr:sp>
      <xdr:nvSpPr>
        <xdr:cNvPr id="42" name="CustomShape 1"/>
        <xdr:cNvSpPr/>
      </xdr:nvSpPr>
      <xdr:spPr>
        <a:xfrm>
          <a:off x="10878840" y="634320"/>
          <a:ext cx="3707280" cy="89856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Prices should be put in for each of the five Fridays of the Capstone.  If Friday is a Holiday, then take last trading day close.</a:t>
          </a:r>
          <a:endParaRPr b="0" lang="en-US" sz="1100" spc="-1" strike="noStrike">
            <a:latin typeface="Times New Roman"/>
          </a:endParaRPr>
        </a:p>
        <a:p>
          <a:endParaRPr b="0" lang="en-US" sz="1100" spc="-1" strike="noStrike">
            <a:latin typeface="Times New Roman"/>
          </a:endParaRPr>
        </a:p>
        <a:p>
          <a:r>
            <a:rPr b="0" lang="en-US" sz="1100" spc="-1" strike="noStrike">
              <a:solidFill>
                <a:srgbClr val="000000"/>
              </a:solidFill>
              <a:latin typeface="Calibri"/>
            </a:rPr>
            <a:t>To include dividends use the adjusted close price.</a:t>
          </a:r>
          <a:endParaRPr b="0" lang="en-US" sz="1100" spc="-1" strike="noStrike">
            <a:latin typeface="Times New Roman"/>
          </a:endParaRPr>
        </a:p>
      </xdr:txBody>
    </xdr:sp>
    <xdr:clientData/>
  </xdr:twoCellAnchor>
  <xdr:twoCellAnchor editAs="oneCell">
    <xdr:from>
      <xdr:col>10</xdr:col>
      <xdr:colOff>464760</xdr:colOff>
      <xdr:row>8</xdr:row>
      <xdr:rowOff>110880</xdr:rowOff>
    </xdr:from>
    <xdr:to>
      <xdr:col>16</xdr:col>
      <xdr:colOff>483120</xdr:colOff>
      <xdr:row>11</xdr:row>
      <xdr:rowOff>174600</xdr:rowOff>
    </xdr:to>
    <xdr:sp>
      <xdr:nvSpPr>
        <xdr:cNvPr id="43" name="CustomShape 1"/>
        <xdr:cNvSpPr/>
      </xdr:nvSpPr>
      <xdr:spPr>
        <a:xfrm>
          <a:off x="10869120" y="1636560"/>
          <a:ext cx="3716640" cy="58968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For Week #5 pricing, you may price on a day other than Friday if you want to complete your analysis earlier. Just put the closing prices of any day that week into "Week #5" column.</a:t>
          </a:r>
          <a:endParaRPr b="0" lang="en-US" sz="1100" spc="-1" strike="noStrike">
            <a:latin typeface="Times New Roman"/>
          </a:endParaRPr>
        </a:p>
      </xdr:txBody>
    </xdr:sp>
    <xdr:clientData/>
  </xdr:twoCellAnchor>
  <xdr:twoCellAnchor editAs="oneCell">
    <xdr:from>
      <xdr:col>9</xdr:col>
      <xdr:colOff>731880</xdr:colOff>
      <xdr:row>1</xdr:row>
      <xdr:rowOff>6480</xdr:rowOff>
    </xdr:from>
    <xdr:to>
      <xdr:col>10</xdr:col>
      <xdr:colOff>35640</xdr:colOff>
      <xdr:row>5</xdr:row>
      <xdr:rowOff>82800</xdr:rowOff>
    </xdr:to>
    <xdr:sp>
      <xdr:nvSpPr>
        <xdr:cNvPr id="44" name="CustomShape 1"/>
        <xdr:cNvSpPr/>
      </xdr:nvSpPr>
      <xdr:spPr>
        <a:xfrm flipH="1" flipV="1">
          <a:off x="10015920" y="244440"/>
          <a:ext cx="424080" cy="838440"/>
        </a:xfrm>
        <a:custGeom>
          <a:avLst/>
          <a:gdLst/>
          <a:ahLst/>
          <a:rect l="l" t="t" r="r" b="b"/>
          <a:pathLst>
            <a:path w="21600" h="21600">
              <a:moveTo>
                <a:pt x="0" y="0"/>
              </a:moveTo>
              <a:lnTo>
                <a:pt x="21600" y="21600"/>
              </a:lnTo>
            </a:path>
          </a:pathLst>
        </a:custGeom>
        <a:noFill/>
        <a:ln w="38160">
          <a:solidFill>
            <a:srgbClr val="ff0000"/>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10</xdr:col>
      <xdr:colOff>25560</xdr:colOff>
      <xdr:row>10</xdr:row>
      <xdr:rowOff>50400</xdr:rowOff>
    </xdr:from>
    <xdr:to>
      <xdr:col>10</xdr:col>
      <xdr:colOff>459360</xdr:colOff>
      <xdr:row>19</xdr:row>
      <xdr:rowOff>121320</xdr:rowOff>
    </xdr:to>
    <xdr:sp>
      <xdr:nvSpPr>
        <xdr:cNvPr id="45" name="CustomShape 1"/>
        <xdr:cNvSpPr/>
      </xdr:nvSpPr>
      <xdr:spPr>
        <a:xfrm flipH="1">
          <a:off x="10429920" y="1926720"/>
          <a:ext cx="433800" cy="1755000"/>
        </a:xfrm>
        <a:custGeom>
          <a:avLst/>
          <a:gdLst/>
          <a:ahLst/>
          <a:rect l="l" t="t" r="r" b="b"/>
          <a:pathLst>
            <a:path w="21600" h="21600">
              <a:moveTo>
                <a:pt x="0" y="0"/>
              </a:moveTo>
              <a:lnTo>
                <a:pt x="21600" y="21600"/>
              </a:lnTo>
            </a:path>
          </a:pathLst>
        </a:custGeom>
        <a:noFill/>
        <a:ln w="38160">
          <a:solidFill>
            <a:srgbClr val="ff0000"/>
          </a:solidFill>
          <a:round/>
          <a:tailEnd len="med" type="triangle" w="med"/>
        </a:ln>
      </xdr:spPr>
      <xdr:style>
        <a:lnRef idx="1">
          <a:schemeClr val="accent1"/>
        </a:lnRef>
        <a:fillRef idx="0">
          <a:schemeClr val="accent1"/>
        </a:fillRef>
        <a:effectRef idx="0">
          <a:schemeClr val="accent1"/>
        </a:effectRef>
        <a:fontRef idx="minor"/>
      </xdr:style>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704880</xdr:colOff>
      <xdr:row>1</xdr:row>
      <xdr:rowOff>10800</xdr:rowOff>
    </xdr:from>
    <xdr:to>
      <xdr:col>10</xdr:col>
      <xdr:colOff>466920</xdr:colOff>
      <xdr:row>6</xdr:row>
      <xdr:rowOff>262080</xdr:rowOff>
    </xdr:to>
    <xdr:sp>
      <xdr:nvSpPr>
        <xdr:cNvPr id="46" name="CustomShape 1"/>
        <xdr:cNvSpPr/>
      </xdr:nvSpPr>
      <xdr:spPr>
        <a:xfrm>
          <a:off x="8170920" y="229680"/>
          <a:ext cx="3240720" cy="134676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latin typeface="Calibri"/>
            </a:rPr>
            <a:t>* Current Price is equal to the weekly price from the Price Inputs page or the purchase price if no other price is available. </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Make sure you are in the correct week. Otherwise, the portfolio value will be off if securities were bought or sold.</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5</xdr:col>
      <xdr:colOff>447840</xdr:colOff>
      <xdr:row>2</xdr:row>
      <xdr:rowOff>209520</xdr:rowOff>
    </xdr:from>
    <xdr:to>
      <xdr:col>6</xdr:col>
      <xdr:colOff>1267560</xdr:colOff>
      <xdr:row>5</xdr:row>
      <xdr:rowOff>216720</xdr:rowOff>
    </xdr:to>
    <xdr:sp>
      <xdr:nvSpPr>
        <xdr:cNvPr id="47" name="CustomShape 1"/>
        <xdr:cNvSpPr/>
      </xdr:nvSpPr>
      <xdr:spPr>
        <a:xfrm>
          <a:off x="5344200" y="647640"/>
          <a:ext cx="2119680" cy="66420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For portfolio pricing to be accurate, the correct week needs to be displayed. </a:t>
          </a:r>
          <a:endParaRPr b="0" lang="en-US" sz="1100" spc="-1" strike="noStrike">
            <a:latin typeface="Times New Roman"/>
          </a:endParaRPr>
        </a:p>
      </xdr:txBody>
    </xdr:sp>
    <xdr:clientData/>
  </xdr:twoCellAnchor>
  <xdr:twoCellAnchor editAs="oneCell">
    <xdr:from>
      <xdr:col>5</xdr:col>
      <xdr:colOff>16920</xdr:colOff>
      <xdr:row>4</xdr:row>
      <xdr:rowOff>95400</xdr:rowOff>
    </xdr:from>
    <xdr:to>
      <xdr:col>5</xdr:col>
      <xdr:colOff>443160</xdr:colOff>
      <xdr:row>4</xdr:row>
      <xdr:rowOff>95760</xdr:rowOff>
    </xdr:to>
    <xdr:sp>
      <xdr:nvSpPr>
        <xdr:cNvPr id="48" name="CustomShape 1"/>
        <xdr:cNvSpPr/>
      </xdr:nvSpPr>
      <xdr:spPr>
        <a:xfrm flipH="1">
          <a:off x="4913280" y="971640"/>
          <a:ext cx="426240" cy="360"/>
        </a:xfrm>
        <a:custGeom>
          <a:avLst/>
          <a:gdLst/>
          <a:ahLst/>
          <a:rect l="l" t="t" r="r" b="b"/>
          <a:pathLst>
            <a:path w="21600" h="21600">
              <a:moveTo>
                <a:pt x="0" y="0"/>
              </a:moveTo>
              <a:lnTo>
                <a:pt x="21600" y="21600"/>
              </a:lnTo>
            </a:path>
          </a:pathLst>
        </a:custGeom>
        <a:noFill/>
        <a:ln w="28440">
          <a:solidFill>
            <a:srgbClr val="ff0000"/>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10</xdr:col>
      <xdr:colOff>1028520</xdr:colOff>
      <xdr:row>7</xdr:row>
      <xdr:rowOff>256320</xdr:rowOff>
    </xdr:from>
    <xdr:to>
      <xdr:col>14</xdr:col>
      <xdr:colOff>953640</xdr:colOff>
      <xdr:row>21</xdr:row>
      <xdr:rowOff>33840</xdr:rowOff>
    </xdr:to>
    <xdr:graphicFrame>
      <xdr:nvGraphicFramePr>
        <xdr:cNvPr id="49" name="Chart 6"/>
        <xdr:cNvGraphicFramePr/>
      </xdr:nvGraphicFramePr>
      <xdr:xfrm>
        <a:off x="11973240" y="1904040"/>
        <a:ext cx="4319280" cy="32522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1071360</xdr:colOff>
      <xdr:row>24</xdr:row>
      <xdr:rowOff>212760</xdr:rowOff>
    </xdr:from>
    <xdr:to>
      <xdr:col>14</xdr:col>
      <xdr:colOff>996480</xdr:colOff>
      <xdr:row>39</xdr:row>
      <xdr:rowOff>207360</xdr:rowOff>
    </xdr:to>
    <xdr:graphicFrame>
      <xdr:nvGraphicFramePr>
        <xdr:cNvPr id="50" name="Chart 7"/>
        <xdr:cNvGraphicFramePr/>
      </xdr:nvGraphicFramePr>
      <xdr:xfrm>
        <a:off x="12016080" y="5992200"/>
        <a:ext cx="4319280" cy="325224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375120</xdr:colOff>
      <xdr:row>72</xdr:row>
      <xdr:rowOff>57240</xdr:rowOff>
    </xdr:from>
    <xdr:to>
      <xdr:col>19</xdr:col>
      <xdr:colOff>45000</xdr:colOff>
      <xdr:row>84</xdr:row>
      <xdr:rowOff>28080</xdr:rowOff>
    </xdr:to>
    <xdr:graphicFrame>
      <xdr:nvGraphicFramePr>
        <xdr:cNvPr id="51" name="Chart 2"/>
        <xdr:cNvGraphicFramePr/>
      </xdr:nvGraphicFramePr>
      <xdr:xfrm>
        <a:off x="9247320" y="15249600"/>
        <a:ext cx="7939440" cy="22568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FCPublic/My%20Data/Desktop/Zions%20Trade%20Sheets/ESRX%202.75%2011_2014.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Corporate"/>
      <sheetName val="Credit Sheet"/>
    </sheetNames>
    <sheetDataSet>
      <sheetData sheetId="0"/>
      <sheetData sheetId="1"/>
    </sheetDataSet>
  </externalBook>
</externalLink>
</file>

<file path=xl/worksheets/_rels/sheet1.xml.rels><?xml version="1.0" encoding="UTF-8"?>
<Relationships xmlns="http://schemas.openxmlformats.org/package/2006/relationships"><Relationship Id="rId1" Type="http://schemas.openxmlformats.org/officeDocument/2006/relationships/hyperlink" Target="https://www.ishares.com/us/" TargetMode="External"/><Relationship Id="rId2" Type="http://schemas.openxmlformats.org/officeDocument/2006/relationships/hyperlink" Target="https://us.spdrs.com/en/product/index.seam" TargetMode="External"/><Relationship Id="rId3" Type="http://schemas.openxmlformats.org/officeDocument/2006/relationships/hyperlink" Target="https://www.invesco.com/portal/site/us/investors/etfs/" TargetMode="External"/><Relationship Id="rId4" Type="http://schemas.openxmlformats.org/officeDocument/2006/relationships/hyperlink" Target="https://investor.vanguard.com/etf/" TargetMode="External"/><Relationship Id="rId5"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hyperlink" Target="https://www.portfoliovisualizer.com/" TargetMode="External"/><Relationship Id="rId2"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_rels/sheet9.xml.rels><?xml version="1.0" encoding="UTF-8"?>
<Relationships xmlns="http://schemas.openxmlformats.org/package/2006/relationships"><Relationship Id="rId1" Type="http://schemas.openxmlformats.org/officeDocument/2006/relationships/drawing" Target="../drawings/drawing8.xml"/>
</Relationships>
</file>

<file path=xl/worksheets/_rels/sheet10.xml.rels><?xml version="1.0" encoding="UTF-8"?>
<Relationships xmlns="http://schemas.openxmlformats.org/package/2006/relationships"><Relationship Id="rId1" Type="http://schemas.openxmlformats.org/officeDocument/2006/relationships/drawing" Target="../drawings/drawing9.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B1:N91"/>
  <sheetViews>
    <sheetView showFormulas="false" showGridLines="false" showRowColHeaders="true" showZeros="true" rightToLeft="false" tabSelected="false" showOutlineSymbols="true" defaultGridColor="true" view="normal" topLeftCell="C1" colorId="64" zoomScale="100" zoomScaleNormal="100" zoomScalePageLayoutView="100" workbookViewId="0">
      <selection pane="topLeft" activeCell="E21" activeCellId="0" sqref="E21"/>
    </sheetView>
  </sheetViews>
  <sheetFormatPr defaultRowHeight="15" zeroHeight="false" outlineLevelRow="0" outlineLevelCol="0"/>
  <cols>
    <col collapsed="false" customWidth="false" hidden="true" outlineLevel="0" max="1" min="1" style="1" width="11.52"/>
    <col collapsed="false" customWidth="true" hidden="false" outlineLevel="0" max="2" min="2" style="1" width="29.14"/>
    <col collapsed="false" customWidth="true" hidden="false" outlineLevel="0" max="3" min="3" style="2" width="11.71"/>
    <col collapsed="false" customWidth="true" hidden="false" outlineLevel="0" max="4" min="4" style="1" width="14.01"/>
    <col collapsed="false" customWidth="true" hidden="false" outlineLevel="0" max="5" min="5" style="2" width="40.28"/>
    <col collapsed="false" customWidth="true" hidden="false" outlineLevel="0" max="6" min="6" style="2" width="14.28"/>
    <col collapsed="false" customWidth="true" hidden="false" outlineLevel="0" max="7" min="7" style="2" width="22.7"/>
    <col collapsed="false" customWidth="true" hidden="false" outlineLevel="0" max="8" min="8" style="2" width="35.71"/>
    <col collapsed="false" customWidth="true" hidden="false" outlineLevel="0" max="9" min="9" style="2" width="16.71"/>
    <col collapsed="false" customWidth="true" hidden="false" outlineLevel="0" max="10" min="10" style="2" width="12.71"/>
    <col collapsed="false" customWidth="true" hidden="false" outlineLevel="0" max="11" min="11" style="1" width="9.13"/>
    <col collapsed="false" customWidth="true" hidden="false" outlineLevel="0" max="12" min="12" style="1" width="4.71"/>
    <col collapsed="false" customWidth="true" hidden="false" outlineLevel="0" max="13" min="13" style="1" width="22.28"/>
    <col collapsed="false" customWidth="true" hidden="false" outlineLevel="0" max="14" min="14" style="1" width="63.29"/>
    <col collapsed="false" customWidth="true" hidden="false" outlineLevel="0" max="1025" min="15" style="1" width="9.13"/>
  </cols>
  <sheetData>
    <row r="1" customFormat="false" ht="56.25" hidden="false" customHeight="false" outlineLevel="0" collapsed="false">
      <c r="B1" s="3" t="s">
        <v>0</v>
      </c>
      <c r="C1" s="4" t="s">
        <v>1</v>
      </c>
      <c r="D1" s="4" t="s">
        <v>2</v>
      </c>
      <c r="E1" s="4" t="s">
        <v>3</v>
      </c>
      <c r="F1" s="4" t="s">
        <v>4</v>
      </c>
      <c r="G1" s="4" t="s">
        <v>0</v>
      </c>
      <c r="H1" s="4" t="s">
        <v>5</v>
      </c>
      <c r="I1" s="5" t="s">
        <v>6</v>
      </c>
      <c r="J1" s="6" t="s">
        <v>7</v>
      </c>
    </row>
    <row r="2" customFormat="false" ht="15" hidden="false" customHeight="false" outlineLevel="0" collapsed="false">
      <c r="B2" s="7" t="s">
        <v>8</v>
      </c>
      <c r="C2" s="8"/>
      <c r="D2" s="8"/>
      <c r="E2" s="8"/>
      <c r="F2" s="8"/>
      <c r="G2" s="8"/>
      <c r="H2" s="8"/>
      <c r="I2" s="8"/>
      <c r="J2" s="9"/>
      <c r="L2" s="10" t="s">
        <v>9</v>
      </c>
      <c r="M2" s="11" t="s">
        <v>5</v>
      </c>
      <c r="N2" s="11" t="s">
        <v>10</v>
      </c>
    </row>
    <row r="3" customFormat="false" ht="15" hidden="false" customHeight="false" outlineLevel="0" collapsed="false">
      <c r="B3" s="12"/>
      <c r="C3" s="13" t="s">
        <v>11</v>
      </c>
      <c r="D3" s="14" t="n">
        <v>38380</v>
      </c>
      <c r="E3" s="15" t="s">
        <v>12</v>
      </c>
      <c r="F3" s="13" t="s">
        <v>13</v>
      </c>
      <c r="G3" s="13" t="s">
        <v>14</v>
      </c>
      <c r="H3" s="13" t="s">
        <v>15</v>
      </c>
      <c r="I3" s="16" t="n">
        <v>0.25</v>
      </c>
      <c r="J3" s="17" t="n">
        <v>9818949</v>
      </c>
      <c r="L3" s="10"/>
      <c r="M3" s="18" t="s">
        <v>16</v>
      </c>
      <c r="N3" s="19" t="s">
        <v>17</v>
      </c>
    </row>
    <row r="4" customFormat="false" ht="15" hidden="false" customHeight="false" outlineLevel="0" collapsed="false">
      <c r="B4" s="12"/>
      <c r="C4" s="13" t="s">
        <v>18</v>
      </c>
      <c r="D4" s="14" t="n">
        <v>38835</v>
      </c>
      <c r="E4" s="15" t="s">
        <v>19</v>
      </c>
      <c r="F4" s="13" t="s">
        <v>13</v>
      </c>
      <c r="G4" s="13" t="s">
        <v>14</v>
      </c>
      <c r="H4" s="13" t="s">
        <v>20</v>
      </c>
      <c r="I4" s="16" t="n">
        <v>0.5</v>
      </c>
      <c r="J4" s="17" t="n">
        <v>10483368</v>
      </c>
      <c r="L4" s="10"/>
      <c r="M4" s="18" t="s">
        <v>21</v>
      </c>
      <c r="N4" s="19" t="s">
        <v>22</v>
      </c>
    </row>
    <row r="5" customFormat="false" ht="15" hidden="false" customHeight="false" outlineLevel="0" collapsed="false">
      <c r="B5" s="12"/>
      <c r="C5" s="13" t="s">
        <v>23</v>
      </c>
      <c r="D5" s="14" t="n">
        <v>38817</v>
      </c>
      <c r="E5" s="15" t="s">
        <v>24</v>
      </c>
      <c r="F5" s="13" t="s">
        <v>13</v>
      </c>
      <c r="G5" s="13" t="s">
        <v>14</v>
      </c>
      <c r="H5" s="13" t="s">
        <v>25</v>
      </c>
      <c r="I5" s="16" t="n">
        <v>0.72</v>
      </c>
      <c r="J5" s="17" t="n">
        <v>41176420</v>
      </c>
      <c r="L5" s="10"/>
      <c r="M5" s="18" t="s">
        <v>26</v>
      </c>
      <c r="N5" s="19" t="s">
        <v>27</v>
      </c>
    </row>
    <row r="6" customFormat="false" ht="15" hidden="false" customHeight="false" outlineLevel="0" collapsed="false">
      <c r="B6" s="7" t="s">
        <v>28</v>
      </c>
      <c r="C6" s="8"/>
      <c r="D6" s="8"/>
      <c r="E6" s="8"/>
      <c r="F6" s="8"/>
      <c r="G6" s="8"/>
      <c r="H6" s="8"/>
      <c r="I6" s="8"/>
      <c r="J6" s="9"/>
      <c r="L6" s="10"/>
      <c r="M6" s="18" t="s">
        <v>29</v>
      </c>
      <c r="N6" s="19" t="s">
        <v>30</v>
      </c>
    </row>
    <row r="7" customFormat="false" ht="15" hidden="false" customHeight="false" outlineLevel="0" collapsed="false">
      <c r="B7" s="20"/>
      <c r="C7" s="2" t="s">
        <v>31</v>
      </c>
      <c r="D7" s="21" t="n">
        <v>36696</v>
      </c>
      <c r="E7" s="22" t="s">
        <v>32</v>
      </c>
      <c r="F7" s="2" t="s">
        <v>13</v>
      </c>
      <c r="G7" s="2" t="s">
        <v>33</v>
      </c>
      <c r="H7" s="2" t="s">
        <v>34</v>
      </c>
      <c r="I7" s="23" t="n">
        <v>0.43</v>
      </c>
      <c r="J7" s="24" t="n">
        <v>9061343</v>
      </c>
      <c r="L7" s="10"/>
      <c r="M7" s="18" t="s">
        <v>35</v>
      </c>
      <c r="N7" s="19" t="s">
        <v>36</v>
      </c>
    </row>
    <row r="8" customFormat="false" ht="15" hidden="false" customHeight="false" outlineLevel="0" collapsed="false">
      <c r="B8" s="7" t="s">
        <v>37</v>
      </c>
      <c r="C8" s="8"/>
      <c r="D8" s="8"/>
      <c r="E8" s="8"/>
      <c r="F8" s="8"/>
      <c r="G8" s="8"/>
      <c r="H8" s="8"/>
      <c r="I8" s="8"/>
      <c r="J8" s="9"/>
    </row>
    <row r="9" customFormat="false" ht="15" hidden="false" customHeight="false" outlineLevel="0" collapsed="false">
      <c r="B9" s="20"/>
      <c r="C9" s="2" t="s">
        <v>38</v>
      </c>
      <c r="D9" s="21" t="n">
        <v>39066</v>
      </c>
      <c r="E9" s="22" t="s">
        <v>39</v>
      </c>
      <c r="F9" s="2" t="s">
        <v>13</v>
      </c>
      <c r="G9" s="2" t="s">
        <v>33</v>
      </c>
      <c r="H9" s="2" t="s">
        <v>34</v>
      </c>
      <c r="I9" s="23" t="n">
        <v>0.59</v>
      </c>
      <c r="J9" s="24" t="n">
        <v>967665.0625</v>
      </c>
    </row>
    <row r="10" customFormat="false" ht="15" hidden="false" customHeight="false" outlineLevel="0" collapsed="false">
      <c r="B10" s="25" t="s">
        <v>40</v>
      </c>
      <c r="C10" s="26"/>
      <c r="D10" s="27"/>
      <c r="E10" s="28"/>
      <c r="F10" s="26"/>
      <c r="G10" s="26"/>
      <c r="H10" s="26"/>
      <c r="I10" s="29"/>
      <c r="J10" s="30"/>
    </row>
    <row r="11" customFormat="false" ht="15" hidden="false" customHeight="false" outlineLevel="0" collapsed="false">
      <c r="B11" s="31"/>
      <c r="C11" s="2" t="s">
        <v>41</v>
      </c>
      <c r="D11" s="21" t="n">
        <v>37042</v>
      </c>
      <c r="E11" s="22" t="s">
        <v>42</v>
      </c>
      <c r="F11" s="2" t="s">
        <v>43</v>
      </c>
      <c r="G11" s="2" t="s">
        <v>44</v>
      </c>
      <c r="H11" s="2" t="s">
        <v>44</v>
      </c>
      <c r="I11" s="23" t="n">
        <v>0.05</v>
      </c>
      <c r="J11" s="24" t="n">
        <v>2713992</v>
      </c>
    </row>
    <row r="12" customFormat="false" ht="15" hidden="false" customHeight="false" outlineLevel="0" collapsed="false">
      <c r="B12" s="31"/>
      <c r="C12" s="2" t="s">
        <v>45</v>
      </c>
      <c r="D12" s="21" t="n">
        <v>37932</v>
      </c>
      <c r="E12" s="22" t="s">
        <v>46</v>
      </c>
      <c r="F12" s="2" t="s">
        <v>43</v>
      </c>
      <c r="G12" s="2" t="s">
        <v>44</v>
      </c>
      <c r="H12" s="2" t="s">
        <v>44</v>
      </c>
      <c r="I12" s="23" t="n">
        <v>0.39</v>
      </c>
      <c r="J12" s="24" t="n">
        <v>1181536</v>
      </c>
    </row>
    <row r="13" customFormat="false" ht="15" hidden="false" customHeight="false" outlineLevel="0" collapsed="false">
      <c r="B13" s="25" t="s">
        <v>47</v>
      </c>
      <c r="C13" s="26"/>
      <c r="D13" s="32"/>
      <c r="E13" s="33"/>
      <c r="F13" s="33"/>
      <c r="G13" s="33"/>
      <c r="H13" s="26"/>
      <c r="I13" s="33"/>
      <c r="J13" s="34"/>
    </row>
    <row r="14" customFormat="false" ht="15" hidden="false" customHeight="false" outlineLevel="0" collapsed="false">
      <c r="B14" s="31"/>
      <c r="C14" s="2" t="s">
        <v>48</v>
      </c>
      <c r="D14" s="21" t="n">
        <v>33991</v>
      </c>
      <c r="E14" s="22" t="s">
        <v>49</v>
      </c>
      <c r="F14" s="2" t="s">
        <v>43</v>
      </c>
      <c r="G14" s="2" t="s">
        <v>50</v>
      </c>
      <c r="H14" s="2" t="s">
        <v>50</v>
      </c>
      <c r="I14" s="23" t="n">
        <v>0.0945</v>
      </c>
      <c r="J14" s="24" t="n">
        <v>89262312</v>
      </c>
    </row>
    <row r="15" customFormat="false" ht="15" hidden="false" customHeight="false" outlineLevel="0" collapsed="false">
      <c r="B15" s="31"/>
      <c r="C15" s="2" t="s">
        <v>51</v>
      </c>
      <c r="D15" s="21" t="n">
        <v>35815</v>
      </c>
      <c r="E15" s="22" t="s">
        <v>52</v>
      </c>
      <c r="F15" s="2" t="s">
        <v>43</v>
      </c>
      <c r="G15" s="2" t="s">
        <v>50</v>
      </c>
      <c r="H15" s="2" t="s">
        <v>50</v>
      </c>
      <c r="I15" s="23" t="n">
        <v>0.17</v>
      </c>
      <c r="J15" s="24" t="n">
        <v>3651920.75</v>
      </c>
    </row>
    <row r="16" customFormat="false" ht="15" hidden="false" customHeight="false" outlineLevel="0" collapsed="false">
      <c r="B16" s="31"/>
      <c r="C16" s="2" t="s">
        <v>53</v>
      </c>
      <c r="D16" s="21" t="n">
        <v>37741</v>
      </c>
      <c r="E16" s="22" t="s">
        <v>54</v>
      </c>
      <c r="F16" s="2" t="s">
        <v>43</v>
      </c>
      <c r="G16" s="2" t="s">
        <v>50</v>
      </c>
      <c r="H16" s="2" t="s">
        <v>50</v>
      </c>
      <c r="I16" s="23" t="n">
        <v>0.4</v>
      </c>
      <c r="J16" s="24" t="n">
        <v>1229803.875</v>
      </c>
    </row>
    <row r="17" customFormat="false" ht="15" hidden="false" customHeight="false" outlineLevel="0" collapsed="false">
      <c r="B17" s="31"/>
      <c r="C17" s="2" t="s">
        <v>55</v>
      </c>
      <c r="D17" s="21" t="n">
        <v>36665</v>
      </c>
      <c r="E17" s="22" t="s">
        <v>56</v>
      </c>
      <c r="F17" s="2" t="s">
        <v>43</v>
      </c>
      <c r="G17" s="2" t="s">
        <v>50</v>
      </c>
      <c r="H17" s="2" t="s">
        <v>50</v>
      </c>
      <c r="I17" s="23" t="n">
        <v>0.15</v>
      </c>
      <c r="J17" s="24" t="n">
        <v>1167512.375</v>
      </c>
    </row>
    <row r="18" customFormat="false" ht="15" hidden="false" customHeight="false" outlineLevel="0" collapsed="false">
      <c r="B18" s="31"/>
      <c r="C18" s="2" t="s">
        <v>57</v>
      </c>
      <c r="D18" s="21" t="n">
        <v>39037</v>
      </c>
      <c r="E18" s="22" t="s">
        <v>58</v>
      </c>
      <c r="F18" s="2" t="s">
        <v>43</v>
      </c>
      <c r="G18" s="2" t="s">
        <v>50</v>
      </c>
      <c r="H18" s="2" t="s">
        <v>50</v>
      </c>
      <c r="I18" s="23" t="n">
        <v>0.09</v>
      </c>
      <c r="J18" s="24" t="n">
        <v>1063420.375</v>
      </c>
    </row>
    <row r="19" customFormat="false" ht="15" hidden="false" customHeight="false" outlineLevel="0" collapsed="false">
      <c r="B19" s="25" t="s">
        <v>59</v>
      </c>
      <c r="C19" s="26"/>
      <c r="D19" s="32"/>
      <c r="E19" s="33"/>
      <c r="F19" s="33"/>
      <c r="G19" s="33"/>
      <c r="H19" s="26"/>
      <c r="I19" s="33"/>
      <c r="J19" s="34"/>
    </row>
    <row r="20" customFormat="false" ht="15" hidden="false" customHeight="false" outlineLevel="0" collapsed="false">
      <c r="B20" s="31"/>
      <c r="C20" s="2" t="s">
        <v>60</v>
      </c>
      <c r="D20" s="21" t="n">
        <v>36672</v>
      </c>
      <c r="E20" s="22" t="s">
        <v>61</v>
      </c>
      <c r="F20" s="2" t="s">
        <v>43</v>
      </c>
      <c r="G20" s="2" t="s">
        <v>62</v>
      </c>
      <c r="H20" s="2" t="s">
        <v>62</v>
      </c>
      <c r="I20" s="23" t="n">
        <v>0.2</v>
      </c>
      <c r="J20" s="24" t="n">
        <v>1964132.75</v>
      </c>
    </row>
    <row r="21" customFormat="false" ht="15" hidden="false" customHeight="false" outlineLevel="0" collapsed="false">
      <c r="B21" s="25" t="s">
        <v>63</v>
      </c>
      <c r="C21" s="26"/>
      <c r="D21" s="32"/>
      <c r="E21" s="33"/>
      <c r="F21" s="33"/>
      <c r="G21" s="33"/>
      <c r="H21" s="26"/>
      <c r="I21" s="33"/>
      <c r="J21" s="34"/>
    </row>
    <row r="22" customFormat="false" ht="15" hidden="false" customHeight="false" outlineLevel="0" collapsed="false">
      <c r="B22" s="31"/>
      <c r="C22" s="2" t="s">
        <v>64</v>
      </c>
      <c r="D22" s="21" t="n">
        <v>36672</v>
      </c>
      <c r="E22" s="22" t="s">
        <v>65</v>
      </c>
      <c r="F22" s="2" t="s">
        <v>43</v>
      </c>
      <c r="G22" s="2" t="s">
        <v>66</v>
      </c>
      <c r="H22" s="2" t="s">
        <v>66</v>
      </c>
      <c r="I22" s="23" t="n">
        <v>0.2</v>
      </c>
      <c r="J22" s="24" t="n">
        <v>2716284.75</v>
      </c>
    </row>
    <row r="23" customFormat="false" ht="15" hidden="false" customHeight="false" outlineLevel="0" collapsed="false">
      <c r="B23" s="7" t="s">
        <v>67</v>
      </c>
      <c r="C23" s="26"/>
      <c r="D23" s="27"/>
      <c r="E23" s="28"/>
      <c r="F23" s="26"/>
      <c r="G23" s="26"/>
      <c r="H23" s="26"/>
      <c r="I23" s="29"/>
      <c r="J23" s="30"/>
    </row>
    <row r="24" customFormat="false" ht="15" hidden="false" customHeight="false" outlineLevel="0" collapsed="false">
      <c r="B24" s="31"/>
      <c r="C24" s="2" t="s">
        <v>68</v>
      </c>
      <c r="D24" s="21" t="n">
        <v>34823</v>
      </c>
      <c r="E24" s="22" t="s">
        <v>69</v>
      </c>
      <c r="F24" s="2" t="s">
        <v>43</v>
      </c>
      <c r="G24" s="2" t="s">
        <v>70</v>
      </c>
      <c r="H24" s="2" t="s">
        <v>70</v>
      </c>
      <c r="I24" s="23" t="n">
        <v>0.25</v>
      </c>
      <c r="J24" s="24" t="n">
        <v>1517127.375</v>
      </c>
    </row>
    <row r="25" customFormat="false" ht="15" hidden="false" customHeight="false" outlineLevel="0" collapsed="false">
      <c r="B25" s="25" t="s">
        <v>71</v>
      </c>
      <c r="C25" s="26"/>
      <c r="D25" s="27"/>
      <c r="E25" s="28"/>
      <c r="F25" s="26"/>
      <c r="G25" s="26"/>
      <c r="H25" s="26"/>
      <c r="I25" s="29"/>
      <c r="J25" s="30"/>
    </row>
    <row r="26" customFormat="false" ht="15" hidden="false" customHeight="false" outlineLevel="0" collapsed="false">
      <c r="B26" s="31"/>
      <c r="C26" s="2" t="s">
        <v>72</v>
      </c>
      <c r="D26" s="21" t="n">
        <v>36672</v>
      </c>
      <c r="E26" s="22" t="s">
        <v>73</v>
      </c>
      <c r="F26" s="2" t="s">
        <v>43</v>
      </c>
      <c r="G26" s="2" t="s">
        <v>74</v>
      </c>
      <c r="H26" s="2" t="s">
        <v>74</v>
      </c>
      <c r="I26" s="23" t="n">
        <v>0.2</v>
      </c>
      <c r="J26" s="24" t="n">
        <v>32270708</v>
      </c>
    </row>
    <row r="27" customFormat="false" ht="15" hidden="false" customHeight="false" outlineLevel="0" collapsed="false">
      <c r="B27" s="31"/>
      <c r="C27" s="2" t="s">
        <v>75</v>
      </c>
      <c r="D27" s="21" t="n">
        <v>36735</v>
      </c>
      <c r="E27" s="22" t="s">
        <v>76</v>
      </c>
      <c r="F27" s="2" t="s">
        <v>43</v>
      </c>
      <c r="G27" s="2" t="s">
        <v>77</v>
      </c>
      <c r="H27" s="2" t="s">
        <v>78</v>
      </c>
      <c r="I27" s="23" t="n">
        <v>0.25</v>
      </c>
      <c r="J27" s="24" t="n">
        <v>1793839.5</v>
      </c>
    </row>
    <row r="28" customFormat="false" ht="15" hidden="false" customHeight="false" outlineLevel="0" collapsed="false">
      <c r="B28" s="31"/>
      <c r="C28" s="2" t="s">
        <v>79</v>
      </c>
      <c r="D28" s="21" t="n">
        <v>36735</v>
      </c>
      <c r="E28" s="22" t="s">
        <v>80</v>
      </c>
      <c r="F28" s="2" t="s">
        <v>43</v>
      </c>
      <c r="G28" s="2" t="s">
        <v>81</v>
      </c>
      <c r="H28" s="2" t="s">
        <v>82</v>
      </c>
      <c r="I28" s="23" t="n">
        <v>0.25</v>
      </c>
      <c r="J28" s="24" t="n">
        <v>836166.8125</v>
      </c>
    </row>
    <row r="29" customFormat="false" ht="15" hidden="false" customHeight="false" outlineLevel="0" collapsed="false">
      <c r="B29" s="7" t="s">
        <v>83</v>
      </c>
      <c r="C29" s="26"/>
      <c r="D29" s="27"/>
      <c r="E29" s="28"/>
      <c r="F29" s="26"/>
      <c r="G29" s="26"/>
      <c r="H29" s="26"/>
      <c r="I29" s="29"/>
      <c r="J29" s="30"/>
    </row>
    <row r="30" customFormat="false" ht="15" hidden="false" customHeight="false" outlineLevel="0" collapsed="false">
      <c r="B30" s="31"/>
      <c r="C30" s="2" t="s">
        <v>84</v>
      </c>
      <c r="D30" s="21" t="n">
        <v>36151</v>
      </c>
      <c r="E30" s="22" t="s">
        <v>85</v>
      </c>
      <c r="F30" s="2" t="s">
        <v>43</v>
      </c>
      <c r="G30" s="2" t="s">
        <v>50</v>
      </c>
      <c r="H30" s="2" t="s">
        <v>86</v>
      </c>
      <c r="I30" s="23" t="n">
        <v>0.14</v>
      </c>
      <c r="J30" s="24" t="n">
        <v>6139313.5</v>
      </c>
    </row>
    <row r="31" customFormat="false" ht="15" hidden="false" customHeight="false" outlineLevel="0" collapsed="false">
      <c r="B31" s="31"/>
      <c r="C31" s="2" t="s">
        <v>87</v>
      </c>
      <c r="D31" s="21" t="n">
        <v>36151</v>
      </c>
      <c r="E31" s="22" t="s">
        <v>88</v>
      </c>
      <c r="F31" s="2" t="s">
        <v>43</v>
      </c>
      <c r="G31" s="2" t="s">
        <v>50</v>
      </c>
      <c r="H31" s="2" t="s">
        <v>89</v>
      </c>
      <c r="I31" s="23" t="n">
        <v>0.14</v>
      </c>
      <c r="J31" s="24" t="n">
        <v>14677262</v>
      </c>
    </row>
    <row r="32" customFormat="false" ht="15" hidden="false" customHeight="false" outlineLevel="0" collapsed="false">
      <c r="B32" s="31"/>
      <c r="C32" s="2" t="s">
        <v>90</v>
      </c>
      <c r="D32" s="21" t="n">
        <v>36151</v>
      </c>
      <c r="E32" s="22" t="s">
        <v>91</v>
      </c>
      <c r="F32" s="2" t="s">
        <v>43</v>
      </c>
      <c r="G32" s="2" t="s">
        <v>50</v>
      </c>
      <c r="H32" s="2" t="s">
        <v>92</v>
      </c>
      <c r="I32" s="23" t="n">
        <v>0.14</v>
      </c>
      <c r="J32" s="24" t="n">
        <v>14810000</v>
      </c>
    </row>
    <row r="33" customFormat="false" ht="15" hidden="false" customHeight="false" outlineLevel="0" collapsed="false">
      <c r="B33" s="31"/>
      <c r="C33" s="2" t="s">
        <v>93</v>
      </c>
      <c r="D33" s="21" t="n">
        <v>36151</v>
      </c>
      <c r="E33" s="22" t="s">
        <v>94</v>
      </c>
      <c r="F33" s="2" t="s">
        <v>43</v>
      </c>
      <c r="G33" s="2" t="s">
        <v>50</v>
      </c>
      <c r="H33" s="2" t="s">
        <v>95</v>
      </c>
      <c r="I33" s="23" t="n">
        <v>0.14</v>
      </c>
      <c r="J33" s="24" t="n">
        <v>78965544</v>
      </c>
    </row>
    <row r="34" customFormat="false" ht="15" hidden="false" customHeight="false" outlineLevel="0" collapsed="false">
      <c r="B34" s="31"/>
      <c r="C34" s="2" t="s">
        <v>96</v>
      </c>
      <c r="D34" s="21" t="n">
        <v>36151</v>
      </c>
      <c r="E34" s="22" t="s">
        <v>97</v>
      </c>
      <c r="F34" s="2" t="s">
        <v>43</v>
      </c>
      <c r="G34" s="2" t="s">
        <v>50</v>
      </c>
      <c r="H34" s="2" t="s">
        <v>98</v>
      </c>
      <c r="I34" s="23" t="n">
        <v>0.14</v>
      </c>
      <c r="J34" s="24" t="n">
        <v>11044192</v>
      </c>
    </row>
    <row r="35" customFormat="false" ht="15" hidden="false" customHeight="false" outlineLevel="0" collapsed="false">
      <c r="B35" s="31"/>
      <c r="C35" s="2" t="s">
        <v>99</v>
      </c>
      <c r="D35" s="21" t="n">
        <v>36151</v>
      </c>
      <c r="E35" s="22" t="s">
        <v>100</v>
      </c>
      <c r="F35" s="2" t="s">
        <v>43</v>
      </c>
      <c r="G35" s="2" t="s">
        <v>50</v>
      </c>
      <c r="H35" s="2" t="s">
        <v>101</v>
      </c>
      <c r="I35" s="23" t="n">
        <v>0.14</v>
      </c>
      <c r="J35" s="24" t="n">
        <v>11705105</v>
      </c>
    </row>
    <row r="36" customFormat="false" ht="15" hidden="false" customHeight="false" outlineLevel="0" collapsed="false">
      <c r="B36" s="31"/>
      <c r="C36" s="2" t="s">
        <v>102</v>
      </c>
      <c r="D36" s="21" t="n">
        <v>36151</v>
      </c>
      <c r="E36" s="22" t="s">
        <v>103</v>
      </c>
      <c r="F36" s="2" t="s">
        <v>43</v>
      </c>
      <c r="G36" s="2" t="s">
        <v>50</v>
      </c>
      <c r="H36" s="2" t="s">
        <v>104</v>
      </c>
      <c r="I36" s="23" t="n">
        <v>0.14</v>
      </c>
      <c r="J36" s="24" t="n">
        <v>5571907.5</v>
      </c>
    </row>
    <row r="37" customFormat="false" ht="15" hidden="false" customHeight="false" outlineLevel="0" collapsed="false">
      <c r="B37" s="31"/>
      <c r="C37" s="2" t="s">
        <v>105</v>
      </c>
      <c r="D37" s="21" t="n">
        <v>36151</v>
      </c>
      <c r="E37" s="22" t="s">
        <v>106</v>
      </c>
      <c r="F37" s="2" t="s">
        <v>43</v>
      </c>
      <c r="G37" s="2" t="s">
        <v>50</v>
      </c>
      <c r="H37" s="2" t="s">
        <v>107</v>
      </c>
      <c r="I37" s="23" t="n">
        <v>0.14</v>
      </c>
      <c r="J37" s="24" t="n">
        <v>9762531</v>
      </c>
    </row>
    <row r="38" customFormat="false" ht="15" hidden="false" customHeight="false" outlineLevel="0" collapsed="false">
      <c r="B38" s="31"/>
      <c r="C38" s="2" t="s">
        <v>108</v>
      </c>
      <c r="D38" s="21" t="n">
        <v>36151</v>
      </c>
      <c r="E38" s="22" t="s">
        <v>109</v>
      </c>
      <c r="F38" s="2" t="s">
        <v>43</v>
      </c>
      <c r="G38" s="2" t="s">
        <v>50</v>
      </c>
      <c r="H38" s="2" t="s">
        <v>110</v>
      </c>
      <c r="I38" s="23" t="n">
        <v>0.14</v>
      </c>
      <c r="J38" s="24" t="n">
        <v>17455286</v>
      </c>
    </row>
    <row r="39" customFormat="false" ht="15" hidden="false" customHeight="false" outlineLevel="0" collapsed="false">
      <c r="B39" s="25" t="s">
        <v>111</v>
      </c>
      <c r="C39" s="8"/>
      <c r="D39" s="35"/>
      <c r="E39" s="36"/>
      <c r="F39" s="8"/>
      <c r="G39" s="8"/>
      <c r="H39" s="8"/>
      <c r="I39" s="37"/>
      <c r="J39" s="38"/>
    </row>
    <row r="40" customFormat="false" ht="15" hidden="false" customHeight="false" outlineLevel="0" collapsed="false">
      <c r="B40" s="39"/>
      <c r="C40" s="13" t="s">
        <v>112</v>
      </c>
      <c r="D40" s="14" t="n">
        <v>39149</v>
      </c>
      <c r="E40" s="15" t="s">
        <v>113</v>
      </c>
      <c r="F40" s="13" t="s">
        <v>114</v>
      </c>
      <c r="G40" s="13" t="s">
        <v>115</v>
      </c>
      <c r="H40" s="13" t="s">
        <v>115</v>
      </c>
      <c r="I40" s="16" t="n">
        <v>0.13</v>
      </c>
      <c r="J40" s="17" t="n">
        <v>2098954</v>
      </c>
    </row>
    <row r="41" customFormat="false" ht="15" hidden="false" customHeight="false" outlineLevel="0" collapsed="false">
      <c r="B41" s="25" t="s">
        <v>116</v>
      </c>
      <c r="C41" s="26"/>
      <c r="D41" s="27"/>
      <c r="E41" s="28"/>
      <c r="F41" s="26"/>
      <c r="G41" s="26"/>
      <c r="H41" s="26"/>
      <c r="I41" s="29"/>
      <c r="J41" s="30"/>
    </row>
    <row r="42" customFormat="false" ht="15" hidden="false" customHeight="false" outlineLevel="0" collapsed="false">
      <c r="B42" s="40"/>
      <c r="C42" s="2" t="s">
        <v>117</v>
      </c>
      <c r="D42" s="21" t="n">
        <v>39428</v>
      </c>
      <c r="E42" s="22" t="s">
        <v>118</v>
      </c>
      <c r="F42" s="2" t="s">
        <v>114</v>
      </c>
      <c r="G42" s="2" t="s">
        <v>119</v>
      </c>
      <c r="H42" s="2" t="s">
        <v>120</v>
      </c>
      <c r="I42" s="23" t="n">
        <v>0.4</v>
      </c>
      <c r="J42" s="24" t="n">
        <v>780553.0625</v>
      </c>
    </row>
    <row r="43" customFormat="false" ht="15" hidden="false" customHeight="false" outlineLevel="0" collapsed="false">
      <c r="B43" s="7" t="s">
        <v>121</v>
      </c>
      <c r="C43" s="26"/>
      <c r="D43" s="27"/>
      <c r="E43" s="28"/>
      <c r="F43" s="26"/>
      <c r="G43" s="26"/>
      <c r="H43" s="26"/>
      <c r="I43" s="29"/>
      <c r="J43" s="30"/>
    </row>
    <row r="44" customFormat="false" ht="15" hidden="false" customHeight="false" outlineLevel="0" collapsed="false">
      <c r="B44" s="31"/>
      <c r="C44" s="2" t="s">
        <v>122</v>
      </c>
      <c r="D44" s="21" t="n">
        <v>36738</v>
      </c>
      <c r="E44" s="22" t="s">
        <v>123</v>
      </c>
      <c r="F44" s="2" t="s">
        <v>114</v>
      </c>
      <c r="G44" s="2" t="s">
        <v>119</v>
      </c>
      <c r="H44" s="2" t="s">
        <v>124</v>
      </c>
      <c r="I44" s="23" t="n">
        <v>0.48</v>
      </c>
      <c r="J44" s="24" t="n">
        <v>4710315.5</v>
      </c>
    </row>
    <row r="45" customFormat="false" ht="15" hidden="false" customHeight="false" outlineLevel="0" collapsed="false">
      <c r="B45" s="31"/>
      <c r="C45" s="2" t="s">
        <v>125</v>
      </c>
      <c r="D45" s="21" t="n">
        <v>37120</v>
      </c>
      <c r="E45" s="22" t="s">
        <v>126</v>
      </c>
      <c r="F45" s="2" t="s">
        <v>114</v>
      </c>
      <c r="G45" s="2" t="s">
        <v>119</v>
      </c>
      <c r="H45" s="2" t="s">
        <v>127</v>
      </c>
      <c r="I45" s="23" t="n">
        <v>0.33</v>
      </c>
      <c r="J45" s="24" t="n">
        <v>17915828</v>
      </c>
    </row>
    <row r="46" customFormat="false" ht="15" hidden="false" customHeight="false" outlineLevel="0" collapsed="false">
      <c r="B46" s="31"/>
      <c r="C46" s="2" t="s">
        <v>128</v>
      </c>
      <c r="D46" s="21" t="n">
        <v>39675</v>
      </c>
      <c r="E46" s="22" t="s">
        <v>129</v>
      </c>
      <c r="F46" s="2" t="s">
        <v>114</v>
      </c>
      <c r="G46" s="2" t="s">
        <v>119</v>
      </c>
      <c r="H46" s="2" t="s">
        <v>130</v>
      </c>
      <c r="I46" s="23" t="n">
        <v>0.69</v>
      </c>
      <c r="J46" s="24" t="n">
        <v>1255323.75</v>
      </c>
    </row>
    <row r="47" customFormat="false" ht="15" hidden="false" customHeight="false" outlineLevel="0" collapsed="false">
      <c r="B47" s="7" t="s">
        <v>131</v>
      </c>
      <c r="C47" s="26"/>
      <c r="D47" s="27"/>
      <c r="E47" s="28"/>
      <c r="F47" s="26"/>
      <c r="G47" s="26"/>
      <c r="H47" s="26"/>
      <c r="I47" s="29"/>
      <c r="J47" s="30"/>
    </row>
    <row r="48" customFormat="false" ht="15" hidden="false" customHeight="false" outlineLevel="0" collapsed="false">
      <c r="B48" s="31"/>
      <c r="C48" s="2" t="s">
        <v>132</v>
      </c>
      <c r="D48" s="21" t="n">
        <v>35142</v>
      </c>
      <c r="E48" s="22" t="s">
        <v>133</v>
      </c>
      <c r="F48" s="2" t="s">
        <v>114</v>
      </c>
      <c r="G48" s="2" t="s">
        <v>119</v>
      </c>
      <c r="H48" s="2" t="s">
        <v>134</v>
      </c>
      <c r="I48" s="23" t="n">
        <v>0.48</v>
      </c>
      <c r="J48" s="24" t="n">
        <v>2024846.75</v>
      </c>
    </row>
    <row r="49" customFormat="false" ht="15" hidden="false" customHeight="false" outlineLevel="0" collapsed="false">
      <c r="B49" s="31"/>
      <c r="C49" s="2" t="s">
        <v>135</v>
      </c>
      <c r="D49" s="21" t="n">
        <v>35142</v>
      </c>
      <c r="E49" s="22" t="s">
        <v>136</v>
      </c>
      <c r="F49" s="2" t="s">
        <v>114</v>
      </c>
      <c r="G49" s="2" t="s">
        <v>119</v>
      </c>
      <c r="H49" s="2" t="s">
        <v>137</v>
      </c>
      <c r="I49" s="23" t="n">
        <v>0.48</v>
      </c>
      <c r="J49" s="24" t="n">
        <v>866715.9375</v>
      </c>
    </row>
    <row r="50" customFormat="false" ht="15" hidden="false" customHeight="false" outlineLevel="0" collapsed="false">
      <c r="B50" s="31"/>
      <c r="C50" s="2" t="s">
        <v>138</v>
      </c>
      <c r="D50" s="21" t="n">
        <v>35142</v>
      </c>
      <c r="E50" s="22" t="s">
        <v>139</v>
      </c>
      <c r="F50" s="2" t="s">
        <v>114</v>
      </c>
      <c r="G50" s="2" t="s">
        <v>119</v>
      </c>
      <c r="H50" s="2" t="s">
        <v>140</v>
      </c>
      <c r="I50" s="23" t="n">
        <v>0.48</v>
      </c>
      <c r="J50" s="24" t="n">
        <v>1302638.125</v>
      </c>
    </row>
    <row r="51" customFormat="false" ht="15" hidden="false" customHeight="false" outlineLevel="0" collapsed="false">
      <c r="B51" s="31"/>
      <c r="C51" s="2" t="s">
        <v>141</v>
      </c>
      <c r="D51" s="21" t="n">
        <v>35142</v>
      </c>
      <c r="E51" s="22" t="s">
        <v>142</v>
      </c>
      <c r="F51" s="2" t="s">
        <v>114</v>
      </c>
      <c r="G51" s="2" t="s">
        <v>119</v>
      </c>
      <c r="H51" s="2" t="s">
        <v>143</v>
      </c>
      <c r="I51" s="23" t="n">
        <v>0.48</v>
      </c>
      <c r="J51" s="24" t="n">
        <v>7568871</v>
      </c>
    </row>
    <row r="52" customFormat="false" ht="15" hidden="false" customHeight="false" outlineLevel="0" collapsed="false">
      <c r="B52" s="31"/>
      <c r="C52" s="2" t="s">
        <v>144</v>
      </c>
      <c r="D52" s="21" t="n">
        <v>35142</v>
      </c>
      <c r="E52" s="22" t="s">
        <v>145</v>
      </c>
      <c r="F52" s="2" t="s">
        <v>114</v>
      </c>
      <c r="G52" s="2" t="s">
        <v>119</v>
      </c>
      <c r="H52" s="2" t="s">
        <v>146</v>
      </c>
      <c r="I52" s="23" t="n">
        <v>0.48</v>
      </c>
      <c r="J52" s="24" t="n">
        <v>3144649.75</v>
      </c>
    </row>
    <row r="53" customFormat="false" ht="15" hidden="false" customHeight="false" outlineLevel="0" collapsed="false">
      <c r="B53" s="31"/>
      <c r="C53" s="2" t="s">
        <v>147</v>
      </c>
      <c r="D53" s="21" t="n">
        <v>35142</v>
      </c>
      <c r="E53" s="22" t="s">
        <v>148</v>
      </c>
      <c r="F53" s="2" t="s">
        <v>114</v>
      </c>
      <c r="G53" s="2" t="s">
        <v>119</v>
      </c>
      <c r="H53" s="2" t="s">
        <v>149</v>
      </c>
      <c r="I53" s="23" t="n">
        <v>0.48</v>
      </c>
      <c r="J53" s="24" t="n">
        <v>700820.25</v>
      </c>
    </row>
    <row r="54" customFormat="false" ht="15" hidden="false" customHeight="false" outlineLevel="0" collapsed="false">
      <c r="B54" s="31"/>
      <c r="C54" s="2" t="s">
        <v>150</v>
      </c>
      <c r="D54" s="21" t="n">
        <v>35142</v>
      </c>
      <c r="E54" s="22" t="s">
        <v>151</v>
      </c>
      <c r="F54" s="2" t="s">
        <v>114</v>
      </c>
      <c r="G54" s="2" t="s">
        <v>119</v>
      </c>
      <c r="H54" s="2" t="s">
        <v>152</v>
      </c>
      <c r="I54" s="23" t="n">
        <v>0.48</v>
      </c>
      <c r="J54" s="24" t="n">
        <v>3531384.75</v>
      </c>
    </row>
    <row r="55" customFormat="false" ht="15" hidden="false" customHeight="false" outlineLevel="0" collapsed="false">
      <c r="B55" s="31"/>
      <c r="C55" s="2" t="s">
        <v>153</v>
      </c>
      <c r="D55" s="21" t="n">
        <v>35142</v>
      </c>
      <c r="E55" s="22" t="s">
        <v>154</v>
      </c>
      <c r="F55" s="2" t="s">
        <v>114</v>
      </c>
      <c r="G55" s="2" t="s">
        <v>119</v>
      </c>
      <c r="H55" s="2" t="s">
        <v>155</v>
      </c>
      <c r="I55" s="23" t="n">
        <v>0.48</v>
      </c>
      <c r="J55" s="24" t="n">
        <v>2098885</v>
      </c>
    </row>
    <row r="56" customFormat="false" ht="15" hidden="false" customHeight="false" outlineLevel="0" collapsed="false">
      <c r="B56" s="31"/>
      <c r="C56" s="2" t="s">
        <v>156</v>
      </c>
      <c r="D56" s="21" t="n">
        <v>35142</v>
      </c>
      <c r="E56" s="22" t="s">
        <v>157</v>
      </c>
      <c r="F56" s="2" t="s">
        <v>114</v>
      </c>
      <c r="G56" s="2" t="s">
        <v>119</v>
      </c>
      <c r="H56" s="2" t="s">
        <v>158</v>
      </c>
      <c r="I56" s="23" t="n">
        <v>0.48</v>
      </c>
      <c r="J56" s="24" t="n">
        <v>2560754.75</v>
      </c>
    </row>
    <row r="57" customFormat="false" ht="15" hidden="false" customHeight="false" outlineLevel="0" collapsed="false">
      <c r="B57" s="31"/>
      <c r="C57" s="2" t="s">
        <v>159</v>
      </c>
      <c r="D57" s="21" t="n">
        <v>35142</v>
      </c>
      <c r="E57" s="22" t="s">
        <v>160</v>
      </c>
      <c r="F57" s="2" t="s">
        <v>114</v>
      </c>
      <c r="G57" s="2" t="s">
        <v>119</v>
      </c>
      <c r="H57" s="2" t="s">
        <v>161</v>
      </c>
      <c r="I57" s="23" t="n">
        <v>0.48</v>
      </c>
      <c r="J57" s="24" t="n">
        <v>648463.125</v>
      </c>
    </row>
    <row r="58" customFormat="false" ht="15" hidden="false" customHeight="false" outlineLevel="0" collapsed="false">
      <c r="B58" s="31"/>
      <c r="C58" s="2" t="s">
        <v>162</v>
      </c>
      <c r="D58" s="21" t="n">
        <v>35142</v>
      </c>
      <c r="E58" s="22" t="s">
        <v>163</v>
      </c>
      <c r="F58" s="2" t="s">
        <v>114</v>
      </c>
      <c r="G58" s="2" t="s">
        <v>119</v>
      </c>
      <c r="H58" s="2" t="s">
        <v>164</v>
      </c>
      <c r="I58" s="23" t="n">
        <v>0.48</v>
      </c>
      <c r="J58" s="24" t="n">
        <v>1217866.375</v>
      </c>
    </row>
    <row r="59" customFormat="false" ht="15" hidden="false" customHeight="false" outlineLevel="0" collapsed="false">
      <c r="B59" s="31"/>
      <c r="C59" s="2" t="s">
        <v>165</v>
      </c>
      <c r="D59" s="21" t="n">
        <v>35142</v>
      </c>
      <c r="E59" s="22" t="s">
        <v>166</v>
      </c>
      <c r="F59" s="2" t="s">
        <v>114</v>
      </c>
      <c r="G59" s="2" t="s">
        <v>119</v>
      </c>
      <c r="H59" s="2" t="s">
        <v>167</v>
      </c>
      <c r="I59" s="23" t="n">
        <v>0.48</v>
      </c>
      <c r="J59" s="24" t="n">
        <v>611924.875</v>
      </c>
    </row>
    <row r="60" customFormat="false" ht="15" hidden="false" customHeight="false" outlineLevel="0" collapsed="false">
      <c r="B60" s="31"/>
      <c r="C60" s="2" t="s">
        <v>168</v>
      </c>
      <c r="D60" s="21" t="n">
        <v>35142</v>
      </c>
      <c r="E60" s="22" t="s">
        <v>169</v>
      </c>
      <c r="F60" s="2" t="s">
        <v>114</v>
      </c>
      <c r="G60" s="2" t="s">
        <v>119</v>
      </c>
      <c r="H60" s="2" t="s">
        <v>170</v>
      </c>
      <c r="I60" s="23" t="n">
        <v>0.48</v>
      </c>
      <c r="J60" s="24" t="n">
        <v>5405418.5</v>
      </c>
    </row>
    <row r="61" customFormat="false" ht="15" hidden="false" customHeight="false" outlineLevel="0" collapsed="false">
      <c r="B61" s="7" t="s">
        <v>171</v>
      </c>
      <c r="C61" s="26"/>
      <c r="D61" s="27"/>
      <c r="E61" s="28"/>
      <c r="F61" s="26"/>
      <c r="G61" s="26"/>
      <c r="H61" s="26"/>
      <c r="I61" s="29"/>
      <c r="J61" s="30"/>
    </row>
    <row r="62" customFormat="false" ht="15" hidden="false" customHeight="false" outlineLevel="0" collapsed="false">
      <c r="B62" s="31"/>
      <c r="C62" s="2" t="s">
        <v>172</v>
      </c>
      <c r="D62" s="21" t="n">
        <v>37722</v>
      </c>
      <c r="E62" s="22" t="s">
        <v>173</v>
      </c>
      <c r="F62" s="2" t="s">
        <v>114</v>
      </c>
      <c r="G62" s="2" t="s">
        <v>171</v>
      </c>
      <c r="H62" s="2" t="s">
        <v>171</v>
      </c>
      <c r="I62" s="23" t="n">
        <v>0.69</v>
      </c>
      <c r="J62" s="24" t="n">
        <v>65619376</v>
      </c>
    </row>
    <row r="63" customFormat="false" ht="15" hidden="false" customHeight="false" outlineLevel="0" collapsed="false">
      <c r="B63" s="31"/>
      <c r="C63" s="2" t="s">
        <v>174</v>
      </c>
      <c r="D63" s="21" t="n">
        <v>37190</v>
      </c>
      <c r="E63" s="22" t="s">
        <v>175</v>
      </c>
      <c r="F63" s="2" t="s">
        <v>114</v>
      </c>
      <c r="G63" s="2" t="s">
        <v>171</v>
      </c>
      <c r="H63" s="2" t="s">
        <v>176</v>
      </c>
      <c r="I63" s="23" t="n">
        <v>0.49</v>
      </c>
      <c r="J63" s="24" t="n">
        <v>2019671.25</v>
      </c>
    </row>
    <row r="64" customFormat="false" ht="15" hidden="false" customHeight="false" outlineLevel="0" collapsed="false">
      <c r="B64" s="7" t="s">
        <v>177</v>
      </c>
      <c r="C64" s="26"/>
      <c r="D64" s="27"/>
      <c r="E64" s="28"/>
      <c r="F64" s="26"/>
      <c r="G64" s="26"/>
      <c r="H64" s="26"/>
      <c r="I64" s="29"/>
      <c r="J64" s="30"/>
    </row>
    <row r="65" customFormat="false" ht="15" hidden="false" customHeight="false" outlineLevel="0" collapsed="false">
      <c r="B65" s="31"/>
      <c r="C65" s="2" t="s">
        <v>178</v>
      </c>
      <c r="D65" s="21" t="n">
        <v>36721</v>
      </c>
      <c r="E65" s="22" t="s">
        <v>179</v>
      </c>
      <c r="F65" s="2" t="s">
        <v>114</v>
      </c>
      <c r="G65" s="2" t="s">
        <v>171</v>
      </c>
      <c r="H65" s="2" t="s">
        <v>180</v>
      </c>
      <c r="I65" s="23" t="n">
        <v>0.62</v>
      </c>
      <c r="J65" s="24" t="n">
        <v>21188746</v>
      </c>
    </row>
    <row r="66" customFormat="false" ht="15" hidden="false" customHeight="false" outlineLevel="0" collapsed="false">
      <c r="B66" s="31"/>
      <c r="C66" s="2" t="s">
        <v>181</v>
      </c>
      <c r="D66" s="21" t="n">
        <v>36658</v>
      </c>
      <c r="E66" s="22" t="s">
        <v>182</v>
      </c>
      <c r="F66" s="2" t="s">
        <v>114</v>
      </c>
      <c r="G66" s="2" t="s">
        <v>171</v>
      </c>
      <c r="H66" s="2" t="s">
        <v>183</v>
      </c>
      <c r="I66" s="23" t="n">
        <v>0.62</v>
      </c>
      <c r="J66" s="24" t="n">
        <v>2592779.75</v>
      </c>
    </row>
    <row r="67" customFormat="false" ht="15" hidden="false" customHeight="false" outlineLevel="0" collapsed="false">
      <c r="B67" s="31"/>
      <c r="C67" s="2" t="s">
        <v>184</v>
      </c>
      <c r="D67" s="21" t="n">
        <v>39512</v>
      </c>
      <c r="E67" s="22" t="s">
        <v>185</v>
      </c>
      <c r="F67" s="2" t="s">
        <v>114</v>
      </c>
      <c r="G67" s="2" t="s">
        <v>171</v>
      </c>
      <c r="H67" s="2" t="s">
        <v>186</v>
      </c>
      <c r="I67" s="23" t="n">
        <v>0.82</v>
      </c>
      <c r="J67" s="24" t="n">
        <v>1007674.125</v>
      </c>
    </row>
    <row r="68" customFormat="false" ht="15" hidden="false" customHeight="false" outlineLevel="0" collapsed="false">
      <c r="B68" s="31"/>
      <c r="C68" s="2" t="s">
        <v>187</v>
      </c>
      <c r="D68" s="21" t="n">
        <v>38268</v>
      </c>
      <c r="E68" s="22" t="s">
        <v>188</v>
      </c>
      <c r="F68" s="2" t="s">
        <v>114</v>
      </c>
      <c r="G68" s="2" t="s">
        <v>171</v>
      </c>
      <c r="H68" s="2" t="s">
        <v>189</v>
      </c>
      <c r="I68" s="23" t="n">
        <v>0.73</v>
      </c>
      <c r="J68" s="24" t="n">
        <v>18682884</v>
      </c>
    </row>
    <row r="69" customFormat="false" ht="15" hidden="false" customHeight="false" outlineLevel="0" collapsed="false">
      <c r="B69" s="31"/>
      <c r="C69" s="2" t="s">
        <v>190</v>
      </c>
      <c r="D69" s="21" t="n">
        <v>37659</v>
      </c>
      <c r="E69" s="22" t="s">
        <v>191</v>
      </c>
      <c r="F69" s="2" t="s">
        <v>114</v>
      </c>
      <c r="G69" s="2" t="s">
        <v>171</v>
      </c>
      <c r="H69" s="2" t="s">
        <v>192</v>
      </c>
      <c r="I69" s="23" t="n">
        <v>0.62</v>
      </c>
      <c r="J69" s="24" t="n">
        <v>595802</v>
      </c>
    </row>
    <row r="70" customFormat="false" ht="15" hidden="false" customHeight="false" outlineLevel="0" collapsed="false">
      <c r="B70" s="31"/>
      <c r="C70" s="2" t="s">
        <v>193</v>
      </c>
      <c r="D70" s="21" t="n">
        <v>36700</v>
      </c>
      <c r="E70" s="22" t="s">
        <v>194</v>
      </c>
      <c r="F70" s="2" t="s">
        <v>114</v>
      </c>
      <c r="G70" s="2" t="s">
        <v>171</v>
      </c>
      <c r="H70" s="2" t="s">
        <v>195</v>
      </c>
      <c r="I70" s="23" t="n">
        <v>0.62</v>
      </c>
      <c r="J70" s="24" t="n">
        <v>4170768.5</v>
      </c>
    </row>
    <row r="71" customFormat="false" ht="15" hidden="false" customHeight="false" outlineLevel="0" collapsed="false">
      <c r="B71" s="7" t="s">
        <v>196</v>
      </c>
      <c r="C71" s="26"/>
      <c r="D71" s="27"/>
      <c r="E71" s="28"/>
      <c r="F71" s="26"/>
      <c r="G71" s="26"/>
      <c r="H71" s="26"/>
      <c r="I71" s="29"/>
      <c r="J71" s="30"/>
    </row>
    <row r="72" customFormat="false" ht="15" hidden="false" customHeight="false" outlineLevel="0" collapsed="false">
      <c r="B72" s="31"/>
      <c r="C72" s="2" t="s">
        <v>197</v>
      </c>
      <c r="D72" s="21" t="n">
        <v>37463</v>
      </c>
      <c r="E72" s="22" t="s">
        <v>198</v>
      </c>
      <c r="F72" s="2" t="s">
        <v>199</v>
      </c>
      <c r="G72" s="2" t="s">
        <v>200</v>
      </c>
      <c r="H72" s="2" t="s">
        <v>201</v>
      </c>
      <c r="I72" s="23" t="n">
        <v>0.15</v>
      </c>
      <c r="J72" s="24" t="n">
        <v>10293708</v>
      </c>
    </row>
    <row r="73" customFormat="false" ht="15" hidden="false" customHeight="false" outlineLevel="0" collapsed="false">
      <c r="B73" s="31"/>
      <c r="C73" s="2" t="s">
        <v>202</v>
      </c>
      <c r="D73" s="21" t="n">
        <v>37463</v>
      </c>
      <c r="E73" s="22" t="s">
        <v>203</v>
      </c>
      <c r="F73" s="2" t="s">
        <v>199</v>
      </c>
      <c r="G73" s="2" t="s">
        <v>200</v>
      </c>
      <c r="H73" s="2" t="s">
        <v>204</v>
      </c>
      <c r="I73" s="23" t="n">
        <v>0.15</v>
      </c>
      <c r="J73" s="24" t="n">
        <v>2094168.25</v>
      </c>
    </row>
    <row r="74" customFormat="false" ht="15" hidden="false" customHeight="false" outlineLevel="0" collapsed="false">
      <c r="B74" s="31"/>
      <c r="C74" s="2" t="s">
        <v>205</v>
      </c>
      <c r="D74" s="21" t="n">
        <v>37463</v>
      </c>
      <c r="E74" s="22" t="s">
        <v>206</v>
      </c>
      <c r="F74" s="2" t="s">
        <v>199</v>
      </c>
      <c r="G74" s="2" t="s">
        <v>200</v>
      </c>
      <c r="H74" s="2" t="s">
        <v>207</v>
      </c>
      <c r="I74" s="23" t="n">
        <v>0.15</v>
      </c>
      <c r="J74" s="24" t="n">
        <v>2046093.625</v>
      </c>
    </row>
    <row r="75" customFormat="false" ht="15" hidden="false" customHeight="false" outlineLevel="0" collapsed="false">
      <c r="B75" s="7" t="s">
        <v>208</v>
      </c>
      <c r="C75" s="26"/>
      <c r="D75" s="27"/>
      <c r="E75" s="28"/>
      <c r="F75" s="26"/>
      <c r="G75" s="26"/>
      <c r="H75" s="26"/>
      <c r="I75" s="29"/>
      <c r="J75" s="30"/>
    </row>
    <row r="76" customFormat="false" ht="15" hidden="false" customHeight="false" outlineLevel="0" collapsed="false">
      <c r="B76" s="31"/>
      <c r="C76" s="2" t="s">
        <v>209</v>
      </c>
      <c r="D76" s="21" t="n">
        <v>39360</v>
      </c>
      <c r="E76" s="22" t="s">
        <v>210</v>
      </c>
      <c r="F76" s="2" t="s">
        <v>199</v>
      </c>
      <c r="G76" s="2" t="s">
        <v>211</v>
      </c>
      <c r="H76" s="2" t="s">
        <v>212</v>
      </c>
      <c r="I76" s="23" t="n">
        <v>0.5</v>
      </c>
      <c r="J76" s="24" t="n">
        <v>837327.625</v>
      </c>
    </row>
    <row r="77" customFormat="false" ht="15" hidden="false" customHeight="false" outlineLevel="0" collapsed="false">
      <c r="B77" s="31"/>
      <c r="C77" s="2" t="s">
        <v>213</v>
      </c>
      <c r="D77" s="21" t="n">
        <v>39435</v>
      </c>
      <c r="E77" s="22" t="s">
        <v>214</v>
      </c>
      <c r="F77" s="2" t="s">
        <v>199</v>
      </c>
      <c r="G77" s="2" t="s">
        <v>215</v>
      </c>
      <c r="H77" s="2" t="s">
        <v>216</v>
      </c>
      <c r="I77" s="23" t="n">
        <v>0.4</v>
      </c>
      <c r="J77" s="24" t="n">
        <v>2521084.25</v>
      </c>
    </row>
    <row r="78" customFormat="false" ht="15" hidden="false" customHeight="false" outlineLevel="0" collapsed="false">
      <c r="B78" s="31"/>
      <c r="C78" s="2" t="s">
        <v>217</v>
      </c>
      <c r="D78" s="21" t="n">
        <v>39366</v>
      </c>
      <c r="E78" s="22" t="s">
        <v>218</v>
      </c>
      <c r="F78" s="2" t="s">
        <v>199</v>
      </c>
      <c r="G78" s="2" t="s">
        <v>215</v>
      </c>
      <c r="H78" s="2" t="s">
        <v>219</v>
      </c>
      <c r="I78" s="23" t="n">
        <v>0.5</v>
      </c>
      <c r="J78" s="24" t="n">
        <v>1756434</v>
      </c>
    </row>
    <row r="79" customFormat="false" ht="15" hidden="false" customHeight="false" outlineLevel="0" collapsed="false">
      <c r="B79" s="7" t="s">
        <v>220</v>
      </c>
      <c r="C79" s="26"/>
      <c r="D79" s="27"/>
      <c r="E79" s="28"/>
      <c r="F79" s="26"/>
      <c r="G79" s="26"/>
      <c r="H79" s="26"/>
      <c r="I79" s="29"/>
      <c r="J79" s="41"/>
    </row>
    <row r="80" customFormat="false" ht="15" hidden="false" customHeight="false" outlineLevel="0" collapsed="false">
      <c r="B80" s="31"/>
      <c r="C80" s="2" t="s">
        <v>221</v>
      </c>
      <c r="D80" s="21" t="n">
        <v>37890</v>
      </c>
      <c r="E80" s="22" t="s">
        <v>222</v>
      </c>
      <c r="F80" s="2" t="s">
        <v>199</v>
      </c>
      <c r="G80" s="2" t="s">
        <v>223</v>
      </c>
      <c r="H80" s="2" t="s">
        <v>223</v>
      </c>
      <c r="I80" s="23" t="n">
        <v>0.05</v>
      </c>
      <c r="J80" s="24" t="n">
        <v>3037941</v>
      </c>
    </row>
    <row r="81" customFormat="false" ht="15" hidden="false" customHeight="false" outlineLevel="0" collapsed="false">
      <c r="B81" s="31"/>
      <c r="C81" s="2" t="s">
        <v>224</v>
      </c>
      <c r="D81" s="21" t="n">
        <v>39182</v>
      </c>
      <c r="E81" s="22" t="s">
        <v>225</v>
      </c>
      <c r="F81" s="2" t="s">
        <v>199</v>
      </c>
      <c r="G81" s="2" t="s">
        <v>223</v>
      </c>
      <c r="H81" s="2" t="s">
        <v>226</v>
      </c>
      <c r="I81" s="23" t="n">
        <v>0.09</v>
      </c>
      <c r="J81" s="24" t="n">
        <v>1518868.875</v>
      </c>
    </row>
    <row r="82" customFormat="false" ht="15" hidden="false" customHeight="false" outlineLevel="0" collapsed="false">
      <c r="B82" s="31"/>
      <c r="C82" s="2" t="s">
        <v>227</v>
      </c>
      <c r="D82" s="21" t="n">
        <v>39182</v>
      </c>
      <c r="E82" s="22" t="s">
        <v>228</v>
      </c>
      <c r="F82" s="2" t="s">
        <v>199</v>
      </c>
      <c r="G82" s="2" t="s">
        <v>223</v>
      </c>
      <c r="H82" s="2" t="s">
        <v>229</v>
      </c>
      <c r="I82" s="23" t="n">
        <v>0.09</v>
      </c>
      <c r="J82" s="24" t="n">
        <v>819595.125</v>
      </c>
    </row>
    <row r="83" customFormat="false" ht="15" hidden="false" customHeight="false" outlineLevel="0" collapsed="false">
      <c r="B83" s="7" t="s">
        <v>230</v>
      </c>
      <c r="C83" s="26"/>
      <c r="D83" s="27"/>
      <c r="E83" s="28"/>
      <c r="F83" s="26"/>
      <c r="G83" s="26"/>
      <c r="H83" s="26"/>
      <c r="I83" s="29"/>
      <c r="J83" s="41"/>
    </row>
    <row r="84" customFormat="false" ht="15" hidden="false" customHeight="false" outlineLevel="0" collapsed="false">
      <c r="B84" s="31"/>
      <c r="C84" s="2" t="s">
        <v>231</v>
      </c>
      <c r="D84" s="21" t="n">
        <v>39183</v>
      </c>
      <c r="E84" s="22" t="s">
        <v>232</v>
      </c>
      <c r="F84" s="2" t="s">
        <v>199</v>
      </c>
      <c r="G84" s="2" t="s">
        <v>233</v>
      </c>
      <c r="H84" s="2" t="s">
        <v>234</v>
      </c>
      <c r="I84" s="23" t="n">
        <v>0.5</v>
      </c>
      <c r="J84" s="24" t="n">
        <v>12582949</v>
      </c>
    </row>
    <row r="85" customFormat="false" ht="15" hidden="false" customHeight="false" outlineLevel="0" collapsed="false">
      <c r="B85" s="7" t="s">
        <v>235</v>
      </c>
      <c r="C85" s="26"/>
      <c r="D85" s="27"/>
      <c r="E85" s="28"/>
      <c r="F85" s="26"/>
      <c r="G85" s="26"/>
      <c r="H85" s="26"/>
      <c r="I85" s="29"/>
      <c r="J85" s="30"/>
    </row>
    <row r="86" customFormat="false" ht="15" hidden="false" customHeight="false" outlineLevel="0" collapsed="false">
      <c r="B86" s="31"/>
      <c r="C86" s="2" t="s">
        <v>236</v>
      </c>
      <c r="D86" s="21" t="n">
        <v>37463</v>
      </c>
      <c r="E86" s="22" t="s">
        <v>237</v>
      </c>
      <c r="F86" s="2" t="s">
        <v>199</v>
      </c>
      <c r="G86" s="2" t="s">
        <v>233</v>
      </c>
      <c r="H86" s="2" t="s">
        <v>238</v>
      </c>
      <c r="I86" s="23" t="n">
        <v>0.15</v>
      </c>
      <c r="J86" s="24" t="n">
        <v>5478486</v>
      </c>
    </row>
    <row r="87" customFormat="false" ht="15" hidden="false" customHeight="false" outlineLevel="0" collapsed="false">
      <c r="B87" s="7" t="s">
        <v>239</v>
      </c>
      <c r="C87" s="26"/>
      <c r="D87" s="27"/>
      <c r="E87" s="28"/>
      <c r="F87" s="26"/>
      <c r="G87" s="26"/>
      <c r="H87" s="26"/>
      <c r="I87" s="29"/>
      <c r="J87" s="30"/>
    </row>
    <row r="88" customFormat="false" ht="15" hidden="false" customHeight="false" outlineLevel="0" collapsed="false">
      <c r="B88" s="42"/>
      <c r="C88" s="2" t="s">
        <v>240</v>
      </c>
      <c r="D88" s="21" t="n">
        <v>39157</v>
      </c>
      <c r="E88" s="22" t="s">
        <v>241</v>
      </c>
      <c r="F88" s="2" t="s">
        <v>199</v>
      </c>
      <c r="G88" s="2" t="s">
        <v>242</v>
      </c>
      <c r="H88" s="2" t="s">
        <v>242</v>
      </c>
      <c r="I88" s="23" t="n">
        <v>0.29</v>
      </c>
      <c r="J88" s="24" t="n">
        <v>565674.875</v>
      </c>
    </row>
    <row r="89" customFormat="false" ht="15" hidden="false" customHeight="false" outlineLevel="0" collapsed="false">
      <c r="B89" s="42"/>
      <c r="C89" s="2" t="s">
        <v>243</v>
      </c>
      <c r="D89" s="21" t="n">
        <v>39171</v>
      </c>
      <c r="E89" s="22" t="s">
        <v>244</v>
      </c>
      <c r="F89" s="2" t="s">
        <v>199</v>
      </c>
      <c r="G89" s="2" t="s">
        <v>245</v>
      </c>
      <c r="H89" s="2" t="s">
        <v>245</v>
      </c>
      <c r="I89" s="23" t="n">
        <v>0.47</v>
      </c>
      <c r="J89" s="24" t="n">
        <v>3927075.5</v>
      </c>
    </row>
    <row r="90" customFormat="false" ht="15.75" hidden="false" customHeight="false" outlineLevel="0" collapsed="false">
      <c r="B90" s="43"/>
      <c r="C90" s="44" t="s">
        <v>246</v>
      </c>
      <c r="D90" s="45" t="n">
        <v>37960</v>
      </c>
      <c r="E90" s="46" t="s">
        <v>247</v>
      </c>
      <c r="F90" s="44" t="s">
        <v>199</v>
      </c>
      <c r="G90" s="44" t="s">
        <v>248</v>
      </c>
      <c r="H90" s="44" t="s">
        <v>248</v>
      </c>
      <c r="I90" s="47" t="n">
        <v>0.2</v>
      </c>
      <c r="J90" s="48" t="n">
        <v>1927099.5</v>
      </c>
    </row>
    <row r="91" customFormat="false" ht="15" hidden="false" customHeight="false" outlineLevel="0" collapsed="false">
      <c r="B91" s="49" t="s">
        <v>249</v>
      </c>
    </row>
  </sheetData>
  <sheetProtection sheet="true" objects="true" scenarios="true"/>
  <mergeCells count="1">
    <mergeCell ref="L2:L7"/>
  </mergeCells>
  <hyperlinks>
    <hyperlink ref="N3" r:id="rId1" display="https://www.ishares.com/us/"/>
    <hyperlink ref="N4" r:id="rId2" display="https://us.spdrs.com/en/product/index.seam"/>
    <hyperlink ref="N6" r:id="rId3" display="https://www.invesco.com/portal/site/us/investors/etfs/"/>
    <hyperlink ref="N7" r:id="rId4" display="https://investor.vanguard.com/etf/"/>
  </hyperlinks>
  <printOptions headings="false" gridLines="false" gridLinesSet="true" horizontalCentered="false" verticalCentered="false"/>
  <pageMargins left="0.25" right="0.25" top="0.5" bottom="0.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colBreaks count="1" manualBreakCount="1">
    <brk id="10" man="true" max="65535" min="0"/>
  </colBreaks>
  <drawing r:id="rId5"/>
</worksheet>
</file>

<file path=xl/worksheets/sheet2.xml><?xml version="1.0" encoding="utf-8"?>
<worksheet xmlns="http://schemas.openxmlformats.org/spreadsheetml/2006/main" xmlns:r="http://schemas.openxmlformats.org/officeDocument/2006/relationships">
  <sheetPr filterMode="false">
    <pageSetUpPr fitToPage="true"/>
  </sheetPr>
  <dimension ref="C1:AE69"/>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L44" activeCellId="0" sqref="L44"/>
    </sheetView>
  </sheetViews>
  <sheetFormatPr defaultRowHeight="15" zeroHeight="false" outlineLevelRow="0" outlineLevelCol="0"/>
  <cols>
    <col collapsed="false" customWidth="true" hidden="false" outlineLevel="0" max="1" min="1" style="0" width="23.88"/>
    <col collapsed="false" customWidth="true" hidden="true" outlineLevel="0" max="2" min="2" style="0" width="19.85"/>
    <col collapsed="false" customWidth="true" hidden="false" outlineLevel="0" max="3" min="3" style="0" width="15.42"/>
    <col collapsed="false" customWidth="true" hidden="false" outlineLevel="0" max="4" min="4" style="0" width="13.7"/>
    <col collapsed="false" customWidth="true" hidden="false" outlineLevel="0" max="5" min="5" style="0" width="12.71"/>
    <col collapsed="false" customWidth="true" hidden="false" outlineLevel="0" max="6" min="6" style="0" width="10.42"/>
    <col collapsed="false" customWidth="true" hidden="false" outlineLevel="0" max="7" min="7" style="0" width="11.57"/>
    <col collapsed="false" customWidth="true" hidden="false" outlineLevel="0" max="8" min="8" style="0" width="4.43"/>
    <col collapsed="false" customWidth="true" hidden="false" outlineLevel="0" max="9" min="9" style="0" width="16.87"/>
    <col collapsed="false" customWidth="true" hidden="false" outlineLevel="0" max="10" min="10" style="0" width="13.86"/>
    <col collapsed="false" customWidth="true" hidden="false" outlineLevel="0" max="11" min="11" style="0" width="6.71"/>
    <col collapsed="false" customWidth="true" hidden="false" outlineLevel="0" max="12" min="12" style="0" width="15.88"/>
    <col collapsed="false" customWidth="true" hidden="false" outlineLevel="0" max="13" min="13" style="0" width="10.99"/>
    <col collapsed="false" customWidth="true" hidden="false" outlineLevel="0" max="14" min="14" style="0" width="17.29"/>
    <col collapsed="false" customWidth="true" hidden="false" outlineLevel="0" max="15" min="15" style="0" width="9.85"/>
    <col collapsed="false" customWidth="true" hidden="false" outlineLevel="0" max="16" min="16" style="0" width="7.29"/>
    <col collapsed="false" customWidth="true" hidden="false" outlineLevel="0" max="17" min="17" style="0" width="7.71"/>
    <col collapsed="false" customWidth="true" hidden="false" outlineLevel="0" max="18" min="18" style="0" width="19.99"/>
    <col collapsed="false" customWidth="true" hidden="false" outlineLevel="0" max="19" min="19" style="0" width="10.71"/>
    <col collapsed="false" customWidth="true" hidden="false" outlineLevel="0" max="20" min="20" style="0" width="11.71"/>
    <col collapsed="false" customWidth="true" hidden="false" outlineLevel="0" max="21" min="21" style="0" width="8.14"/>
    <col collapsed="false" customWidth="true" hidden="false" outlineLevel="0" max="22" min="22" style="0" width="6.42"/>
    <col collapsed="false" customWidth="true" hidden="false" outlineLevel="0" max="23" min="23" style="0" width="25.29"/>
    <col collapsed="false" customWidth="true" hidden="false" outlineLevel="0" max="24" min="24" style="0" width="10.99"/>
    <col collapsed="false" customWidth="true" hidden="false" outlineLevel="0" max="30" min="25" style="0" width="10.71"/>
    <col collapsed="false" customWidth="true" hidden="false" outlineLevel="0" max="31" min="31" style="0" width="12.71"/>
    <col collapsed="false" customWidth="true" hidden="false" outlineLevel="0" max="1025" min="32" style="0" width="9.13"/>
  </cols>
  <sheetData>
    <row r="1" customFormat="false" ht="15" hidden="false" customHeight="false" outlineLevel="0" collapsed="false">
      <c r="J1" s="50"/>
      <c r="K1" s="50"/>
    </row>
    <row r="2" customFormat="false" ht="15" hidden="false" customHeight="false" outlineLevel="0" collapsed="false">
      <c r="J2" s="50"/>
      <c r="K2" s="50"/>
    </row>
    <row r="3" customFormat="false" ht="15" hidden="false" customHeight="false" outlineLevel="0" collapsed="false">
      <c r="J3" s="50"/>
      <c r="K3" s="50"/>
    </row>
    <row r="4" customFormat="false" ht="87" hidden="false" customHeight="true" outlineLevel="0" collapsed="false">
      <c r="C4" s="51" t="s">
        <v>250</v>
      </c>
      <c r="D4" s="51"/>
      <c r="E4" s="51"/>
      <c r="F4" s="51"/>
      <c r="G4" s="51"/>
      <c r="H4" s="51"/>
      <c r="I4" s="51"/>
      <c r="J4" s="51"/>
      <c r="K4" s="51"/>
      <c r="L4" s="51" t="s">
        <v>250</v>
      </c>
      <c r="M4" s="51"/>
      <c r="N4" s="51"/>
      <c r="O4" s="51"/>
      <c r="P4" s="51"/>
      <c r="Q4" s="51"/>
      <c r="R4" s="51"/>
      <c r="S4" s="51"/>
      <c r="T4" s="51"/>
      <c r="U4" s="52" t="s">
        <v>250</v>
      </c>
      <c r="V4" s="52"/>
      <c r="W4" s="52"/>
      <c r="X4" s="52"/>
      <c r="Y4" s="52"/>
      <c r="Z4" s="52"/>
      <c r="AA4" s="52"/>
      <c r="AB4" s="52"/>
      <c r="AC4" s="52"/>
      <c r="AD4" s="52"/>
      <c r="AE4" s="51"/>
    </row>
    <row r="5" customFormat="false" ht="15" hidden="false" customHeight="true" outlineLevel="0" collapsed="false">
      <c r="C5" s="53" t="s">
        <v>251</v>
      </c>
      <c r="D5" s="53"/>
      <c r="E5" s="53"/>
      <c r="F5" s="53"/>
      <c r="G5" s="53"/>
      <c r="H5" s="53"/>
      <c r="I5" s="53"/>
      <c r="J5" s="53"/>
      <c r="K5" s="53"/>
      <c r="L5" s="53" t="s">
        <v>252</v>
      </c>
      <c r="M5" s="53"/>
      <c r="N5" s="53"/>
      <c r="O5" s="53"/>
      <c r="P5" s="53"/>
      <c r="Q5" s="53"/>
      <c r="R5" s="53"/>
      <c r="S5" s="53"/>
      <c r="T5" s="53"/>
      <c r="U5" s="54" t="s">
        <v>253</v>
      </c>
      <c r="V5" s="54"/>
      <c r="W5" s="54"/>
      <c r="X5" s="54"/>
      <c r="Y5" s="54"/>
      <c r="Z5" s="54"/>
      <c r="AA5" s="54"/>
      <c r="AB5" s="54"/>
      <c r="AC5" s="54"/>
      <c r="AD5" s="54"/>
    </row>
    <row r="6" customFormat="false" ht="15" hidden="false" customHeight="true" outlineLevel="0" collapsed="false">
      <c r="C6" s="55" t="s">
        <v>254</v>
      </c>
      <c r="D6" s="56"/>
      <c r="E6" s="57"/>
      <c r="F6" s="57"/>
      <c r="G6" s="57"/>
      <c r="H6" s="57"/>
      <c r="I6" s="57"/>
      <c r="J6" s="58"/>
      <c r="K6" s="57"/>
      <c r="L6" s="59"/>
      <c r="M6" s="59"/>
      <c r="N6" s="59"/>
      <c r="O6" s="59"/>
      <c r="P6" s="59"/>
      <c r="Q6" s="59"/>
      <c r="R6" s="59"/>
      <c r="S6" s="59"/>
      <c r="T6" s="59"/>
      <c r="U6" s="60" t="s">
        <v>255</v>
      </c>
      <c r="V6" s="60"/>
      <c r="W6" s="60"/>
      <c r="X6" s="60"/>
      <c r="Y6" s="60"/>
      <c r="Z6" s="60"/>
      <c r="AA6" s="60"/>
      <c r="AB6" s="60"/>
      <c r="AC6" s="60"/>
      <c r="AD6" s="60"/>
    </row>
    <row r="7" customFormat="false" ht="15" hidden="false" customHeight="true" outlineLevel="0" collapsed="false">
      <c r="C7" s="61" t="s">
        <v>256</v>
      </c>
      <c r="D7" s="57"/>
      <c r="E7" s="62" t="s">
        <v>257</v>
      </c>
      <c r="F7" s="63"/>
      <c r="G7" s="63"/>
      <c r="H7" s="64"/>
      <c r="I7" s="57"/>
      <c r="J7" s="58"/>
      <c r="K7" s="57"/>
      <c r="L7" s="59"/>
      <c r="M7" s="59"/>
      <c r="N7" s="59"/>
      <c r="O7" s="59"/>
      <c r="P7" s="59"/>
      <c r="Q7" s="59"/>
      <c r="R7" s="59"/>
      <c r="S7" s="59"/>
      <c r="T7" s="59"/>
      <c r="U7" s="65" t="s">
        <v>258</v>
      </c>
      <c r="V7" s="66"/>
      <c r="W7" s="66"/>
      <c r="X7" s="66" t="s">
        <v>259</v>
      </c>
      <c r="Y7" s="67" t="s">
        <v>260</v>
      </c>
      <c r="Z7" s="65" t="s">
        <v>261</v>
      </c>
      <c r="AA7" s="67" t="s">
        <v>262</v>
      </c>
      <c r="AB7" s="68" t="s">
        <v>263</v>
      </c>
      <c r="AC7" s="65" t="s">
        <v>264</v>
      </c>
      <c r="AD7" s="67" t="s">
        <v>265</v>
      </c>
    </row>
    <row r="8" customFormat="false" ht="15" hidden="false" customHeight="true" outlineLevel="0" collapsed="false">
      <c r="C8" s="61" t="s">
        <v>266</v>
      </c>
      <c r="D8" s="57"/>
      <c r="E8" s="69" t="n">
        <v>0.08</v>
      </c>
      <c r="F8" s="63"/>
      <c r="G8" s="63"/>
      <c r="H8" s="64"/>
      <c r="I8" s="57"/>
      <c r="J8" s="58"/>
      <c r="K8" s="57"/>
      <c r="L8" s="59"/>
      <c r="M8" s="59"/>
      <c r="N8" s="59"/>
      <c r="O8" s="59"/>
      <c r="P8" s="59"/>
      <c r="Q8" s="59"/>
      <c r="R8" s="59"/>
      <c r="S8" s="59"/>
      <c r="T8" s="59"/>
      <c r="U8" s="70" t="s">
        <v>267</v>
      </c>
      <c r="V8" s="71" t="s">
        <v>1</v>
      </c>
      <c r="W8" s="72" t="s">
        <v>3</v>
      </c>
      <c r="X8" s="72" t="s">
        <v>268</v>
      </c>
      <c r="Y8" s="73" t="s">
        <v>267</v>
      </c>
      <c r="Z8" s="70" t="s">
        <v>269</v>
      </c>
      <c r="AA8" s="73" t="s">
        <v>270</v>
      </c>
      <c r="AB8" s="74" t="s">
        <v>269</v>
      </c>
      <c r="AC8" s="70" t="s">
        <v>269</v>
      </c>
      <c r="AD8" s="73" t="s">
        <v>269</v>
      </c>
    </row>
    <row r="9" customFormat="false" ht="15" hidden="false" customHeight="true" outlineLevel="0" collapsed="false">
      <c r="C9" s="61" t="s">
        <v>271</v>
      </c>
      <c r="D9" s="57"/>
      <c r="E9" s="62" t="s">
        <v>272</v>
      </c>
      <c r="F9" s="57"/>
      <c r="G9" s="57"/>
      <c r="H9" s="64"/>
      <c r="I9" s="57"/>
      <c r="J9" s="58"/>
      <c r="K9" s="57"/>
      <c r="L9" s="59"/>
      <c r="M9" s="59"/>
      <c r="N9" s="59"/>
      <c r="O9" s="59"/>
      <c r="P9" s="59"/>
      <c r="Q9" s="59"/>
      <c r="R9" s="59"/>
      <c r="S9" s="59"/>
      <c r="T9" s="59"/>
      <c r="U9" s="75" t="n">
        <f aca="false">IF(V9="","",'Policy Portfolio'!G20)</f>
        <v>0.01</v>
      </c>
      <c r="V9" s="76" t="s">
        <v>273</v>
      </c>
      <c r="W9" s="76" t="s">
        <v>273</v>
      </c>
      <c r="X9" s="77" t="s">
        <v>273</v>
      </c>
      <c r="Y9" s="78" t="n">
        <f aca="false">Calculations!$C$68</f>
        <v>0.505060498283353</v>
      </c>
      <c r="Z9" s="79" t="n">
        <v>0</v>
      </c>
      <c r="AA9" s="80" t="n">
        <v>0</v>
      </c>
      <c r="AB9" s="81" t="n">
        <v>0</v>
      </c>
      <c r="AC9" s="82" t="n">
        <v>0</v>
      </c>
      <c r="AD9" s="78" t="n">
        <v>0</v>
      </c>
    </row>
    <row r="10" customFormat="false" ht="15" hidden="false" customHeight="true" outlineLevel="0" collapsed="false">
      <c r="C10" s="61" t="s">
        <v>274</v>
      </c>
      <c r="D10" s="57"/>
      <c r="E10" s="69" t="s">
        <v>275</v>
      </c>
      <c r="F10" s="57"/>
      <c r="G10" s="57"/>
      <c r="H10" s="64"/>
      <c r="I10" s="64"/>
      <c r="J10" s="58"/>
      <c r="K10" s="57"/>
      <c r="L10" s="59"/>
      <c r="M10" s="59"/>
      <c r="N10" s="59"/>
      <c r="O10" s="59"/>
      <c r="P10" s="59"/>
      <c r="Q10" s="59"/>
      <c r="R10" s="59"/>
      <c r="S10" s="59"/>
      <c r="T10" s="59"/>
      <c r="U10" s="75" t="n">
        <f aca="false">IF(V10="","",'Policy Portfolio'!G21)</f>
        <v>0.1</v>
      </c>
      <c r="V10" s="76" t="str">
        <f aca="false">IF('Policy Portfolio'!H21="","",'Policy Portfolio'!H21)</f>
        <v>BIV</v>
      </c>
      <c r="W10" s="76" t="str">
        <f aca="false">IF('Policy Portfolio'!I21="","",'Policy Portfolio'!I21)</f>
        <v>Vanguard Intermediate-Term Bond</v>
      </c>
      <c r="X10" s="77" t="str">
        <f aca="false">IF(V10="","",Trades!E9)</f>
        <v>Bonds</v>
      </c>
      <c r="Y10" s="78" t="n">
        <f aca="false">IF(V10="","",HLOOKUP(V10,Calculations!$C$61:$AG$68,8,0))</f>
        <v>0.0502078721551963</v>
      </c>
      <c r="Z10" s="82" t="n">
        <f aca="false">IF($V10="","",VLOOKUP('Final Report'!$V10,'Risk &amp; Returns'!$H$11:$M$19,3,0))</f>
        <v>0.03775</v>
      </c>
      <c r="AA10" s="78" t="n">
        <f aca="false">IF($V10="","",VLOOKUP('Final Report'!$V10,'Risk &amp; Returns'!$H$11:$M$19,4,0))</f>
        <v>0.0545</v>
      </c>
      <c r="AB10" s="83" t="n">
        <f aca="false">IF($V10="","",VLOOKUP('Final Report'!$V10,'Risk &amp; Returns'!$H$11:$M$19,6,0))</f>
        <v>0.04</v>
      </c>
      <c r="AC10" s="82" t="n">
        <f aca="false">IF($V10="","",VLOOKUP('Final Report'!$V10,'Risk &amp; Returns'!$H$11:$P$19,7,0))</f>
        <v>-1</v>
      </c>
      <c r="AD10" s="78" t="n">
        <f aca="false">IF($V10="","",VLOOKUP('Final Report'!$V10,'Risk &amp; Returns'!$H$11:$P$19,8,0))</f>
        <v>-1</v>
      </c>
    </row>
    <row r="11" customFormat="false" ht="15" hidden="false" customHeight="true" outlineLevel="0" collapsed="false">
      <c r="C11" s="61" t="s">
        <v>276</v>
      </c>
      <c r="D11" s="84"/>
      <c r="E11" s="84"/>
      <c r="F11" s="84"/>
      <c r="G11" s="84"/>
      <c r="H11" s="64"/>
      <c r="I11" s="57"/>
      <c r="J11" s="58"/>
      <c r="K11" s="57"/>
      <c r="L11" s="59"/>
      <c r="M11" s="59"/>
      <c r="N11" s="59"/>
      <c r="O11" s="59"/>
      <c r="P11" s="59"/>
      <c r="Q11" s="59"/>
      <c r="R11" s="59"/>
      <c r="S11" s="59"/>
      <c r="T11" s="59"/>
      <c r="U11" s="75" t="n">
        <f aca="false">IF(V11="","",'Policy Portfolio'!G22)</f>
        <v>0.075</v>
      </c>
      <c r="V11" s="76" t="str">
        <f aca="false">IF('Policy Portfolio'!H22="","",'Policy Portfolio'!H22)</f>
        <v>IEF</v>
      </c>
      <c r="W11" s="76" t="str">
        <f aca="false">IF('Policy Portfolio'!I22="","",'Policy Portfolio'!I22)</f>
        <v>iShares 7-10 Yr Treasury</v>
      </c>
      <c r="X11" s="77" t="str">
        <f aca="false">IF(V11="","",Trades!E10)</f>
        <v>Bonds</v>
      </c>
      <c r="Y11" s="78" t="n">
        <f aca="false">IF(V11="","",HLOOKUP(V11,Calculations!$C$61:$AG$68,8,0))</f>
        <v>0.0710102395451548</v>
      </c>
      <c r="Z11" s="82" t="n">
        <f aca="false">IF($V11="","",VLOOKUP('Final Report'!$V11,'Risk &amp; Returns'!$H$11:$M$19,3,0))</f>
        <v>0.0566</v>
      </c>
      <c r="AA11" s="78" t="n">
        <f aca="false">IF($V11="","",VLOOKUP('Final Report'!$V11,'Risk &amp; Returns'!$H$11:$M$19,4,0))</f>
        <v>0.0654</v>
      </c>
      <c r="AB11" s="83" t="n">
        <f aca="false">IF($V11="","",VLOOKUP('Final Report'!$V11,'Risk &amp; Returns'!$H$11:$M$19,6,0))</f>
        <v>0.04</v>
      </c>
      <c r="AC11" s="82" t="n">
        <f aca="false">IF($V11="","",VLOOKUP('Final Report'!$V11,'Risk &amp; Returns'!$H$11:$P$19,7,0))</f>
        <v>-1</v>
      </c>
      <c r="AD11" s="78" t="n">
        <f aca="false">IF($V11="","",VLOOKUP('Final Report'!$V11,'Risk &amp; Returns'!$H$11:$P$19,8,0))</f>
        <v>-1</v>
      </c>
    </row>
    <row r="12" customFormat="false" ht="15" hidden="false" customHeight="true" outlineLevel="0" collapsed="false">
      <c r="C12" s="85" t="s">
        <v>277</v>
      </c>
      <c r="D12" s="84"/>
      <c r="E12" s="84"/>
      <c r="F12" s="84"/>
      <c r="G12" s="84"/>
      <c r="H12" s="64"/>
      <c r="I12" s="57"/>
      <c r="J12" s="58"/>
      <c r="K12" s="57"/>
      <c r="L12" s="59"/>
      <c r="M12" s="59"/>
      <c r="N12" s="59"/>
      <c r="O12" s="59"/>
      <c r="P12" s="59"/>
      <c r="Q12" s="59"/>
      <c r="R12" s="59"/>
      <c r="S12" s="59"/>
      <c r="T12" s="59"/>
      <c r="U12" s="75" t="n">
        <f aca="false">IF(V12="","",'Policy Portfolio'!G23)</f>
        <v>0.175</v>
      </c>
      <c r="V12" s="76" t="str">
        <f aca="false">IF('Policy Portfolio'!H23="","",'Policy Portfolio'!H23)</f>
        <v>HYG</v>
      </c>
      <c r="W12" s="76" t="str">
        <f aca="false">IF('Policy Portfolio'!I23="","",'Policy Portfolio'!I23)</f>
        <v>iShares High Yield Bonds</v>
      </c>
      <c r="X12" s="77" t="str">
        <f aca="false">IF(V12="","",Trades!E11)</f>
        <v>Bonds</v>
      </c>
      <c r="Y12" s="78" t="n">
        <f aca="false">IF(V12="","",HLOOKUP(V12,Calculations!$C$61:$AG$68,8,0))</f>
        <v>0.0881743578671344</v>
      </c>
      <c r="Z12" s="82" t="n">
        <f aca="false">IF($V12="","",VLOOKUP('Final Report'!$V12,'Risk &amp; Returns'!$H$11:$M$19,3,0))</f>
        <v>0.05495</v>
      </c>
      <c r="AA12" s="78" t="n">
        <f aca="false">IF($V12="","",VLOOKUP('Final Report'!$V12,'Risk &amp; Returns'!$H$11:$M$19,4,0))</f>
        <v>0.1171</v>
      </c>
      <c r="AB12" s="83" t="n">
        <f aca="false">IF($V12="","",VLOOKUP('Final Report'!$V12,'Risk &amp; Returns'!$H$11:$M$19,6,0))</f>
        <v>0.05</v>
      </c>
      <c r="AC12" s="82" t="n">
        <f aca="false">IF($V12="","",VLOOKUP('Final Report'!$V12,'Risk &amp; Returns'!$H$11:$P$19,7,0))</f>
        <v>-1</v>
      </c>
      <c r="AD12" s="78" t="n">
        <f aca="false">IF($V12="","",VLOOKUP('Final Report'!$V12,'Risk &amp; Returns'!$H$11:$P$19,8,0))</f>
        <v>-1</v>
      </c>
    </row>
    <row r="13" customFormat="false" ht="15.75" hidden="false" customHeight="false" outlineLevel="0" collapsed="false">
      <c r="C13" s="85"/>
      <c r="D13" s="84"/>
      <c r="E13" s="84"/>
      <c r="F13" s="84"/>
      <c r="G13" s="84"/>
      <c r="H13" s="84"/>
      <c r="I13" s="84"/>
      <c r="J13" s="84"/>
      <c r="K13" s="84"/>
      <c r="L13" s="59"/>
      <c r="M13" s="59"/>
      <c r="N13" s="59"/>
      <c r="O13" s="59"/>
      <c r="P13" s="59"/>
      <c r="Q13" s="59"/>
      <c r="R13" s="59"/>
      <c r="S13" s="59"/>
      <c r="T13" s="59"/>
      <c r="U13" s="75" t="n">
        <f aca="false">IF(V13="","",'Policy Portfolio'!G24)</f>
        <v>0.05</v>
      </c>
      <c r="V13" s="76" t="str">
        <f aca="false">IF('Policy Portfolio'!H24="","",'Policy Portfolio'!H24)</f>
        <v>IYR</v>
      </c>
      <c r="W13" s="76" t="str">
        <f aca="false">IF('Policy Portfolio'!I24="","",'Policy Portfolio'!I24)</f>
        <v>iShares US Real Estate</v>
      </c>
      <c r="X13" s="77" t="str">
        <f aca="false">IF(V13="","",Trades!E12)</f>
        <v>Alternatives</v>
      </c>
      <c r="Y13" s="78" t="n">
        <f aca="false">IF(V13="","",HLOOKUP(V13,Calculations!$C$61:$AG$68,8,0))</f>
        <v>0.0252275660321964</v>
      </c>
      <c r="Z13" s="82" t="n">
        <f aca="false">IF($V13="","",VLOOKUP('Final Report'!$V13,'Risk &amp; Returns'!$H$11:$M$19,3,0))</f>
        <v>-0.0471</v>
      </c>
      <c r="AA13" s="78" t="n">
        <f aca="false">IF($V13="","",VLOOKUP('Final Report'!$V13,'Risk &amp; Returns'!$H$11:$M$19,4,0))</f>
        <v>0.2339</v>
      </c>
      <c r="AB13" s="83" t="n">
        <f aca="false">IF($V13="","",VLOOKUP('Final Report'!$V13,'Risk &amp; Returns'!$H$11:$M$19,6,0))</f>
        <v>0.06</v>
      </c>
      <c r="AC13" s="82" t="n">
        <f aca="false">IF($V13="","",VLOOKUP('Final Report'!$V13,'Risk &amp; Returns'!$H$11:$P$19,7,0))</f>
        <v>-1</v>
      </c>
      <c r="AD13" s="78" t="n">
        <f aca="false">IF($V13="","",VLOOKUP('Final Report'!$V13,'Risk &amp; Returns'!$H$11:$P$19,8,0))</f>
        <v>-1</v>
      </c>
    </row>
    <row r="14" customFormat="false" ht="15.75" hidden="false" customHeight="false" outlineLevel="0" collapsed="false">
      <c r="C14" s="84"/>
      <c r="D14" s="84"/>
      <c r="E14" s="84"/>
      <c r="F14" s="84"/>
      <c r="G14" s="84"/>
      <c r="H14" s="84"/>
      <c r="I14" s="84"/>
      <c r="J14" s="84"/>
      <c r="K14" s="84"/>
      <c r="L14" s="59"/>
      <c r="M14" s="59"/>
      <c r="N14" s="59"/>
      <c r="O14" s="59"/>
      <c r="P14" s="59"/>
      <c r="Q14" s="59"/>
      <c r="R14" s="59"/>
      <c r="S14" s="59"/>
      <c r="T14" s="59"/>
      <c r="U14" s="75" t="n">
        <f aca="false">IF(V14="","",'Policy Portfolio'!G25)</f>
        <v>0.29</v>
      </c>
      <c r="V14" s="76" t="str">
        <f aca="false">IF('Policy Portfolio'!H25="","",'Policy Portfolio'!H25)</f>
        <v>VTI</v>
      </c>
      <c r="W14" s="76" t="str">
        <f aca="false">IF('Policy Portfolio'!I25="","",'Policy Portfolio'!I25)</f>
        <v>Vanguard Total Stock Mrkt</v>
      </c>
      <c r="X14" s="77" t="str">
        <f aca="false">IF(V14="","",Trades!E13)</f>
        <v>US Equity</v>
      </c>
      <c r="Y14" s="78" t="n">
        <f aca="false">IF(V14="","",HLOOKUP(V14,Calculations!$C$61:$AG$68,8,0))</f>
        <v>0.145289158911285</v>
      </c>
      <c r="Z14" s="82" t="n">
        <f aca="false">IF($V14="","",VLOOKUP('Final Report'!$V14,'Risk &amp; Returns'!$H$11:$M$19,3,0))</f>
        <v>-0.01765</v>
      </c>
      <c r="AA14" s="78" t="n">
        <f aca="false">IF($V14="","",VLOOKUP('Final Report'!$V14,'Risk &amp; Returns'!$H$11:$M$19,4,0))</f>
        <v>0.1543</v>
      </c>
      <c r="AB14" s="83" t="n">
        <f aca="false">IF($V14="","",VLOOKUP('Final Report'!$V14,'Risk &amp; Returns'!$H$11:$M$19,6,0))</f>
        <v>0.12</v>
      </c>
      <c r="AC14" s="82" t="n">
        <f aca="false">IF($V14="","",VLOOKUP('Final Report'!$V14,'Risk &amp; Returns'!$H$11:$P$19,7,0))</f>
        <v>-1</v>
      </c>
      <c r="AD14" s="78" t="n">
        <f aca="false">IF($V14="","",VLOOKUP('Final Report'!$V14,'Risk &amp; Returns'!$H$11:$P$19,8,0))</f>
        <v>-1</v>
      </c>
    </row>
    <row r="15" customFormat="false" ht="15.75" hidden="false" customHeight="false" outlineLevel="0" collapsed="false">
      <c r="C15" s="84"/>
      <c r="D15" s="84"/>
      <c r="E15" s="84"/>
      <c r="F15" s="84"/>
      <c r="G15" s="84"/>
      <c r="H15" s="84"/>
      <c r="I15" s="84"/>
      <c r="J15" s="84"/>
      <c r="K15" s="84"/>
      <c r="L15" s="59"/>
      <c r="M15" s="59"/>
      <c r="N15" s="59"/>
      <c r="O15" s="59"/>
      <c r="P15" s="59"/>
      <c r="Q15" s="59"/>
      <c r="R15" s="59"/>
      <c r="S15" s="59"/>
      <c r="T15" s="59"/>
      <c r="U15" s="75" t="n">
        <f aca="false">IF(V15="","",'Policy Portfolio'!G26)</f>
        <v>0.15</v>
      </c>
      <c r="V15" s="76" t="str">
        <f aca="false">IF('Policy Portfolio'!H26="","",'Policy Portfolio'!H26)</f>
        <v>EFA</v>
      </c>
      <c r="W15" s="76" t="str">
        <f aca="false">IF('Policy Portfolio'!I26="","",'Policy Portfolio'!I26)</f>
        <v>iShares EAFE</v>
      </c>
      <c r="X15" s="77" t="str">
        <f aca="false">IF(V15="","",Trades!E14)</f>
        <v>Intl Equity</v>
      </c>
      <c r="Y15" s="78" t="n">
        <f aca="false">IF(V15="","",HLOOKUP(V15,Calculations!$C$61:$AG$68,8,0))</f>
        <v>0.0415596508729943</v>
      </c>
      <c r="Z15" s="82" t="n">
        <f aca="false">IF($V15="","",VLOOKUP('Final Report'!$V15,'Risk &amp; Returns'!$H$11:$M$19,3,0))</f>
        <v>-0.07045</v>
      </c>
      <c r="AA15" s="78" t="n">
        <f aca="false">IF($V15="","",VLOOKUP('Final Report'!$V15,'Risk &amp; Returns'!$H$11:$M$19,4,0))</f>
        <v>0.1871</v>
      </c>
      <c r="AB15" s="83" t="n">
        <f aca="false">IF($V15="","",VLOOKUP('Final Report'!$V15,'Risk &amp; Returns'!$H$11:$M$19,6,0))</f>
        <v>0.06</v>
      </c>
      <c r="AC15" s="82" t="n">
        <f aca="false">IF($V15="","",VLOOKUP('Final Report'!$V15,'Risk &amp; Returns'!$H$11:$P$19,7,0))</f>
        <v>-0.340015856155729</v>
      </c>
      <c r="AD15" s="78" t="n">
        <f aca="false">IF($V15="","",VLOOKUP('Final Report'!$V15,'Risk &amp; Returns'!$H$11:$P$19,8,0))</f>
        <v>-0.986721518346322</v>
      </c>
    </row>
    <row r="16" customFormat="false" ht="15.75" hidden="false" customHeight="false" outlineLevel="0" collapsed="false">
      <c r="C16" s="84"/>
      <c r="D16" s="84"/>
      <c r="E16" s="84"/>
      <c r="F16" s="84"/>
      <c r="G16" s="84"/>
      <c r="H16" s="84"/>
      <c r="I16" s="84"/>
      <c r="J16" s="84"/>
      <c r="K16" s="84"/>
      <c r="L16" s="59"/>
      <c r="M16" s="59"/>
      <c r="N16" s="59"/>
      <c r="O16" s="59"/>
      <c r="P16" s="59"/>
      <c r="Q16" s="59"/>
      <c r="R16" s="59"/>
      <c r="S16" s="59"/>
      <c r="T16" s="59"/>
      <c r="U16" s="75" t="n">
        <f aca="false">IF(V16="","",'Policy Portfolio'!G27)</f>
        <v>0.15</v>
      </c>
      <c r="V16" s="76" t="str">
        <f aca="false">IF('Policy Portfolio'!H27="","",'Policy Portfolio'!H27)</f>
        <v>EEM</v>
      </c>
      <c r="W16" s="76" t="str">
        <f aca="false">IF('Policy Portfolio'!I27="","",'Policy Portfolio'!I27)</f>
        <v>iShares Emerging Mrkt</v>
      </c>
      <c r="X16" s="77" t="str">
        <f aca="false">IF(V16="","",Trades!E15)</f>
        <v>Intl Equity</v>
      </c>
      <c r="Y16" s="78" t="n">
        <f aca="false">IF(V16="","",HLOOKUP(V16,Calculations!$C$61:$AG$68,8,0))</f>
        <v>0.0734706563326858</v>
      </c>
      <c r="Z16" s="82" t="n">
        <f aca="false">IF($V16="","",VLOOKUP('Final Report'!$V16,'Risk &amp; Returns'!$H$11:$M$19,3,0))</f>
        <v>0.10025</v>
      </c>
      <c r="AA16" s="78" t="n">
        <f aca="false">IF($V16="","",VLOOKUP('Final Report'!$V16,'Risk &amp; Returns'!$H$11:$M$19,4,0))</f>
        <v>0.2307</v>
      </c>
      <c r="AB16" s="83" t="n">
        <f aca="false">IF($V16="","",VLOOKUP('Final Report'!$V16,'Risk &amp; Returns'!$H$11:$M$19,6,0))</f>
        <v>0.08</v>
      </c>
      <c r="AC16" s="82" t="n">
        <f aca="false">IF($V16="","",VLOOKUP('Final Report'!$V16,'Risk &amp; Returns'!$H$11:$P$19,7,0))</f>
        <v>-1</v>
      </c>
      <c r="AD16" s="78" t="n">
        <f aca="false">IF($V16="","",VLOOKUP('Final Report'!$V16,'Risk &amp; Returns'!$H$11:$P$19,8,0))</f>
        <v>-1</v>
      </c>
    </row>
    <row r="17" customFormat="false" ht="15.75" hidden="false" customHeight="false" outlineLevel="0" collapsed="false">
      <c r="C17" s="86" t="s">
        <v>278</v>
      </c>
      <c r="D17" s="86"/>
      <c r="E17" s="86"/>
      <c r="F17" s="86"/>
      <c r="G17" s="86"/>
      <c r="H17" s="86"/>
      <c r="I17" s="86"/>
      <c r="J17" s="86"/>
      <c r="K17" s="86"/>
      <c r="L17" s="87" t="s">
        <v>279</v>
      </c>
      <c r="M17" s="87"/>
      <c r="N17" s="87"/>
      <c r="O17" s="87"/>
      <c r="P17" s="87"/>
      <c r="Q17" s="87"/>
      <c r="R17" s="87"/>
      <c r="S17" s="87"/>
      <c r="T17" s="87"/>
      <c r="U17" s="75" t="str">
        <f aca="false">IF(V17="","",'Policy Portfolio'!G28)</f>
        <v/>
      </c>
      <c r="V17" s="76" t="str">
        <f aca="false">IF('Policy Portfolio'!H28="","",'Policy Portfolio'!H28)</f>
        <v/>
      </c>
      <c r="W17" s="76" t="str">
        <f aca="false">IF('Policy Portfolio'!I28="","",'Policy Portfolio'!I28)</f>
        <v/>
      </c>
      <c r="X17" s="77" t="str">
        <f aca="false">IF(V17="","",Trades!E16)</f>
        <v/>
      </c>
      <c r="Y17" s="78" t="str">
        <f aca="false">IF(V17="","",HLOOKUP(V17,Calculations!$C$61:$AG$68,8,0))</f>
        <v/>
      </c>
      <c r="Z17" s="82" t="str">
        <f aca="false">IF($V17="","",VLOOKUP('Final Report'!$V17,'Risk &amp; Returns'!$H$11:$M$19,3,0))</f>
        <v/>
      </c>
      <c r="AA17" s="78" t="str">
        <f aca="false">IF($V17="","",VLOOKUP('Final Report'!$V17,'Risk &amp; Returns'!$H$11:$M$19,4,0))</f>
        <v/>
      </c>
      <c r="AB17" s="83" t="str">
        <f aca="false">IF($V17="","",VLOOKUP('Final Report'!$V17,'Risk &amp; Returns'!$H$11:$M$19,6,0))</f>
        <v/>
      </c>
      <c r="AC17" s="82" t="str">
        <f aca="false">IF($V17="","",VLOOKUP('Final Report'!$V17,'Risk &amp; Returns'!$H$11:$P$19,7,0))</f>
        <v/>
      </c>
      <c r="AD17" s="78" t="str">
        <f aca="false">IF($V17="","",VLOOKUP('Final Report'!$V17,'Risk &amp; Returns'!$H$11:$P$19,8,0))</f>
        <v/>
      </c>
    </row>
    <row r="18" customFormat="false" ht="15.75" hidden="false" customHeight="false" outlineLevel="0" collapsed="false">
      <c r="C18" s="84" t="s">
        <v>280</v>
      </c>
      <c r="D18" s="84"/>
      <c r="E18" s="84"/>
      <c r="F18" s="84"/>
      <c r="G18" s="84"/>
      <c r="H18" s="84"/>
      <c r="I18" s="84"/>
      <c r="J18" s="84"/>
      <c r="K18" s="84"/>
      <c r="L18" s="88" t="s">
        <v>281</v>
      </c>
      <c r="M18" s="89"/>
      <c r="N18" s="90" t="n">
        <f aca="false">(SUM('Port Returns'!$L$10:$L$39)+SUM('Port Returns'!$I$48:$I$77))/(Initial_Cash+Extra_Cash)</f>
        <v>-0.00321489999999978</v>
      </c>
      <c r="O18" s="88"/>
      <c r="P18" s="91"/>
      <c r="Q18" s="92" t="s">
        <v>282</v>
      </c>
      <c r="R18" s="93"/>
      <c r="S18" s="94" t="n">
        <f aca="false">Calculations!D83</f>
        <v>0.441396346151412</v>
      </c>
      <c r="T18" s="95"/>
      <c r="U18" s="75" t="str">
        <f aca="false">IF(V18="","",'Policy Portfolio'!G29)</f>
        <v/>
      </c>
      <c r="V18" s="76" t="str">
        <f aca="false">IF('Policy Portfolio'!H29="","",'Policy Portfolio'!H29)</f>
        <v/>
      </c>
      <c r="W18" s="76" t="str">
        <f aca="false">IF('Policy Portfolio'!I29="","",'Policy Portfolio'!I29)</f>
        <v/>
      </c>
      <c r="X18" s="77" t="str">
        <f aca="false">IF(V18="","",Trades!E17)</f>
        <v/>
      </c>
      <c r="Y18" s="78" t="str">
        <f aca="false">IF(V18="","",HLOOKUP(V18,Calculations!$C$61:$AG$68,8,0))</f>
        <v/>
      </c>
      <c r="Z18" s="82" t="str">
        <f aca="false">IF($V18="","",VLOOKUP('Final Report'!$V18,'Risk &amp; Returns'!$H$11:$M$19,3,0))</f>
        <v/>
      </c>
      <c r="AA18" s="78" t="str">
        <f aca="false">IF($V18="","",VLOOKUP('Final Report'!$V18,'Risk &amp; Returns'!$H$11:$M$19,4,0))</f>
        <v/>
      </c>
      <c r="AB18" s="83" t="str">
        <f aca="false">IF($V18="","",VLOOKUP('Final Report'!$V18,'Risk &amp; Returns'!$H$11:$M$19,6,0))</f>
        <v/>
      </c>
      <c r="AC18" s="96" t="str">
        <f aca="false">IF($V18="","",VLOOKUP('Final Report'!$V18,'Risk &amp; Returns'!$H$11:$P$19,7,0))</f>
        <v/>
      </c>
      <c r="AD18" s="78" t="str">
        <f aca="false">IF($V18="","",VLOOKUP('Final Report'!$V18,'Risk &amp; Returns'!$H$11:$P$19,8,0))</f>
        <v/>
      </c>
    </row>
    <row r="19" customFormat="false" ht="15" hidden="false" customHeight="false" outlineLevel="0" collapsed="false">
      <c r="C19" s="84" t="s">
        <v>283</v>
      </c>
      <c r="D19" s="84"/>
      <c r="E19" s="84"/>
      <c r="F19" s="84"/>
      <c r="G19" s="84"/>
      <c r="H19" s="84"/>
      <c r="I19" s="84"/>
      <c r="J19" s="84"/>
      <c r="K19" s="84"/>
      <c r="L19" s="88" t="s">
        <v>284</v>
      </c>
      <c r="M19" s="97"/>
      <c r="N19" s="90" t="n">
        <f aca="false">Calculations!H79</f>
        <v>-0.99</v>
      </c>
      <c r="O19" s="89"/>
      <c r="P19" s="89"/>
      <c r="Q19" s="92" t="s">
        <v>285</v>
      </c>
      <c r="R19" s="89"/>
      <c r="S19" s="98" t="n">
        <f aca="false">Calculations!D81</f>
        <v>0.999994425341211</v>
      </c>
      <c r="T19" s="89"/>
      <c r="U19" s="99" t="n">
        <f aca="false">SUM(U9:U18)</f>
        <v>1</v>
      </c>
      <c r="V19" s="100" t="s">
        <v>286</v>
      </c>
      <c r="W19" s="101"/>
      <c r="X19" s="102"/>
      <c r="Y19" s="103" t="n">
        <f aca="false">SUM(Y9:Y18)</f>
        <v>1</v>
      </c>
      <c r="Z19" s="104" t="s">
        <v>287</v>
      </c>
      <c r="AA19" s="101"/>
      <c r="AB19" s="101"/>
      <c r="AC19" s="101"/>
      <c r="AD19" s="102"/>
    </row>
    <row r="20" customFormat="false" ht="15.75" hidden="false" customHeight="false" outlineLevel="0" collapsed="false">
      <c r="C20" s="84" t="s">
        <v>288</v>
      </c>
      <c r="D20" s="84"/>
      <c r="E20" s="84"/>
      <c r="F20" s="84"/>
      <c r="G20" s="84"/>
      <c r="H20" s="84"/>
      <c r="I20" s="84"/>
      <c r="J20" s="84"/>
      <c r="K20" s="84"/>
      <c r="L20" s="105" t="s">
        <v>289</v>
      </c>
      <c r="M20" s="89"/>
      <c r="N20" s="106" t="n">
        <f aca="false">+N18-N19</f>
        <v>0.9867851</v>
      </c>
      <c r="O20" s="89"/>
      <c r="P20" s="89"/>
      <c r="Q20" s="107" t="s">
        <v>290</v>
      </c>
      <c r="R20" s="97"/>
      <c r="S20" s="98" t="n">
        <f aca="false">Calculations!D82</f>
        <v>1.00078750753943</v>
      </c>
      <c r="T20" s="97"/>
      <c r="U20" s="60" t="s">
        <v>291</v>
      </c>
      <c r="V20" s="60"/>
      <c r="W20" s="60"/>
      <c r="X20" s="60"/>
      <c r="Y20" s="60"/>
      <c r="Z20" s="60"/>
      <c r="AA20" s="60"/>
      <c r="AB20" s="60"/>
      <c r="AC20" s="60"/>
      <c r="AD20" s="60"/>
    </row>
    <row r="21" customFormat="false" ht="15.75" hidden="false" customHeight="false" outlineLevel="0" collapsed="false">
      <c r="C21" s="84" t="s">
        <v>292</v>
      </c>
      <c r="D21" s="84"/>
      <c r="E21" s="84"/>
      <c r="F21" s="84"/>
      <c r="G21" s="84"/>
      <c r="H21" s="84"/>
      <c r="I21" s="84"/>
      <c r="J21" s="84"/>
      <c r="K21" s="84"/>
      <c r="L21" s="87" t="s">
        <v>293</v>
      </c>
      <c r="M21" s="87"/>
      <c r="N21" s="87"/>
      <c r="O21" s="87"/>
      <c r="P21" s="87"/>
      <c r="Q21" s="87"/>
      <c r="R21" s="87"/>
      <c r="S21" s="87"/>
      <c r="T21" s="87"/>
      <c r="U21" s="65"/>
      <c r="V21" s="66"/>
      <c r="W21" s="66"/>
      <c r="X21" s="66" t="s">
        <v>259</v>
      </c>
      <c r="Y21" s="66" t="s">
        <v>260</v>
      </c>
      <c r="Z21" s="65" t="s">
        <v>261</v>
      </c>
      <c r="AA21" s="67" t="s">
        <v>262</v>
      </c>
      <c r="AB21" s="68" t="s">
        <v>263</v>
      </c>
      <c r="AC21" s="65" t="s">
        <v>264</v>
      </c>
      <c r="AD21" s="67" t="s">
        <v>265</v>
      </c>
    </row>
    <row r="22" customFormat="false" ht="15.75" hidden="false" customHeight="false" outlineLevel="0" collapsed="false">
      <c r="C22" s="84"/>
      <c r="D22" s="84"/>
      <c r="E22" s="84"/>
      <c r="F22" s="84"/>
      <c r="G22" s="84"/>
      <c r="H22" s="84"/>
      <c r="I22" s="84"/>
      <c r="J22" s="84"/>
      <c r="K22" s="84"/>
      <c r="L22" s="59"/>
      <c r="M22" s="59"/>
      <c r="N22" s="59"/>
      <c r="O22" s="59"/>
      <c r="P22" s="59"/>
      <c r="Q22" s="59"/>
      <c r="R22" s="59"/>
      <c r="S22" s="59"/>
      <c r="T22" s="59"/>
      <c r="U22" s="70"/>
      <c r="V22" s="71" t="s">
        <v>1</v>
      </c>
      <c r="W22" s="72" t="s">
        <v>3</v>
      </c>
      <c r="X22" s="72" t="s">
        <v>268</v>
      </c>
      <c r="Y22" s="72" t="s">
        <v>267</v>
      </c>
      <c r="Z22" s="70" t="s">
        <v>269</v>
      </c>
      <c r="AA22" s="73" t="s">
        <v>270</v>
      </c>
      <c r="AB22" s="74" t="s">
        <v>269</v>
      </c>
      <c r="AC22" s="70" t="s">
        <v>269</v>
      </c>
      <c r="AD22" s="73" t="s">
        <v>269</v>
      </c>
    </row>
    <row r="23" customFormat="false" ht="15.75" hidden="false" customHeight="false" outlineLevel="0" collapsed="false">
      <c r="C23" s="84"/>
      <c r="D23" s="84"/>
      <c r="E23" s="84"/>
      <c r="F23" s="84"/>
      <c r="G23" s="84"/>
      <c r="H23" s="84"/>
      <c r="I23" s="84"/>
      <c r="J23" s="84"/>
      <c r="K23" s="84"/>
      <c r="L23" s="59"/>
      <c r="M23" s="59"/>
      <c r="N23" s="59"/>
      <c r="O23" s="59"/>
      <c r="P23" s="59"/>
      <c r="Q23" s="59"/>
      <c r="R23" s="59"/>
      <c r="S23" s="59"/>
      <c r="T23" s="59"/>
      <c r="U23" s="108"/>
      <c r="V23" s="109" t="str">
        <f aca="false">IF('Price Inputs'!C20="","",'Price Inputs'!C20)</f>
        <v>IEF</v>
      </c>
      <c r="W23" s="109" t="str">
        <f aca="false">IF('Price Inputs'!D20="","",'Price Inputs'!D20)</f>
        <v>iShares 7-10 Yr Treasury</v>
      </c>
      <c r="X23" s="109" t="str">
        <f aca="false">IF(V23="","",VLOOKUP(V23,'ETF List'!$C$3:$J$90,4,0))</f>
        <v>Bonds</v>
      </c>
      <c r="Y23" s="110" t="n">
        <f aca="false">IF(V23="","",HLOOKUP(V23,Calculations!$C$61:$AG$68,8,0))</f>
        <v>0.0710102395451548</v>
      </c>
      <c r="Z23" s="82" t="n">
        <f aca="false">IF($V23="","",VLOOKUP('Final Report'!$V23,'Risk &amp; Returns'!$H$27:$M$54,3,0))</f>
        <v>0.0566</v>
      </c>
      <c r="AA23" s="78" t="n">
        <f aca="false">IF($V23="","",VLOOKUP('Final Report'!$V23,'Risk &amp; Returns'!$H$27:$M$54,4,0))</f>
        <v>0.0652</v>
      </c>
      <c r="AB23" s="83" t="n">
        <f aca="false">IF($V23="","",VLOOKUP('Final Report'!$V23,'Risk &amp; Returns'!$H$27:$M$54,6,0))</f>
        <v>0</v>
      </c>
      <c r="AC23" s="82" t="n">
        <f aca="false">IF($V23="","",VLOOKUP('Final Report'!$V23,'Risk &amp; Returns'!$H$27:$P$54,7,0))</f>
        <v>-1</v>
      </c>
      <c r="AD23" s="78" t="n">
        <f aca="false">IF($V23="","",VLOOKUP('Final Report'!$V23,'Risk &amp; Returns'!$H$27:$P$54,8,0))</f>
        <v>-1</v>
      </c>
    </row>
    <row r="24" customFormat="false" ht="15.75" hidden="false" customHeight="false" outlineLevel="0" collapsed="false">
      <c r="C24" s="86" t="s">
        <v>294</v>
      </c>
      <c r="D24" s="86"/>
      <c r="E24" s="86"/>
      <c r="F24" s="86"/>
      <c r="G24" s="86"/>
      <c r="H24" s="86"/>
      <c r="I24" s="86"/>
      <c r="J24" s="86"/>
      <c r="K24" s="86"/>
      <c r="L24" s="59"/>
      <c r="M24" s="59"/>
      <c r="N24" s="59"/>
      <c r="O24" s="59"/>
      <c r="P24" s="59"/>
      <c r="Q24" s="59"/>
      <c r="R24" s="59"/>
      <c r="S24" s="59"/>
      <c r="T24" s="59"/>
      <c r="U24" s="108"/>
      <c r="V24" s="109" t="str">
        <f aca="false">IF('Price Inputs'!C21="","",'Price Inputs'!C21)</f>
        <v>EFA</v>
      </c>
      <c r="W24" s="109" t="str">
        <f aca="false">IF('Price Inputs'!D21="","",'Price Inputs'!D21)</f>
        <v>iShares EAFE</v>
      </c>
      <c r="X24" s="109" t="str">
        <f aca="false">IF(V24="","",VLOOKUP(V24,'ETF List'!$C$3:$J$90,4,0))</f>
        <v>Intl Equity</v>
      </c>
      <c r="Y24" s="110" t="n">
        <f aca="false">IF(V24="","",HLOOKUP(V24,Calculations!$C$61:$AG$68,8,0))</f>
        <v>0.0415596508729943</v>
      </c>
      <c r="Z24" s="82" t="n">
        <f aca="false">IF($V24="","",VLOOKUP('Final Report'!$V24,'Risk &amp; Returns'!$H$27:$M$54,3,0))</f>
        <v>-0.0705</v>
      </c>
      <c r="AA24" s="78" t="n">
        <f aca="false">IF($V24="","",VLOOKUP('Final Report'!$V24,'Risk &amp; Returns'!$H$27:$M$54,4,0))</f>
        <v>0.1834</v>
      </c>
      <c r="AB24" s="83" t="n">
        <f aca="false">IF($V24="","",VLOOKUP('Final Report'!$V24,'Risk &amp; Returns'!$H$27:$M$54,6,0))</f>
        <v>0</v>
      </c>
      <c r="AC24" s="82" t="n">
        <f aca="false">IF($V24="","",VLOOKUP('Final Report'!$V24,'Risk &amp; Returns'!$H$27:$P$54,7,0))</f>
        <v>-0.340015856155729</v>
      </c>
      <c r="AD24" s="78" t="n">
        <f aca="false">IF($V24="","",VLOOKUP('Final Report'!$V24,'Risk &amp; Returns'!$H$27:$P$54,8,0))</f>
        <v>-0.986721518346322</v>
      </c>
    </row>
    <row r="25" customFormat="false" ht="15.75" hidden="false" customHeight="false" outlineLevel="0" collapsed="false">
      <c r="C25" s="55" t="s">
        <v>295</v>
      </c>
      <c r="D25" s="56"/>
      <c r="E25" s="57"/>
      <c r="F25" s="57"/>
      <c r="G25" s="59"/>
      <c r="H25" s="57"/>
      <c r="I25" s="57"/>
      <c r="J25" s="58"/>
      <c r="K25" s="57"/>
      <c r="L25" s="59"/>
      <c r="M25" s="59"/>
      <c r="N25" s="59"/>
      <c r="O25" s="59"/>
      <c r="P25" s="59"/>
      <c r="Q25" s="59"/>
      <c r="R25" s="59"/>
      <c r="S25" s="59"/>
      <c r="T25" s="59"/>
      <c r="U25" s="108"/>
      <c r="V25" s="109" t="str">
        <f aca="false">IF('Price Inputs'!C22="","",'Price Inputs'!C22)</f>
        <v/>
      </c>
      <c r="W25" s="109" t="str">
        <f aca="false">IF('Price Inputs'!D22="","",'Price Inputs'!D22)</f>
        <v/>
      </c>
      <c r="X25" s="109" t="str">
        <f aca="false">IF(V25="","",VLOOKUP(V25,'ETF List'!$C$3:$J$90,4,0))</f>
        <v/>
      </c>
      <c r="Y25" s="110" t="str">
        <f aca="false">IF(V25="","",HLOOKUP(V25,Calculations!$C$61:$AG$68,8,0))</f>
        <v/>
      </c>
      <c r="Z25" s="82" t="str">
        <f aca="false">IF($V25="","",VLOOKUP('Final Report'!$V25,'Risk &amp; Returns'!$H$27:$M$54,3,0))</f>
        <v/>
      </c>
      <c r="AA25" s="78" t="str">
        <f aca="false">IF($V25="","",VLOOKUP('Final Report'!$V25,'Risk &amp; Returns'!$H$27:$M$54,4,0))</f>
        <v/>
      </c>
      <c r="AB25" s="83" t="str">
        <f aca="false">IF($V25="","",VLOOKUP('Final Report'!$V25,'Risk &amp; Returns'!$H$27:$M$54,6,0))</f>
        <v/>
      </c>
      <c r="AC25" s="82" t="str">
        <f aca="false">IF($V25="","",VLOOKUP('Final Report'!$V25,'Risk &amp; Returns'!$H$27:$P$54,7,0))</f>
        <v/>
      </c>
      <c r="AD25" s="78" t="str">
        <f aca="false">IF($V25="","",VLOOKUP('Final Report'!$V25,'Risk &amp; Returns'!$H$27:$P$54,8,0))</f>
        <v/>
      </c>
    </row>
    <row r="26" customFormat="false" ht="15.75" hidden="false" customHeight="false" outlineLevel="0" collapsed="false">
      <c r="C26" s="64"/>
      <c r="D26" s="57"/>
      <c r="E26" s="57"/>
      <c r="F26" s="63"/>
      <c r="G26" s="63"/>
      <c r="H26" s="64"/>
      <c r="I26" s="57"/>
      <c r="J26" s="58"/>
      <c r="K26" s="57"/>
      <c r="L26" s="59"/>
      <c r="M26" s="59"/>
      <c r="N26" s="59"/>
      <c r="O26" s="59"/>
      <c r="P26" s="59"/>
      <c r="Q26" s="59"/>
      <c r="R26" s="59"/>
      <c r="S26" s="59"/>
      <c r="T26" s="59"/>
      <c r="U26" s="108"/>
      <c r="V26" s="109" t="str">
        <f aca="false">IF('Price Inputs'!C23="","",'Price Inputs'!C23)</f>
        <v/>
      </c>
      <c r="W26" s="109" t="str">
        <f aca="false">IF('Price Inputs'!D23="","",'Price Inputs'!D23)</f>
        <v/>
      </c>
      <c r="X26" s="109" t="str">
        <f aca="false">IF(V26="","",VLOOKUP(V26,'ETF List'!$C$3:$J$90,4,0))</f>
        <v/>
      </c>
      <c r="Y26" s="110" t="str">
        <f aca="false">IF(V26="","",HLOOKUP(V26,Calculations!$C$61:$AG$68,8,0))</f>
        <v/>
      </c>
      <c r="Z26" s="82" t="str">
        <f aca="false">IF($V26="","",VLOOKUP('Final Report'!$V26,'Risk &amp; Returns'!$H$27:$M$54,3,0))</f>
        <v/>
      </c>
      <c r="AA26" s="78" t="str">
        <f aca="false">IF($V26="","",VLOOKUP('Final Report'!$V26,'Risk &amp; Returns'!$H$27:$M$54,4,0))</f>
        <v/>
      </c>
      <c r="AB26" s="83" t="str">
        <f aca="false">IF($V26="","",VLOOKUP('Final Report'!$V26,'Risk &amp; Returns'!$H$27:$M$54,6,0))</f>
        <v/>
      </c>
      <c r="AC26" s="82" t="str">
        <f aca="false">IF($V26="","",VLOOKUP('Final Report'!$V26,'Risk &amp; Returns'!$H$27:$P$54,7,0))</f>
        <v/>
      </c>
      <c r="AD26" s="78" t="str">
        <f aca="false">IF($V26="","",VLOOKUP('Final Report'!$V26,'Risk &amp; Returns'!$H$27:$P$54,8,0))</f>
        <v/>
      </c>
    </row>
    <row r="27" customFormat="false" ht="15.75" hidden="false" customHeight="false" outlineLevel="0" collapsed="false">
      <c r="C27" s="64"/>
      <c r="D27" s="57"/>
      <c r="E27" s="57"/>
      <c r="F27" s="63"/>
      <c r="G27" s="63"/>
      <c r="H27" s="64"/>
      <c r="I27" s="57"/>
      <c r="J27" s="58"/>
      <c r="K27" s="57"/>
      <c r="L27" s="59"/>
      <c r="M27" s="59"/>
      <c r="N27" s="59"/>
      <c r="O27" s="59"/>
      <c r="P27" s="59"/>
      <c r="Q27" s="59"/>
      <c r="R27" s="59"/>
      <c r="S27" s="59"/>
      <c r="T27" s="59"/>
      <c r="U27" s="108"/>
      <c r="V27" s="109" t="str">
        <f aca="false">IF('Price Inputs'!C24="","",'Price Inputs'!C24)</f>
        <v/>
      </c>
      <c r="W27" s="109" t="str">
        <f aca="false">IF('Price Inputs'!D24="","",'Price Inputs'!D24)</f>
        <v/>
      </c>
      <c r="X27" s="109" t="str">
        <f aca="false">IF(V27="","",VLOOKUP(V27,'ETF List'!$C$3:$J$90,4,0))</f>
        <v/>
      </c>
      <c r="Y27" s="110" t="str">
        <f aca="false">IF(V27="","",HLOOKUP(V27,Calculations!$C$61:$AG$68,8,0))</f>
        <v/>
      </c>
      <c r="Z27" s="82" t="str">
        <f aca="false">IF($V27="","",VLOOKUP('Final Report'!$V27,'Risk &amp; Returns'!$H$27:$M$54,3,0))</f>
        <v/>
      </c>
      <c r="AA27" s="78" t="str">
        <f aca="false">IF($V27="","",VLOOKUP('Final Report'!$V27,'Risk &amp; Returns'!$H$27:$M$54,4,0))</f>
        <v/>
      </c>
      <c r="AB27" s="83" t="str">
        <f aca="false">IF($V27="","",VLOOKUP('Final Report'!$V27,'Risk &amp; Returns'!$H$27:$M$54,6,0))</f>
        <v/>
      </c>
      <c r="AC27" s="82" t="str">
        <f aca="false">IF($V27="","",VLOOKUP('Final Report'!$V27,'Risk &amp; Returns'!$H$27:$P$54,7,0))</f>
        <v/>
      </c>
      <c r="AD27" s="78" t="str">
        <f aca="false">IF($V27="","",VLOOKUP('Final Report'!$V27,'Risk &amp; Returns'!$H$27:$P$54,8,0))</f>
        <v/>
      </c>
    </row>
    <row r="28" customFormat="false" ht="15.75" hidden="false" customHeight="false" outlineLevel="0" collapsed="false">
      <c r="C28" s="64"/>
      <c r="D28" s="57"/>
      <c r="E28" s="57"/>
      <c r="F28" s="63"/>
      <c r="G28" s="63"/>
      <c r="H28" s="64"/>
      <c r="I28" s="57"/>
      <c r="J28" s="58"/>
      <c r="K28" s="57"/>
      <c r="L28" s="59"/>
      <c r="M28" s="59"/>
      <c r="N28" s="59"/>
      <c r="O28" s="59"/>
      <c r="P28" s="59"/>
      <c r="Q28" s="59"/>
      <c r="R28" s="59"/>
      <c r="S28" s="59"/>
      <c r="T28" s="59"/>
      <c r="U28" s="108"/>
      <c r="V28" s="109" t="str">
        <f aca="false">IF('Price Inputs'!C25="","",'Price Inputs'!C25)</f>
        <v/>
      </c>
      <c r="W28" s="109" t="str">
        <f aca="false">IF('Price Inputs'!D25="","",'Price Inputs'!D25)</f>
        <v/>
      </c>
      <c r="X28" s="109" t="str">
        <f aca="false">IF(V28="","",VLOOKUP(V28,'ETF List'!$C$3:$J$90,4,0))</f>
        <v/>
      </c>
      <c r="Y28" s="110" t="str">
        <f aca="false">IF(V28="","",HLOOKUP(V28,Calculations!$C$61:$AG$68,8,0))</f>
        <v/>
      </c>
      <c r="Z28" s="82" t="str">
        <f aca="false">IF($V28="","",VLOOKUP('Final Report'!$V28,'Risk &amp; Returns'!$H$27:$M$54,3,0))</f>
        <v/>
      </c>
      <c r="AA28" s="78" t="str">
        <f aca="false">IF($V28="","",VLOOKUP('Final Report'!$V28,'Risk &amp; Returns'!$H$27:$M$54,4,0))</f>
        <v/>
      </c>
      <c r="AB28" s="83" t="str">
        <f aca="false">IF($V28="","",VLOOKUP('Final Report'!$V28,'Risk &amp; Returns'!$H$27:$M$54,6,0))</f>
        <v/>
      </c>
      <c r="AC28" s="82" t="str">
        <f aca="false">IF($V28="","",VLOOKUP('Final Report'!$V28,'Risk &amp; Returns'!$H$27:$P$54,7,0))</f>
        <v/>
      </c>
      <c r="AD28" s="78" t="str">
        <f aca="false">IF($V28="","",VLOOKUP('Final Report'!$V28,'Risk &amp; Returns'!$H$27:$P$54,8,0))</f>
        <v/>
      </c>
    </row>
    <row r="29" customFormat="false" ht="15.75" hidden="false" customHeight="false" outlineLevel="0" collapsed="false">
      <c r="C29" s="64"/>
      <c r="D29" s="57"/>
      <c r="E29" s="57"/>
      <c r="F29" s="63"/>
      <c r="G29" s="63"/>
      <c r="H29" s="64"/>
      <c r="I29" s="64" t="s">
        <v>296</v>
      </c>
      <c r="J29" s="58"/>
      <c r="K29" s="57"/>
      <c r="L29" s="59"/>
      <c r="M29" s="59"/>
      <c r="N29" s="59"/>
      <c r="O29" s="59"/>
      <c r="P29" s="59"/>
      <c r="Q29" s="59"/>
      <c r="R29" s="59"/>
      <c r="S29" s="59"/>
      <c r="T29" s="59"/>
      <c r="U29" s="108"/>
      <c r="V29" s="109" t="str">
        <f aca="false">IF('Price Inputs'!C26="","",'Price Inputs'!C26)</f>
        <v/>
      </c>
      <c r="W29" s="109" t="str">
        <f aca="false">IF('Price Inputs'!D26="","",'Price Inputs'!D26)</f>
        <v/>
      </c>
      <c r="X29" s="109" t="str">
        <f aca="false">IF(V29="","",VLOOKUP(V29,'ETF List'!$C$3:$J$90,4,0))</f>
        <v/>
      </c>
      <c r="Y29" s="110" t="str">
        <f aca="false">IF(V29="","",HLOOKUP(V29,Calculations!$C$61:$AG$68,8,0))</f>
        <v/>
      </c>
      <c r="Z29" s="82" t="str">
        <f aca="false">IF($V29="","",VLOOKUP('Final Report'!$V29,'Risk &amp; Returns'!$H$27:$M$54,3,0))</f>
        <v/>
      </c>
      <c r="AA29" s="78" t="str">
        <f aca="false">IF($V29="","",VLOOKUP('Final Report'!$V29,'Risk &amp; Returns'!$H$27:$M$54,4,0))</f>
        <v/>
      </c>
      <c r="AB29" s="83" t="str">
        <f aca="false">IF($V29="","",VLOOKUP('Final Report'!$V29,'Risk &amp; Returns'!$H$27:$M$54,6,0))</f>
        <v/>
      </c>
      <c r="AC29" s="82" t="str">
        <f aca="false">IF($V29="","",VLOOKUP('Final Report'!$V29,'Risk &amp; Returns'!$H$27:$P$54,7,0))</f>
        <v/>
      </c>
      <c r="AD29" s="78" t="str">
        <f aca="false">IF($V29="","",VLOOKUP('Final Report'!$V29,'Risk &amp; Returns'!$H$27:$P$54,8,0))</f>
        <v/>
      </c>
    </row>
    <row r="30" customFormat="false" ht="15.75" hidden="false" customHeight="false" outlineLevel="0" collapsed="false">
      <c r="C30" s="55" t="s">
        <v>297</v>
      </c>
      <c r="D30" s="57"/>
      <c r="E30" s="57"/>
      <c r="F30" s="63"/>
      <c r="G30" s="63"/>
      <c r="H30" s="64"/>
      <c r="I30" s="57"/>
      <c r="J30" s="58"/>
      <c r="K30" s="57"/>
      <c r="L30" s="59"/>
      <c r="M30" s="59"/>
      <c r="N30" s="59"/>
      <c r="O30" s="59"/>
      <c r="P30" s="59"/>
      <c r="Q30" s="59"/>
      <c r="R30" s="59"/>
      <c r="S30" s="59"/>
      <c r="T30" s="59"/>
      <c r="U30" s="108"/>
      <c r="V30" s="109" t="str">
        <f aca="false">IF('Price Inputs'!C27="","",'Price Inputs'!C27)</f>
        <v/>
      </c>
      <c r="W30" s="109" t="str">
        <f aca="false">IF('Price Inputs'!D27="","",'Price Inputs'!D27)</f>
        <v/>
      </c>
      <c r="X30" s="109" t="str">
        <f aca="false">IF(V30="","",VLOOKUP(V30,'ETF List'!$C$3:$J$90,4,0))</f>
        <v/>
      </c>
      <c r="Y30" s="110" t="str">
        <f aca="false">IF(V30="","",HLOOKUP(V30,Calculations!$C$61:$AG$68,8,0))</f>
        <v/>
      </c>
      <c r="Z30" s="82" t="str">
        <f aca="false">IF($V30="","",VLOOKUP('Final Report'!$V30,'Risk &amp; Returns'!$H$27:$M$54,3,0))</f>
        <v/>
      </c>
      <c r="AA30" s="78" t="str">
        <f aca="false">IF($V30="","",VLOOKUP('Final Report'!$V30,'Risk &amp; Returns'!$H$27:$M$54,4,0))</f>
        <v/>
      </c>
      <c r="AB30" s="83" t="str">
        <f aca="false">IF($V30="","",VLOOKUP('Final Report'!$V30,'Risk &amp; Returns'!$H$27:$M$54,6,0))</f>
        <v/>
      </c>
      <c r="AC30" s="82" t="str">
        <f aca="false">IF($V30="","",VLOOKUP('Final Report'!$V30,'Risk &amp; Returns'!$H$27:$P$54,7,0))</f>
        <v/>
      </c>
      <c r="AD30" s="78" t="str">
        <f aca="false">IF($V30="","",VLOOKUP('Final Report'!$V30,'Risk &amp; Returns'!$H$27:$P$54,8,0))</f>
        <v/>
      </c>
    </row>
    <row r="31" customFormat="false" ht="15" hidden="false" customHeight="false" outlineLevel="0" collapsed="false">
      <c r="C31" s="57" t="s">
        <v>298</v>
      </c>
      <c r="D31" s="57"/>
      <c r="E31" s="57"/>
      <c r="F31" s="57"/>
      <c r="G31" s="57"/>
      <c r="H31" s="64"/>
      <c r="I31" s="57"/>
      <c r="J31" s="58"/>
      <c r="K31" s="57"/>
      <c r="L31" s="59"/>
      <c r="M31" s="59"/>
      <c r="N31" s="59"/>
      <c r="O31" s="59"/>
      <c r="P31" s="59"/>
      <c r="Q31" s="59"/>
      <c r="R31" s="59"/>
      <c r="S31" s="59"/>
      <c r="T31" s="59"/>
      <c r="U31" s="108"/>
      <c r="V31" s="109" t="str">
        <f aca="false">IF('Price Inputs'!C28="","",'Price Inputs'!C28)</f>
        <v/>
      </c>
      <c r="W31" s="109" t="str">
        <f aca="false">IF('Price Inputs'!D28="","",'Price Inputs'!D28)</f>
        <v/>
      </c>
      <c r="X31" s="109" t="str">
        <f aca="false">IF(V31="","",VLOOKUP(V31,'ETF List'!$C$3:$J$90,4,0))</f>
        <v/>
      </c>
      <c r="Y31" s="110" t="str">
        <f aca="false">IF(V31="","",HLOOKUP(V31,Calculations!$C$61:$AG$68,8,0))</f>
        <v/>
      </c>
      <c r="Z31" s="82" t="str">
        <f aca="false">IF($V31="","",VLOOKUP('Final Report'!$V31,'Risk &amp; Returns'!$H$27:$M$54,3,0))</f>
        <v/>
      </c>
      <c r="AA31" s="78" t="str">
        <f aca="false">IF($V31="","",VLOOKUP('Final Report'!$V31,'Risk &amp; Returns'!$H$27:$M$54,4,0))</f>
        <v/>
      </c>
      <c r="AB31" s="83" t="str">
        <f aca="false">IF($V31="","",VLOOKUP('Final Report'!$V31,'Risk &amp; Returns'!$H$27:$M$54,6,0))</f>
        <v/>
      </c>
      <c r="AC31" s="82" t="str">
        <f aca="false">IF($V31="","",VLOOKUP('Final Report'!$V31,'Risk &amp; Returns'!$H$27:$P$54,7,0))</f>
        <v/>
      </c>
      <c r="AD31" s="78" t="str">
        <f aca="false">IF($V31="","",VLOOKUP('Final Report'!$V31,'Risk &amp; Returns'!$H$27:$P$54,8,0))</f>
        <v/>
      </c>
    </row>
    <row r="32" customFormat="false" ht="15.75" hidden="false" customHeight="false" outlineLevel="0" collapsed="false">
      <c r="C32" s="84" t="s">
        <v>299</v>
      </c>
      <c r="D32" s="84"/>
      <c r="E32" s="84"/>
      <c r="F32" s="84"/>
      <c r="G32" s="84"/>
      <c r="H32" s="84"/>
      <c r="I32" s="84"/>
      <c r="J32" s="84"/>
      <c r="K32" s="84"/>
      <c r="L32" s="59"/>
      <c r="M32" s="59"/>
      <c r="N32" s="59"/>
      <c r="O32" s="59"/>
      <c r="P32" s="59"/>
      <c r="Q32" s="59"/>
      <c r="R32" s="59"/>
      <c r="S32" s="59"/>
      <c r="T32" s="59"/>
      <c r="U32" s="108"/>
      <c r="V32" s="109" t="str">
        <f aca="false">IF('Price Inputs'!C29="","",'Price Inputs'!C29)</f>
        <v/>
      </c>
      <c r="W32" s="109" t="str">
        <f aca="false">IF('Price Inputs'!D29="","",'Price Inputs'!D29)</f>
        <v/>
      </c>
      <c r="X32" s="109" t="str">
        <f aca="false">IF(V32="","",VLOOKUP(V32,'ETF List'!$C$3:$J$90,4,0))</f>
        <v/>
      </c>
      <c r="Y32" s="110" t="str">
        <f aca="false">IF(V32="","",HLOOKUP(V32,Calculations!$C$61:$AG$68,8,0))</f>
        <v/>
      </c>
      <c r="Z32" s="82" t="str">
        <f aca="false">IF($V32="","",VLOOKUP('Final Report'!$V32,'Risk &amp; Returns'!$H$27:$M$54,3,0))</f>
        <v/>
      </c>
      <c r="AA32" s="78" t="str">
        <f aca="false">IF($V32="","",VLOOKUP('Final Report'!$V32,'Risk &amp; Returns'!$H$27:$M$54,4,0))</f>
        <v/>
      </c>
      <c r="AB32" s="83" t="str">
        <f aca="false">IF($V32="","",VLOOKUP('Final Report'!$V32,'Risk &amp; Returns'!$H$27:$M$54,6,0))</f>
        <v/>
      </c>
      <c r="AC32" s="82" t="str">
        <f aca="false">IF($V32="","",VLOOKUP('Final Report'!$V32,'Risk &amp; Returns'!$H$27:$P$54,7,0))</f>
        <v/>
      </c>
      <c r="AD32" s="78" t="str">
        <f aca="false">IF($V32="","",VLOOKUP('Final Report'!$V32,'Risk &amp; Returns'!$H$27:$P$54,8,0))</f>
        <v/>
      </c>
    </row>
    <row r="33" customFormat="false" ht="15.75" hidden="false" customHeight="false" outlineLevel="0" collapsed="false">
      <c r="C33" s="84" t="s">
        <v>300</v>
      </c>
      <c r="D33" s="84"/>
      <c r="E33" s="84"/>
      <c r="F33" s="84"/>
      <c r="G33" s="84"/>
      <c r="H33" s="84"/>
      <c r="I33" s="84"/>
      <c r="J33" s="84"/>
      <c r="K33" s="84"/>
      <c r="L33" s="59"/>
      <c r="M33" s="59"/>
      <c r="N33" s="59"/>
      <c r="O33" s="59"/>
      <c r="P33" s="59"/>
      <c r="Q33" s="59"/>
      <c r="R33" s="59"/>
      <c r="S33" s="59"/>
      <c r="T33" s="59"/>
      <c r="U33" s="108"/>
      <c r="V33" s="109" t="str">
        <f aca="false">IF('Price Inputs'!C30="","",'Price Inputs'!C30)</f>
        <v/>
      </c>
      <c r="W33" s="109" t="str">
        <f aca="false">IF('Price Inputs'!D30="","",'Price Inputs'!D30)</f>
        <v/>
      </c>
      <c r="X33" s="109" t="str">
        <f aca="false">IF(V33="","",VLOOKUP(V33,'ETF List'!$C$3:$J$90,4,0))</f>
        <v/>
      </c>
      <c r="Y33" s="110" t="str">
        <f aca="false">IF(V33="","",HLOOKUP(V33,Calculations!$C$61:$AG$68,8,0))</f>
        <v/>
      </c>
      <c r="Z33" s="82" t="str">
        <f aca="false">IF($V33="","",VLOOKUP('Final Report'!$V33,'Risk &amp; Returns'!$H$27:$M$54,3,0))</f>
        <v/>
      </c>
      <c r="AA33" s="78" t="str">
        <f aca="false">IF($V33="","",VLOOKUP('Final Report'!$V33,'Risk &amp; Returns'!$H$27:$M$54,4,0))</f>
        <v/>
      </c>
      <c r="AB33" s="83" t="str">
        <f aca="false">IF($V33="","",VLOOKUP('Final Report'!$V33,'Risk &amp; Returns'!$H$27:$M$54,6,0))</f>
        <v/>
      </c>
      <c r="AC33" s="82" t="str">
        <f aca="false">IF($V33="","",VLOOKUP('Final Report'!$V33,'Risk &amp; Returns'!$H$27:$P$54,7,0))</f>
        <v/>
      </c>
      <c r="AD33" s="78" t="str">
        <f aca="false">IF($V33="","",VLOOKUP('Final Report'!$V33,'Risk &amp; Returns'!$H$27:$P$54,8,0))</f>
        <v/>
      </c>
    </row>
    <row r="34" customFormat="false" ht="15.75" hidden="false" customHeight="false" outlineLevel="0" collapsed="false">
      <c r="C34" s="84" t="s">
        <v>301</v>
      </c>
      <c r="D34" s="84"/>
      <c r="E34" s="84"/>
      <c r="F34" s="84"/>
      <c r="G34" s="84"/>
      <c r="H34" s="84"/>
      <c r="I34" s="84"/>
      <c r="J34" s="84"/>
      <c r="K34" s="84"/>
      <c r="L34" s="59"/>
      <c r="M34" s="59"/>
      <c r="N34" s="59"/>
      <c r="O34" s="59"/>
      <c r="P34" s="59"/>
      <c r="Q34" s="59"/>
      <c r="R34" s="59"/>
      <c r="S34" s="59"/>
      <c r="T34" s="59"/>
      <c r="U34" s="108"/>
      <c r="V34" s="109" t="str">
        <f aca="false">IF('Price Inputs'!C31="","",'Price Inputs'!C31)</f>
        <v/>
      </c>
      <c r="W34" s="109" t="str">
        <f aca="false">IF('Price Inputs'!D31="","",'Price Inputs'!D31)</f>
        <v/>
      </c>
      <c r="X34" s="109" t="str">
        <f aca="false">IF(V34="","",VLOOKUP(V34,'ETF List'!$C$3:$J$90,4,0))</f>
        <v/>
      </c>
      <c r="Y34" s="110" t="str">
        <f aca="false">IF(V34="","",HLOOKUP(V34,Calculations!$C$61:$AG$68,8,0))</f>
        <v/>
      </c>
      <c r="Z34" s="82" t="str">
        <f aca="false">IF($V34="","",VLOOKUP('Final Report'!$V34,'Risk &amp; Returns'!$H$27:$M$54,3,0))</f>
        <v/>
      </c>
      <c r="AA34" s="78" t="str">
        <f aca="false">IF($V34="","",VLOOKUP('Final Report'!$V34,'Risk &amp; Returns'!$H$27:$M$54,4,0))</f>
        <v/>
      </c>
      <c r="AB34" s="83" t="str">
        <f aca="false">IF($V34="","",VLOOKUP('Final Report'!$V34,'Risk &amp; Returns'!$H$27:$M$54,6,0))</f>
        <v/>
      </c>
      <c r="AC34" s="82" t="str">
        <f aca="false">IF($V34="","",VLOOKUP('Final Report'!$V34,'Risk &amp; Returns'!$H$27:$P$54,7,0))</f>
        <v/>
      </c>
      <c r="AD34" s="78" t="str">
        <f aca="false">IF($V34="","",VLOOKUP('Final Report'!$V34,'Risk &amp; Returns'!$H$27:$P$54,8,0))</f>
        <v/>
      </c>
    </row>
    <row r="35" customFormat="false" ht="15.75" hidden="false" customHeight="false" outlineLevel="0" collapsed="false">
      <c r="C35" s="84"/>
      <c r="D35" s="84"/>
      <c r="E35" s="84"/>
      <c r="F35" s="84"/>
      <c r="G35" s="84"/>
      <c r="H35" s="84"/>
      <c r="I35" s="84"/>
      <c r="J35" s="84"/>
      <c r="K35" s="84"/>
      <c r="L35" s="111"/>
      <c r="M35" s="111"/>
      <c r="N35" s="111"/>
      <c r="O35" s="111"/>
      <c r="P35" s="111"/>
      <c r="Q35" s="111"/>
      <c r="R35" s="111"/>
      <c r="S35" s="111"/>
      <c r="T35" s="111"/>
      <c r="U35" s="108"/>
      <c r="V35" s="109" t="str">
        <f aca="false">IF('Price Inputs'!C32="","",'Price Inputs'!C32)</f>
        <v/>
      </c>
      <c r="W35" s="109" t="str">
        <f aca="false">IF('Price Inputs'!D32="","",'Price Inputs'!D32)</f>
        <v/>
      </c>
      <c r="X35" s="109" t="str">
        <f aca="false">IF(V35="","",VLOOKUP(V35,'ETF List'!$C$3:$J$90,4,0))</f>
        <v/>
      </c>
      <c r="Y35" s="110" t="str">
        <f aca="false">IF(V35="","",HLOOKUP(V35,Calculations!$C$61:$AG$68,8,0))</f>
        <v/>
      </c>
      <c r="Z35" s="82" t="str">
        <f aca="false">IF($V35="","",VLOOKUP('Final Report'!$V35,'Risk &amp; Returns'!$H$27:$M$54,3,0))</f>
        <v/>
      </c>
      <c r="AA35" s="78" t="str">
        <f aca="false">IF($V35="","",VLOOKUP('Final Report'!$V35,'Risk &amp; Returns'!$H$27:$M$54,4,0))</f>
        <v/>
      </c>
      <c r="AB35" s="83" t="str">
        <f aca="false">IF($V35="","",VLOOKUP('Final Report'!$V35,'Risk &amp; Returns'!$H$27:$M$54,6,0))</f>
        <v/>
      </c>
      <c r="AC35" s="82" t="str">
        <f aca="false">IF($V35="","",VLOOKUP('Final Report'!$V35,'Risk &amp; Returns'!$H$27:$P$54,7,0))</f>
        <v/>
      </c>
      <c r="AD35" s="78" t="str">
        <f aca="false">IF($V35="","",VLOOKUP('Final Report'!$V35,'Risk &amp; Returns'!$H$27:$P$54,8,0))</f>
        <v/>
      </c>
    </row>
    <row r="36" customFormat="false" ht="15" hidden="false" customHeight="false" outlineLevel="0" collapsed="false">
      <c r="C36" s="59"/>
      <c r="D36" s="59"/>
      <c r="E36" s="59"/>
      <c r="F36" s="59"/>
      <c r="G36" s="59"/>
      <c r="H36" s="59"/>
      <c r="I36" s="59"/>
      <c r="J36" s="59"/>
      <c r="K36" s="59"/>
      <c r="L36" s="59"/>
      <c r="M36" s="59"/>
      <c r="N36" s="59"/>
      <c r="O36" s="59"/>
      <c r="P36" s="59"/>
      <c r="Q36" s="59"/>
      <c r="R36" s="59"/>
      <c r="S36" s="59"/>
      <c r="T36" s="59"/>
      <c r="U36" s="108"/>
      <c r="V36" s="109" t="str">
        <f aca="false">IF('Price Inputs'!C33="","",'Price Inputs'!C33)</f>
        <v/>
      </c>
      <c r="W36" s="109" t="str">
        <f aca="false">IF('Price Inputs'!D33="","",'Price Inputs'!D33)</f>
        <v/>
      </c>
      <c r="X36" s="109" t="str">
        <f aca="false">IF(V36="","",VLOOKUP(V36,'ETF List'!$C$3:$J$90,4,0))</f>
        <v/>
      </c>
      <c r="Y36" s="110" t="str">
        <f aca="false">IF(V36="","",HLOOKUP(V36,Calculations!$C$61:$AG$68,8,0))</f>
        <v/>
      </c>
      <c r="Z36" s="82" t="str">
        <f aca="false">IF($V36="","",VLOOKUP('Final Report'!$V36,'Risk &amp; Returns'!$H$27:$M$54,3,0))</f>
        <v/>
      </c>
      <c r="AA36" s="78" t="str">
        <f aca="false">IF($V36="","",VLOOKUP('Final Report'!$V36,'Risk &amp; Returns'!$H$27:$M$54,4,0))</f>
        <v/>
      </c>
      <c r="AB36" s="83" t="str">
        <f aca="false">IF($V36="","",VLOOKUP('Final Report'!$V36,'Risk &amp; Returns'!$H$27:$M$54,6,0))</f>
        <v/>
      </c>
      <c r="AC36" s="82" t="str">
        <f aca="false">IF($V36="","",VLOOKUP('Final Report'!$V36,'Risk &amp; Returns'!$H$27:$P$54,7,0))</f>
        <v/>
      </c>
      <c r="AD36" s="78" t="str">
        <f aca="false">IF($V36="","",VLOOKUP('Final Report'!$V36,'Risk &amp; Returns'!$H$27:$P$54,8,0))</f>
        <v/>
      </c>
    </row>
    <row r="37" customFormat="false" ht="15" hidden="false" customHeight="false" outlineLevel="0" collapsed="false">
      <c r="C37" s="59"/>
      <c r="D37" s="59"/>
      <c r="E37" s="59"/>
      <c r="F37" s="59"/>
      <c r="G37" s="59"/>
      <c r="H37" s="59"/>
      <c r="I37" s="59"/>
      <c r="J37" s="59"/>
      <c r="K37" s="59"/>
      <c r="L37" s="112"/>
      <c r="M37" s="111"/>
      <c r="N37" s="111"/>
      <c r="O37" s="111"/>
      <c r="P37" s="111"/>
      <c r="Q37" s="111"/>
      <c r="R37" s="111"/>
      <c r="S37" s="111"/>
      <c r="T37" s="111"/>
      <c r="U37" s="108"/>
      <c r="V37" s="109" t="str">
        <f aca="false">IF('Price Inputs'!C34="","",'Price Inputs'!C34)</f>
        <v/>
      </c>
      <c r="W37" s="109" t="str">
        <f aca="false">IF('Price Inputs'!D34="","",'Price Inputs'!D34)</f>
        <v/>
      </c>
      <c r="X37" s="109" t="str">
        <f aca="false">IF(V37="","",VLOOKUP(V37,'ETF List'!$C$3:$J$90,4,0))</f>
        <v/>
      </c>
      <c r="Y37" s="110" t="str">
        <f aca="false">IF(V37="","",HLOOKUP(V37,Calculations!$C$61:$AG$68,8,0))</f>
        <v/>
      </c>
      <c r="Z37" s="82" t="str">
        <f aca="false">IF($V37="","",VLOOKUP('Final Report'!$V37,'Risk &amp; Returns'!$H$27:$M$54,3,0))</f>
        <v/>
      </c>
      <c r="AA37" s="78" t="str">
        <f aca="false">IF($V37="","",VLOOKUP('Final Report'!$V37,'Risk &amp; Returns'!$H$27:$M$54,4,0))</f>
        <v/>
      </c>
      <c r="AB37" s="83" t="str">
        <f aca="false">IF($V37="","",VLOOKUP('Final Report'!$V37,'Risk &amp; Returns'!$H$27:$M$54,6,0))</f>
        <v/>
      </c>
      <c r="AC37" s="82" t="str">
        <f aca="false">IF($V37="","",VLOOKUP('Final Report'!$V37,'Risk &amp; Returns'!$H$27:$P$54,7,0))</f>
        <v/>
      </c>
      <c r="AD37" s="78" t="str">
        <f aca="false">IF($V37="","",VLOOKUP('Final Report'!$V37,'Risk &amp; Returns'!$H$27:$P$54,8,0))</f>
        <v/>
      </c>
    </row>
    <row r="38" customFormat="false" ht="15.75" hidden="false" customHeight="false" outlineLevel="0" collapsed="false">
      <c r="C38" s="87" t="s">
        <v>302</v>
      </c>
      <c r="D38" s="87"/>
      <c r="E38" s="87"/>
      <c r="F38" s="87"/>
      <c r="G38" s="87"/>
      <c r="H38" s="87"/>
      <c r="I38" s="87"/>
      <c r="J38" s="87"/>
      <c r="K38" s="87"/>
      <c r="L38" s="87" t="s">
        <v>303</v>
      </c>
      <c r="M38" s="87"/>
      <c r="N38" s="87"/>
      <c r="O38" s="87"/>
      <c r="P38" s="87"/>
      <c r="Q38" s="87"/>
      <c r="R38" s="87"/>
      <c r="S38" s="87"/>
      <c r="T38" s="87"/>
      <c r="U38" s="108"/>
      <c r="V38" s="109" t="str">
        <f aca="false">IF('Price Inputs'!C35="","",'Price Inputs'!C35)</f>
        <v/>
      </c>
      <c r="W38" s="109" t="str">
        <f aca="false">IF('Price Inputs'!D35="","",'Price Inputs'!D35)</f>
        <v/>
      </c>
      <c r="X38" s="109" t="str">
        <f aca="false">IF(V38="","",VLOOKUP(V38,'ETF List'!$C$3:$J$90,4,0))</f>
        <v/>
      </c>
      <c r="Y38" s="110" t="str">
        <f aca="false">IF(V38="","",HLOOKUP(V38,Calculations!$C$61:$AG$68,8,0))</f>
        <v/>
      </c>
      <c r="Z38" s="82" t="str">
        <f aca="false">IF($V38="","",VLOOKUP('Final Report'!$V38,'Risk &amp; Returns'!$H$27:$M$54,3,0))</f>
        <v/>
      </c>
      <c r="AA38" s="78" t="str">
        <f aca="false">IF($V38="","",VLOOKUP('Final Report'!$V38,'Risk &amp; Returns'!$H$27:$M$54,4,0))</f>
        <v/>
      </c>
      <c r="AB38" s="83" t="str">
        <f aca="false">IF($V38="","",VLOOKUP('Final Report'!$V38,'Risk &amp; Returns'!$H$27:$M$54,6,0))</f>
        <v/>
      </c>
      <c r="AC38" s="82" t="str">
        <f aca="false">IF($V38="","",VLOOKUP('Final Report'!$V38,'Risk &amp; Returns'!$H$27:$P$54,7,0))</f>
        <v/>
      </c>
      <c r="AD38" s="78" t="str">
        <f aca="false">IF($V38="","",VLOOKUP('Final Report'!$V38,'Risk &amp; Returns'!$H$27:$P$54,8,0))</f>
        <v/>
      </c>
    </row>
    <row r="39" customFormat="false" ht="15" hidden="false" customHeight="true" outlineLevel="0" collapsed="false">
      <c r="C39" s="113" t="s">
        <v>304</v>
      </c>
      <c r="D39" s="113"/>
      <c r="E39" s="113"/>
      <c r="F39" s="113"/>
      <c r="G39" s="114" t="s">
        <v>305</v>
      </c>
      <c r="H39" s="114"/>
      <c r="I39" s="114"/>
      <c r="J39" s="114"/>
      <c r="K39" s="114"/>
      <c r="L39" s="59"/>
      <c r="M39" s="59"/>
      <c r="N39" s="59"/>
      <c r="O39" s="59"/>
      <c r="P39" s="59"/>
      <c r="Q39" s="59"/>
      <c r="R39" s="59"/>
      <c r="S39" s="59"/>
      <c r="T39" s="59"/>
      <c r="U39" s="108"/>
      <c r="V39" s="109" t="str">
        <f aca="false">IF('Price Inputs'!C36="","",'Price Inputs'!C36)</f>
        <v/>
      </c>
      <c r="W39" s="109" t="str">
        <f aca="false">IF('Price Inputs'!D36="","",'Price Inputs'!D36)</f>
        <v/>
      </c>
      <c r="X39" s="109" t="str">
        <f aca="false">IF(V39="","",VLOOKUP(V39,'ETF List'!$C$3:$J$90,4,0))</f>
        <v/>
      </c>
      <c r="Y39" s="110" t="str">
        <f aca="false">IF(V39="","",HLOOKUP(V39,Calculations!$C$61:$AG$68,8,0))</f>
        <v/>
      </c>
      <c r="Z39" s="82" t="str">
        <f aca="false">IF($V39="","",VLOOKUP('Final Report'!$V39,'Risk &amp; Returns'!$H$27:$M$54,3,0))</f>
        <v/>
      </c>
      <c r="AA39" s="78" t="str">
        <f aca="false">IF($V39="","",VLOOKUP('Final Report'!$V39,'Risk &amp; Returns'!$H$27:$M$54,4,0))</f>
        <v/>
      </c>
      <c r="AB39" s="83" t="str">
        <f aca="false">IF($V39="","",VLOOKUP('Final Report'!$V39,'Risk &amp; Returns'!$H$27:$M$54,6,0))</f>
        <v/>
      </c>
      <c r="AC39" s="82" t="str">
        <f aca="false">IF($V39="","",VLOOKUP('Final Report'!$V39,'Risk &amp; Returns'!$H$27:$P$54,7,0))</f>
        <v/>
      </c>
      <c r="AD39" s="78" t="str">
        <f aca="false">IF($V39="","",VLOOKUP('Final Report'!$V39,'Risk &amp; Returns'!$H$27:$P$54,8,0))</f>
        <v/>
      </c>
    </row>
    <row r="40" customFormat="false" ht="15.75" hidden="false" customHeight="false" outlineLevel="0" collapsed="false">
      <c r="C40" s="115"/>
      <c r="D40" s="57"/>
      <c r="E40" s="57"/>
      <c r="F40" s="57"/>
      <c r="G40" s="57"/>
      <c r="H40" s="64"/>
      <c r="I40" s="116"/>
      <c r="J40" s="57"/>
      <c r="K40" s="57"/>
      <c r="L40" s="59"/>
      <c r="M40" s="59"/>
      <c r="N40" s="59"/>
      <c r="O40" s="59"/>
      <c r="P40" s="59"/>
      <c r="Q40" s="59"/>
      <c r="R40" s="59"/>
      <c r="S40" s="59"/>
      <c r="T40" s="59"/>
      <c r="U40" s="108"/>
      <c r="V40" s="109" t="str">
        <f aca="false">IF('Price Inputs'!C37="","",'Price Inputs'!C37)</f>
        <v/>
      </c>
      <c r="W40" s="109" t="str">
        <f aca="false">IF('Price Inputs'!D37="","",'Price Inputs'!D37)</f>
        <v/>
      </c>
      <c r="X40" s="109" t="str">
        <f aca="false">IF(V40="","",VLOOKUP(V40,'ETF List'!$C$3:$J$90,4,0))</f>
        <v/>
      </c>
      <c r="Y40" s="110" t="str">
        <f aca="false">IF(V40="","",HLOOKUP(V40,Calculations!$C$61:$AG$68,8,0))</f>
        <v/>
      </c>
      <c r="Z40" s="82" t="str">
        <f aca="false">IF($V40="","",VLOOKUP('Final Report'!$V40,'Risk &amp; Returns'!$H$27:$M$54,3,0))</f>
        <v/>
      </c>
      <c r="AA40" s="78" t="str">
        <f aca="false">IF($V40="","",VLOOKUP('Final Report'!$V40,'Risk &amp; Returns'!$H$27:$M$54,4,0))</f>
        <v/>
      </c>
      <c r="AB40" s="83" t="str">
        <f aca="false">IF($V40="","",VLOOKUP('Final Report'!$V40,'Risk &amp; Returns'!$H$27:$M$54,6,0))</f>
        <v/>
      </c>
      <c r="AC40" s="82" t="str">
        <f aca="false">IF($V40="","",VLOOKUP('Final Report'!$V40,'Risk &amp; Returns'!$H$27:$P$54,7,0))</f>
        <v/>
      </c>
      <c r="AD40" s="78" t="str">
        <f aca="false">IF($V40="","",VLOOKUP('Final Report'!$V40,'Risk &amp; Returns'!$H$27:$P$54,8,0))</f>
        <v/>
      </c>
    </row>
    <row r="41" customFormat="false" ht="15.75" hidden="false" customHeight="false" outlineLevel="0" collapsed="false">
      <c r="C41" s="57"/>
      <c r="D41" s="57"/>
      <c r="E41" s="57"/>
      <c r="F41" s="57"/>
      <c r="G41" s="57"/>
      <c r="H41" s="57"/>
      <c r="I41" s="57"/>
      <c r="J41" s="57"/>
      <c r="K41" s="57"/>
      <c r="L41" s="111"/>
      <c r="M41" s="111"/>
      <c r="N41" s="111"/>
      <c r="O41" s="111"/>
      <c r="P41" s="111"/>
      <c r="Q41" s="111"/>
      <c r="R41" s="111"/>
      <c r="S41" s="111"/>
      <c r="T41" s="111"/>
      <c r="U41" s="108"/>
      <c r="V41" s="109" t="str">
        <f aca="false">IF('Price Inputs'!C38="","",'Price Inputs'!C38)</f>
        <v/>
      </c>
      <c r="W41" s="109" t="str">
        <f aca="false">IF('Price Inputs'!D38="","",'Price Inputs'!D38)</f>
        <v/>
      </c>
      <c r="X41" s="109" t="str">
        <f aca="false">IF(V41="","",VLOOKUP(V41,'ETF List'!$C$3:$J$90,4,0))</f>
        <v/>
      </c>
      <c r="Y41" s="110" t="str">
        <f aca="false">IF(V41="","",HLOOKUP(V41,Calculations!$C$61:$AG$68,8,0))</f>
        <v/>
      </c>
      <c r="Z41" s="82" t="str">
        <f aca="false">IF($V41="","",VLOOKUP('Final Report'!$V41,'Risk &amp; Returns'!$H$27:$M$54,3,0))</f>
        <v/>
      </c>
      <c r="AA41" s="78" t="str">
        <f aca="false">IF($V41="","",VLOOKUP('Final Report'!$V41,'Risk &amp; Returns'!$H$27:$M$54,4,0))</f>
        <v/>
      </c>
      <c r="AB41" s="83" t="str">
        <f aca="false">IF($V41="","",VLOOKUP('Final Report'!$V41,'Risk &amp; Returns'!$H$27:$M$54,6,0))</f>
        <v/>
      </c>
      <c r="AC41" s="82" t="str">
        <f aca="false">IF($V41="","",VLOOKUP('Final Report'!$V41,'Risk &amp; Returns'!$H$27:$P$54,7,0))</f>
        <v/>
      </c>
      <c r="AD41" s="78" t="str">
        <f aca="false">IF($V41="","",VLOOKUP('Final Report'!$V41,'Risk &amp; Returns'!$H$27:$P$54,8,0))</f>
        <v/>
      </c>
    </row>
    <row r="42" customFormat="false" ht="15.75" hidden="false" customHeight="false" outlineLevel="0" collapsed="false">
      <c r="C42" s="57"/>
      <c r="D42" s="57"/>
      <c r="E42" s="57"/>
      <c r="F42" s="57"/>
      <c r="G42" s="57"/>
      <c r="H42" s="57"/>
      <c r="I42" s="57"/>
      <c r="J42" s="57"/>
      <c r="K42" s="57"/>
      <c r="L42" s="111"/>
      <c r="M42" s="111"/>
      <c r="N42" s="111"/>
      <c r="O42" s="111"/>
      <c r="P42" s="111"/>
      <c r="Q42" s="111"/>
      <c r="R42" s="111"/>
      <c r="S42" s="111"/>
      <c r="T42" s="111"/>
      <c r="U42" s="108"/>
      <c r="V42" s="109" t="str">
        <f aca="false">IF('Price Inputs'!C39="","",'Price Inputs'!C39)</f>
        <v/>
      </c>
      <c r="W42" s="109" t="str">
        <f aca="false">IF('Price Inputs'!D39="","",'Price Inputs'!D39)</f>
        <v/>
      </c>
      <c r="X42" s="109" t="str">
        <f aca="false">IF(V42="","",VLOOKUP(V42,'ETF List'!$C$3:$J$90,4,0))</f>
        <v/>
      </c>
      <c r="Y42" s="110" t="str">
        <f aca="false">IF(V42="","",HLOOKUP(V42,Calculations!$C$61:$AG$68,8,0))</f>
        <v/>
      </c>
      <c r="Z42" s="82" t="str">
        <f aca="false">IF($V42="","",VLOOKUP('Final Report'!$V42,'Risk &amp; Returns'!$H$27:$M$54,3,0))</f>
        <v/>
      </c>
      <c r="AA42" s="78" t="str">
        <f aca="false">IF($V42="","",VLOOKUP('Final Report'!$V42,'Risk &amp; Returns'!$H$27:$M$54,4,0))</f>
        <v/>
      </c>
      <c r="AB42" s="83" t="str">
        <f aca="false">IF($V42="","",VLOOKUP('Final Report'!$V42,'Risk &amp; Returns'!$H$27:$M$54,6,0))</f>
        <v/>
      </c>
      <c r="AC42" s="82" t="str">
        <f aca="false">IF($V42="","",VLOOKUP('Final Report'!$V42,'Risk &amp; Returns'!$H$27:$P$54,7,0))</f>
        <v/>
      </c>
      <c r="AD42" s="78" t="str">
        <f aca="false">IF($V42="","",VLOOKUP('Final Report'!$V42,'Risk &amp; Returns'!$H$27:$P$54,8,0))</f>
        <v/>
      </c>
    </row>
    <row r="43" customFormat="false" ht="15.75" hidden="false" customHeight="false" outlineLevel="0" collapsed="false">
      <c r="C43" s="57"/>
      <c r="D43" s="57"/>
      <c r="E43" s="57"/>
      <c r="F43" s="57"/>
      <c r="G43" s="57"/>
      <c r="H43" s="57"/>
      <c r="I43" s="57"/>
      <c r="J43" s="57"/>
      <c r="K43" s="57"/>
      <c r="L43" s="111"/>
      <c r="M43" s="111"/>
      <c r="N43" s="111"/>
      <c r="O43" s="111"/>
      <c r="P43" s="111"/>
      <c r="Q43" s="111"/>
      <c r="R43" s="111"/>
      <c r="S43" s="111"/>
      <c r="T43" s="111"/>
      <c r="U43" s="108"/>
      <c r="V43" s="109" t="str">
        <f aca="false">IF('Price Inputs'!C40="","",'Price Inputs'!C40)</f>
        <v/>
      </c>
      <c r="W43" s="109" t="str">
        <f aca="false">IF('Price Inputs'!D40="","",'Price Inputs'!D40)</f>
        <v/>
      </c>
      <c r="X43" s="109" t="str">
        <f aca="false">IF(V43="","",VLOOKUP(V43,'ETF List'!$C$3:$J$90,4,0))</f>
        <v/>
      </c>
      <c r="Y43" s="110" t="str">
        <f aca="false">IF(V43="","",HLOOKUP(V43,Calculations!$C$61:$AG$68,8,0))</f>
        <v/>
      </c>
      <c r="Z43" s="82" t="str">
        <f aca="false">IF($V43="","",VLOOKUP('Final Report'!$V43,'Risk &amp; Returns'!$H$27:$M$54,3,0))</f>
        <v/>
      </c>
      <c r="AA43" s="78" t="str">
        <f aca="false">IF($V43="","",VLOOKUP('Final Report'!$V43,'Risk &amp; Returns'!$H$27:$M$54,4,0))</f>
        <v/>
      </c>
      <c r="AB43" s="83" t="str">
        <f aca="false">IF($V43="","",VLOOKUP('Final Report'!$V43,'Risk &amp; Returns'!$H$27:$M$54,6,0))</f>
        <v/>
      </c>
      <c r="AC43" s="82" t="str">
        <f aca="false">IF($V43="","",VLOOKUP('Final Report'!$V43,'Risk &amp; Returns'!$H$27:$P$54,7,0))</f>
        <v/>
      </c>
      <c r="AD43" s="78" t="str">
        <f aca="false">IF($V43="","",VLOOKUP('Final Report'!$V43,'Risk &amp; Returns'!$H$27:$P$54,8,0))</f>
        <v/>
      </c>
    </row>
    <row r="44" customFormat="false" ht="15.75" hidden="false" customHeight="false" outlineLevel="0" collapsed="false">
      <c r="C44" s="57"/>
      <c r="D44" s="57"/>
      <c r="E44" s="57"/>
      <c r="F44" s="57"/>
      <c r="G44" s="57"/>
      <c r="H44" s="57"/>
      <c r="I44" s="57"/>
      <c r="J44" s="57"/>
      <c r="K44" s="57"/>
      <c r="L44" s="111"/>
      <c r="M44" s="111"/>
      <c r="N44" s="111"/>
      <c r="O44" s="111"/>
      <c r="P44" s="111"/>
      <c r="Q44" s="111"/>
      <c r="R44" s="111"/>
      <c r="S44" s="111"/>
      <c r="T44" s="111"/>
      <c r="U44" s="108"/>
      <c r="V44" s="109" t="str">
        <f aca="false">IF('Price Inputs'!C41="","",'Price Inputs'!C41)</f>
        <v/>
      </c>
      <c r="W44" s="109" t="str">
        <f aca="false">IF('Price Inputs'!D41="","",'Price Inputs'!D41)</f>
        <v/>
      </c>
      <c r="X44" s="109" t="str">
        <f aca="false">IF(V44="","",VLOOKUP(V44,'ETF List'!$C$3:$J$90,4,0))</f>
        <v/>
      </c>
      <c r="Y44" s="110" t="str">
        <f aca="false">IF(V44="","",HLOOKUP(V44,Calculations!$C$61:$AG$68,8,0))</f>
        <v/>
      </c>
      <c r="Z44" s="82" t="str">
        <f aca="false">IF($V44="","",VLOOKUP('Final Report'!$V44,'Risk &amp; Returns'!$H$27:$M$54,3,0))</f>
        <v/>
      </c>
      <c r="AA44" s="78" t="str">
        <f aca="false">IF($V44="","",VLOOKUP('Final Report'!$V44,'Risk &amp; Returns'!$H$27:$M$54,4,0))</f>
        <v/>
      </c>
      <c r="AB44" s="83" t="str">
        <f aca="false">IF($V44="","",VLOOKUP('Final Report'!$V44,'Risk &amp; Returns'!$H$27:$M$54,6,0))</f>
        <v/>
      </c>
      <c r="AC44" s="82" t="str">
        <f aca="false">IF($V44="","",VLOOKUP('Final Report'!$V44,'Risk &amp; Returns'!$H$27:$P$54,7,0))</f>
        <v/>
      </c>
      <c r="AD44" s="78" t="str">
        <f aca="false">IF($V44="","",VLOOKUP('Final Report'!$V44,'Risk &amp; Returns'!$H$27:$P$54,8,0))</f>
        <v/>
      </c>
    </row>
    <row r="45" customFormat="false" ht="15.75" hidden="false" customHeight="false" outlineLevel="0" collapsed="false">
      <c r="C45" s="57"/>
      <c r="D45" s="57"/>
      <c r="E45" s="57"/>
      <c r="F45" s="57"/>
      <c r="G45" s="57"/>
      <c r="H45" s="57"/>
      <c r="I45" s="57"/>
      <c r="J45" s="57"/>
      <c r="K45" s="57"/>
      <c r="L45" s="111"/>
      <c r="M45" s="111"/>
      <c r="N45" s="111"/>
      <c r="O45" s="111"/>
      <c r="P45" s="111"/>
      <c r="Q45" s="111"/>
      <c r="R45" s="111"/>
      <c r="S45" s="111"/>
      <c r="T45" s="111"/>
      <c r="U45" s="108"/>
      <c r="V45" s="109" t="str">
        <f aca="false">IF('Price Inputs'!C42="","",'Price Inputs'!C42)</f>
        <v/>
      </c>
      <c r="W45" s="109" t="str">
        <f aca="false">IF('Price Inputs'!D42="","",'Price Inputs'!D42)</f>
        <v/>
      </c>
      <c r="X45" s="109" t="str">
        <f aca="false">IF(V45="","",VLOOKUP(V45,'ETF List'!$C$3:$J$90,4,0))</f>
        <v/>
      </c>
      <c r="Y45" s="110" t="str">
        <f aca="false">IF(V45="","",HLOOKUP(V45,Calculations!$C$61:$AG$68,8,0))</f>
        <v/>
      </c>
      <c r="Z45" s="82" t="str">
        <f aca="false">IF($V45="","",VLOOKUP('Final Report'!$V45,'Risk &amp; Returns'!$H$27:$M$54,3,0))</f>
        <v/>
      </c>
      <c r="AA45" s="78" t="str">
        <f aca="false">IF($V45="","",VLOOKUP('Final Report'!$V45,'Risk &amp; Returns'!$H$27:$M$54,4,0))</f>
        <v/>
      </c>
      <c r="AB45" s="83" t="str">
        <f aca="false">IF($V45="","",VLOOKUP('Final Report'!$V45,'Risk &amp; Returns'!$H$27:$M$54,6,0))</f>
        <v/>
      </c>
      <c r="AC45" s="82" t="str">
        <f aca="false">IF($V45="","",VLOOKUP('Final Report'!$V45,'Risk &amp; Returns'!$H$27:$P$54,7,0))</f>
        <v/>
      </c>
      <c r="AD45" s="78" t="str">
        <f aca="false">IF($V45="","",VLOOKUP('Final Report'!$V45,'Risk &amp; Returns'!$H$27:$P$54,8,0))</f>
        <v/>
      </c>
    </row>
    <row r="46" customFormat="false" ht="15.75" hidden="false" customHeight="false" outlineLevel="0" collapsed="false">
      <c r="C46" s="57"/>
      <c r="D46" s="57"/>
      <c r="E46" s="57"/>
      <c r="F46" s="57"/>
      <c r="G46" s="57"/>
      <c r="H46" s="57"/>
      <c r="I46" s="57"/>
      <c r="J46" s="57"/>
      <c r="K46" s="57"/>
      <c r="L46" s="111"/>
      <c r="M46" s="111"/>
      <c r="N46" s="111"/>
      <c r="O46" s="111"/>
      <c r="P46" s="111"/>
      <c r="Q46" s="111"/>
      <c r="R46" s="111"/>
      <c r="S46" s="111"/>
      <c r="T46" s="111"/>
      <c r="U46" s="108"/>
      <c r="V46" s="109" t="str">
        <f aca="false">IF('Price Inputs'!C43="","",'Price Inputs'!C43)</f>
        <v/>
      </c>
      <c r="W46" s="109" t="str">
        <f aca="false">IF('Price Inputs'!D43="","",'Price Inputs'!D43)</f>
        <v/>
      </c>
      <c r="X46" s="109" t="str">
        <f aca="false">IF(V46="","",VLOOKUP(V46,'ETF List'!$C$3:$J$90,4,0))</f>
        <v/>
      </c>
      <c r="Y46" s="110" t="str">
        <f aca="false">IF(V46="","",HLOOKUP(V46,Calculations!$C$61:$AG$68,8,0))</f>
        <v/>
      </c>
      <c r="Z46" s="82" t="str">
        <f aca="false">IF($V46="","",VLOOKUP('Final Report'!$V46,'Risk &amp; Returns'!$H$27:$M$54,3,0))</f>
        <v/>
      </c>
      <c r="AA46" s="78" t="str">
        <f aca="false">IF($V46="","",VLOOKUP('Final Report'!$V46,'Risk &amp; Returns'!$H$27:$M$54,4,0))</f>
        <v/>
      </c>
      <c r="AB46" s="83" t="str">
        <f aca="false">IF($V46="","",VLOOKUP('Final Report'!$V46,'Risk &amp; Returns'!$H$27:$M$54,6,0))</f>
        <v/>
      </c>
      <c r="AC46" s="82" t="str">
        <f aca="false">IF($V46="","",VLOOKUP('Final Report'!$V46,'Risk &amp; Returns'!$H$27:$P$54,7,0))</f>
        <v/>
      </c>
      <c r="AD46" s="78" t="str">
        <f aca="false">IF($V46="","",VLOOKUP('Final Report'!$V46,'Risk &amp; Returns'!$H$27:$P$54,8,0))</f>
        <v/>
      </c>
    </row>
    <row r="47" customFormat="false" ht="16.5" hidden="false" customHeight="true" outlineLevel="0" collapsed="false">
      <c r="C47" s="57"/>
      <c r="D47" s="57"/>
      <c r="E47" s="57"/>
      <c r="F47" s="57"/>
      <c r="G47" s="57"/>
      <c r="H47" s="57"/>
      <c r="I47" s="57"/>
      <c r="J47" s="57"/>
      <c r="K47" s="57"/>
      <c r="L47" s="111"/>
      <c r="M47" s="111"/>
      <c r="N47" s="111"/>
      <c r="O47" s="111"/>
      <c r="P47" s="111"/>
      <c r="Q47" s="111"/>
      <c r="R47" s="111"/>
      <c r="S47" s="111"/>
      <c r="T47" s="111"/>
      <c r="U47" s="108"/>
      <c r="V47" s="109" t="str">
        <f aca="false">IF('Price Inputs'!C44="","",'Price Inputs'!C44)</f>
        <v/>
      </c>
      <c r="W47" s="109" t="str">
        <f aca="false">IF('Price Inputs'!D44="","",'Price Inputs'!D44)</f>
        <v/>
      </c>
      <c r="X47" s="109" t="str">
        <f aca="false">IF(V47="","",VLOOKUP(V47,'ETF List'!$C$3:$J$90,4,0))</f>
        <v/>
      </c>
      <c r="Y47" s="110" t="str">
        <f aca="false">IF(V47="","",HLOOKUP(V47,Calculations!$C$61:$AG$68,8,0))</f>
        <v/>
      </c>
      <c r="Z47" s="82" t="str">
        <f aca="false">IF($V47="","",VLOOKUP('Final Report'!$V47,'Risk &amp; Returns'!$H$27:$M$54,3,0))</f>
        <v/>
      </c>
      <c r="AA47" s="78" t="str">
        <f aca="false">IF($V47="","",VLOOKUP('Final Report'!$V47,'Risk &amp; Returns'!$H$27:$M$54,4,0))</f>
        <v/>
      </c>
      <c r="AB47" s="83" t="str">
        <f aca="false">IF($V47="","",VLOOKUP('Final Report'!$V47,'Risk &amp; Returns'!$H$27:$M$54,6,0))</f>
        <v/>
      </c>
      <c r="AC47" s="82" t="str">
        <f aca="false">IF($V47="","",VLOOKUP('Final Report'!$V47,'Risk &amp; Returns'!$H$27:$P$54,7,0))</f>
        <v/>
      </c>
      <c r="AD47" s="78" t="str">
        <f aca="false">IF($V47="","",VLOOKUP('Final Report'!$V47,'Risk &amp; Returns'!$H$27:$P$54,8,0))</f>
        <v/>
      </c>
    </row>
    <row r="48" customFormat="false" ht="15.75" hidden="false" customHeight="false" outlineLevel="0" collapsed="false">
      <c r="C48" s="117"/>
      <c r="D48" s="118"/>
      <c r="E48" s="118"/>
      <c r="F48" s="118"/>
      <c r="G48" s="118"/>
      <c r="H48" s="118"/>
      <c r="I48" s="59"/>
      <c r="J48" s="118"/>
      <c r="K48" s="57"/>
      <c r="L48" s="119"/>
      <c r="M48" s="120"/>
      <c r="N48" s="120"/>
      <c r="O48" s="120"/>
      <c r="P48" s="120"/>
      <c r="Q48" s="120"/>
      <c r="R48" s="120"/>
      <c r="S48" s="120"/>
      <c r="T48" s="120"/>
      <c r="U48" s="108"/>
      <c r="V48" s="109" t="str">
        <f aca="false">IF('Price Inputs'!C40="","",'Price Inputs'!C40)</f>
        <v/>
      </c>
      <c r="W48" s="109" t="str">
        <f aca="false">IF('Price Inputs'!D40="","",'Price Inputs'!D40)</f>
        <v/>
      </c>
      <c r="X48" s="109" t="str">
        <f aca="false">IF(V48="","",VLOOKUP(V48,'ETF List'!$C$3:$J$90,4,0))</f>
        <v/>
      </c>
      <c r="Y48" s="110" t="str">
        <f aca="false">IF(V48="","",HLOOKUP(V48,Calculations!$C$61:$AG$68,8,0))</f>
        <v/>
      </c>
      <c r="Z48" s="82" t="str">
        <f aca="false">IF($V48="","",VLOOKUP('Final Report'!$V48,'Risk &amp; Returns'!$H$27:$M$54,3,0))</f>
        <v/>
      </c>
      <c r="AA48" s="78" t="str">
        <f aca="false">IF($V48="","",VLOOKUP('Final Report'!$V48,'Risk &amp; Returns'!$H$27:$M$54,4,0))</f>
        <v/>
      </c>
      <c r="AB48" s="83" t="str">
        <f aca="false">IF($V48="","",VLOOKUP('Final Report'!$V48,'Risk &amp; Returns'!$H$27:$M$54,6,0))</f>
        <v/>
      </c>
      <c r="AC48" s="82" t="str">
        <f aca="false">IF($V48="","",VLOOKUP('Final Report'!$V48,'Risk &amp; Returns'!$H$27:$P$54,7,0))</f>
        <v/>
      </c>
      <c r="AD48" s="78" t="str">
        <f aca="false">IF($V48="","",VLOOKUP('Final Report'!$V48,'Risk &amp; Returns'!$H$27:$P$54,8,0))</f>
        <v/>
      </c>
    </row>
    <row r="49" customFormat="false" ht="15.75" hidden="false" customHeight="false" outlineLevel="0" collapsed="false">
      <c r="C49" s="117"/>
      <c r="D49" s="118"/>
      <c r="E49" s="118"/>
      <c r="F49" s="118"/>
      <c r="G49" s="118"/>
      <c r="H49" s="118"/>
      <c r="I49" s="59"/>
      <c r="J49" s="118"/>
      <c r="K49" s="57"/>
      <c r="L49" s="119"/>
      <c r="M49" s="120"/>
      <c r="N49" s="120"/>
      <c r="O49" s="120"/>
      <c r="P49" s="120"/>
      <c r="Q49" s="120"/>
      <c r="R49" s="120"/>
      <c r="S49" s="120"/>
      <c r="T49" s="120"/>
      <c r="U49" s="108"/>
      <c r="V49" s="109" t="str">
        <f aca="false">IF('Price Inputs'!C41="","",'Price Inputs'!C41)</f>
        <v/>
      </c>
      <c r="W49" s="109" t="str">
        <f aca="false">IF('Price Inputs'!D41="","",'Price Inputs'!D41)</f>
        <v/>
      </c>
      <c r="X49" s="109" t="str">
        <f aca="false">IF(V49="","",VLOOKUP(V49,'ETF List'!$C$3:$J$90,4,0))</f>
        <v/>
      </c>
      <c r="Y49" s="110" t="str">
        <f aca="false">IF(V49="","",HLOOKUP(V49,Calculations!$C$61:$AG$68,8,0))</f>
        <v/>
      </c>
      <c r="Z49" s="82" t="str">
        <f aca="false">IF($V49="","",VLOOKUP('Final Report'!$V49,'Risk &amp; Returns'!$H$27:$M$54,3,0))</f>
        <v/>
      </c>
      <c r="AA49" s="78" t="str">
        <f aca="false">IF($V49="","",VLOOKUP('Final Report'!$V49,'Risk &amp; Returns'!$H$27:$M$54,4,0))</f>
        <v/>
      </c>
      <c r="AB49" s="83" t="str">
        <f aca="false">IF($V49="","",VLOOKUP('Final Report'!$V49,'Risk &amp; Returns'!$H$27:$M$54,6,0))</f>
        <v/>
      </c>
      <c r="AC49" s="82" t="str">
        <f aca="false">IF($V49="","",VLOOKUP('Final Report'!$V49,'Risk &amp; Returns'!$H$27:$P$54,7,0))</f>
        <v/>
      </c>
      <c r="AD49" s="78" t="str">
        <f aca="false">IF($V49="","",VLOOKUP('Final Report'!$V49,'Risk &amp; Returns'!$H$27:$P$54,8,0))</f>
        <v/>
      </c>
    </row>
    <row r="50" customFormat="false" ht="15.75" hidden="false" customHeight="false" outlineLevel="0" collapsed="false">
      <c r="C50" s="117"/>
      <c r="D50" s="118"/>
      <c r="E50" s="118"/>
      <c r="F50" s="118"/>
      <c r="G50" s="118"/>
      <c r="H50" s="118"/>
      <c r="I50" s="59"/>
      <c r="J50" s="118"/>
      <c r="K50" s="57"/>
      <c r="L50" s="119"/>
      <c r="M50" s="120"/>
      <c r="N50" s="120"/>
      <c r="O50" s="120"/>
      <c r="P50" s="120"/>
      <c r="Q50" s="120"/>
      <c r="R50" s="120"/>
      <c r="S50" s="120"/>
      <c r="T50" s="120"/>
      <c r="U50" s="108"/>
      <c r="V50" s="109" t="str">
        <f aca="false">IF('Price Inputs'!C42="","",'Price Inputs'!C42)</f>
        <v/>
      </c>
      <c r="W50" s="109" t="str">
        <f aca="false">IF('Price Inputs'!D42="","",'Price Inputs'!D42)</f>
        <v/>
      </c>
      <c r="X50" s="109" t="str">
        <f aca="false">IF(V50="","",VLOOKUP(V50,'ETF List'!$C$3:$J$90,4,0))</f>
        <v/>
      </c>
      <c r="Y50" s="110" t="str">
        <f aca="false">IF(V50="","",HLOOKUP(V50,Calculations!$C$61:$AG$68,8,0))</f>
        <v/>
      </c>
      <c r="Z50" s="82" t="str">
        <f aca="false">IF($V50="","",VLOOKUP('Final Report'!$V50,'Risk &amp; Returns'!$H$27:$M$54,3,0))</f>
        <v/>
      </c>
      <c r="AA50" s="78" t="str">
        <f aca="false">IF($V50="","",VLOOKUP('Final Report'!$V50,'Risk &amp; Returns'!$H$27:$M$54,4,0))</f>
        <v/>
      </c>
      <c r="AB50" s="83" t="str">
        <f aca="false">IF($V50="","",VLOOKUP('Final Report'!$V50,'Risk &amp; Returns'!$H$27:$M$54,6,0))</f>
        <v/>
      </c>
      <c r="AC50" s="96" t="str">
        <f aca="false">IF($V50="","",VLOOKUP('Final Report'!$V50,'Risk &amp; Returns'!$H$27:$P$54,7,0))</f>
        <v/>
      </c>
      <c r="AD50" s="78" t="str">
        <f aca="false">IF($V50="","",VLOOKUP('Final Report'!$V50,'Risk &amp; Returns'!$H$27:$P$54,8,0))</f>
        <v/>
      </c>
    </row>
    <row r="51" customFormat="false" ht="15.75" hidden="false" customHeight="false" outlineLevel="0" collapsed="false">
      <c r="C51" s="117"/>
      <c r="D51" s="118"/>
      <c r="E51" s="118"/>
      <c r="F51" s="118"/>
      <c r="G51" s="118"/>
      <c r="H51" s="118"/>
      <c r="I51" s="59"/>
      <c r="J51" s="118"/>
      <c r="K51" s="57"/>
      <c r="L51" s="119"/>
      <c r="M51" s="120"/>
      <c r="N51" s="120"/>
      <c r="O51" s="120"/>
      <c r="P51" s="120"/>
      <c r="Q51" s="120"/>
      <c r="R51" s="120"/>
      <c r="S51" s="120"/>
      <c r="T51" s="120"/>
      <c r="U51" s="121"/>
      <c r="V51" s="122"/>
      <c r="W51" s="122"/>
      <c r="X51" s="122"/>
      <c r="Y51" s="123" t="n">
        <f aca="false">SUM(Y23:Y50)</f>
        <v>0.112569890418149</v>
      </c>
      <c r="Z51" s="124" t="s">
        <v>306</v>
      </c>
      <c r="AA51" s="125"/>
      <c r="AB51" s="125"/>
      <c r="AC51" s="125"/>
      <c r="AD51" s="126"/>
    </row>
    <row r="52" customFormat="false" ht="22.5" hidden="false" customHeight="false" outlineLevel="0" collapsed="false">
      <c r="C52" s="127" t="s">
        <v>307</v>
      </c>
      <c r="D52" s="127"/>
      <c r="E52" s="127"/>
      <c r="F52" s="127"/>
      <c r="G52" s="127"/>
      <c r="H52" s="127"/>
      <c r="I52" s="127"/>
      <c r="J52" s="127"/>
      <c r="K52" s="127"/>
      <c r="L52" s="127" t="s">
        <v>307</v>
      </c>
      <c r="M52" s="127"/>
      <c r="N52" s="127"/>
      <c r="O52" s="127"/>
      <c r="P52" s="127"/>
      <c r="Q52" s="127"/>
      <c r="R52" s="127"/>
      <c r="S52" s="127"/>
      <c r="T52" s="127"/>
      <c r="U52" s="128" t="s">
        <v>307</v>
      </c>
      <c r="V52" s="128"/>
      <c r="W52" s="128"/>
      <c r="X52" s="128"/>
      <c r="Y52" s="128"/>
      <c r="Z52" s="128"/>
      <c r="AA52" s="128"/>
      <c r="AB52" s="128"/>
      <c r="AC52" s="128"/>
      <c r="AD52" s="128"/>
      <c r="AE52" s="128"/>
    </row>
    <row r="55" customFormat="false" ht="15" hidden="false" customHeight="false" outlineLevel="0" collapsed="false">
      <c r="F55" s="50"/>
      <c r="G55" s="50"/>
      <c r="H55" s="50"/>
      <c r="I55" s="50"/>
    </row>
    <row r="56" customFormat="false" ht="15" hidden="false" customHeight="false" outlineLevel="0" collapsed="false">
      <c r="F56" s="50"/>
      <c r="H56" s="50"/>
      <c r="I56" s="50"/>
    </row>
    <row r="57" customFormat="false" ht="28.5" hidden="false" customHeight="false" outlineLevel="0" collapsed="false">
      <c r="F57" s="50"/>
      <c r="H57" s="50"/>
      <c r="I57" s="129"/>
    </row>
    <row r="58" customFormat="false" ht="15" hidden="false" customHeight="false" outlineLevel="0" collapsed="false">
      <c r="F58" s="130"/>
      <c r="H58" s="50"/>
      <c r="I58" s="50"/>
    </row>
    <row r="59" customFormat="false" ht="15" hidden="false" customHeight="false" outlineLevel="0" collapsed="false">
      <c r="F59" s="130"/>
      <c r="H59" s="50"/>
      <c r="I59" s="50"/>
    </row>
    <row r="60" customFormat="false" ht="15" hidden="false" customHeight="false" outlineLevel="0" collapsed="false">
      <c r="C60" s="131"/>
      <c r="D60" s="50"/>
      <c r="E60" s="50"/>
      <c r="F60" s="50"/>
      <c r="H60" s="50"/>
      <c r="I60" s="50"/>
    </row>
    <row r="64" customFormat="false" ht="15" hidden="false" customHeight="false" outlineLevel="0" collapsed="false">
      <c r="C64" s="132" t="s">
        <v>308</v>
      </c>
    </row>
    <row r="65" customFormat="false" ht="15" hidden="false" customHeight="false" outlineLevel="0" collapsed="false">
      <c r="C65" s="133" t="s">
        <v>309</v>
      </c>
    </row>
    <row r="66" customFormat="false" ht="15" hidden="false" customHeight="false" outlineLevel="0" collapsed="false">
      <c r="C66" s="133" t="s">
        <v>310</v>
      </c>
    </row>
    <row r="67" customFormat="false" ht="15" hidden="false" customHeight="false" outlineLevel="0" collapsed="false">
      <c r="C67" s="133" t="s">
        <v>311</v>
      </c>
    </row>
    <row r="68" customFormat="false" ht="15" hidden="false" customHeight="false" outlineLevel="0" collapsed="false">
      <c r="C68" s="133" t="s">
        <v>257</v>
      </c>
    </row>
    <row r="69" customFormat="false" ht="15" hidden="false" customHeight="false" outlineLevel="0" collapsed="false">
      <c r="C69" s="133" t="s">
        <v>312</v>
      </c>
    </row>
  </sheetData>
  <mergeCells count="19">
    <mergeCell ref="C4:K4"/>
    <mergeCell ref="L4:T4"/>
    <mergeCell ref="U4:AD4"/>
    <mergeCell ref="C5:K5"/>
    <mergeCell ref="L5:T5"/>
    <mergeCell ref="U5:AD5"/>
    <mergeCell ref="U6:AD6"/>
    <mergeCell ref="C17:K17"/>
    <mergeCell ref="L17:T17"/>
    <mergeCell ref="U20:AD20"/>
    <mergeCell ref="L21:T21"/>
    <mergeCell ref="C24:K24"/>
    <mergeCell ref="C38:K38"/>
    <mergeCell ref="L38:T38"/>
    <mergeCell ref="C39:F39"/>
    <mergeCell ref="G39:K39"/>
    <mergeCell ref="C52:K52"/>
    <mergeCell ref="L52:T52"/>
    <mergeCell ref="U52:AE52"/>
  </mergeCells>
  <dataValidations count="1">
    <dataValidation allowBlank="true" operator="between" showDropDown="false" showErrorMessage="true" showInputMessage="true" sqref="E7" type="list">
      <formula1>$C$65:$C$69</formula1>
      <formula2>0</formula2>
    </dataValidation>
  </dataValidations>
  <printOptions headings="false" gridLines="false" gridLinesSet="true" horizontalCentered="true" verticalCentered="false"/>
  <pageMargins left="0.25" right="0.25" top="0.25" bottom="0.75" header="0.511805555555555" footer="0.511805555555555"/>
  <pageSetup paperSize="1" scale="100" firstPageNumber="0" fitToWidth="0" fitToHeight="1" pageOrder="downThenOver" orientation="portrait" blackAndWhite="false" draft="false" cellComments="none" useFirstPageNumber="false" horizontalDpi="300" verticalDpi="300" copies="1"/>
  <headerFooter differentFirst="false" differentOddEven="false">
    <oddHeader/>
    <oddFooter/>
  </headerFooter>
  <colBreaks count="3" manualBreakCount="3">
    <brk id="11" man="true" max="65535" min="0"/>
    <brk id="20" man="true" max="65535" min="0"/>
    <brk id="31" man="true" max="65535" min="0"/>
  </colBreaks>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P52"/>
  <sheetViews>
    <sheetView showFormulas="false" showGridLines="true" showRowColHeaders="true" showZeros="true" rightToLeft="false" tabSelected="false" showOutlineSymbols="true" defaultGridColor="true" view="normal" topLeftCell="D1" colorId="64" zoomScale="80" zoomScaleNormal="80" zoomScalePageLayoutView="100" workbookViewId="0">
      <selection pane="topLeft" activeCell="G23" activeCellId="0" sqref="G23"/>
    </sheetView>
  </sheetViews>
  <sheetFormatPr defaultRowHeight="15" zeroHeight="false" outlineLevelRow="0" outlineLevelCol="0"/>
  <cols>
    <col collapsed="false" customWidth="true" hidden="false" outlineLevel="0" max="1" min="1" style="0" width="9.13"/>
    <col collapsed="false" customWidth="false" hidden="true" outlineLevel="0" max="2" min="2" style="0" width="11.52"/>
    <col collapsed="false" customWidth="true" hidden="true" outlineLevel="0" max="3" min="3" style="0" width="11.99"/>
    <col collapsed="false" customWidth="true" hidden="false" outlineLevel="0" max="4" min="4" style="0" width="19.99"/>
    <col collapsed="false" customWidth="true" hidden="false" outlineLevel="0" max="5" min="5" style="0" width="24.71"/>
    <col collapsed="false" customWidth="true" hidden="false" outlineLevel="0" max="6" min="6" style="0" width="25.57"/>
    <col collapsed="false" customWidth="true" hidden="false" outlineLevel="0" max="7" min="7" style="0" width="34.71"/>
    <col collapsed="false" customWidth="true" hidden="false" outlineLevel="0" max="8" min="8" style="0" width="11.14"/>
    <col collapsed="false" customWidth="true" hidden="false" outlineLevel="0" max="9" min="9" style="0" width="30.28"/>
    <col collapsed="false" customWidth="true" hidden="false" outlineLevel="0" max="10" min="10" style="0" width="11.14"/>
    <col collapsed="false" customWidth="true" hidden="false" outlineLevel="0" max="11" min="11" style="0" width="11.99"/>
    <col collapsed="false" customWidth="true" hidden="false" outlineLevel="0" max="12" min="12" style="0" width="12.29"/>
    <col collapsed="false" customWidth="true" hidden="false" outlineLevel="0" max="13" min="13" style="0" width="18.29"/>
    <col collapsed="false" customWidth="true" hidden="false" outlineLevel="0" max="14" min="14" style="0" width="15.71"/>
    <col collapsed="false" customWidth="true" hidden="false" outlineLevel="0" max="17" min="15" style="0" width="11.14"/>
    <col collapsed="false" customWidth="true" hidden="false" outlineLevel="0" max="18" min="18" style="0" width="8.54"/>
    <col collapsed="false" customWidth="true" hidden="false" outlineLevel="0" max="19" min="19" style="0" width="27"/>
    <col collapsed="false" customWidth="true" hidden="false" outlineLevel="0" max="20" min="20" style="0" width="33"/>
    <col collapsed="false" customWidth="true" hidden="false" outlineLevel="0" max="21" min="21" style="0" width="8.29"/>
    <col collapsed="false" customWidth="true" hidden="false" outlineLevel="0" max="25" min="22" style="134" width="31.57"/>
    <col collapsed="false" customWidth="true" hidden="false" outlineLevel="0" max="26" min="26" style="0" width="33.57"/>
    <col collapsed="false" customWidth="true" hidden="false" outlineLevel="0" max="28" min="27" style="0" width="8.54"/>
    <col collapsed="false" customWidth="true" hidden="false" outlineLevel="0" max="29" min="29" style="135" width="12.29"/>
    <col collapsed="false" customWidth="true" hidden="false" outlineLevel="0" max="30" min="30" style="135" width="17.4"/>
    <col collapsed="false" customWidth="true" hidden="false" outlineLevel="0" max="31" min="31" style="135" width="11.57"/>
    <col collapsed="false" customWidth="true" hidden="false" outlineLevel="0" max="32" min="32" style="135" width="18.12"/>
    <col collapsed="false" customWidth="true" hidden="false" outlineLevel="0" max="33" min="33" style="135" width="19.71"/>
    <col collapsed="false" customWidth="true" hidden="false" outlineLevel="0" max="34" min="34" style="135" width="22.28"/>
    <col collapsed="false" customWidth="true" hidden="false" outlineLevel="0" max="35" min="35" style="135" width="33"/>
    <col collapsed="false" customWidth="true" hidden="false" outlineLevel="0" max="36" min="36" style="135" width="26.13"/>
    <col collapsed="false" customWidth="true" hidden="false" outlineLevel="0" max="38" min="37" style="135" width="8.86"/>
    <col collapsed="false" customWidth="true" hidden="false" outlineLevel="0" max="39" min="39" style="135" width="33"/>
    <col collapsed="false" customWidth="true" hidden="false" outlineLevel="0" max="40" min="40" style="135" width="6.28"/>
    <col collapsed="false" customWidth="true" hidden="false" outlineLevel="0" max="41" min="41" style="135" width="31.57"/>
    <col collapsed="false" customWidth="true" hidden="false" outlineLevel="0" max="42" min="42" style="135" width="33.57"/>
    <col collapsed="false" customWidth="true" hidden="false" outlineLevel="0" max="1025" min="43" style="0" width="8.54"/>
  </cols>
  <sheetData>
    <row r="1" customFormat="false" ht="18.75" hidden="false" customHeight="false" outlineLevel="0" collapsed="false">
      <c r="A1" s="136" t="s">
        <v>255</v>
      </c>
      <c r="AC1" s="137" t="s">
        <v>313</v>
      </c>
      <c r="AF1" s="137" t="s">
        <v>273</v>
      </c>
      <c r="AG1" s="137" t="s">
        <v>43</v>
      </c>
      <c r="AH1" s="137" t="s">
        <v>314</v>
      </c>
      <c r="AI1" s="137" t="s">
        <v>199</v>
      </c>
      <c r="AJ1" s="137" t="s">
        <v>315</v>
      </c>
      <c r="AM1" s="135" t="s">
        <v>4</v>
      </c>
      <c r="AN1" s="135" t="s">
        <v>1</v>
      </c>
      <c r="AO1" s="138" t="s">
        <v>3</v>
      </c>
      <c r="AP1" s="135" t="s">
        <v>316</v>
      </c>
    </row>
    <row r="2" customFormat="false" ht="15" hidden="false" customHeight="false" outlineLevel="0" collapsed="false">
      <c r="P2" s="139"/>
      <c r="Q2" s="139"/>
      <c r="R2" s="139"/>
      <c r="S2" s="139"/>
      <c r="T2" s="139"/>
      <c r="U2" s="139"/>
      <c r="V2" s="139"/>
      <c r="W2" s="139"/>
      <c r="X2" s="139"/>
      <c r="Y2" s="139"/>
      <c r="Z2" s="139"/>
      <c r="AA2" s="139"/>
      <c r="AB2" s="139"/>
      <c r="AG2" s="135" t="s">
        <v>40</v>
      </c>
      <c r="AH2" s="135" t="s">
        <v>317</v>
      </c>
      <c r="AI2" s="135" t="s">
        <v>207</v>
      </c>
      <c r="AJ2" s="135" t="s">
        <v>33</v>
      </c>
      <c r="AM2" s="135" t="s">
        <v>40</v>
      </c>
      <c r="AN2" s="138" t="s">
        <v>41</v>
      </c>
      <c r="AO2" s="140" t="s">
        <v>42</v>
      </c>
      <c r="AP2" s="138" t="s">
        <v>44</v>
      </c>
    </row>
    <row r="3" customFormat="false" ht="15" hidden="false" customHeight="false" outlineLevel="0" collapsed="false">
      <c r="AC3" s="135" t="s">
        <v>273</v>
      </c>
      <c r="AD3" s="135" t="s">
        <v>273</v>
      </c>
      <c r="AG3" s="135" t="s">
        <v>47</v>
      </c>
      <c r="AH3" s="135" t="s">
        <v>318</v>
      </c>
      <c r="AI3" s="135" t="s">
        <v>204</v>
      </c>
      <c r="AJ3" s="135" t="s">
        <v>15</v>
      </c>
      <c r="AM3" s="135" t="s">
        <v>47</v>
      </c>
      <c r="AN3" s="138" t="s">
        <v>48</v>
      </c>
      <c r="AO3" s="140" t="s">
        <v>49</v>
      </c>
      <c r="AP3" s="138" t="s">
        <v>50</v>
      </c>
    </row>
    <row r="4" customFormat="false" ht="15" hidden="false" customHeight="false" outlineLevel="0" collapsed="false">
      <c r="AC4" s="135" t="s">
        <v>319</v>
      </c>
      <c r="AD4" s="135" t="s">
        <v>43</v>
      </c>
      <c r="AG4" s="135" t="s">
        <v>63</v>
      </c>
      <c r="AH4" s="135" t="s">
        <v>320</v>
      </c>
      <c r="AI4" s="135" t="s">
        <v>201</v>
      </c>
      <c r="AJ4" s="135" t="s">
        <v>321</v>
      </c>
      <c r="AM4" s="135" t="s">
        <v>63</v>
      </c>
      <c r="AN4" s="138" t="s">
        <v>64</v>
      </c>
      <c r="AO4" s="140" t="s">
        <v>65</v>
      </c>
      <c r="AP4" s="138" t="s">
        <v>66</v>
      </c>
    </row>
    <row r="5" customFormat="false" ht="15" hidden="false" customHeight="false" outlineLevel="0" collapsed="false">
      <c r="AC5" s="135" t="s">
        <v>322</v>
      </c>
      <c r="AD5" s="135" t="s">
        <v>114</v>
      </c>
      <c r="AG5" s="135" t="s">
        <v>59</v>
      </c>
      <c r="AH5" s="135" t="s">
        <v>323</v>
      </c>
      <c r="AI5" s="135" t="s">
        <v>324</v>
      </c>
      <c r="AJ5" s="135" t="s">
        <v>8</v>
      </c>
      <c r="AM5" s="135" t="s">
        <v>59</v>
      </c>
      <c r="AN5" s="138" t="s">
        <v>60</v>
      </c>
      <c r="AO5" s="140" t="s">
        <v>61</v>
      </c>
      <c r="AP5" s="138" t="s">
        <v>62</v>
      </c>
    </row>
    <row r="6" customFormat="false" ht="15" hidden="false" customHeight="false" outlineLevel="0" collapsed="false">
      <c r="AC6" s="135" t="s">
        <v>199</v>
      </c>
      <c r="AD6" s="135" t="s">
        <v>199</v>
      </c>
      <c r="AG6" s="135" t="s">
        <v>67</v>
      </c>
      <c r="AH6" s="135" t="s">
        <v>124</v>
      </c>
      <c r="AI6" s="135" t="s">
        <v>325</v>
      </c>
      <c r="AM6" s="135" t="s">
        <v>67</v>
      </c>
      <c r="AN6" s="138" t="s">
        <v>68</v>
      </c>
      <c r="AO6" s="140" t="s">
        <v>69</v>
      </c>
      <c r="AP6" s="138" t="s">
        <v>326</v>
      </c>
    </row>
    <row r="7" customFormat="false" ht="15" hidden="false" customHeight="false" outlineLevel="0" collapsed="false">
      <c r="AC7" s="135" t="s">
        <v>13</v>
      </c>
      <c r="AD7" s="135" t="s">
        <v>13</v>
      </c>
      <c r="AG7" s="135" t="s">
        <v>71</v>
      </c>
      <c r="AH7" s="135" t="s">
        <v>327</v>
      </c>
      <c r="AI7" s="135" t="s">
        <v>328</v>
      </c>
      <c r="AM7" s="135" t="s">
        <v>71</v>
      </c>
      <c r="AN7" s="138" t="s">
        <v>72</v>
      </c>
      <c r="AO7" s="140" t="s">
        <v>73</v>
      </c>
      <c r="AP7" s="138" t="s">
        <v>329</v>
      </c>
    </row>
    <row r="8" customFormat="false" ht="15" hidden="false" customHeight="false" outlineLevel="0" collapsed="false">
      <c r="AG8" s="135" t="s">
        <v>330</v>
      </c>
      <c r="AH8" s="135" t="s">
        <v>331</v>
      </c>
      <c r="AI8" s="135" t="s">
        <v>226</v>
      </c>
      <c r="AM8" s="135" t="s">
        <v>330</v>
      </c>
      <c r="AN8" s="138" t="s">
        <v>75</v>
      </c>
      <c r="AO8" s="140" t="s">
        <v>76</v>
      </c>
      <c r="AP8" s="138" t="s">
        <v>330</v>
      </c>
    </row>
    <row r="9" customFormat="false" ht="15" hidden="false" customHeight="false" outlineLevel="0" collapsed="false">
      <c r="AG9" s="135" t="s">
        <v>332</v>
      </c>
      <c r="AI9" s="135" t="s">
        <v>333</v>
      </c>
      <c r="AM9" s="135" t="s">
        <v>332</v>
      </c>
      <c r="AN9" s="138" t="s">
        <v>79</v>
      </c>
      <c r="AO9" s="140" t="s">
        <v>80</v>
      </c>
      <c r="AP9" s="138" t="s">
        <v>332</v>
      </c>
    </row>
    <row r="10" customFormat="false" ht="15" hidden="false" customHeight="false" outlineLevel="0" collapsed="false">
      <c r="AI10" s="135" t="s">
        <v>334</v>
      </c>
      <c r="AM10" s="135" t="s">
        <v>317</v>
      </c>
      <c r="AN10" s="138" t="s">
        <v>112</v>
      </c>
      <c r="AO10" s="135" t="s">
        <v>113</v>
      </c>
      <c r="AP10" s="138" t="s">
        <v>317</v>
      </c>
    </row>
    <row r="11" customFormat="false" ht="15" hidden="false" customHeight="false" outlineLevel="0" collapsed="false">
      <c r="AI11" s="135" t="s">
        <v>234</v>
      </c>
      <c r="AM11" s="135" t="s">
        <v>318</v>
      </c>
      <c r="AN11" s="138" t="s">
        <v>125</v>
      </c>
      <c r="AO11" s="140" t="s">
        <v>126</v>
      </c>
      <c r="AP11" s="138" t="s">
        <v>335</v>
      </c>
    </row>
    <row r="12" customFormat="false" ht="15" hidden="false" customHeight="false" outlineLevel="0" collapsed="false">
      <c r="AM12" s="135" t="s">
        <v>320</v>
      </c>
      <c r="AN12" s="138" t="s">
        <v>117</v>
      </c>
      <c r="AO12" s="135" t="s">
        <v>336</v>
      </c>
      <c r="AP12" s="138" t="s">
        <v>320</v>
      </c>
    </row>
    <row r="13" customFormat="false" ht="15" hidden="false" customHeight="false" outlineLevel="0" collapsed="false">
      <c r="D13" s="141" t="s">
        <v>337</v>
      </c>
      <c r="E13" s="142"/>
      <c r="F13" s="143" t="n">
        <v>43262</v>
      </c>
      <c r="AM13" s="135" t="s">
        <v>124</v>
      </c>
      <c r="AN13" s="138" t="s">
        <v>122</v>
      </c>
      <c r="AO13" s="140" t="s">
        <v>123</v>
      </c>
      <c r="AP13" s="138" t="s">
        <v>124</v>
      </c>
    </row>
    <row r="14" customFormat="false" ht="15" hidden="false" customHeight="false" outlineLevel="0" collapsed="false">
      <c r="D14" s="144" t="s">
        <v>256</v>
      </c>
      <c r="E14" s="145"/>
      <c r="F14" s="146" t="str">
        <f aca="false">'Final Report'!E7</f>
        <v>High</v>
      </c>
      <c r="AM14" s="135" t="s">
        <v>327</v>
      </c>
      <c r="AN14" s="138" t="s">
        <v>128</v>
      </c>
      <c r="AO14" s="140" t="s">
        <v>129</v>
      </c>
      <c r="AP14" s="138" t="s">
        <v>130</v>
      </c>
    </row>
    <row r="15" customFormat="false" ht="15" hidden="false" customHeight="false" outlineLevel="0" collapsed="false">
      <c r="D15" s="147" t="s">
        <v>266</v>
      </c>
      <c r="E15" s="148"/>
      <c r="F15" s="149" t="n">
        <f aca="false">'Final Report'!E8</f>
        <v>0.08</v>
      </c>
      <c r="AM15" s="135" t="s">
        <v>331</v>
      </c>
      <c r="AN15" s="138" t="s">
        <v>172</v>
      </c>
      <c r="AO15" s="140" t="s">
        <v>173</v>
      </c>
      <c r="AP15" s="138" t="s">
        <v>171</v>
      </c>
    </row>
    <row r="16" customFormat="false" ht="15" hidden="false" customHeight="false" outlineLevel="0" collapsed="false">
      <c r="AM16" s="135" t="s">
        <v>207</v>
      </c>
      <c r="AN16" s="138" t="s">
        <v>205</v>
      </c>
      <c r="AO16" s="140" t="s">
        <v>338</v>
      </c>
      <c r="AP16" s="138" t="s">
        <v>339</v>
      </c>
    </row>
    <row r="17" customFormat="false" ht="15" hidden="false" customHeight="false" outlineLevel="0" collapsed="false">
      <c r="A17" s="150" t="n">
        <f aca="false">COUNTA(E21:E29)</f>
        <v>7</v>
      </c>
      <c r="AM17" s="135" t="s">
        <v>204</v>
      </c>
      <c r="AN17" s="138" t="s">
        <v>202</v>
      </c>
      <c r="AO17" s="140" t="s">
        <v>340</v>
      </c>
      <c r="AP17" s="138" t="s">
        <v>204</v>
      </c>
    </row>
    <row r="18" customFormat="false" ht="21" hidden="false" customHeight="false" outlineLevel="0" collapsed="false">
      <c r="D18" s="151" t="s">
        <v>341</v>
      </c>
      <c r="AC18" s="152" t="s">
        <v>342</v>
      </c>
      <c r="AM18" s="135" t="s">
        <v>201</v>
      </c>
      <c r="AN18" s="138" t="s">
        <v>197</v>
      </c>
      <c r="AO18" s="140" t="s">
        <v>198</v>
      </c>
      <c r="AP18" s="138" t="s">
        <v>201</v>
      </c>
    </row>
    <row r="19" customFormat="false" ht="15.75" hidden="false" customHeight="false" outlineLevel="0" collapsed="false">
      <c r="D19" s="153" t="s">
        <v>343</v>
      </c>
      <c r="E19" s="154" t="s">
        <v>4</v>
      </c>
      <c r="F19" s="154" t="s">
        <v>0</v>
      </c>
      <c r="G19" s="154" t="s">
        <v>344</v>
      </c>
      <c r="H19" s="154" t="s">
        <v>345</v>
      </c>
      <c r="I19" s="155" t="s">
        <v>3</v>
      </c>
      <c r="AD19" s="138" t="s">
        <v>346</v>
      </c>
      <c r="AE19" s="138" t="s">
        <v>347</v>
      </c>
      <c r="AF19" s="138" t="s">
        <v>348</v>
      </c>
      <c r="AG19" s="138" t="s">
        <v>349</v>
      </c>
      <c r="AH19" s="138" t="s">
        <v>350</v>
      </c>
      <c r="AI19" s="138" t="s">
        <v>351</v>
      </c>
      <c r="AM19" s="135" t="s">
        <v>324</v>
      </c>
      <c r="AN19" s="138" t="s">
        <v>221</v>
      </c>
      <c r="AO19" s="140" t="s">
        <v>222</v>
      </c>
      <c r="AP19" s="138" t="s">
        <v>324</v>
      </c>
    </row>
    <row r="20" customFormat="false" ht="15.75" hidden="false" customHeight="false" outlineLevel="0" collapsed="false">
      <c r="D20" s="156"/>
      <c r="E20" s="157" t="s">
        <v>273</v>
      </c>
      <c r="F20" s="157" t="s">
        <v>273</v>
      </c>
      <c r="G20" s="158" t="n">
        <v>0.01</v>
      </c>
      <c r="H20" s="159"/>
      <c r="I20" s="160"/>
      <c r="AC20" s="135" t="s">
        <v>352</v>
      </c>
      <c r="AD20" s="161" t="n">
        <f aca="false">SUM(AD21:AD30)</f>
        <v>100</v>
      </c>
      <c r="AE20" s="161" t="n">
        <f aca="false">SUM(AE21:AE30)</f>
        <v>99.6785563786455</v>
      </c>
      <c r="AF20" s="161" t="n">
        <f aca="false">SUM(AF21:AF30)</f>
        <v>98.5249247067337</v>
      </c>
      <c r="AG20" s="161" t="n">
        <f aca="false">SUM(AG21:AG30)</f>
        <v>1</v>
      </c>
      <c r="AH20" s="161" t="e">
        <f aca="false">SUM(AH21:AH30)</f>
        <v>#DIV/0!</v>
      </c>
      <c r="AI20" s="161" t="e">
        <f aca="false">SUM(AI21:AI30)</f>
        <v>#DIV/0!</v>
      </c>
      <c r="AM20" s="135" t="s">
        <v>325</v>
      </c>
      <c r="AN20" s="138" t="s">
        <v>246</v>
      </c>
      <c r="AO20" s="140" t="s">
        <v>247</v>
      </c>
      <c r="AP20" s="138" t="s">
        <v>325</v>
      </c>
    </row>
    <row r="21" customFormat="false" ht="15" hidden="false" customHeight="false" outlineLevel="0" collapsed="false">
      <c r="A21" s="150" t="n">
        <v>1</v>
      </c>
      <c r="B21" s="150" t="n">
        <f aca="false">IF(G21="","",A21)</f>
        <v>1</v>
      </c>
      <c r="D21" s="156" t="s">
        <v>353</v>
      </c>
      <c r="E21" s="162" t="s">
        <v>199</v>
      </c>
      <c r="F21" s="163" t="s">
        <v>334</v>
      </c>
      <c r="G21" s="164" t="n">
        <v>0.1</v>
      </c>
      <c r="H21" s="159" t="str">
        <f aca="false">IF(F21="","",VLOOKUP(F21,$AM$2:$AP$29,2,0))</f>
        <v>BIV</v>
      </c>
      <c r="I21" s="160" t="str">
        <f aca="false">IF(H21="","",VLOOKUP(H21,'ETF List'!$C$3:$E$90,3,0))</f>
        <v>Vanguard Intermediate-Term Bond</v>
      </c>
      <c r="AC21" s="135" t="str">
        <f aca="false">IF(F20="","",F20)</f>
        <v>Cash</v>
      </c>
      <c r="AD21" s="161" t="n">
        <f aca="false">IF(AC21="","",G20*100)</f>
        <v>1</v>
      </c>
      <c r="AE21" s="161" t="n">
        <f aca="false">AD21</f>
        <v>1</v>
      </c>
      <c r="AF21" s="161" t="n">
        <f aca="false">AE21</f>
        <v>1</v>
      </c>
      <c r="AG21" s="161" t="n">
        <f aca="false">AF21</f>
        <v>1</v>
      </c>
      <c r="AH21" s="161" t="n">
        <f aca="false">AG21</f>
        <v>1</v>
      </c>
      <c r="AI21" s="161" t="n">
        <f aca="false">AH21</f>
        <v>1</v>
      </c>
      <c r="AM21" s="135" t="s">
        <v>328</v>
      </c>
      <c r="AN21" s="138" t="s">
        <v>209</v>
      </c>
      <c r="AO21" s="140" t="s">
        <v>210</v>
      </c>
      <c r="AP21" s="138" t="s">
        <v>328</v>
      </c>
    </row>
    <row r="22" customFormat="false" ht="15" hidden="false" customHeight="false" outlineLevel="0" collapsed="false">
      <c r="A22" s="150" t="n">
        <v>2</v>
      </c>
      <c r="B22" s="150" t="n">
        <f aca="false">IF(G22="","",A22)</f>
        <v>2</v>
      </c>
      <c r="D22" s="156" t="s">
        <v>354</v>
      </c>
      <c r="E22" s="162" t="s">
        <v>199</v>
      </c>
      <c r="F22" s="163" t="s">
        <v>204</v>
      </c>
      <c r="G22" s="164" t="n">
        <v>0.075</v>
      </c>
      <c r="H22" s="159" t="str">
        <f aca="false">IF(F22="","",VLOOKUP(F22,$AM$2:$AP$29,2,0))</f>
        <v>IEF</v>
      </c>
      <c r="I22" s="160" t="str">
        <f aca="false">IF(H22="","",VLOOKUP(H22,'ETF List'!$C$3:$E$90,3,0))</f>
        <v>iShares 7-10 Yr Treasury</v>
      </c>
      <c r="AC22" s="135" t="str">
        <f aca="false">IF(F21="","",F21)</f>
        <v>Intermediate-Term Corporate Bonds</v>
      </c>
      <c r="AD22" s="161" t="n">
        <f aca="false">IF(AC22="","",G21*100)</f>
        <v>10</v>
      </c>
      <c r="AE22" s="161" t="n">
        <f aca="false">IF(AD22="","",AD22*'Price Inputs'!F6/'Price Inputs'!E6)</f>
        <v>9.9913237481408</v>
      </c>
      <c r="AF22" s="161" t="n">
        <f aca="false">IF(AE22="","",AE22*'Price Inputs'!G6/'Price Inputs'!F6)</f>
        <v>9.99752107089737</v>
      </c>
      <c r="AG22" s="161" t="n">
        <f aca="false">IF(AF22="","",AF22*'Price Inputs'!H6/'Price Inputs'!G6)</f>
        <v>0</v>
      </c>
      <c r="AH22" s="161" t="e">
        <f aca="false">IF(AG22="","",AG22*'Price Inputs'!I6/'Price Inputs'!H6)</f>
        <v>#DIV/0!</v>
      </c>
      <c r="AI22" s="161" t="e">
        <f aca="false">IF(AH22="","",AH22*'Price Inputs'!J6/'Price Inputs'!I6)</f>
        <v>#DIV/0!</v>
      </c>
      <c r="AM22" s="135" t="s">
        <v>226</v>
      </c>
      <c r="AN22" s="138" t="s">
        <v>224</v>
      </c>
      <c r="AO22" s="140" t="s">
        <v>225</v>
      </c>
      <c r="AP22" s="138" t="s">
        <v>226</v>
      </c>
    </row>
    <row r="23" customFormat="false" ht="15" hidden="false" customHeight="false" outlineLevel="0" collapsed="false">
      <c r="A23" s="150" t="n">
        <v>3</v>
      </c>
      <c r="B23" s="150" t="n">
        <f aca="false">IF(G23="","",A23)</f>
        <v>3</v>
      </c>
      <c r="D23" s="156" t="s">
        <v>355</v>
      </c>
      <c r="E23" s="162" t="s">
        <v>199</v>
      </c>
      <c r="F23" s="163" t="s">
        <v>234</v>
      </c>
      <c r="G23" s="164" t="n">
        <v>0.175</v>
      </c>
      <c r="H23" s="159" t="str">
        <f aca="false">IF(F23="","",VLOOKUP(F23,$AM$2:$AP$29,2,0))</f>
        <v>HYG</v>
      </c>
      <c r="I23" s="160" t="str">
        <f aca="false">IF(H23="","",VLOOKUP(H23,'ETF List'!$C$3:$E$90,3,0))</f>
        <v>iShares High Yield Bonds</v>
      </c>
      <c r="AC23" s="135" t="str">
        <f aca="false">IF(F22="","",F22)</f>
        <v>Intermediate Term Treasury</v>
      </c>
      <c r="AD23" s="161" t="n">
        <f aca="false">IF(AC23="","",G22*100)</f>
        <v>7.5</v>
      </c>
      <c r="AE23" s="161" t="n">
        <f aca="false">IF(AD23="","",AD23*'Price Inputs'!F7/'Price Inputs'!E7)</f>
        <v>7.5088486874447</v>
      </c>
      <c r="AF23" s="161" t="n">
        <f aca="false">IF(AE23="","",AE23*'Price Inputs'!G7/'Price Inputs'!F7)</f>
        <v>7.52949562481566</v>
      </c>
      <c r="AG23" s="161" t="n">
        <f aca="false">IF(AF23="","",AF23*'Price Inputs'!H7/'Price Inputs'!G7)</f>
        <v>0</v>
      </c>
      <c r="AH23" s="161" t="e">
        <f aca="false">IF(AG23="","",AG23*'Price Inputs'!I7/'Price Inputs'!H7)</f>
        <v>#DIV/0!</v>
      </c>
      <c r="AI23" s="161" t="e">
        <f aca="false">IF(AH23="","",AH23*'Price Inputs'!J7/'Price Inputs'!I7)</f>
        <v>#DIV/0!</v>
      </c>
      <c r="AM23" s="135" t="s">
        <v>333</v>
      </c>
      <c r="AN23" s="138" t="s">
        <v>236</v>
      </c>
      <c r="AO23" s="140" t="s">
        <v>237</v>
      </c>
      <c r="AP23" s="138" t="s">
        <v>238</v>
      </c>
    </row>
    <row r="24" customFormat="false" ht="15" hidden="false" customHeight="false" outlineLevel="0" collapsed="false">
      <c r="A24" s="150" t="n">
        <v>4</v>
      </c>
      <c r="B24" s="150" t="n">
        <f aca="false">IF(G24="","",A24)</f>
        <v>4</v>
      </c>
      <c r="D24" s="156" t="s">
        <v>356</v>
      </c>
      <c r="E24" s="162" t="s">
        <v>13</v>
      </c>
      <c r="F24" s="163" t="s">
        <v>33</v>
      </c>
      <c r="G24" s="164" t="n">
        <v>0.05</v>
      </c>
      <c r="H24" s="159" t="str">
        <f aca="false">IF(F24="","",VLOOKUP(F24,$AM$2:$AP$29,2,0))</f>
        <v>IYR</v>
      </c>
      <c r="I24" s="160" t="str">
        <f aca="false">IF(H24="","",VLOOKUP(H24,'ETF List'!$C$3:$E$90,3,0))</f>
        <v>iShares US Real Estate</v>
      </c>
      <c r="AC24" s="135" t="str">
        <f aca="false">IF(F23="","",F23)</f>
        <v>High Yield Corporate Bonds</v>
      </c>
      <c r="AD24" s="161" t="n">
        <f aca="false">IF(AC24="","",G23*100)</f>
        <v>17.5</v>
      </c>
      <c r="AE24" s="161" t="n">
        <f aca="false">IF(AD24="","",AD24*'Price Inputs'!F8/'Price Inputs'!E8)</f>
        <v>17.5939761849171</v>
      </c>
      <c r="AF24" s="161" t="n">
        <f aca="false">IF(AE24="","",AE24*'Price Inputs'!G8/'Price Inputs'!F8)</f>
        <v>17.5510740135419</v>
      </c>
      <c r="AG24" s="161" t="n">
        <f aca="false">IF(AF24="","",AF24*'Price Inputs'!H8/'Price Inputs'!G8)</f>
        <v>0</v>
      </c>
      <c r="AH24" s="161" t="e">
        <f aca="false">IF(AG24="","",AG24*'Price Inputs'!I8/'Price Inputs'!H8)</f>
        <v>#DIV/0!</v>
      </c>
      <c r="AI24" s="161" t="e">
        <f aca="false">IF(AH24="","",AH24*'Price Inputs'!J8/'Price Inputs'!I8)</f>
        <v>#DIV/0!</v>
      </c>
      <c r="AM24" s="135" t="s">
        <v>334</v>
      </c>
      <c r="AN24" s="138" t="s">
        <v>227</v>
      </c>
      <c r="AO24" s="140" t="s">
        <v>228</v>
      </c>
      <c r="AP24" s="138" t="s">
        <v>229</v>
      </c>
    </row>
    <row r="25" customFormat="false" ht="15" hidden="false" customHeight="false" outlineLevel="0" collapsed="false">
      <c r="A25" s="150" t="n">
        <v>5</v>
      </c>
      <c r="B25" s="150" t="n">
        <f aca="false">IF(G25="","",A25)</f>
        <v>5</v>
      </c>
      <c r="D25" s="156" t="s">
        <v>357</v>
      </c>
      <c r="E25" s="162" t="s">
        <v>319</v>
      </c>
      <c r="F25" s="163" t="s">
        <v>40</v>
      </c>
      <c r="G25" s="164" t="n">
        <v>0.29</v>
      </c>
      <c r="H25" s="159" t="str">
        <f aca="false">IF(F25="","",VLOOKUP(F25,$AM$2:$AP$29,2,0))</f>
        <v>VTI</v>
      </c>
      <c r="I25" s="160" t="str">
        <f aca="false">IF(H25="","",VLOOKUP(H25,'ETF List'!$C$3:$E$90,3,0))</f>
        <v>Vanguard Total Stock Mrkt</v>
      </c>
      <c r="AC25" s="135" t="str">
        <f aca="false">IF(F24="","",F24)</f>
        <v>REIT</v>
      </c>
      <c r="AD25" s="165" t="n">
        <f aca="false">IF(AC25="","",G24*100)</f>
        <v>5</v>
      </c>
      <c r="AE25" s="161" t="n">
        <f aca="false">IF(AD25="","",AD25*'Price Inputs'!F9/'Price Inputs'!E9)</f>
        <v>4.97104004029212</v>
      </c>
      <c r="AF25" s="161" t="n">
        <f aca="false">IF(AE25="","",AE25*'Price Inputs'!G9/'Price Inputs'!F9)</f>
        <v>5.08058423570889</v>
      </c>
      <c r="AG25" s="161" t="n">
        <f aca="false">IF(AF25="","",AF25*'Price Inputs'!H9/'Price Inputs'!G9)</f>
        <v>0</v>
      </c>
      <c r="AH25" s="161" t="e">
        <f aca="false">IF(AG25="","",AG25*'Price Inputs'!I9/'Price Inputs'!H9)</f>
        <v>#DIV/0!</v>
      </c>
      <c r="AI25" s="161" t="e">
        <f aca="false">IF(AH25="","",AH25*'Price Inputs'!J9/'Price Inputs'!I9)</f>
        <v>#DIV/0!</v>
      </c>
      <c r="AM25" s="135" t="s">
        <v>234</v>
      </c>
      <c r="AN25" s="138" t="s">
        <v>231</v>
      </c>
      <c r="AO25" s="140" t="s">
        <v>232</v>
      </c>
      <c r="AP25" s="138" t="s">
        <v>339</v>
      </c>
    </row>
    <row r="26" customFormat="false" ht="15" hidden="false" customHeight="false" outlineLevel="0" collapsed="false">
      <c r="A26" s="150" t="n">
        <v>6</v>
      </c>
      <c r="B26" s="150" t="n">
        <f aca="false">IF(G26="","",A26)</f>
        <v>6</v>
      </c>
      <c r="D26" s="156" t="s">
        <v>358</v>
      </c>
      <c r="E26" s="162" t="s">
        <v>322</v>
      </c>
      <c r="F26" s="163" t="s">
        <v>318</v>
      </c>
      <c r="G26" s="164" t="n">
        <v>0.15</v>
      </c>
      <c r="H26" s="159" t="str">
        <f aca="false">IF(F26="","",VLOOKUP(F26,$AM$2:$AP$29,2,0))</f>
        <v>EFA</v>
      </c>
      <c r="I26" s="160" t="str">
        <f aca="false">IF(H26="","",VLOOKUP(H26,'ETF List'!$C$3:$E$90,3,0))</f>
        <v>iShares EAFE</v>
      </c>
      <c r="AC26" s="135" t="str">
        <f aca="false">IF(F25="","",F25)</f>
        <v>US Stock Market</v>
      </c>
      <c r="AD26" s="165" t="n">
        <f aca="false">IF(AC26="","",G25*100)</f>
        <v>29</v>
      </c>
      <c r="AE26" s="161" t="n">
        <f aca="false">IF(AD26="","",AD26*'Price Inputs'!F10/'Price Inputs'!E10)</f>
        <v>29.0503787089153</v>
      </c>
      <c r="AF26" s="161" t="n">
        <f aca="false">IF(AE26="","",AE26*'Price Inputs'!G10/'Price Inputs'!F10)</f>
        <v>28.7057883399347</v>
      </c>
      <c r="AG26" s="161" t="n">
        <f aca="false">IF(AF26="","",AF26*'Price Inputs'!H10/'Price Inputs'!G10)</f>
        <v>0</v>
      </c>
      <c r="AH26" s="161" t="e">
        <f aca="false">IF(AG26="","",AG26*'Price Inputs'!I10/'Price Inputs'!H10)</f>
        <v>#DIV/0!</v>
      </c>
      <c r="AI26" s="161" t="e">
        <f aca="false">IF(AH26="","",AH26*'Price Inputs'!J10/'Price Inputs'!I10)</f>
        <v>#DIV/0!</v>
      </c>
      <c r="AM26" s="135" t="s">
        <v>33</v>
      </c>
      <c r="AN26" s="138" t="s">
        <v>31</v>
      </c>
      <c r="AO26" s="140" t="s">
        <v>32</v>
      </c>
      <c r="AP26" s="138" t="s">
        <v>33</v>
      </c>
    </row>
    <row r="27" customFormat="false" ht="15" hidden="false" customHeight="false" outlineLevel="0" collapsed="false">
      <c r="A27" s="150" t="n">
        <v>7</v>
      </c>
      <c r="B27" s="150" t="n">
        <f aca="false">IF(G27="","",A27)</f>
        <v>7</v>
      </c>
      <c r="D27" s="156" t="s">
        <v>359</v>
      </c>
      <c r="E27" s="162" t="s">
        <v>322</v>
      </c>
      <c r="F27" s="163" t="s">
        <v>331</v>
      </c>
      <c r="G27" s="164" t="n">
        <v>0.15</v>
      </c>
      <c r="H27" s="159" t="str">
        <f aca="false">IF(F27="","",VLOOKUP(F27,$AM$2:$AP$29,2,0))</f>
        <v>EEM</v>
      </c>
      <c r="I27" s="160" t="str">
        <f aca="false">IF(H27="","",VLOOKUP(H27,'ETF List'!$C$3:$E$90,3,0))</f>
        <v>iShares Emerging Mrkt</v>
      </c>
      <c r="AC27" s="135" t="str">
        <f aca="false">IF(F26="","",F26)</f>
        <v>Developed Markets</v>
      </c>
      <c r="AD27" s="165" t="n">
        <f aca="false">IF(AC27="","",G26*100)</f>
        <v>15</v>
      </c>
      <c r="AE27" s="161" t="n">
        <f aca="false">IF(AD27="","",AD27*'Price Inputs'!F11/'Price Inputs'!E11)</f>
        <v>14.9126544524925</v>
      </c>
      <c r="AF27" s="161" t="n">
        <f aca="false">IF(AE27="","",AE27*'Price Inputs'!G11/'Price Inputs'!F11)</f>
        <v>14.4439710268427</v>
      </c>
      <c r="AG27" s="161" t="n">
        <f aca="false">IF(AF27="","",AF27*'Price Inputs'!H11/'Price Inputs'!G11)</f>
        <v>0</v>
      </c>
      <c r="AH27" s="161" t="e">
        <f aca="false">IF(AG27="","",AG27*'Price Inputs'!I11/'Price Inputs'!H11)</f>
        <v>#DIV/0!</v>
      </c>
      <c r="AI27" s="161" t="e">
        <f aca="false">IF(AH27="","",AH27*'Price Inputs'!J11/'Price Inputs'!I11)</f>
        <v>#DIV/0!</v>
      </c>
      <c r="AM27" s="135" t="s">
        <v>15</v>
      </c>
      <c r="AN27" s="138" t="s">
        <v>11</v>
      </c>
      <c r="AO27" s="140" t="s">
        <v>12</v>
      </c>
      <c r="AP27" s="138" t="s">
        <v>15</v>
      </c>
    </row>
    <row r="28" customFormat="false" ht="15" hidden="false" customHeight="false" outlineLevel="0" collapsed="false">
      <c r="A28" s="150" t="n">
        <v>8</v>
      </c>
      <c r="B28" s="150" t="str">
        <f aca="false">IF(G28="","",A28)</f>
        <v/>
      </c>
      <c r="D28" s="156" t="s">
        <v>360</v>
      </c>
      <c r="E28" s="162"/>
      <c r="F28" s="163"/>
      <c r="G28" s="164"/>
      <c r="H28" s="159" t="str">
        <f aca="false">IF(F28="","",VLOOKUP(F28,$AM$2:$AP$29,2,0))</f>
        <v/>
      </c>
      <c r="I28" s="160" t="str">
        <f aca="false">IF(H28="","",VLOOKUP(H28,'ETF List'!$C$3:$E$90,3,0))</f>
        <v/>
      </c>
      <c r="AC28" s="135" t="str">
        <f aca="false">IF(F27="","",F27)</f>
        <v>Emerging Markets</v>
      </c>
      <c r="AD28" s="165" t="n">
        <f aca="false">IF(AC28="","",G27*100)</f>
        <v>15</v>
      </c>
      <c r="AE28" s="161" t="n">
        <f aca="false">IF(AD28="","",AD28*'Price Inputs'!F12/'Price Inputs'!E12)</f>
        <v>14.6503345564429</v>
      </c>
      <c r="AF28" s="161" t="n">
        <f aca="false">IF(AE28="","",AE28*'Price Inputs'!G12/'Price Inputs'!F12)</f>
        <v>14.2164903949924</v>
      </c>
      <c r="AG28" s="161" t="n">
        <f aca="false">IF(AF28="","",AF28*'Price Inputs'!H12/'Price Inputs'!G12)</f>
        <v>0</v>
      </c>
      <c r="AH28" s="161" t="e">
        <f aca="false">IF(AG28="","",AG28*'Price Inputs'!I12/'Price Inputs'!H12)</f>
        <v>#DIV/0!</v>
      </c>
      <c r="AI28" s="161" t="e">
        <f aca="false">IF(AH28="","",AH28*'Price Inputs'!J12/'Price Inputs'!I12)</f>
        <v>#DIV/0!</v>
      </c>
      <c r="AM28" s="135" t="s">
        <v>321</v>
      </c>
      <c r="AN28" s="138" t="s">
        <v>18</v>
      </c>
      <c r="AO28" s="140" t="s">
        <v>19</v>
      </c>
      <c r="AP28" s="138" t="s">
        <v>20</v>
      </c>
    </row>
    <row r="29" customFormat="false" ht="15" hidden="false" customHeight="false" outlineLevel="0" collapsed="false">
      <c r="A29" s="150" t="n">
        <v>9</v>
      </c>
      <c r="B29" s="150" t="str">
        <f aca="false">IF(G29="","",A29)</f>
        <v/>
      </c>
      <c r="D29" s="166" t="s">
        <v>361</v>
      </c>
      <c r="E29" s="167"/>
      <c r="F29" s="168"/>
      <c r="G29" s="169"/>
      <c r="H29" s="170" t="str">
        <f aca="false">IF(F29="","",VLOOKUP(F29,$AM$2:$AP$29,2,0))</f>
        <v/>
      </c>
      <c r="I29" s="171" t="str">
        <f aca="false">IF(H29="","",VLOOKUP(H29,'ETF List'!$C$3:$E$90,3,0))</f>
        <v/>
      </c>
      <c r="AC29" s="135" t="str">
        <f aca="false">IF(F28="","",F28)</f>
        <v/>
      </c>
      <c r="AD29" s="165" t="str">
        <f aca="false">IF(AC29="","",G28*100)</f>
        <v/>
      </c>
      <c r="AE29" s="161" t="str">
        <f aca="false">IF(AD29="","",AD29*'Price Inputs'!F13/'Price Inputs'!E13)</f>
        <v/>
      </c>
      <c r="AF29" s="161" t="str">
        <f aca="false">IF(AE29="","",AE29*'Price Inputs'!G13/'Price Inputs'!F13)</f>
        <v/>
      </c>
      <c r="AG29" s="161" t="str">
        <f aca="false">IF(AF29="","",AF29*'Price Inputs'!H13/'Price Inputs'!G13)</f>
        <v/>
      </c>
      <c r="AH29" s="161" t="str">
        <f aca="false">IF(AG29="","",AG29*'Price Inputs'!I13/'Price Inputs'!H13)</f>
        <v/>
      </c>
      <c r="AI29" s="161" t="str">
        <f aca="false">IF(AH29="","",AH29*'Price Inputs'!J13/'Price Inputs'!I13)</f>
        <v/>
      </c>
      <c r="AM29" s="135" t="s">
        <v>8</v>
      </c>
      <c r="AN29" s="138" t="s">
        <v>23</v>
      </c>
      <c r="AO29" s="140" t="s">
        <v>24</v>
      </c>
      <c r="AP29" s="138" t="s">
        <v>25</v>
      </c>
    </row>
    <row r="30" customFormat="false" ht="15" hidden="false" customHeight="false" outlineLevel="0" collapsed="false">
      <c r="D30" s="172"/>
      <c r="E30" s="172"/>
      <c r="F30" s="173" t="s">
        <v>362</v>
      </c>
      <c r="G30" s="174" t="n">
        <f aca="false">SUM(G20:G29)</f>
        <v>1</v>
      </c>
      <c r="H30" s="172"/>
      <c r="I30" s="172"/>
      <c r="AC30" s="135" t="str">
        <f aca="false">IF(F29="","",F29)</f>
        <v/>
      </c>
      <c r="AD30" s="165" t="str">
        <f aca="false">IF(AC30="","",G29*100)</f>
        <v/>
      </c>
      <c r="AE30" s="161" t="str">
        <f aca="false">IF(AD30="","",AD30*'Price Inputs'!F14/'Price Inputs'!E14)</f>
        <v/>
      </c>
      <c r="AF30" s="161" t="str">
        <f aca="false">IF(AE30="","",AE30*'Price Inputs'!G14/'Price Inputs'!F14)</f>
        <v/>
      </c>
      <c r="AG30" s="161" t="str">
        <f aca="false">IF(AF30="","",AF30*'Price Inputs'!H14/'Price Inputs'!G14)</f>
        <v/>
      </c>
      <c r="AH30" s="161" t="str">
        <f aca="false">IF(AG30="","",AG30*'Price Inputs'!I14/'Price Inputs'!H14)</f>
        <v/>
      </c>
      <c r="AI30" s="161" t="str">
        <f aca="false">IF(AH30="","",AH30*'Price Inputs'!J14/'Price Inputs'!I14)</f>
        <v/>
      </c>
    </row>
    <row r="36" customFormat="false" ht="15" hidden="false" customHeight="false" outlineLevel="0" collapsed="false">
      <c r="AC36" s="135" t="str">
        <f aca="false">IF(F20="","",F20)</f>
        <v>Cash</v>
      </c>
      <c r="AD36" s="175" t="n">
        <f aca="false">IF(AC36="","",AD21/AD$20)</f>
        <v>0.01</v>
      </c>
      <c r="AE36" s="175" t="n">
        <f aca="false">IF(AD36="","",AE21/AE$20)</f>
        <v>0.0100322480213431</v>
      </c>
      <c r="AF36" s="175" t="n">
        <f aca="false">IF(AE36="","",AF21/AF$20)</f>
        <v>0.0101497159523498</v>
      </c>
      <c r="AG36" s="175" t="n">
        <f aca="false">IF(AF36="","",AG21/AG$20)</f>
        <v>1</v>
      </c>
      <c r="AH36" s="175" t="e">
        <f aca="false">IF(AG36="","",AH21/AH$20)</f>
        <v>#DIV/0!</v>
      </c>
      <c r="AI36" s="175" t="e">
        <f aca="false">IF(AH36="","",AI21/AI$20)</f>
        <v>#DIV/0!</v>
      </c>
      <c r="AJ36" s="175" t="e">
        <f aca="false">IF(AC36="","",AVERAGE(AD36:AI36))</f>
        <v>#DIV/0!</v>
      </c>
    </row>
    <row r="37" customFormat="false" ht="15.75" hidden="false" customHeight="false" outlineLevel="0" collapsed="false">
      <c r="L37" s="176" t="s">
        <v>352</v>
      </c>
      <c r="M37" s="177"/>
      <c r="N37" s="178"/>
      <c r="AC37" s="135" t="str">
        <f aca="false">IF(F21="","",F21)</f>
        <v>Intermediate-Term Corporate Bonds</v>
      </c>
      <c r="AD37" s="175" t="n">
        <f aca="false">IF(AC37="","",AD22/AD$20)</f>
        <v>0.1</v>
      </c>
      <c r="AE37" s="175" t="n">
        <f aca="false">IF(AD37="","",AE22/AE$20)</f>
        <v>0.100235437902884</v>
      </c>
      <c r="AF37" s="175" t="n">
        <f aca="false">IF(AE37="","",AF22/AF$20)</f>
        <v>0.101471999097241</v>
      </c>
      <c r="AG37" s="175" t="n">
        <f aca="false">IF(AF37="","",AG22/AG$20)</f>
        <v>0</v>
      </c>
      <c r="AH37" s="175" t="e">
        <f aca="false">IF(AG37="","",AH22/AH$20)</f>
        <v>#DIV/0!</v>
      </c>
      <c r="AI37" s="175" t="e">
        <f aca="false">IF(AH37="","",AI22/AI$20)</f>
        <v>#DIV/0!</v>
      </c>
      <c r="AJ37" s="175" t="e">
        <f aca="false">IF(AC37="","",AVERAGE(AD37:AI37))</f>
        <v>#DIV/0!</v>
      </c>
    </row>
    <row r="38" customFormat="false" ht="15" hidden="false" customHeight="false" outlineLevel="0" collapsed="false">
      <c r="L38" s="179" t="s">
        <v>4</v>
      </c>
      <c r="M38" s="180"/>
      <c r="N38" s="181" t="s">
        <v>344</v>
      </c>
      <c r="AC38" s="135" t="str">
        <f aca="false">IF(F22="","",F22)</f>
        <v>Intermediate Term Treasury</v>
      </c>
      <c r="AD38" s="175" t="n">
        <f aca="false">IF(AC38="","",AD23/AD$20)</f>
        <v>0.075</v>
      </c>
      <c r="AE38" s="175" t="n">
        <f aca="false">IF(AD38="","",AE23/AE$20)</f>
        <v>0.0753306323871816</v>
      </c>
      <c r="AF38" s="175" t="n">
        <f aca="false">IF(AE38="","",AF23/AF$20)</f>
        <v>0.0764222418563397</v>
      </c>
      <c r="AG38" s="175" t="n">
        <f aca="false">IF(AF38="","",AG23/AG$20)</f>
        <v>0</v>
      </c>
      <c r="AH38" s="175" t="e">
        <f aca="false">IF(AG38="","",AH23/AH$20)</f>
        <v>#DIV/0!</v>
      </c>
      <c r="AI38" s="175" t="e">
        <f aca="false">IF(AH38="","",AI23/AI$20)</f>
        <v>#DIV/0!</v>
      </c>
      <c r="AJ38" s="175" t="e">
        <f aca="false">IF(AC38="","",AVERAGE(AD38:AI38))</f>
        <v>#DIV/0!</v>
      </c>
    </row>
    <row r="39" customFormat="false" ht="15" hidden="false" customHeight="false" outlineLevel="0" collapsed="false">
      <c r="L39" s="182" t="str">
        <f aca="false">AD3</f>
        <v>Cash</v>
      </c>
      <c r="M39" s="183" t="s">
        <v>273</v>
      </c>
      <c r="N39" s="184" t="n">
        <f aca="false">SUMIF($E$20:$E$29,M39,$G$20:$G$29)</f>
        <v>0.01</v>
      </c>
      <c r="AC39" s="135" t="str">
        <f aca="false">IF(F23="","",F23)</f>
        <v>High Yield Corporate Bonds</v>
      </c>
      <c r="AD39" s="175" t="n">
        <f aca="false">IF(AC39="","",AD24/AD$20)</f>
        <v>0.175</v>
      </c>
      <c r="AE39" s="175" t="n">
        <f aca="false">IF(AD39="","",AE24/AE$20)</f>
        <v>0.176507132768692</v>
      </c>
      <c r="AF39" s="175" t="n">
        <f aca="false">IF(AE39="","",AF24/AF$20)</f>
        <v>0.178138415896119</v>
      </c>
      <c r="AG39" s="175" t="n">
        <f aca="false">IF(AF39="","",AG24/AG$20)</f>
        <v>0</v>
      </c>
      <c r="AH39" s="175" t="e">
        <f aca="false">IF(AG39="","",AH24/AH$20)</f>
        <v>#DIV/0!</v>
      </c>
      <c r="AI39" s="175" t="e">
        <f aca="false">IF(AH39="","",AI24/AI$20)</f>
        <v>#DIV/0!</v>
      </c>
      <c r="AJ39" s="175" t="e">
        <f aca="false">IF(AC39="","",AVERAGE(AD39:AI39))</f>
        <v>#DIV/0!</v>
      </c>
    </row>
    <row r="40" customFormat="false" ht="15" hidden="false" customHeight="false" outlineLevel="0" collapsed="false">
      <c r="L40" s="182" t="str">
        <f aca="false">AD4</f>
        <v>US Equity</v>
      </c>
      <c r="M40" s="183" t="s">
        <v>319</v>
      </c>
      <c r="N40" s="184" t="n">
        <f aca="false">SUMIF($E$20:$E$29,M40,$G$20:$G$29)</f>
        <v>0.29</v>
      </c>
      <c r="AC40" s="135" t="str">
        <f aca="false">IF(F24="","",F24)</f>
        <v>REIT</v>
      </c>
      <c r="AD40" s="175" t="n">
        <f aca="false">IF(AC40="","",AD25/AD$20)</f>
        <v>0.05</v>
      </c>
      <c r="AE40" s="175" t="n">
        <f aca="false">IF(AD40="","",AE25/AE$20)</f>
        <v>0.0498707066082378</v>
      </c>
      <c r="AF40" s="175" t="n">
        <f aca="false">IF(AE40="","",AF25/AF$20)</f>
        <v>0.0515664868644316</v>
      </c>
      <c r="AG40" s="175" t="n">
        <f aca="false">IF(AF40="","",AG25/AG$20)</f>
        <v>0</v>
      </c>
      <c r="AH40" s="175" t="e">
        <f aca="false">IF(AG40="","",AH25/AH$20)</f>
        <v>#DIV/0!</v>
      </c>
      <c r="AI40" s="175" t="e">
        <f aca="false">IF(AH40="","",AI25/AI$20)</f>
        <v>#DIV/0!</v>
      </c>
      <c r="AJ40" s="175" t="e">
        <f aca="false">IF(AC40="","",AVERAGE(AD40:AI40))</f>
        <v>#DIV/0!</v>
      </c>
    </row>
    <row r="41" customFormat="false" ht="15" hidden="false" customHeight="false" outlineLevel="0" collapsed="false">
      <c r="L41" s="182" t="str">
        <f aca="false">AD5</f>
        <v>Intl Equity</v>
      </c>
      <c r="M41" s="183" t="s">
        <v>322</v>
      </c>
      <c r="N41" s="184" t="n">
        <f aca="false">SUMIF($E$20:$E$29,M41,$G$20:$G$29)</f>
        <v>0.3</v>
      </c>
      <c r="AC41" s="135" t="str">
        <f aca="false">IF(F25="","",F25)</f>
        <v>US Stock Market</v>
      </c>
      <c r="AD41" s="175" t="n">
        <f aca="false">IF(AC41="","",AD26/AD$20)</f>
        <v>0.29</v>
      </c>
      <c r="AE41" s="175" t="n">
        <f aca="false">IF(AD41="","",AE26/AE$20)</f>
        <v>0.291440604321782</v>
      </c>
      <c r="AF41" s="175" t="n">
        <f aca="false">IF(AE41="","",AF26/AF$20)</f>
        <v>0.291355597838613</v>
      </c>
      <c r="AG41" s="175" t="n">
        <f aca="false">IF(AF41="","",AG26/AG$20)</f>
        <v>0</v>
      </c>
      <c r="AH41" s="175" t="e">
        <f aca="false">IF(AG41="","",AH26/AH$20)</f>
        <v>#DIV/0!</v>
      </c>
      <c r="AI41" s="175" t="e">
        <f aca="false">IF(AH41="","",AI26/AI$20)</f>
        <v>#DIV/0!</v>
      </c>
      <c r="AJ41" s="175" t="e">
        <f aca="false">IF(AC41="","",AVERAGE(AD41:AI41))</f>
        <v>#DIV/0!</v>
      </c>
    </row>
    <row r="42" customFormat="false" ht="15" hidden="false" customHeight="false" outlineLevel="0" collapsed="false">
      <c r="L42" s="182" t="str">
        <f aca="false">AD6</f>
        <v>Bonds</v>
      </c>
      <c r="M42" s="183" t="s">
        <v>199</v>
      </c>
      <c r="N42" s="184" t="n">
        <f aca="false">SUMIF($E$20:$E$29,M42,$G$20:$G$29)</f>
        <v>0.35</v>
      </c>
      <c r="AC42" s="135" t="str">
        <f aca="false">IF(F26="","",E26)</f>
        <v>Intl_Equity</v>
      </c>
      <c r="AD42" s="175" t="n">
        <f aca="false">IF(AC42="","",AD27/AD$20)</f>
        <v>0.15</v>
      </c>
      <c r="AE42" s="175" t="n">
        <f aca="false">IF(AD42="","",AE27/AE$20)</f>
        <v>0.149607448123991</v>
      </c>
      <c r="AF42" s="175" t="n">
        <f aca="false">IF(AE42="","",AF27/AF$20)</f>
        <v>0.146602203146424</v>
      </c>
      <c r="AG42" s="175" t="n">
        <f aca="false">IF(AF42="","",AG27/AG$20)</f>
        <v>0</v>
      </c>
      <c r="AH42" s="175" t="e">
        <f aca="false">IF(AG42="","",AH27/AH$20)</f>
        <v>#DIV/0!</v>
      </c>
      <c r="AI42" s="175" t="e">
        <f aca="false">IF(AH42="","",AI27/AI$20)</f>
        <v>#DIV/0!</v>
      </c>
      <c r="AJ42" s="175" t="e">
        <f aca="false">IF(AC42="","",AVERAGE(AD42:AI42))</f>
        <v>#DIV/0!</v>
      </c>
      <c r="AK42" s="175"/>
    </row>
    <row r="43" customFormat="false" ht="15" hidden="false" customHeight="false" outlineLevel="0" collapsed="false">
      <c r="L43" s="185" t="str">
        <f aca="false">AD7</f>
        <v>Alternatives</v>
      </c>
      <c r="M43" s="186" t="s">
        <v>13</v>
      </c>
      <c r="N43" s="187" t="n">
        <f aca="false">SUMIF($E$20:$E$29,M43,$G$20:$G$29)</f>
        <v>0.05</v>
      </c>
      <c r="AC43" s="135" t="str">
        <f aca="false">IF(F27="","",E27)</f>
        <v>Intl_Equity</v>
      </c>
      <c r="AD43" s="175" t="n">
        <f aca="false">IF(AC43="","",AD28/AD$20)</f>
        <v>0.15</v>
      </c>
      <c r="AE43" s="175" t="n">
        <f aca="false">IF(AD43="","",AE28/AE$20)</f>
        <v>0.146975789865888</v>
      </c>
      <c r="AF43" s="175" t="n">
        <f aca="false">IF(AE43="","",AF28/AF$20)</f>
        <v>0.144293339348483</v>
      </c>
      <c r="AG43" s="175" t="n">
        <f aca="false">IF(AF43="","",AG28/AG$20)</f>
        <v>0</v>
      </c>
      <c r="AH43" s="175" t="e">
        <f aca="false">IF(AG43="","",AH28/AH$20)</f>
        <v>#DIV/0!</v>
      </c>
      <c r="AI43" s="175" t="e">
        <f aca="false">IF(AH43="","",AI28/AI$20)</f>
        <v>#DIV/0!</v>
      </c>
      <c r="AJ43" s="175" t="e">
        <f aca="false">IF(AC43="","",AVERAGE(AD43:AI43))</f>
        <v>#DIV/0!</v>
      </c>
      <c r="AK43" s="175"/>
    </row>
    <row r="44" customFormat="false" ht="15" hidden="false" customHeight="false" outlineLevel="0" collapsed="false">
      <c r="AC44" s="135" t="str">
        <f aca="false">IF(F28="","",E28)</f>
        <v/>
      </c>
      <c r="AD44" s="175" t="str">
        <f aca="false">IF(AC44="","",AD29/AD$20)</f>
        <v/>
      </c>
      <c r="AE44" s="175" t="str">
        <f aca="false">IF(AD44="","",AE29/AE$20)</f>
        <v/>
      </c>
      <c r="AF44" s="175" t="str">
        <f aca="false">IF(AE44="","",AF29/AF$20)</f>
        <v/>
      </c>
      <c r="AG44" s="175" t="str">
        <f aca="false">IF(AF44="","",AG29/AG$20)</f>
        <v/>
      </c>
      <c r="AH44" s="175" t="str">
        <f aca="false">IF(AG44="","",AH29/AH$20)</f>
        <v/>
      </c>
      <c r="AI44" s="175" t="str">
        <f aca="false">IF(AH44="","",AI29/AI$20)</f>
        <v/>
      </c>
      <c r="AJ44" s="175" t="str">
        <f aca="false">IF(AC44="","",AVERAGE(AD44:AI44))</f>
        <v/>
      </c>
      <c r="AK44" s="175"/>
    </row>
    <row r="45" customFormat="false" ht="15" hidden="false" customHeight="false" outlineLevel="0" collapsed="false">
      <c r="AC45" s="135" t="str">
        <f aca="false">IF(F29="","",E29)</f>
        <v/>
      </c>
      <c r="AD45" s="175" t="str">
        <f aca="false">IF(AC45="","",AD30/AD$20)</f>
        <v/>
      </c>
      <c r="AE45" s="175" t="str">
        <f aca="false">IF(AD45="","",AE30/AE$20)</f>
        <v/>
      </c>
      <c r="AF45" s="175" t="str">
        <f aca="false">IF(AE45="","",AF30/AF$20)</f>
        <v/>
      </c>
      <c r="AG45" s="175" t="str">
        <f aca="false">IF(AF45="","",AG30/AG$20)</f>
        <v/>
      </c>
      <c r="AH45" s="175" t="str">
        <f aca="false">IF(AG45="","",AH30/AH$20)</f>
        <v/>
      </c>
      <c r="AI45" s="175" t="str">
        <f aca="false">IF(AH45="","",AI30/AI$20)</f>
        <v/>
      </c>
      <c r="AJ45" s="175" t="str">
        <f aca="false">IF(AC45="","",AVERAGE(AD45:AI45))</f>
        <v/>
      </c>
      <c r="AK45" s="175"/>
    </row>
    <row r="48" customFormat="false" ht="15" hidden="false" customHeight="false" outlineLevel="0" collapsed="false">
      <c r="AC48" s="135" t="str">
        <f aca="false">AD3</f>
        <v>Cash</v>
      </c>
      <c r="AD48" s="188" t="n">
        <f aca="false">SUMIF('Risk &amp; Returns'!$C$20:$C$25,VLOOKUP($AC48,$L$39:$M$43,2,0),AD$36:AD$41)</f>
        <v>0.01</v>
      </c>
      <c r="AE48" s="188" t="n">
        <f aca="false">SUMIF('Risk &amp; Returns'!$C$20:$C$25,VLOOKUP($AC48,$L$39:$M$43,2,0),AE$36:AE$41)</f>
        <v>0.0100322480213431</v>
      </c>
      <c r="AF48" s="188" t="n">
        <f aca="false">SUMIF('Risk &amp; Returns'!$C$20:$C$25,VLOOKUP($AC48,$L$39:$M$43,2,0),AF$36:AF$41)</f>
        <v>0.0101497159523498</v>
      </c>
      <c r="AG48" s="188" t="n">
        <f aca="false">SUMIF('Risk &amp; Returns'!$C$20:$C$25,VLOOKUP($AC48,$L$39:$M$43,2,0),AG$36:AG$41)</f>
        <v>1</v>
      </c>
      <c r="AH48" s="188" t="e">
        <f aca="false">SUMIF('Risk &amp; Returns'!$C$20:$C$25,VLOOKUP($AC48,$L$39:$M$43,2,0),AH$36:AH$41)</f>
        <v>#DIV/0!</v>
      </c>
      <c r="AI48" s="188" t="e">
        <f aca="false">SUMIF('Risk &amp; Returns'!$C$20:$C$25,VLOOKUP($AC48,$L$39:$M$43,2,0),AI$36:AI$41)</f>
        <v>#DIV/0!</v>
      </c>
      <c r="AJ48" s="188" t="e">
        <f aca="false">SUMIF('Risk &amp; Returns'!$C$20:$C$25,VLOOKUP($AC48,$L$39:$M$43,2,0),AJ$36:AJ$41)</f>
        <v>#DIV/0!</v>
      </c>
    </row>
    <row r="49" customFormat="false" ht="15" hidden="false" customHeight="false" outlineLevel="0" collapsed="false">
      <c r="AC49" s="135" t="str">
        <f aca="false">AD4</f>
        <v>US Equity</v>
      </c>
      <c r="AD49" s="188" t="n">
        <f aca="false">SUMIF('Risk &amp; Returns'!$C$20:$C$25,VLOOKUP($AC49,$L$39:$M$43,2,0),AD$36:AD$41)</f>
        <v>0.29</v>
      </c>
      <c r="AE49" s="188" t="n">
        <f aca="false">SUMIF('Risk &amp; Returns'!$C$20:$C$25,VLOOKUP($AC49,$L$39:$M$43,2,0),AE$36:AE$41)</f>
        <v>0.291440604321782</v>
      </c>
      <c r="AF49" s="188" t="n">
        <f aca="false">SUMIF('Risk &amp; Returns'!$C$20:$C$25,VLOOKUP($AC49,$L$39:$M$43,2,0),AF$36:AF$41)</f>
        <v>0.291355597838613</v>
      </c>
      <c r="AG49" s="188" t="n">
        <f aca="false">SUMIF('Risk &amp; Returns'!$C$20:$C$25,VLOOKUP($AC49,$L$39:$M$43,2,0),AG$36:AG$41)</f>
        <v>0</v>
      </c>
      <c r="AH49" s="188" t="e">
        <f aca="false">SUMIF('Risk &amp; Returns'!$C$20:$C$25,VLOOKUP($AC49,$L$39:$M$43,2,0),AH$36:AH$41)</f>
        <v>#DIV/0!</v>
      </c>
      <c r="AI49" s="188" t="e">
        <f aca="false">SUMIF('Risk &amp; Returns'!$C$20:$C$25,VLOOKUP($AC49,$L$39:$M$43,2,0),AI$36:AI$41)</f>
        <v>#DIV/0!</v>
      </c>
      <c r="AJ49" s="188" t="e">
        <f aca="false">SUMIF('Risk &amp; Returns'!$C$20:$C$25,VLOOKUP($AC49,$L$39:$M$43,2,0),AJ$36:AJ$41)</f>
        <v>#DIV/0!</v>
      </c>
    </row>
    <row r="50" customFormat="false" ht="15" hidden="false" customHeight="false" outlineLevel="0" collapsed="false">
      <c r="AC50" s="135" t="str">
        <f aca="false">AD5</f>
        <v>Intl Equity</v>
      </c>
      <c r="AD50" s="188" t="n">
        <f aca="false">SUMIF('Risk &amp; Returns'!$C$20:$C$25,VLOOKUP($AC50,$L$39:$M$43,2,0),AD$36:AD$41)</f>
        <v>0</v>
      </c>
      <c r="AE50" s="188" t="n">
        <f aca="false">SUMIF('Risk &amp; Returns'!$C$20:$C$25,VLOOKUP($AC50,$L$39:$M$43,2,0),AE$36:AE$41)</f>
        <v>0</v>
      </c>
      <c r="AF50" s="188" t="n">
        <f aca="false">SUMIF('Risk &amp; Returns'!$C$20:$C$25,VLOOKUP($AC50,$L$39:$M$43,2,0),AF$36:AF$41)</f>
        <v>0</v>
      </c>
      <c r="AG50" s="188" t="n">
        <f aca="false">SUMIF('Risk &amp; Returns'!$C$20:$C$25,VLOOKUP($AC50,$L$39:$M$43,2,0),AG$36:AG$41)</f>
        <v>0</v>
      </c>
      <c r="AH50" s="188" t="n">
        <f aca="false">SUMIF('Risk &amp; Returns'!$C$20:$C$25,VLOOKUP($AC50,$L$39:$M$43,2,0),AH$36:AH$41)</f>
        <v>0</v>
      </c>
      <c r="AI50" s="188" t="n">
        <f aca="false">SUMIF('Risk &amp; Returns'!$C$20:$C$25,VLOOKUP($AC50,$L$39:$M$43,2,0),AI$36:AI$41)</f>
        <v>0</v>
      </c>
      <c r="AJ50" s="188" t="n">
        <f aca="false">SUMIF('Risk &amp; Returns'!$C$20:$C$25,VLOOKUP($AC50,$L$39:$M$43,2,0),AJ$36:AJ$41)</f>
        <v>0</v>
      </c>
    </row>
    <row r="51" customFormat="false" ht="15" hidden="false" customHeight="false" outlineLevel="0" collapsed="false">
      <c r="AC51" s="135" t="str">
        <f aca="false">AD6</f>
        <v>Bonds</v>
      </c>
      <c r="AD51" s="188" t="n">
        <f aca="false">SUMIF('Risk &amp; Returns'!$C$20:$C$25,VLOOKUP($AC51,$L$39:$M$43,2,0),AD$36:AD$41)</f>
        <v>0.35</v>
      </c>
      <c r="AE51" s="188" t="n">
        <f aca="false">SUMIF('Risk &amp; Returns'!$C$20:$C$25,VLOOKUP($AC51,$L$39:$M$43,2,0),AE$36:AE$41)</f>
        <v>0.352073203058757</v>
      </c>
      <c r="AF51" s="188" t="n">
        <f aca="false">SUMIF('Risk &amp; Returns'!$C$20:$C$25,VLOOKUP($AC51,$L$39:$M$43,2,0),AF$36:AF$41)</f>
        <v>0.356032656849699</v>
      </c>
      <c r="AG51" s="188" t="n">
        <f aca="false">SUMIF('Risk &amp; Returns'!$C$20:$C$25,VLOOKUP($AC51,$L$39:$M$43,2,0),AG$36:AG$41)</f>
        <v>0</v>
      </c>
      <c r="AH51" s="188" t="e">
        <f aca="false">SUMIF('Risk &amp; Returns'!$C$20:$C$25,VLOOKUP($AC51,$L$39:$M$43,2,0),AH$36:AH$41)</f>
        <v>#DIV/0!</v>
      </c>
      <c r="AI51" s="188" t="e">
        <f aca="false">SUMIF('Risk &amp; Returns'!$C$20:$C$25,VLOOKUP($AC51,$L$39:$M$43,2,0),AI$36:AI$41)</f>
        <v>#DIV/0!</v>
      </c>
      <c r="AJ51" s="188" t="e">
        <f aca="false">SUMIF('Risk &amp; Returns'!$C$20:$C$25,VLOOKUP($AC51,$L$39:$M$43,2,0),AJ$36:AJ$41)</f>
        <v>#DIV/0!</v>
      </c>
    </row>
    <row r="52" customFormat="false" ht="15" hidden="false" customHeight="false" outlineLevel="0" collapsed="false">
      <c r="AC52" s="135" t="str">
        <f aca="false">AD7</f>
        <v>Alternatives</v>
      </c>
      <c r="AD52" s="188" t="n">
        <f aca="false">SUMIF('Risk &amp; Returns'!$C$20:$C$25,VLOOKUP($AC52,$L$39:$M$43,2,0),AD$36:AD$41)</f>
        <v>0.05</v>
      </c>
      <c r="AE52" s="188" t="n">
        <f aca="false">SUMIF('Risk &amp; Returns'!$C$20:$C$25,VLOOKUP($AC52,$L$39:$M$43,2,0),AE$36:AE$41)</f>
        <v>0.0498707066082378</v>
      </c>
      <c r="AF52" s="188" t="n">
        <f aca="false">SUMIF('Risk &amp; Returns'!$C$20:$C$25,VLOOKUP($AC52,$L$39:$M$43,2,0),AF$36:AF$41)</f>
        <v>0.0515664868644316</v>
      </c>
      <c r="AG52" s="188" t="n">
        <f aca="false">SUMIF('Risk &amp; Returns'!$C$20:$C$25,VLOOKUP($AC52,$L$39:$M$43,2,0),AG$36:AG$41)</f>
        <v>0</v>
      </c>
      <c r="AH52" s="188" t="e">
        <f aca="false">SUMIF('Risk &amp; Returns'!$C$20:$C$25,VLOOKUP($AC52,$L$39:$M$43,2,0),AH$36:AH$41)</f>
        <v>#DIV/0!</v>
      </c>
      <c r="AI52" s="188" t="e">
        <f aca="false">SUMIF('Risk &amp; Returns'!$C$20:$C$25,VLOOKUP($AC52,$L$39:$M$43,2,0),AI$36:AI$41)</f>
        <v>#DIV/0!</v>
      </c>
      <c r="AJ52" s="188" t="e">
        <f aca="false">SUMIF('Risk &amp; Returns'!$C$20:$C$25,VLOOKUP($AC52,$L$39:$M$43,2,0),AJ$36:AJ$41)</f>
        <v>#DIV/0!</v>
      </c>
    </row>
  </sheetData>
  <dataValidations count="4">
    <dataValidation allowBlank="true" operator="between" showDropDown="false" showErrorMessage="true" showInputMessage="true" sqref="E29" type="list">
      <formula1>$AC$4:$AC$7</formula1>
      <formula2>0</formula2>
    </dataValidation>
    <dataValidation allowBlank="true" operator="between" showDropDown="false" showErrorMessage="true" showInputMessage="true" sqref="E21:E28" type="list">
      <formula1>$AC$4:$AC$7</formula1>
      <formula2>0</formula2>
    </dataValidation>
    <dataValidation allowBlank="true" operator="between" showDropDown="false" showErrorMessage="true" showInputMessage="true" sqref="F21" type="list">
      <formula1>INDIRECT($E$21)</formula1>
      <formula2>0</formula2>
    </dataValidation>
    <dataValidation allowBlank="true" operator="between" showDropDown="false" showErrorMessage="true" showInputMessage="true" sqref="F22:F29" type="list">
      <formula1>INDIRECT(E22)</formula1>
      <formula2>0</formula2>
    </dataValidation>
  </dataValidations>
  <printOptions headings="false" gridLines="false" gridLinesSet="true" horizontalCentered="false" verticalCentered="false"/>
  <pageMargins left="0.25" right="0.25" top="0.75" bottom="0.75" header="0.511805555555555" footer="0.511805555555555"/>
  <pageSetup paperSize="1" scale="57"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colBreaks count="1" manualBreakCount="1">
    <brk id="15" man="true" max="65535" min="0"/>
  </colBreaks>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AE5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M27" activeCellId="0" sqref="M27"/>
    </sheetView>
  </sheetViews>
  <sheetFormatPr defaultRowHeight="13.8" zeroHeight="false" outlineLevelRow="0" outlineLevelCol="0"/>
  <cols>
    <col collapsed="false" customWidth="true" hidden="false" outlineLevel="0" max="1" min="1" style="150" width="18.12"/>
    <col collapsed="false" customWidth="true" hidden="true" outlineLevel="0" max="2" min="2" style="150" width="9.13"/>
    <col collapsed="false" customWidth="true" hidden="true" outlineLevel="0" max="3" min="3" style="150" width="11.86"/>
    <col collapsed="false" customWidth="true" hidden="false" outlineLevel="0" max="4" min="4" style="0" width="12.29"/>
    <col collapsed="false" customWidth="true" hidden="false" outlineLevel="0" max="5" min="5" style="189" width="25.57"/>
    <col collapsed="false" customWidth="true" hidden="false" outlineLevel="0" max="6" min="6" style="0" width="20.57"/>
    <col collapsed="false" customWidth="true" hidden="false" outlineLevel="0" max="7" min="7" style="0" width="35.42"/>
    <col collapsed="false" customWidth="true" hidden="false" outlineLevel="0" max="15" min="8" style="0" width="12.29"/>
    <col collapsed="false" customWidth="true" hidden="false" outlineLevel="0" max="19" min="16" style="0" width="8.54"/>
    <col collapsed="false" customWidth="true" hidden="false" outlineLevel="0" max="20" min="20" style="0" width="14.43"/>
    <col collapsed="false" customWidth="true" hidden="false" outlineLevel="0" max="21" min="21" style="0" width="38.63"/>
    <col collapsed="false" customWidth="true" hidden="false" outlineLevel="0" max="1025" min="22" style="0" width="8.54"/>
  </cols>
  <sheetData>
    <row r="1" customFormat="false" ht="17.35" hidden="false" customHeight="false" outlineLevel="0" collapsed="false">
      <c r="A1" s="136" t="s">
        <v>363</v>
      </c>
      <c r="H1" s="134"/>
      <c r="I1" s="134"/>
    </row>
    <row r="2" customFormat="false" ht="17.35" hidden="false" customHeight="false" outlineLevel="0" collapsed="false">
      <c r="A2" s="190"/>
      <c r="H2" s="134"/>
      <c r="I2" s="134"/>
    </row>
    <row r="3" customFormat="false" ht="17.35" hidden="false" customHeight="false" outlineLevel="0" collapsed="false">
      <c r="A3" s="191"/>
      <c r="D3" s="136" t="s">
        <v>364</v>
      </c>
      <c r="F3" s="192" t="s">
        <v>365</v>
      </c>
      <c r="H3" s="134"/>
      <c r="I3" s="134"/>
      <c r="T3" s="0" t="s">
        <v>366</v>
      </c>
      <c r="U3" s="189"/>
    </row>
    <row r="4" customFormat="false" ht="17.35" hidden="false" customHeight="false" outlineLevel="0" collapsed="false">
      <c r="D4" s="136"/>
      <c r="H4" s="134"/>
      <c r="I4" s="134"/>
      <c r="U4" s="189"/>
    </row>
    <row r="5" customFormat="false" ht="13.8" hidden="false" customHeight="false" outlineLevel="0" collapsed="false">
      <c r="A5" s="193"/>
      <c r="H5" s="134"/>
      <c r="I5" s="134"/>
      <c r="T5" s="194" t="s">
        <v>367</v>
      </c>
    </row>
    <row r="6" customFormat="false" ht="24.05" hidden="false" customHeight="false" outlineLevel="0" collapsed="false">
      <c r="D6" s="136"/>
      <c r="H6" s="134"/>
      <c r="I6" s="134"/>
      <c r="T6" s="195" t="s">
        <v>1</v>
      </c>
      <c r="U6" s="195" t="s">
        <v>3</v>
      </c>
      <c r="V6" s="195" t="s">
        <v>227</v>
      </c>
      <c r="W6" s="195" t="s">
        <v>202</v>
      </c>
      <c r="X6" s="195" t="s">
        <v>231</v>
      </c>
      <c r="Y6" s="195" t="s">
        <v>31</v>
      </c>
      <c r="Z6" s="195" t="s">
        <v>41</v>
      </c>
      <c r="AA6" s="195" t="s">
        <v>125</v>
      </c>
      <c r="AB6" s="195" t="s">
        <v>172</v>
      </c>
      <c r="AC6" s="195" t="s">
        <v>368</v>
      </c>
      <c r="AD6" s="196"/>
      <c r="AE6" s="196"/>
    </row>
    <row r="7" customFormat="false" ht="17.35" hidden="false" customHeight="false" outlineLevel="0" collapsed="false">
      <c r="D7" s="136" t="s">
        <v>255</v>
      </c>
      <c r="H7" s="134"/>
      <c r="I7" s="134"/>
      <c r="T7" s="197" t="s">
        <v>227</v>
      </c>
      <c r="U7" s="197" t="s">
        <v>369</v>
      </c>
      <c r="V7" s="197" t="s">
        <v>370</v>
      </c>
      <c r="W7" s="197" t="n">
        <v>0.87</v>
      </c>
      <c r="X7" s="197" t="n">
        <v>0.35</v>
      </c>
      <c r="Y7" s="197" t="n">
        <v>0.28</v>
      </c>
      <c r="Z7" s="197" t="n">
        <v>0.03</v>
      </c>
      <c r="AA7" s="197" t="n">
        <v>0.17</v>
      </c>
      <c r="AB7" s="197" t="n">
        <v>0.18</v>
      </c>
      <c r="AC7" s="197" t="n">
        <v>0.25</v>
      </c>
      <c r="AD7" s="196"/>
      <c r="AE7" s="196"/>
    </row>
    <row r="8" s="194" customFormat="true" ht="13.8" hidden="false" customHeight="false" outlineLevel="0" collapsed="false">
      <c r="A8" s="191"/>
      <c r="B8" s="191"/>
      <c r="C8" s="191"/>
      <c r="D8" s="198"/>
      <c r="E8" s="199"/>
      <c r="F8" s="200"/>
      <c r="G8" s="200"/>
      <c r="H8" s="201"/>
      <c r="I8" s="201"/>
      <c r="J8" s="202" t="s">
        <v>371</v>
      </c>
      <c r="K8" s="203"/>
      <c r="L8" s="204" t="s">
        <v>372</v>
      </c>
      <c r="M8" s="200"/>
      <c r="N8" s="205" t="s">
        <v>264</v>
      </c>
      <c r="O8" s="205"/>
      <c r="T8" s="197" t="s">
        <v>202</v>
      </c>
      <c r="U8" s="197" t="s">
        <v>373</v>
      </c>
      <c r="V8" s="197" t="n">
        <v>0.87</v>
      </c>
      <c r="W8" s="197" t="s">
        <v>370</v>
      </c>
      <c r="X8" s="197" t="n">
        <v>-0.06</v>
      </c>
      <c r="Y8" s="197" t="n">
        <v>-0.01</v>
      </c>
      <c r="Z8" s="197" t="n">
        <v>-0.3</v>
      </c>
      <c r="AA8" s="197" t="n">
        <v>-0.19</v>
      </c>
      <c r="AB8" s="197" t="n">
        <v>-0.17</v>
      </c>
      <c r="AC8" s="197" t="n">
        <v>-0.12</v>
      </c>
      <c r="AD8" s="196"/>
      <c r="AE8" s="196"/>
    </row>
    <row r="9" s="194" customFormat="true" ht="24" hidden="false" customHeight="false" outlineLevel="0" collapsed="false">
      <c r="A9" s="191"/>
      <c r="B9" s="191"/>
      <c r="C9" s="191"/>
      <c r="D9" s="206" t="s">
        <v>374</v>
      </c>
      <c r="E9" s="207" t="s">
        <v>4</v>
      </c>
      <c r="F9" s="208" t="s">
        <v>0</v>
      </c>
      <c r="G9" s="208" t="s">
        <v>5</v>
      </c>
      <c r="H9" s="208" t="s">
        <v>1</v>
      </c>
      <c r="I9" s="208" t="s">
        <v>375</v>
      </c>
      <c r="J9" s="206" t="s">
        <v>376</v>
      </c>
      <c r="K9" s="208" t="s">
        <v>377</v>
      </c>
      <c r="L9" s="208" t="s">
        <v>378</v>
      </c>
      <c r="M9" s="206" t="s">
        <v>379</v>
      </c>
      <c r="N9" s="206" t="s">
        <v>376</v>
      </c>
      <c r="O9" s="209" t="s">
        <v>380</v>
      </c>
      <c r="T9" s="197" t="s">
        <v>231</v>
      </c>
      <c r="U9" s="197" t="s">
        <v>381</v>
      </c>
      <c r="V9" s="197" t="n">
        <v>0.35</v>
      </c>
      <c r="W9" s="197" t="n">
        <v>-0.06</v>
      </c>
      <c r="X9" s="197" t="s">
        <v>370</v>
      </c>
      <c r="Y9" s="197" t="n">
        <v>0.77</v>
      </c>
      <c r="Z9" s="197" t="n">
        <v>0.73</v>
      </c>
      <c r="AA9" s="197" t="n">
        <v>0.76</v>
      </c>
      <c r="AB9" s="197" t="n">
        <v>0.74</v>
      </c>
      <c r="AC9" s="197" t="n">
        <v>0.85</v>
      </c>
      <c r="AD9" s="196"/>
      <c r="AE9" s="196"/>
    </row>
    <row r="10" customFormat="false" ht="15" hidden="false" customHeight="false" outlineLevel="0" collapsed="false">
      <c r="D10" s="210"/>
      <c r="E10" s="211" t="s">
        <v>382</v>
      </c>
      <c r="F10" s="212"/>
      <c r="G10" s="213"/>
      <c r="H10" s="214"/>
      <c r="I10" s="214"/>
      <c r="J10" s="215"/>
      <c r="K10" s="212"/>
      <c r="L10" s="212"/>
      <c r="M10" s="215"/>
      <c r="N10" s="215"/>
      <c r="O10" s="216"/>
      <c r="T10" s="197" t="s">
        <v>31</v>
      </c>
      <c r="U10" s="197" t="s">
        <v>383</v>
      </c>
      <c r="V10" s="197" t="n">
        <v>0.28</v>
      </c>
      <c r="W10" s="197" t="n">
        <v>-0.01</v>
      </c>
      <c r="X10" s="197" t="n">
        <v>0.77</v>
      </c>
      <c r="Y10" s="197" t="s">
        <v>370</v>
      </c>
      <c r="Z10" s="197" t="n">
        <v>0.77</v>
      </c>
      <c r="AA10" s="197" t="n">
        <v>0.72</v>
      </c>
      <c r="AB10" s="197" t="n">
        <v>0.67</v>
      </c>
      <c r="AC10" s="197" t="n">
        <v>0.82</v>
      </c>
      <c r="AD10" s="196"/>
      <c r="AE10" s="196"/>
    </row>
    <row r="11" customFormat="false" ht="13.8" hidden="false" customHeight="false" outlineLevel="0" collapsed="false">
      <c r="B11" s="150" t="n">
        <f aca="false">IF(H11="","",D11)</f>
        <v>1</v>
      </c>
      <c r="D11" s="217" t="n">
        <v>1</v>
      </c>
      <c r="E11" s="218" t="str">
        <f aca="false">IF(H11="","",VLOOKUP(H11,'ETF List'!$C$3:$J$90,4,0))</f>
        <v>Bonds</v>
      </c>
      <c r="F11" s="219" t="str">
        <f aca="false">IF(H11="","",VLOOKUP(H11,'ETF List'!$C$3:$J$90,5,0))</f>
        <v>Aggregate Bond</v>
      </c>
      <c r="G11" s="219" t="str">
        <f aca="false">IF(H11="","",VLOOKUP(H11,'ETF List'!$C$3:$J$90,6,0))</f>
        <v>Intermediate-Term Investment Grade</v>
      </c>
      <c r="H11" s="220" t="str">
        <f aca="false">IF('Policy Portfolio'!H21="","",'Policy Portfolio'!H21)</f>
        <v>BIV</v>
      </c>
      <c r="I11" s="221" t="n">
        <f aca="false">IF(H11="","",VLOOKUP(H11,'Weekly  Sum'!$B$49:$I$77,8,0))</f>
        <v>0.0502078721551963</v>
      </c>
      <c r="J11" s="222" t="n">
        <v>0.03775</v>
      </c>
      <c r="K11" s="223" t="n">
        <v>0.0545</v>
      </c>
      <c r="L11" s="224" t="n">
        <v>0.77</v>
      </c>
      <c r="M11" s="223" t="n">
        <v>0.04</v>
      </c>
      <c r="N11" s="225" t="n">
        <f aca="false">IF(H11="","",VLOOKUP(H11,'Port Returns'!$C$176:$I$206,7,0))</f>
        <v>-1</v>
      </c>
      <c r="O11" s="226" t="n">
        <f aca="false">IF(N11="","",IF(ISERROR((1+N11)^(52/5)-1),"",(1+N11)^(52/5))-1)</f>
        <v>-1</v>
      </c>
      <c r="T11" s="197" t="s">
        <v>41</v>
      </c>
      <c r="U11" s="197" t="s">
        <v>384</v>
      </c>
      <c r="V11" s="197" t="n">
        <v>0.03</v>
      </c>
      <c r="W11" s="197" t="n">
        <v>-0.3</v>
      </c>
      <c r="X11" s="197" t="n">
        <v>0.73</v>
      </c>
      <c r="Y11" s="197" t="n">
        <v>0.77</v>
      </c>
      <c r="Z11" s="197" t="s">
        <v>370</v>
      </c>
      <c r="AA11" s="197" t="n">
        <v>0.9</v>
      </c>
      <c r="AB11" s="197" t="n">
        <v>0.83</v>
      </c>
      <c r="AC11" s="197" t="n">
        <v>0.94</v>
      </c>
      <c r="AD11" s="196"/>
      <c r="AE11" s="196"/>
    </row>
    <row r="12" customFormat="false" ht="13.8" hidden="false" customHeight="false" outlineLevel="0" collapsed="false">
      <c r="B12" s="150" t="n">
        <f aca="false">IF(H12="","",D12)</f>
        <v>2</v>
      </c>
      <c r="D12" s="227" t="n">
        <v>2</v>
      </c>
      <c r="E12" s="228" t="str">
        <f aca="false">IF(H12="","",VLOOKUP(H12,'ETF List'!$C$3:$J$90,4,0))</f>
        <v>Bonds</v>
      </c>
      <c r="F12" s="15" t="str">
        <f aca="false">IF(H12="","",VLOOKUP(H12,'ETF List'!$C$3:$J$90,5,0))</f>
        <v>US Government</v>
      </c>
      <c r="G12" s="15" t="str">
        <f aca="false">IF(H12="","",VLOOKUP(H12,'ETF List'!$C$3:$J$90,6,0))</f>
        <v>Intermediate Term Treasury</v>
      </c>
      <c r="H12" s="229" t="str">
        <f aca="false">IF('Policy Portfolio'!H22="","",'Policy Portfolio'!H22)</f>
        <v>IEF</v>
      </c>
      <c r="I12" s="230" t="n">
        <f aca="false">IF(H12="","",VLOOKUP(H12,'Weekly  Sum'!$B$49:$I$77,8,0))</f>
        <v>0.0710102395451548</v>
      </c>
      <c r="J12" s="222" t="n">
        <v>0.0566</v>
      </c>
      <c r="K12" s="223" t="n">
        <v>0.0654</v>
      </c>
      <c r="L12" s="224" t="n">
        <v>0.6</v>
      </c>
      <c r="M12" s="223" t="n">
        <v>0.04</v>
      </c>
      <c r="N12" s="231" t="n">
        <f aca="false">IF(H12="","",VLOOKUP(H12,'Port Returns'!$C$176:$I$206,7,0))</f>
        <v>-1</v>
      </c>
      <c r="O12" s="232" t="n">
        <f aca="false">IF(N12="","",IF(ISERROR((1+N12)^(52/5)-1),"",(1+N12)^(52/5))-1)</f>
        <v>-1</v>
      </c>
      <c r="T12" s="197" t="s">
        <v>125</v>
      </c>
      <c r="U12" s="197" t="s">
        <v>385</v>
      </c>
      <c r="V12" s="197" t="n">
        <v>0.17</v>
      </c>
      <c r="W12" s="197" t="n">
        <v>-0.19</v>
      </c>
      <c r="X12" s="197" t="n">
        <v>0.76</v>
      </c>
      <c r="Y12" s="197" t="n">
        <v>0.72</v>
      </c>
      <c r="Z12" s="197" t="n">
        <v>0.9</v>
      </c>
      <c r="AA12" s="197" t="s">
        <v>370</v>
      </c>
      <c r="AB12" s="197" t="n">
        <v>0.89</v>
      </c>
      <c r="AC12" s="197" t="n">
        <v>0.96</v>
      </c>
      <c r="AD12" s="196"/>
      <c r="AE12" s="196"/>
    </row>
    <row r="13" customFormat="false" ht="13.8" hidden="false" customHeight="false" outlineLevel="0" collapsed="false">
      <c r="B13" s="150" t="n">
        <f aca="false">IF(H13="","",D13)</f>
        <v>3</v>
      </c>
      <c r="D13" s="227" t="n">
        <v>3</v>
      </c>
      <c r="E13" s="228" t="str">
        <f aca="false">IF(H13="","",VLOOKUP(H13,'ETF List'!$C$3:$J$90,4,0))</f>
        <v>Bonds</v>
      </c>
      <c r="F13" s="15" t="str">
        <f aca="false">IF(H13="","",VLOOKUP(H13,'ETF List'!$C$3:$J$90,5,0))</f>
        <v>Corporate</v>
      </c>
      <c r="G13" s="15" t="str">
        <f aca="false">IF(H13="","",VLOOKUP(H13,'ETF List'!$C$3:$J$90,6,0))</f>
        <v>High Yield Corporate Bonds</v>
      </c>
      <c r="H13" s="229" t="str">
        <f aca="false">IF('Policy Portfolio'!H23="","",'Policy Portfolio'!H23)</f>
        <v>HYG</v>
      </c>
      <c r="I13" s="230" t="n">
        <f aca="false">IF(H13="","",VLOOKUP(H13,'Weekly  Sum'!$B$49:$I$77,8,0))</f>
        <v>0.0881743578671344</v>
      </c>
      <c r="J13" s="222" t="n">
        <v>0.05495</v>
      </c>
      <c r="K13" s="223" t="n">
        <v>0.1171</v>
      </c>
      <c r="L13" s="224" t="n">
        <v>0.48</v>
      </c>
      <c r="M13" s="223" t="n">
        <v>0.05</v>
      </c>
      <c r="N13" s="231" t="n">
        <f aca="false">IF(H13="","",VLOOKUP(H13,'Port Returns'!$C$176:$I$206,7,0))</f>
        <v>-1</v>
      </c>
      <c r="O13" s="232" t="n">
        <f aca="false">IF(N13="","",IF(ISERROR((1+N13)^(52/5)-1),"",(1+N13)^(52/5))-1)</f>
        <v>-1</v>
      </c>
      <c r="T13" s="197" t="s">
        <v>172</v>
      </c>
      <c r="U13" s="197" t="s">
        <v>386</v>
      </c>
      <c r="V13" s="197" t="n">
        <v>0.18</v>
      </c>
      <c r="W13" s="197" t="n">
        <v>-0.17</v>
      </c>
      <c r="X13" s="197" t="n">
        <v>0.74</v>
      </c>
      <c r="Y13" s="197" t="n">
        <v>0.67</v>
      </c>
      <c r="Z13" s="197" t="n">
        <v>0.83</v>
      </c>
      <c r="AA13" s="197" t="n">
        <v>0.89</v>
      </c>
      <c r="AB13" s="197" t="s">
        <v>370</v>
      </c>
      <c r="AC13" s="197" t="n">
        <v>0.93</v>
      </c>
      <c r="AD13" s="196"/>
      <c r="AE13" s="196"/>
    </row>
    <row r="14" customFormat="false" ht="13.8" hidden="false" customHeight="false" outlineLevel="0" collapsed="false">
      <c r="B14" s="150" t="n">
        <f aca="false">IF(H14="","",D14)</f>
        <v>4</v>
      </c>
      <c r="D14" s="227" t="n">
        <v>4</v>
      </c>
      <c r="E14" s="228" t="str">
        <f aca="false">IF(H14="","",VLOOKUP(H14,'ETF List'!$C$3:$J$90,4,0))</f>
        <v>Alternatives</v>
      </c>
      <c r="F14" s="15" t="str">
        <f aca="false">IF(H14="","",VLOOKUP(H14,'ETF List'!$C$3:$J$90,5,0))</f>
        <v>REIT</v>
      </c>
      <c r="G14" s="15" t="str">
        <f aca="false">IF(H14="","",VLOOKUP(H14,'ETF List'!$C$3:$J$90,6,0))</f>
        <v>Real Estate</v>
      </c>
      <c r="H14" s="229" t="str">
        <f aca="false">IF('Policy Portfolio'!H24="","",'Policy Portfolio'!H24)</f>
        <v>IYR</v>
      </c>
      <c r="I14" s="230" t="n">
        <f aca="false">IF(H14="","",VLOOKUP(H14,'Weekly  Sum'!$B$49:$I$77,8,0))</f>
        <v>0.0252275660321964</v>
      </c>
      <c r="J14" s="222" t="n">
        <v>-0.0471</v>
      </c>
      <c r="K14" s="223" t="n">
        <v>0.2339</v>
      </c>
      <c r="L14" s="224" t="n">
        <v>0.36</v>
      </c>
      <c r="M14" s="223" t="n">
        <v>0.06</v>
      </c>
      <c r="N14" s="231" t="n">
        <f aca="false">IF(H14="","",VLOOKUP(H14,'Port Returns'!$C$176:$I$206,7,0))</f>
        <v>-1</v>
      </c>
      <c r="O14" s="232" t="n">
        <f aca="false">IF(N14="","",IF(ISERROR((1+N14)^(52/5)-1),"",(1+N14)^(52/5))-1)</f>
        <v>-1</v>
      </c>
      <c r="T14" s="196"/>
      <c r="U14" s="196"/>
      <c r="V14" s="196"/>
      <c r="W14" s="196"/>
      <c r="X14" s="196"/>
      <c r="Y14" s="196"/>
      <c r="Z14" s="196"/>
      <c r="AA14" s="196"/>
      <c r="AB14" s="196"/>
      <c r="AC14" s="196"/>
      <c r="AD14" s="196"/>
      <c r="AE14" s="196"/>
    </row>
    <row r="15" customFormat="false" ht="13.8" hidden="false" customHeight="false" outlineLevel="0" collapsed="false">
      <c r="B15" s="150" t="n">
        <f aca="false">IF(H15="","",D15)</f>
        <v>5</v>
      </c>
      <c r="D15" s="227" t="n">
        <v>5</v>
      </c>
      <c r="E15" s="228" t="str">
        <f aca="false">IF(H15="","",VLOOKUP(H15,'ETF List'!$C$3:$J$90,4,0))</f>
        <v>US Equity</v>
      </c>
      <c r="F15" s="15" t="str">
        <f aca="false">IF(H15="","",VLOOKUP(H15,'ETF List'!$C$3:$J$90,5,0))</f>
        <v>Broad Mrkt</v>
      </c>
      <c r="G15" s="15" t="str">
        <f aca="false">IF(H15="","",VLOOKUP(H15,'ETF List'!$C$3:$J$90,6,0))</f>
        <v>Broad Mrkt</v>
      </c>
      <c r="H15" s="229" t="str">
        <f aca="false">IF('Policy Portfolio'!H25="","",'Policy Portfolio'!H25)</f>
        <v>VTI</v>
      </c>
      <c r="I15" s="230" t="n">
        <f aca="false">IF(H15="","",VLOOKUP(H15,'Weekly  Sum'!$B$49:$I$77,8,0))</f>
        <v>0.145289158911285</v>
      </c>
      <c r="J15" s="222" t="n">
        <v>-0.01765</v>
      </c>
      <c r="K15" s="223" t="n">
        <v>0.1543</v>
      </c>
      <c r="L15" s="224" t="n">
        <v>0.59</v>
      </c>
      <c r="M15" s="223" t="n">
        <v>0.12</v>
      </c>
      <c r="N15" s="231" t="n">
        <f aca="false">IF(H15="","",VLOOKUP(H15,'Port Returns'!$C$176:$I$206,7,0))</f>
        <v>-1</v>
      </c>
      <c r="O15" s="232" t="n">
        <f aca="false">IF(N15="","",IF(ISERROR((1+N15)^(52/5)-1),"",(1+N15)^(52/5))-1)</f>
        <v>-1</v>
      </c>
      <c r="T15" s="196"/>
      <c r="U15" s="196"/>
      <c r="V15" s="196"/>
      <c r="W15" s="196"/>
      <c r="X15" s="196"/>
      <c r="Y15" s="196"/>
      <c r="Z15" s="196"/>
      <c r="AA15" s="196"/>
      <c r="AB15" s="196"/>
      <c r="AC15" s="196"/>
      <c r="AD15" s="196"/>
      <c r="AE15" s="196"/>
    </row>
    <row r="16" customFormat="false" ht="13.8" hidden="false" customHeight="false" outlineLevel="0" collapsed="false">
      <c r="B16" s="150" t="n">
        <f aca="false">IF(H16="","",D16)</f>
        <v>6</v>
      </c>
      <c r="D16" s="227" t="n">
        <v>6</v>
      </c>
      <c r="E16" s="228" t="str">
        <f aca="false">IF(H16="","",VLOOKUP(H16,'ETF List'!$C$3:$J$90,4,0))</f>
        <v>Intl Equity</v>
      </c>
      <c r="F16" s="15" t="str">
        <f aca="false">IF(H16="","",VLOOKUP(H16,'ETF List'!$C$3:$J$90,5,0))</f>
        <v>Developed Mrkts</v>
      </c>
      <c r="G16" s="15" t="str">
        <f aca="false">IF(H16="","",VLOOKUP(H16,'ETF List'!$C$3:$J$90,6,0))</f>
        <v>International</v>
      </c>
      <c r="H16" s="229" t="str">
        <f aca="false">IF('Policy Portfolio'!H26="","",'Policy Portfolio'!H26)</f>
        <v>EFA</v>
      </c>
      <c r="I16" s="230" t="n">
        <f aca="false">IF(H16="","",VLOOKUP(H16,'Weekly  Sum'!$B$49:$I$77,8,0))</f>
        <v>0.0415596508729943</v>
      </c>
      <c r="J16" s="222" t="n">
        <v>-0.07045</v>
      </c>
      <c r="K16" s="223" t="n">
        <v>0.1871</v>
      </c>
      <c r="L16" s="224" t="n">
        <v>0.17</v>
      </c>
      <c r="M16" s="223" t="n">
        <v>0.06</v>
      </c>
      <c r="N16" s="231" t="n">
        <f aca="false">IF(H16="","",VLOOKUP(H16,'Port Returns'!$C$176:$I$206,7,0))</f>
        <v>-0.340015856155729</v>
      </c>
      <c r="O16" s="232" t="n">
        <f aca="false">IF(N16="","",IF(ISERROR((1+N16)^(52/5)-1),"",(1+N16)^(52/5))-1)</f>
        <v>-0.986721518346322</v>
      </c>
      <c r="T16" s="196"/>
      <c r="U16" s="196"/>
      <c r="V16" s="196"/>
      <c r="W16" s="196"/>
      <c r="X16" s="196"/>
      <c r="Y16" s="196"/>
      <c r="Z16" s="196"/>
      <c r="AA16" s="196"/>
      <c r="AB16" s="196"/>
      <c r="AC16" s="196"/>
      <c r="AD16" s="196"/>
      <c r="AE16" s="196"/>
    </row>
    <row r="17" customFormat="false" ht="13.8" hidden="false" customHeight="false" outlineLevel="0" collapsed="false">
      <c r="B17" s="150" t="n">
        <f aca="false">IF(H17="","",D17)</f>
        <v>7</v>
      </c>
      <c r="D17" s="227" t="n">
        <v>7</v>
      </c>
      <c r="E17" s="228" t="str">
        <f aca="false">IF(H17="","",VLOOKUP(H17,'ETF List'!$C$3:$J$90,4,0))</f>
        <v>Intl Equity</v>
      </c>
      <c r="F17" s="15" t="str">
        <f aca="false">IF(H17="","",VLOOKUP(H17,'ETF List'!$C$3:$J$90,5,0))</f>
        <v>Emerging Mrkts</v>
      </c>
      <c r="G17" s="15" t="str">
        <f aca="false">IF(H17="","",VLOOKUP(H17,'ETF List'!$C$3:$J$90,6,0))</f>
        <v>Emerging Mrkts</v>
      </c>
      <c r="H17" s="229" t="str">
        <f aca="false">IF('Policy Portfolio'!H27="","",'Policy Portfolio'!H27)</f>
        <v>EEM</v>
      </c>
      <c r="I17" s="230" t="n">
        <f aca="false">IF(H17="","",VLOOKUP(H17,'Weekly  Sum'!$B$49:$I$77,8,0))</f>
        <v>0.0734706563326858</v>
      </c>
      <c r="J17" s="222" t="n">
        <v>0.10025</v>
      </c>
      <c r="K17" s="223" t="n">
        <v>0.2307</v>
      </c>
      <c r="L17" s="224" t="n">
        <v>0.15</v>
      </c>
      <c r="M17" s="223" t="n">
        <v>0.08</v>
      </c>
      <c r="N17" s="231" t="n">
        <f aca="false">IF(H17="","",VLOOKUP(H17,'Port Returns'!$C$176:$I$206,7,0))</f>
        <v>-1</v>
      </c>
      <c r="O17" s="232" t="n">
        <f aca="false">IF(N17="","",IF(ISERROR((1+N17)^(52/5)-1),"",(1+N17)^(52/5))-1)</f>
        <v>-1</v>
      </c>
      <c r="T17" s="196"/>
      <c r="U17" s="196"/>
      <c r="V17" s="196"/>
      <c r="W17" s="196"/>
      <c r="X17" s="196"/>
      <c r="Y17" s="196"/>
      <c r="Z17" s="196"/>
      <c r="AA17" s="196"/>
      <c r="AB17" s="196"/>
      <c r="AC17" s="196"/>
      <c r="AD17" s="196"/>
      <c r="AE17" s="196"/>
    </row>
    <row r="18" customFormat="false" ht="13.8" hidden="false" customHeight="false" outlineLevel="0" collapsed="false">
      <c r="B18" s="150" t="str">
        <f aca="false">IF(H18="","",D18)</f>
        <v/>
      </c>
      <c r="D18" s="227" t="n">
        <v>8</v>
      </c>
      <c r="E18" s="228" t="str">
        <f aca="false">IF(H18="","",VLOOKUP(H18,'ETF List'!$C$3:$J$90,4,0))</f>
        <v/>
      </c>
      <c r="F18" s="15" t="str">
        <f aca="false">IF(H18="","",VLOOKUP(H18,'ETF List'!$C$3:$J$90,5,0))</f>
        <v/>
      </c>
      <c r="G18" s="15" t="str">
        <f aca="false">IF(H18="","",VLOOKUP(H18,'ETF List'!$C$3:$J$90,6,0))</f>
        <v/>
      </c>
      <c r="H18" s="229" t="str">
        <f aca="false">IF('Policy Portfolio'!H28="","",'Policy Portfolio'!H28)</f>
        <v/>
      </c>
      <c r="I18" s="230" t="str">
        <f aca="false">IF(H18="","",VLOOKUP(H18,'Weekly  Sum'!$B$49:$I$77,8,0))</f>
        <v/>
      </c>
      <c r="J18" s="233"/>
      <c r="K18" s="234"/>
      <c r="L18" s="235"/>
      <c r="M18" s="236"/>
      <c r="N18" s="231" t="str">
        <f aca="false">IF(H18="","",VLOOKUP(H18,'Port Returns'!$C$176:$I$206,7,0))</f>
        <v/>
      </c>
      <c r="O18" s="232" t="str">
        <f aca="false">IF(N18="","",IF(ISERROR((1+N18)^(52/5)-1),"",(1+N18)^(52/5))-1)</f>
        <v/>
      </c>
      <c r="T18" s="196"/>
      <c r="U18" s="196"/>
      <c r="V18" s="196"/>
      <c r="W18" s="196"/>
      <c r="X18" s="196"/>
      <c r="Y18" s="196"/>
      <c r="Z18" s="196"/>
      <c r="AA18" s="196"/>
      <c r="AB18" s="196"/>
      <c r="AC18" s="196"/>
      <c r="AD18" s="196"/>
      <c r="AE18" s="196"/>
    </row>
    <row r="19" customFormat="false" ht="13.8" hidden="false" customHeight="false" outlineLevel="0" collapsed="false">
      <c r="B19" s="150" t="str">
        <f aca="false">IF(H19="","",D19)</f>
        <v/>
      </c>
      <c r="D19" s="237" t="n">
        <v>9</v>
      </c>
      <c r="E19" s="238" t="str">
        <f aca="false">IF(H19="","",VLOOKUP(H19,'ETF List'!$C$3:$J$90,4,0))</f>
        <v/>
      </c>
      <c r="F19" s="239" t="str">
        <f aca="false">IF(H19="","",VLOOKUP(H19,'ETF List'!$C$3:$J$90,5,0))</f>
        <v/>
      </c>
      <c r="G19" s="239" t="str">
        <f aca="false">IF(H19="","",VLOOKUP(H19,'ETF List'!$C$3:$J$90,6,0))</f>
        <v/>
      </c>
      <c r="H19" s="240" t="str">
        <f aca="false">IF('Policy Portfolio'!H29="","",'Policy Portfolio'!H29)</f>
        <v/>
      </c>
      <c r="I19" s="241" t="str">
        <f aca="false">IF(H19="","",VLOOKUP(H19,'Weekly  Sum'!$B$49:$I$77,8,0))</f>
        <v/>
      </c>
      <c r="J19" s="242"/>
      <c r="K19" s="243"/>
      <c r="L19" s="244"/>
      <c r="M19" s="245"/>
      <c r="N19" s="246" t="str">
        <f aca="false">IF(H19="","",VLOOKUP(H19,'Port Returns'!$C$176:$I$206,7,0))</f>
        <v/>
      </c>
      <c r="O19" s="247" t="str">
        <f aca="false">IF(N19="","",IF(ISERROR((1+N19)^(52/5)-1),"",(1+N19)^(52/5))-1)</f>
        <v/>
      </c>
      <c r="T19" s="196"/>
      <c r="U19" s="196"/>
      <c r="V19" s="196"/>
      <c r="W19" s="196"/>
      <c r="X19" s="196"/>
      <c r="Y19" s="196"/>
      <c r="Z19" s="196"/>
      <c r="AA19" s="196"/>
      <c r="AB19" s="196"/>
      <c r="AC19" s="196"/>
      <c r="AD19" s="196"/>
      <c r="AE19" s="196"/>
    </row>
    <row r="20" customFormat="false" ht="17.35" hidden="false" customHeight="false" outlineLevel="0" collapsed="false">
      <c r="C20" s="150" t="str">
        <f aca="false">IF('Policy Portfolio'!F20="","",'Policy Portfolio'!E20)</f>
        <v>Cash</v>
      </c>
      <c r="D20" s="136"/>
      <c r="H20" s="134"/>
      <c r="I20" s="248"/>
      <c r="T20" s="196"/>
      <c r="U20" s="196"/>
      <c r="V20" s="196"/>
      <c r="W20" s="196"/>
      <c r="X20" s="196"/>
      <c r="Y20" s="196"/>
      <c r="Z20" s="196"/>
      <c r="AA20" s="196"/>
      <c r="AB20" s="196"/>
      <c r="AC20" s="196"/>
      <c r="AD20" s="196"/>
      <c r="AE20" s="196"/>
    </row>
    <row r="21" customFormat="false" ht="17.35" hidden="false" customHeight="false" outlineLevel="0" collapsed="false">
      <c r="C21" s="150" t="str">
        <f aca="false">IF('Policy Portfolio'!F21="","",'Policy Portfolio'!E21)</f>
        <v>Bonds</v>
      </c>
      <c r="D21" s="136"/>
      <c r="E21" s="189" t="str">
        <f aca="false">E27</f>
        <v>Bonds</v>
      </c>
      <c r="H21" s="134"/>
      <c r="I21" s="134"/>
      <c r="T21" s="196"/>
      <c r="U21" s="196"/>
      <c r="V21" s="196"/>
      <c r="W21" s="196"/>
      <c r="X21" s="196"/>
      <c r="Y21" s="196"/>
      <c r="Z21" s="196"/>
      <c r="AA21" s="196"/>
      <c r="AB21" s="196"/>
      <c r="AC21" s="196"/>
      <c r="AD21" s="196"/>
      <c r="AE21" s="196"/>
    </row>
    <row r="22" customFormat="false" ht="17.35" hidden="false" customHeight="false" outlineLevel="0" collapsed="false">
      <c r="C22" s="150" t="str">
        <f aca="false">IF('Policy Portfolio'!F22="","",'Policy Portfolio'!E22)</f>
        <v>Bonds</v>
      </c>
      <c r="D22" s="136"/>
      <c r="H22" s="134"/>
      <c r="I22" s="134"/>
      <c r="T22" s="196"/>
      <c r="U22" s="196"/>
      <c r="V22" s="196"/>
      <c r="W22" s="196"/>
      <c r="X22" s="196"/>
      <c r="Y22" s="196"/>
      <c r="Z22" s="196"/>
      <c r="AA22" s="196"/>
      <c r="AB22" s="196"/>
      <c r="AC22" s="196"/>
      <c r="AD22" s="196"/>
      <c r="AE22" s="196"/>
    </row>
    <row r="23" customFormat="false" ht="17.35" hidden="false" customHeight="false" outlineLevel="0" collapsed="false">
      <c r="C23" s="150" t="str">
        <f aca="false">IF('Policy Portfolio'!F23="","",'Policy Portfolio'!E23)</f>
        <v>Bonds</v>
      </c>
      <c r="D23" s="136" t="s">
        <v>387</v>
      </c>
      <c r="H23" s="134"/>
      <c r="I23" s="134"/>
      <c r="T23" s="196"/>
      <c r="U23" s="196"/>
      <c r="V23" s="196"/>
      <c r="W23" s="196"/>
      <c r="X23" s="196"/>
      <c r="Y23" s="196"/>
      <c r="Z23" s="196"/>
      <c r="AA23" s="196"/>
      <c r="AB23" s="196"/>
      <c r="AC23" s="196"/>
      <c r="AD23" s="196"/>
      <c r="AE23" s="196"/>
    </row>
    <row r="24" s="194" customFormat="true" ht="13.8" hidden="false" customHeight="false" outlineLevel="0" collapsed="false">
      <c r="A24" s="191"/>
      <c r="B24" s="191"/>
      <c r="C24" s="191" t="str">
        <f aca="false">IF('Policy Portfolio'!F24="","",'Policy Portfolio'!E24)</f>
        <v>Alternatives</v>
      </c>
      <c r="D24" s="198"/>
      <c r="E24" s="199"/>
      <c r="F24" s="200"/>
      <c r="G24" s="200"/>
      <c r="H24" s="201"/>
      <c r="I24" s="201"/>
      <c r="J24" s="202" t="s">
        <v>371</v>
      </c>
      <c r="K24" s="203"/>
      <c r="L24" s="204" t="s">
        <v>372</v>
      </c>
      <c r="M24" s="200"/>
      <c r="N24" s="205" t="s">
        <v>264</v>
      </c>
      <c r="O24" s="205"/>
      <c r="T24" s="196"/>
      <c r="U24" s="196"/>
      <c r="V24" s="196"/>
      <c r="W24" s="196"/>
      <c r="X24" s="196"/>
      <c r="Y24" s="196"/>
      <c r="Z24" s="196"/>
      <c r="AA24" s="196"/>
      <c r="AB24" s="196"/>
      <c r="AC24" s="196"/>
      <c r="AD24" s="196"/>
      <c r="AE24" s="196"/>
    </row>
    <row r="25" s="194" customFormat="true" ht="24" hidden="false" customHeight="false" outlineLevel="0" collapsed="false">
      <c r="A25" s="191"/>
      <c r="B25" s="191"/>
      <c r="C25" s="191" t="str">
        <f aca="false">IF('Policy Portfolio'!F25="","",'Policy Portfolio'!E25)</f>
        <v>US_Equity</v>
      </c>
      <c r="D25" s="249" t="s">
        <v>374</v>
      </c>
      <c r="E25" s="250" t="s">
        <v>4</v>
      </c>
      <c r="F25" s="251" t="s">
        <v>0</v>
      </c>
      <c r="G25" s="251" t="s">
        <v>5</v>
      </c>
      <c r="H25" s="251" t="s">
        <v>1</v>
      </c>
      <c r="I25" s="251" t="s">
        <v>375</v>
      </c>
      <c r="J25" s="249" t="s">
        <v>376</v>
      </c>
      <c r="K25" s="208" t="s">
        <v>377</v>
      </c>
      <c r="L25" s="251" t="s">
        <v>378</v>
      </c>
      <c r="M25" s="249" t="s">
        <v>379</v>
      </c>
      <c r="N25" s="249" t="s">
        <v>376</v>
      </c>
      <c r="O25" s="252" t="s">
        <v>380</v>
      </c>
      <c r="T25" s="196"/>
      <c r="U25" s="196"/>
      <c r="V25" s="196"/>
      <c r="W25" s="196"/>
      <c r="X25" s="196"/>
      <c r="Y25" s="196"/>
      <c r="Z25" s="196"/>
      <c r="AA25" s="196"/>
      <c r="AB25" s="196"/>
      <c r="AC25" s="196"/>
      <c r="AD25" s="196"/>
      <c r="AE25" s="196"/>
    </row>
    <row r="26" customFormat="false" ht="15" hidden="false" customHeight="false" outlineLevel="0" collapsed="false">
      <c r="D26" s="210"/>
      <c r="E26" s="211" t="s">
        <v>382</v>
      </c>
      <c r="F26" s="212"/>
      <c r="G26" s="213"/>
      <c r="H26" s="253"/>
      <c r="I26" s="211"/>
      <c r="J26" s="253"/>
      <c r="K26" s="211"/>
      <c r="L26" s="253"/>
      <c r="M26" s="211"/>
      <c r="N26" s="253"/>
      <c r="O26" s="254"/>
      <c r="T26" s="196"/>
      <c r="U26" s="196"/>
      <c r="V26" s="196"/>
      <c r="W26" s="196"/>
      <c r="X26" s="196"/>
      <c r="Y26" s="196"/>
      <c r="Z26" s="196"/>
      <c r="AA26" s="196"/>
      <c r="AB26" s="196"/>
      <c r="AC26" s="196"/>
      <c r="AD26" s="196"/>
      <c r="AE26" s="196"/>
    </row>
    <row r="27" customFormat="false" ht="13.8" hidden="false" customHeight="false" outlineLevel="0" collapsed="false">
      <c r="B27" s="150" t="n">
        <f aca="false">MAX('Policy Portfolio'!$B$21:$B$29)+1</f>
        <v>8</v>
      </c>
      <c r="D27" s="217" t="n">
        <v>1</v>
      </c>
      <c r="E27" s="219" t="str">
        <f aca="false">IF($H27="","",VLOOKUP($H27,'ETF List'!$C$1:$J$100,4,0))</f>
        <v>Bonds</v>
      </c>
      <c r="F27" s="255" t="str">
        <f aca="false">IF($H27="","",VLOOKUP($H27,'ETF List'!$C$1:$J$100,5,0))</f>
        <v>US Government</v>
      </c>
      <c r="G27" s="255" t="str">
        <f aca="false">IF($H27="","",VLOOKUP($H27,'ETF List'!$C$1:$J$100,6,0))</f>
        <v>Intermediate Term Treasury</v>
      </c>
      <c r="H27" s="220" t="str">
        <f aca="false">IF('Price Inputs'!C20="","",'Price Inputs'!C20)</f>
        <v>IEF</v>
      </c>
      <c r="I27" s="221" t="n">
        <f aca="false">IF(H27="","",VLOOKUP(H27,'Weekly  Sum'!$B$49:$I$77,8,0))</f>
        <v>0.0710102395451548</v>
      </c>
      <c r="J27" s="222" t="n">
        <v>0.0566</v>
      </c>
      <c r="K27" s="222" t="n">
        <v>0.0652</v>
      </c>
      <c r="L27" s="222" t="n">
        <v>0.00354</v>
      </c>
      <c r="M27" s="222"/>
      <c r="N27" s="256" t="n">
        <f aca="false">IF(H27="","",VLOOKUP(H27,'Port Returns'!$C$176:$I$206,7,0))</f>
        <v>-1</v>
      </c>
      <c r="O27" s="226" t="n">
        <f aca="false">IF(N27="","",IF(ISERROR((1+N27)^(52/5)-1),"",(1+N27)^(52/5))-1)</f>
        <v>-1</v>
      </c>
      <c r="T27" s="196"/>
      <c r="U27" s="196"/>
      <c r="V27" s="196"/>
      <c r="W27" s="196"/>
      <c r="X27" s="196"/>
      <c r="Y27" s="196"/>
      <c r="Z27" s="196"/>
      <c r="AA27" s="196"/>
      <c r="AB27" s="196"/>
      <c r="AC27" s="196"/>
      <c r="AD27" s="196"/>
      <c r="AE27" s="196"/>
    </row>
    <row r="28" customFormat="false" ht="13.8" hidden="false" customHeight="false" outlineLevel="0" collapsed="false">
      <c r="B28" s="150" t="n">
        <f aca="false">B27+1</f>
        <v>9</v>
      </c>
      <c r="D28" s="227" t="n">
        <v>2</v>
      </c>
      <c r="E28" s="15" t="str">
        <f aca="false">IF($H28="","",VLOOKUP($H28,'ETF List'!$C$1:$J$100,4,0))</f>
        <v>Intl Equity</v>
      </c>
      <c r="F28" s="145" t="str">
        <f aca="false">IF($H28="","",VLOOKUP($H28,'ETF List'!$C$1:$J$100,5,0))</f>
        <v>Developed Mrkts</v>
      </c>
      <c r="G28" s="145" t="str">
        <f aca="false">IF($H28="","",VLOOKUP($H28,'ETF List'!$C$1:$J$100,6,0))</f>
        <v>International</v>
      </c>
      <c r="H28" s="229" t="str">
        <f aca="false">IF('Price Inputs'!C21="","",'Price Inputs'!C21)</f>
        <v>EFA</v>
      </c>
      <c r="I28" s="230" t="n">
        <f aca="false">IF(H28="","",VLOOKUP(H28,'Weekly  Sum'!$B$49:$I$77,8,0))</f>
        <v>0.0415596508729943</v>
      </c>
      <c r="J28" s="222" t="n">
        <v>-0.0705</v>
      </c>
      <c r="K28" s="222" t="n">
        <v>0.1834</v>
      </c>
      <c r="L28" s="222" t="n">
        <v>0.00235</v>
      </c>
      <c r="M28" s="222"/>
      <c r="N28" s="257" t="n">
        <f aca="false">IF(H28="","",VLOOKUP(H28,'Port Returns'!$C$176:$I$206,7,0))</f>
        <v>-0.340015856155729</v>
      </c>
      <c r="O28" s="258" t="n">
        <f aca="false">IF(N28="","",IF(ISERROR((1+N28)^(52/5)-1),"",(1+N28)^(52/5))-1)</f>
        <v>-0.986721518346322</v>
      </c>
      <c r="T28" s="196"/>
      <c r="U28" s="196"/>
      <c r="V28" s="196"/>
      <c r="W28" s="196"/>
      <c r="X28" s="196"/>
      <c r="Y28" s="196"/>
      <c r="Z28" s="196"/>
      <c r="AA28" s="196"/>
      <c r="AB28" s="196"/>
      <c r="AC28" s="196"/>
      <c r="AD28" s="196"/>
      <c r="AE28" s="196"/>
    </row>
    <row r="29" customFormat="false" ht="13.8" hidden="false" customHeight="false" outlineLevel="0" collapsed="false">
      <c r="B29" s="150" t="n">
        <f aca="false">B28+1</f>
        <v>10</v>
      </c>
      <c r="D29" s="227" t="n">
        <v>3</v>
      </c>
      <c r="E29" s="15" t="str">
        <f aca="false">IF($H29="","",VLOOKUP($H29,'ETF List'!$C$1:$J$100,4,0))</f>
        <v/>
      </c>
      <c r="F29" s="145" t="str">
        <f aca="false">IF($H29="","",VLOOKUP($H29,'ETF List'!$C$1:$J$100,5,0))</f>
        <v/>
      </c>
      <c r="G29" s="145" t="str">
        <f aca="false">IF($H29="","",VLOOKUP($H29,'ETF List'!$C$1:$J$100,6,0))</f>
        <v/>
      </c>
      <c r="H29" s="229" t="str">
        <f aca="false">IF('Price Inputs'!C22="","",'Price Inputs'!C22)</f>
        <v/>
      </c>
      <c r="I29" s="230" t="str">
        <f aca="false">IF(H29="","",VLOOKUP(H29,'Weekly  Sum'!$B$49:$I$77,8,0))</f>
        <v/>
      </c>
      <c r="J29" s="259"/>
      <c r="K29" s="234"/>
      <c r="L29" s="235"/>
      <c r="M29" s="236"/>
      <c r="N29" s="257" t="str">
        <f aca="false">IF(H29="","",VLOOKUP(H29,'Port Returns'!$C$176:$I$206,7,0))</f>
        <v/>
      </c>
      <c r="O29" s="258" t="str">
        <f aca="false">IF(N29="","",IF(ISERROR((1+N29)^(52/5)-1),"",(1+N29)^(52/5))-1)</f>
        <v/>
      </c>
      <c r="T29" s="196"/>
      <c r="U29" s="196"/>
      <c r="V29" s="196"/>
      <c r="W29" s="196"/>
      <c r="X29" s="196"/>
      <c r="Y29" s="196"/>
      <c r="Z29" s="196"/>
      <c r="AA29" s="196"/>
      <c r="AB29" s="196"/>
      <c r="AC29" s="196"/>
      <c r="AD29" s="196"/>
      <c r="AE29" s="196"/>
    </row>
    <row r="30" customFormat="false" ht="13.8" hidden="false" customHeight="false" outlineLevel="0" collapsed="false">
      <c r="B30" s="150" t="n">
        <f aca="false">B29+1</f>
        <v>11</v>
      </c>
      <c r="D30" s="227" t="n">
        <v>4</v>
      </c>
      <c r="E30" s="15" t="str">
        <f aca="false">IF($H30="","",VLOOKUP($H30,'ETF List'!$C$1:$J$100,4,0))</f>
        <v/>
      </c>
      <c r="F30" s="145" t="str">
        <f aca="false">IF($H30="","",VLOOKUP($H30,'ETF List'!$C$1:$J$100,5,0))</f>
        <v/>
      </c>
      <c r="G30" s="145" t="str">
        <f aca="false">IF($H30="","",VLOOKUP($H30,'ETF List'!$C$1:$J$100,6,0))</f>
        <v/>
      </c>
      <c r="H30" s="229" t="str">
        <f aca="false">IF('Price Inputs'!C23="","",'Price Inputs'!C23)</f>
        <v/>
      </c>
      <c r="I30" s="230" t="str">
        <f aca="false">IF(H30="","",VLOOKUP(H30,'Weekly  Sum'!$B$49:$I$77,8,0))</f>
        <v/>
      </c>
      <c r="J30" s="259"/>
      <c r="K30" s="234"/>
      <c r="L30" s="235"/>
      <c r="M30" s="236"/>
      <c r="N30" s="257" t="str">
        <f aca="false">IF(H30="","",VLOOKUP(H30,'Port Returns'!$C$176:$I$206,7,0))</f>
        <v/>
      </c>
      <c r="O30" s="258" t="str">
        <f aca="false">IF(N30="","",IF(ISERROR((1+N30)^(52/5)-1),"",(1+N30)^(52/5))-1)</f>
        <v/>
      </c>
      <c r="T30" s="196"/>
      <c r="U30" s="196"/>
      <c r="V30" s="196"/>
      <c r="W30" s="196"/>
      <c r="X30" s="196"/>
      <c r="Y30" s="196"/>
      <c r="Z30" s="196"/>
      <c r="AA30" s="196"/>
      <c r="AB30" s="196"/>
      <c r="AC30" s="196"/>
      <c r="AD30" s="196"/>
      <c r="AE30" s="196"/>
    </row>
    <row r="31" customFormat="false" ht="13.8" hidden="false" customHeight="false" outlineLevel="0" collapsed="false">
      <c r="B31" s="150" t="n">
        <f aca="false">B30+1</f>
        <v>12</v>
      </c>
      <c r="D31" s="227" t="n">
        <v>5</v>
      </c>
      <c r="E31" s="15" t="str">
        <f aca="false">IF($H31="","",VLOOKUP($H31,'ETF List'!$C$1:$J$100,4,0))</f>
        <v/>
      </c>
      <c r="F31" s="145" t="str">
        <f aca="false">IF($H31="","",VLOOKUP($H31,'ETF List'!$C$1:$J$100,5,0))</f>
        <v/>
      </c>
      <c r="G31" s="145" t="str">
        <f aca="false">IF($H31="","",VLOOKUP($H31,'ETF List'!$C$1:$J$100,6,0))</f>
        <v/>
      </c>
      <c r="H31" s="229" t="str">
        <f aca="false">IF('Price Inputs'!C24="","",'Price Inputs'!C24)</f>
        <v/>
      </c>
      <c r="I31" s="230" t="str">
        <f aca="false">IF(H31="","",VLOOKUP(H31,'Weekly  Sum'!$B$49:$I$77,8,0))</f>
        <v/>
      </c>
      <c r="J31" s="259"/>
      <c r="K31" s="234"/>
      <c r="L31" s="235"/>
      <c r="M31" s="236"/>
      <c r="N31" s="257" t="str">
        <f aca="false">IF(H31="","",VLOOKUP(H31,'Port Returns'!$C$176:$I$206,7,0))</f>
        <v/>
      </c>
      <c r="O31" s="258" t="str">
        <f aca="false">IF(N31="","",IF(ISERROR((1+N31)^(52/5)-1),"",(1+N31)^(52/5))-1)</f>
        <v/>
      </c>
      <c r="T31" s="196"/>
      <c r="U31" s="196"/>
      <c r="V31" s="196"/>
      <c r="W31" s="196"/>
      <c r="X31" s="196"/>
      <c r="Y31" s="196"/>
      <c r="Z31" s="196"/>
      <c r="AA31" s="196"/>
      <c r="AB31" s="196"/>
      <c r="AC31" s="196"/>
      <c r="AD31" s="196"/>
      <c r="AE31" s="196"/>
    </row>
    <row r="32" customFormat="false" ht="13.8" hidden="false" customHeight="false" outlineLevel="0" collapsed="false">
      <c r="B32" s="150" t="n">
        <f aca="false">B31+1</f>
        <v>13</v>
      </c>
      <c r="D32" s="227" t="n">
        <v>6</v>
      </c>
      <c r="E32" s="15" t="str">
        <f aca="false">IF($H32="","",VLOOKUP($H32,'ETF List'!$C$1:$J$100,4,0))</f>
        <v/>
      </c>
      <c r="F32" s="145" t="str">
        <f aca="false">IF($H32="","",VLOOKUP($H32,'ETF List'!$C$1:$J$100,5,0))</f>
        <v/>
      </c>
      <c r="G32" s="145" t="str">
        <f aca="false">IF($H32="","",VLOOKUP($H32,'ETF List'!$C$1:$J$100,6,0))</f>
        <v/>
      </c>
      <c r="H32" s="229" t="str">
        <f aca="false">IF('Price Inputs'!C25="","",'Price Inputs'!C25)</f>
        <v/>
      </c>
      <c r="I32" s="230" t="str">
        <f aca="false">IF(H32="","",VLOOKUP(H32,'Weekly  Sum'!$B$49:$I$77,8,0))</f>
        <v/>
      </c>
      <c r="J32" s="259"/>
      <c r="K32" s="234"/>
      <c r="L32" s="235"/>
      <c r="M32" s="236"/>
      <c r="N32" s="257" t="str">
        <f aca="false">IF(H32="","",VLOOKUP(H32,'Port Returns'!$C$176:$I$206,7,0))</f>
        <v/>
      </c>
      <c r="O32" s="258" t="str">
        <f aca="false">IF(N32="","",IF(ISERROR((1+N32)^(52/5)-1),"",(1+N32)^(52/5))-1)</f>
        <v/>
      </c>
    </row>
    <row r="33" customFormat="false" ht="13.8" hidden="false" customHeight="false" outlineLevel="0" collapsed="false">
      <c r="B33" s="150" t="n">
        <f aca="false">B32+1</f>
        <v>14</v>
      </c>
      <c r="D33" s="227" t="n">
        <v>7</v>
      </c>
      <c r="E33" s="15" t="str">
        <f aca="false">IF($H33="","",VLOOKUP($H33,'ETF List'!$C$1:$J$100,4,0))</f>
        <v/>
      </c>
      <c r="F33" s="145" t="str">
        <f aca="false">IF($H33="","",VLOOKUP($H33,'ETF List'!$C$1:$J$100,5,0))</f>
        <v/>
      </c>
      <c r="G33" s="145" t="str">
        <f aca="false">IF($H33="","",VLOOKUP($H33,'ETF List'!$C$1:$J$100,6,0))</f>
        <v/>
      </c>
      <c r="H33" s="229" t="str">
        <f aca="false">IF('Price Inputs'!C26="","",'Price Inputs'!C26)</f>
        <v/>
      </c>
      <c r="I33" s="230" t="str">
        <f aca="false">IF(H33="","",VLOOKUP(H33,'Weekly  Sum'!$B$49:$I$77,8,0))</f>
        <v/>
      </c>
      <c r="J33" s="259"/>
      <c r="K33" s="234"/>
      <c r="L33" s="235"/>
      <c r="M33" s="236"/>
      <c r="N33" s="257" t="str">
        <f aca="false">IF(H33="","",VLOOKUP(H33,'Port Returns'!$C$176:$I$206,7,0))</f>
        <v/>
      </c>
      <c r="O33" s="258" t="str">
        <f aca="false">IF(N33="","",IF(ISERROR((1+N33)^(52/5)-1),"",(1+N33)^(52/5))-1)</f>
        <v/>
      </c>
    </row>
    <row r="34" customFormat="false" ht="13.8" hidden="false" customHeight="false" outlineLevel="0" collapsed="false">
      <c r="B34" s="150" t="n">
        <f aca="false">B33+1</f>
        <v>15</v>
      </c>
      <c r="D34" s="227" t="n">
        <v>8</v>
      </c>
      <c r="E34" s="15" t="str">
        <f aca="false">IF($H34="","",VLOOKUP($H34,'ETF List'!$C$1:$J$100,4,0))</f>
        <v/>
      </c>
      <c r="F34" s="145" t="str">
        <f aca="false">IF($H34="","",VLOOKUP($H34,'ETF List'!$C$1:$J$100,5,0))</f>
        <v/>
      </c>
      <c r="G34" s="145" t="str">
        <f aca="false">IF($H34="","",VLOOKUP($H34,'ETF List'!$C$1:$J$100,6,0))</f>
        <v/>
      </c>
      <c r="H34" s="229" t="str">
        <f aca="false">IF('Price Inputs'!C27="","",'Price Inputs'!C27)</f>
        <v/>
      </c>
      <c r="I34" s="230" t="str">
        <f aca="false">IF(H34="","",VLOOKUP(H34,'Weekly  Sum'!$B$49:$I$77,8,0))</f>
        <v/>
      </c>
      <c r="J34" s="259"/>
      <c r="K34" s="234"/>
      <c r="L34" s="235"/>
      <c r="M34" s="236"/>
      <c r="N34" s="257" t="str">
        <f aca="false">IF(H34="","",VLOOKUP(H34,'Port Returns'!$C$176:$I$206,7,0))</f>
        <v/>
      </c>
      <c r="O34" s="258" t="str">
        <f aca="false">IF(N34="","",IF(ISERROR((1+N34)^(52/5)-1),"",(1+N34)^(52/5))-1)</f>
        <v/>
      </c>
      <c r="U34" s="189"/>
      <c r="X34" s="134"/>
      <c r="Y34" s="134"/>
    </row>
    <row r="35" customFormat="false" ht="13.8" hidden="false" customHeight="false" outlineLevel="0" collapsed="false">
      <c r="B35" s="150" t="n">
        <f aca="false">B34+1</f>
        <v>16</v>
      </c>
      <c r="D35" s="227" t="n">
        <v>9</v>
      </c>
      <c r="E35" s="15" t="str">
        <f aca="false">IF($H35="","",VLOOKUP($H35,'ETF List'!$C$1:$J$100,4,0))</f>
        <v/>
      </c>
      <c r="F35" s="145" t="str">
        <f aca="false">IF($H35="","",VLOOKUP($H35,'ETF List'!$C$1:$J$100,5,0))</f>
        <v/>
      </c>
      <c r="G35" s="145" t="str">
        <f aca="false">IF($H35="","",VLOOKUP($H35,'ETF List'!$C$1:$J$100,6,0))</f>
        <v/>
      </c>
      <c r="H35" s="229" t="str">
        <f aca="false">IF('Price Inputs'!C28="","",'Price Inputs'!C28)</f>
        <v/>
      </c>
      <c r="I35" s="230" t="str">
        <f aca="false">IF(H35="","",VLOOKUP(H35,'Weekly  Sum'!$B$49:$I$77,8,0))</f>
        <v/>
      </c>
      <c r="J35" s="259"/>
      <c r="K35" s="234"/>
      <c r="L35" s="235"/>
      <c r="M35" s="236"/>
      <c r="N35" s="257" t="str">
        <f aca="false">IF(H35="","",VLOOKUP(H35,'Port Returns'!$C$176:$I$206,7,0))</f>
        <v/>
      </c>
      <c r="O35" s="258" t="str">
        <f aca="false">IF(N35="","",IF(ISERROR((1+N35)^(52/5)-1),"",(1+N35)^(52/5))-1)</f>
        <v/>
      </c>
      <c r="U35" s="189"/>
      <c r="X35" s="134"/>
      <c r="Y35" s="134"/>
    </row>
    <row r="36" customFormat="false" ht="13.8" hidden="false" customHeight="false" outlineLevel="0" collapsed="false">
      <c r="B36" s="150" t="n">
        <f aca="false">B35+1</f>
        <v>17</v>
      </c>
      <c r="D36" s="227" t="n">
        <v>10</v>
      </c>
      <c r="E36" s="15" t="str">
        <f aca="false">IF($H36="","",VLOOKUP($H36,'ETF List'!$C$1:$J$100,4,0))</f>
        <v/>
      </c>
      <c r="F36" s="145" t="str">
        <f aca="false">IF($H36="","",VLOOKUP($H36,'ETF List'!$C$1:$J$100,5,0))</f>
        <v/>
      </c>
      <c r="G36" s="145" t="str">
        <f aca="false">IF($H36="","",VLOOKUP($H36,'ETF List'!$C$1:$J$100,6,0))</f>
        <v/>
      </c>
      <c r="H36" s="229" t="str">
        <f aca="false">IF('Price Inputs'!C29="","",'Price Inputs'!C29)</f>
        <v/>
      </c>
      <c r="I36" s="230" t="str">
        <f aca="false">IF(H36="","",VLOOKUP(H36,'Weekly  Sum'!$B$49:$I$77,8,0))</f>
        <v/>
      </c>
      <c r="J36" s="259"/>
      <c r="K36" s="234"/>
      <c r="L36" s="235"/>
      <c r="M36" s="236"/>
      <c r="N36" s="260" t="str">
        <f aca="false">IF(H36="","",VLOOKUP(H36,'Port Returns'!$C$176:$I$206,7,0))</f>
        <v/>
      </c>
      <c r="O36" s="258" t="str">
        <f aca="false">IF(N36="","",IF(ISERROR((1+N36)^(52/5)-1),"",(1+N36)^(52/5))-1)</f>
        <v/>
      </c>
    </row>
    <row r="37" customFormat="false" ht="13.8" hidden="false" customHeight="false" outlineLevel="0" collapsed="false">
      <c r="B37" s="150" t="n">
        <f aca="false">B36+1</f>
        <v>18</v>
      </c>
      <c r="D37" s="227" t="n">
        <v>11</v>
      </c>
      <c r="E37" s="15" t="str">
        <f aca="false">IF($H37="","",VLOOKUP($H37,'ETF List'!$C$1:$J$100,4,0))</f>
        <v/>
      </c>
      <c r="F37" s="145" t="str">
        <f aca="false">IF($H37="","",VLOOKUP($H37,'ETF List'!$C$1:$J$100,5,0))</f>
        <v/>
      </c>
      <c r="G37" s="145" t="str">
        <f aca="false">IF($H37="","",VLOOKUP($H37,'ETF List'!$C$1:$J$100,6,0))</f>
        <v/>
      </c>
      <c r="H37" s="229" t="str">
        <f aca="false">IF('Price Inputs'!C30="","",'Price Inputs'!C30)</f>
        <v/>
      </c>
      <c r="I37" s="230" t="str">
        <f aca="false">IF(H37="","",VLOOKUP(H37,'Weekly  Sum'!$B$49:$I$77,8,0))</f>
        <v/>
      </c>
      <c r="J37" s="259"/>
      <c r="K37" s="234"/>
      <c r="L37" s="235"/>
      <c r="M37" s="236"/>
      <c r="N37" s="260" t="str">
        <f aca="false">IF(H37="","",VLOOKUP(H37,'Port Returns'!$C$176:$I$206,7,0))</f>
        <v/>
      </c>
      <c r="O37" s="258" t="str">
        <f aca="false">IF(N37="","",IF(ISERROR((1+N37)^(52/5)-1),"",(1+N37)^(52/5))-1)</f>
        <v/>
      </c>
    </row>
    <row r="38" customFormat="false" ht="13.8" hidden="false" customHeight="false" outlineLevel="0" collapsed="false">
      <c r="B38" s="150" t="n">
        <f aca="false">B37+1</f>
        <v>19</v>
      </c>
      <c r="D38" s="227" t="n">
        <v>12</v>
      </c>
      <c r="E38" s="15" t="str">
        <f aca="false">IF($H38="","",VLOOKUP($H38,'ETF List'!$C$1:$J$100,4,0))</f>
        <v/>
      </c>
      <c r="F38" s="145" t="str">
        <f aca="false">IF($H38="","",VLOOKUP($H38,'ETF List'!$C$1:$J$100,5,0))</f>
        <v/>
      </c>
      <c r="G38" s="145" t="str">
        <f aca="false">IF($H38="","",VLOOKUP($H38,'ETF List'!$C$1:$J$100,6,0))</f>
        <v/>
      </c>
      <c r="H38" s="229" t="str">
        <f aca="false">IF('Price Inputs'!C31="","",'Price Inputs'!C31)</f>
        <v/>
      </c>
      <c r="I38" s="230" t="str">
        <f aca="false">IF(H38="","",VLOOKUP(H38,'Weekly  Sum'!$B$49:$I$77,8,0))</f>
        <v/>
      </c>
      <c r="J38" s="259"/>
      <c r="K38" s="234"/>
      <c r="L38" s="235"/>
      <c r="M38" s="236"/>
      <c r="N38" s="260" t="str">
        <f aca="false">IF(H38="","",VLOOKUP(H38,'Port Returns'!$C$176:$I$206,7,0))</f>
        <v/>
      </c>
      <c r="O38" s="258" t="str">
        <f aca="false">IF(N38="","",IF(ISERROR((1+N38)^(52/5)-1),"",(1+N38)^(52/5))-1)</f>
        <v/>
      </c>
    </row>
    <row r="39" customFormat="false" ht="13.8" hidden="false" customHeight="false" outlineLevel="0" collapsed="false">
      <c r="B39" s="150" t="n">
        <f aca="false">B38+1</f>
        <v>20</v>
      </c>
      <c r="D39" s="227" t="n">
        <v>13</v>
      </c>
      <c r="E39" s="15" t="str">
        <f aca="false">IF($H39="","",VLOOKUP($H39,'ETF List'!$C$1:$J$100,4,0))</f>
        <v/>
      </c>
      <c r="F39" s="145" t="str">
        <f aca="false">IF($H39="","",VLOOKUP($H39,'ETF List'!$C$1:$J$100,5,0))</f>
        <v/>
      </c>
      <c r="G39" s="145" t="str">
        <f aca="false">IF($H39="","",VLOOKUP($H39,'ETF List'!$C$1:$J$100,6,0))</f>
        <v/>
      </c>
      <c r="H39" s="229" t="str">
        <f aca="false">IF('Price Inputs'!C32="","",'Price Inputs'!C32)</f>
        <v/>
      </c>
      <c r="I39" s="230" t="str">
        <f aca="false">IF(H39="","",VLOOKUP(H39,'Weekly  Sum'!$B$49:$I$77,8,0))</f>
        <v/>
      </c>
      <c r="J39" s="259"/>
      <c r="K39" s="234"/>
      <c r="L39" s="235"/>
      <c r="M39" s="236"/>
      <c r="N39" s="260" t="str">
        <f aca="false">IF(H39="","",VLOOKUP(H39,'Port Returns'!$C$176:$I$206,7,0))</f>
        <v/>
      </c>
      <c r="O39" s="258" t="str">
        <f aca="false">IF(N39="","",IF(ISERROR((1+N39)^(52/5)-1),"",(1+N39)^(52/5))-1)</f>
        <v/>
      </c>
    </row>
    <row r="40" customFormat="false" ht="13.8" hidden="false" customHeight="false" outlineLevel="0" collapsed="false">
      <c r="B40" s="150" t="n">
        <f aca="false">B39+1</f>
        <v>21</v>
      </c>
      <c r="D40" s="227" t="n">
        <v>14</v>
      </c>
      <c r="E40" s="15" t="str">
        <f aca="false">IF($H40="","",VLOOKUP($H40,'ETF List'!$C$1:$J$100,4,0))</f>
        <v/>
      </c>
      <c r="F40" s="145" t="str">
        <f aca="false">IF($H40="","",VLOOKUP($H40,'ETF List'!$C$1:$J$100,5,0))</f>
        <v/>
      </c>
      <c r="G40" s="145" t="str">
        <f aca="false">IF($H40="","",VLOOKUP($H40,'ETF List'!$C$1:$J$100,6,0))</f>
        <v/>
      </c>
      <c r="H40" s="229" t="str">
        <f aca="false">IF('Price Inputs'!C33="","",'Price Inputs'!C33)</f>
        <v/>
      </c>
      <c r="I40" s="230" t="str">
        <f aca="false">IF(H40="","",VLOOKUP(H40,'Weekly  Sum'!$B$49:$I$77,8,0))</f>
        <v/>
      </c>
      <c r="J40" s="259"/>
      <c r="K40" s="234"/>
      <c r="L40" s="235"/>
      <c r="M40" s="236"/>
      <c r="N40" s="260" t="str">
        <f aca="false">IF(H40="","",VLOOKUP(H40,'Port Returns'!$C$176:$I$206,7,0))</f>
        <v/>
      </c>
      <c r="O40" s="258" t="str">
        <f aca="false">IF(N40="","",IF(ISERROR((1+N40)^(52/5)-1),"",(1+N40)^(52/5))-1)</f>
        <v/>
      </c>
    </row>
    <row r="41" customFormat="false" ht="13.8" hidden="false" customHeight="false" outlineLevel="0" collapsed="false">
      <c r="B41" s="150" t="n">
        <f aca="false">B40+1</f>
        <v>22</v>
      </c>
      <c r="D41" s="227" t="n">
        <v>15</v>
      </c>
      <c r="E41" s="15" t="str">
        <f aca="false">IF($H41="","",VLOOKUP($H41,'ETF List'!$C$1:$J$100,4,0))</f>
        <v/>
      </c>
      <c r="F41" s="145" t="str">
        <f aca="false">IF($H41="","",VLOOKUP($H41,'ETF List'!$C$1:$J$100,5,0))</f>
        <v/>
      </c>
      <c r="G41" s="145" t="str">
        <f aca="false">IF($H41="","",VLOOKUP($H41,'ETF List'!$C$1:$J$100,6,0))</f>
        <v/>
      </c>
      <c r="H41" s="229" t="str">
        <f aca="false">IF('Price Inputs'!C34="","",'Price Inputs'!C34)</f>
        <v/>
      </c>
      <c r="I41" s="230" t="str">
        <f aca="false">IF(H41="","",VLOOKUP(H41,'Weekly  Sum'!$B$49:$I$77,8,0))</f>
        <v/>
      </c>
      <c r="J41" s="259"/>
      <c r="K41" s="234"/>
      <c r="L41" s="235"/>
      <c r="M41" s="236"/>
      <c r="N41" s="260" t="str">
        <f aca="false">IF(H41="","",VLOOKUP(H41,'Port Returns'!$C$176:$I$206,7,0))</f>
        <v/>
      </c>
      <c r="O41" s="258" t="str">
        <f aca="false">IF(N41="","",IF(ISERROR((1+N41)^(52/5)-1),"",(1+N41)^(52/5))-1)</f>
        <v/>
      </c>
    </row>
    <row r="42" customFormat="false" ht="13.8" hidden="false" customHeight="false" outlineLevel="0" collapsed="false">
      <c r="B42" s="150" t="n">
        <f aca="false">B41+1</f>
        <v>23</v>
      </c>
      <c r="D42" s="227" t="n">
        <v>16</v>
      </c>
      <c r="E42" s="15" t="str">
        <f aca="false">IF($H42="","",VLOOKUP($H42,'ETF List'!$C$1:$J$100,4,0))</f>
        <v/>
      </c>
      <c r="F42" s="145" t="str">
        <f aca="false">IF($H42="","",VLOOKUP($H42,'ETF List'!$C$1:$J$100,5,0))</f>
        <v/>
      </c>
      <c r="G42" s="145" t="str">
        <f aca="false">IF($H42="","",VLOOKUP($H42,'ETF List'!$C$1:$J$100,6,0))</f>
        <v/>
      </c>
      <c r="H42" s="229" t="str">
        <f aca="false">IF('Price Inputs'!C35="","",'Price Inputs'!C35)</f>
        <v/>
      </c>
      <c r="I42" s="230" t="str">
        <f aca="false">IF(H42="","",VLOOKUP(H42,'Weekly  Sum'!$B$49:$I$77,8,0))</f>
        <v/>
      </c>
      <c r="J42" s="259"/>
      <c r="K42" s="234"/>
      <c r="L42" s="235"/>
      <c r="M42" s="236"/>
      <c r="N42" s="260" t="str">
        <f aca="false">IF(H42="","",VLOOKUP(H42,'Port Returns'!$C$176:$I$206,7,0))</f>
        <v/>
      </c>
      <c r="O42" s="258" t="str">
        <f aca="false">IF(N42="","",IF(ISERROR((1+N42)^(52/5)-1),"",(1+N42)^(52/5))-1)</f>
        <v/>
      </c>
    </row>
    <row r="43" customFormat="false" ht="13.8" hidden="false" customHeight="false" outlineLevel="0" collapsed="false">
      <c r="B43" s="150" t="n">
        <f aca="false">B42+1</f>
        <v>24</v>
      </c>
      <c r="D43" s="227" t="n">
        <v>17</v>
      </c>
      <c r="E43" s="15" t="str">
        <f aca="false">IF($H43="","",VLOOKUP($H43,'ETF List'!$C$1:$J$100,4,0))</f>
        <v/>
      </c>
      <c r="F43" s="145" t="str">
        <f aca="false">IF($H43="","",VLOOKUP($H43,'ETF List'!$C$1:$J$100,5,0))</f>
        <v/>
      </c>
      <c r="G43" s="145" t="str">
        <f aca="false">IF($H43="","",VLOOKUP($H43,'ETF List'!$C$1:$J$100,6,0))</f>
        <v/>
      </c>
      <c r="H43" s="229" t="str">
        <f aca="false">IF('Price Inputs'!C36="","",'Price Inputs'!C36)</f>
        <v/>
      </c>
      <c r="I43" s="230" t="str">
        <f aca="false">IF(H43="","",VLOOKUP(H43,'Weekly  Sum'!$B$49:$I$77,8,0))</f>
        <v/>
      </c>
      <c r="J43" s="259"/>
      <c r="K43" s="234"/>
      <c r="L43" s="235"/>
      <c r="M43" s="236"/>
      <c r="N43" s="260" t="str">
        <f aca="false">IF(H43="","",VLOOKUP(H43,'Port Returns'!$C$176:$I$206,7,0))</f>
        <v/>
      </c>
      <c r="O43" s="258" t="str">
        <f aca="false">IF(N43="","",IF(ISERROR((1+N43)^(52/5)-1),"",(1+N43)^(52/5))-1)</f>
        <v/>
      </c>
    </row>
    <row r="44" customFormat="false" ht="13.8" hidden="false" customHeight="false" outlineLevel="0" collapsed="false">
      <c r="B44" s="150" t="n">
        <f aca="false">B43+1</f>
        <v>25</v>
      </c>
      <c r="D44" s="227" t="n">
        <v>18</v>
      </c>
      <c r="E44" s="15" t="str">
        <f aca="false">IF($H44="","",VLOOKUP($H44,'ETF List'!$C$1:$J$100,4,0))</f>
        <v/>
      </c>
      <c r="F44" s="145" t="str">
        <f aca="false">IF($H44="","",VLOOKUP($H44,'ETF List'!$C$1:$J$100,5,0))</f>
        <v/>
      </c>
      <c r="G44" s="145" t="str">
        <f aca="false">IF($H44="","",VLOOKUP($H44,'ETF List'!$C$1:$J$100,6,0))</f>
        <v/>
      </c>
      <c r="H44" s="229" t="str">
        <f aca="false">IF('Price Inputs'!C37="","",'Price Inputs'!C37)</f>
        <v/>
      </c>
      <c r="I44" s="230" t="str">
        <f aca="false">IF(H44="","",VLOOKUP(H44,'Weekly  Sum'!$B$49:$I$77,8,0))</f>
        <v/>
      </c>
      <c r="J44" s="259"/>
      <c r="K44" s="234"/>
      <c r="L44" s="235"/>
      <c r="M44" s="236"/>
      <c r="N44" s="260" t="str">
        <f aca="false">IF(H44="","",VLOOKUP(H44,'Port Returns'!$C$176:$I$206,7,0))</f>
        <v/>
      </c>
      <c r="O44" s="258" t="str">
        <f aca="false">IF(N44="","",IF(ISERROR((1+N44)^(52/5)-1),"",(1+N44)^(52/5))-1)</f>
        <v/>
      </c>
    </row>
    <row r="45" customFormat="false" ht="13.8" hidden="false" customHeight="false" outlineLevel="0" collapsed="false">
      <c r="B45" s="150" t="n">
        <f aca="false">B44+1</f>
        <v>26</v>
      </c>
      <c r="D45" s="227" t="n">
        <v>19</v>
      </c>
      <c r="E45" s="15" t="str">
        <f aca="false">IF($H45="","",VLOOKUP($H45,'ETF List'!$C$1:$J$100,4,0))</f>
        <v/>
      </c>
      <c r="F45" s="145" t="str">
        <f aca="false">IF($H45="","",VLOOKUP($H45,'ETF List'!$C$1:$J$100,5,0))</f>
        <v/>
      </c>
      <c r="G45" s="145" t="str">
        <f aca="false">IF($H45="","",VLOOKUP($H45,'ETF List'!$C$1:$J$100,6,0))</f>
        <v/>
      </c>
      <c r="H45" s="229" t="str">
        <f aca="false">IF('Price Inputs'!C38="","",'Price Inputs'!C38)</f>
        <v/>
      </c>
      <c r="I45" s="230" t="str">
        <f aca="false">IF(H45="","",VLOOKUP(H45,'Weekly  Sum'!$B$49:$I$77,8,0))</f>
        <v/>
      </c>
      <c r="J45" s="259"/>
      <c r="K45" s="234"/>
      <c r="L45" s="235"/>
      <c r="M45" s="236"/>
      <c r="N45" s="260" t="str">
        <f aca="false">IF(H45="","",VLOOKUP(H45,'Port Returns'!$C$176:$I$206,7,0))</f>
        <v/>
      </c>
      <c r="O45" s="258" t="str">
        <f aca="false">IF(N45="","",IF(ISERROR((1+N45)^(52/5)-1),"",(1+N45)^(52/5))-1)</f>
        <v/>
      </c>
    </row>
    <row r="46" customFormat="false" ht="13.8" hidden="false" customHeight="false" outlineLevel="0" collapsed="false">
      <c r="B46" s="150" t="n">
        <f aca="false">B45+1</f>
        <v>27</v>
      </c>
      <c r="D46" s="227" t="n">
        <v>20</v>
      </c>
      <c r="E46" s="15" t="str">
        <f aca="false">IF($H46="","",VLOOKUP($H46,'ETF List'!$C$1:$J$100,4,0))</f>
        <v/>
      </c>
      <c r="F46" s="145" t="str">
        <f aca="false">IF($H46="","",VLOOKUP($H46,'ETF List'!$C$1:$J$100,5,0))</f>
        <v/>
      </c>
      <c r="G46" s="145" t="str">
        <f aca="false">IF($H46="","",VLOOKUP($H46,'ETF List'!$C$1:$J$100,6,0))</f>
        <v/>
      </c>
      <c r="H46" s="229" t="str">
        <f aca="false">IF('Price Inputs'!C39="","",'Price Inputs'!C39)</f>
        <v/>
      </c>
      <c r="I46" s="230" t="str">
        <f aca="false">IF(H46="","",VLOOKUP(H46,'Weekly  Sum'!$B$49:$I$77,8,0))</f>
        <v/>
      </c>
      <c r="J46" s="259"/>
      <c r="K46" s="234"/>
      <c r="L46" s="235"/>
      <c r="M46" s="236"/>
      <c r="N46" s="260" t="str">
        <f aca="false">IF(H46="","",VLOOKUP(H46,'Port Returns'!$C$176:$I$206,7,0))</f>
        <v/>
      </c>
      <c r="O46" s="258" t="str">
        <f aca="false">IF(N46="","",IF(ISERROR((1+N46)^(52/5)-1),"",(1+N46)^(52/5))-1)</f>
        <v/>
      </c>
    </row>
    <row r="47" customFormat="false" ht="13.8" hidden="false" customHeight="false" outlineLevel="0" collapsed="false">
      <c r="B47" s="150" t="n">
        <f aca="false">B46+1</f>
        <v>28</v>
      </c>
      <c r="D47" s="227" t="n">
        <v>21</v>
      </c>
      <c r="E47" s="15" t="str">
        <f aca="false">IF($H47="","",VLOOKUP($H47,'ETF List'!$C$1:$J$100,4,0))</f>
        <v/>
      </c>
      <c r="F47" s="145" t="str">
        <f aca="false">IF($H47="","",VLOOKUP($H47,'ETF List'!$C$1:$J$100,5,0))</f>
        <v/>
      </c>
      <c r="G47" s="145" t="str">
        <f aca="false">IF($H47="","",VLOOKUP($H47,'ETF List'!$C$1:$J$100,6,0))</f>
        <v/>
      </c>
      <c r="H47" s="229" t="str">
        <f aca="false">IF('Price Inputs'!C40="","",'Price Inputs'!C40)</f>
        <v/>
      </c>
      <c r="I47" s="230" t="str">
        <f aca="false">IF(H47="","",VLOOKUP(H47,'Weekly  Sum'!$B$49:$I$77,8,0))</f>
        <v/>
      </c>
      <c r="J47" s="259"/>
      <c r="K47" s="234"/>
      <c r="L47" s="235"/>
      <c r="M47" s="236"/>
      <c r="N47" s="260" t="str">
        <f aca="false">IF(H47="","",VLOOKUP(H47,'Port Returns'!$C$176:$I$206,7,0))</f>
        <v/>
      </c>
      <c r="O47" s="258" t="str">
        <f aca="false">IF(N47="","",IF(ISERROR((1+N47)^(52/5)-1),"",(1+N47)^(52/5))-1)</f>
        <v/>
      </c>
    </row>
    <row r="48" customFormat="false" ht="13.8" hidden="false" customHeight="false" outlineLevel="0" collapsed="false">
      <c r="B48" s="150" t="n">
        <f aca="false">B47+1</f>
        <v>29</v>
      </c>
      <c r="D48" s="227" t="n">
        <v>22</v>
      </c>
      <c r="E48" s="15" t="str">
        <f aca="false">IF($H48="","",VLOOKUP($H48,'ETF List'!$C$1:$J$100,4,0))</f>
        <v/>
      </c>
      <c r="F48" s="145" t="str">
        <f aca="false">IF($H48="","",VLOOKUP($H48,'ETF List'!$C$1:$J$100,5,0))</f>
        <v/>
      </c>
      <c r="G48" s="145" t="str">
        <f aca="false">IF($H48="","",VLOOKUP($H48,'ETF List'!$C$1:$J$100,6,0))</f>
        <v/>
      </c>
      <c r="H48" s="229" t="str">
        <f aca="false">IF('Price Inputs'!C41="","",'Price Inputs'!C41)</f>
        <v/>
      </c>
      <c r="I48" s="230" t="str">
        <f aca="false">IF(H48="","",VLOOKUP(H48,'Weekly  Sum'!$B$49:$I$77,8,0))</f>
        <v/>
      </c>
      <c r="J48" s="259"/>
      <c r="K48" s="234"/>
      <c r="L48" s="235"/>
      <c r="M48" s="236"/>
      <c r="N48" s="260" t="str">
        <f aca="false">IF(H48="","",VLOOKUP(H48,'Port Returns'!$C$176:$I$206,7,0))</f>
        <v/>
      </c>
      <c r="O48" s="258" t="str">
        <f aca="false">IF(N48="","",IF(ISERROR((1+N48)^(52/5)-1),"",(1+N48)^(52/5))-1)</f>
        <v/>
      </c>
    </row>
    <row r="49" customFormat="false" ht="13.8" hidden="false" customHeight="false" outlineLevel="0" collapsed="false">
      <c r="B49" s="150" t="n">
        <f aca="false">B48+1</f>
        <v>30</v>
      </c>
      <c r="D49" s="227" t="n">
        <v>23</v>
      </c>
      <c r="E49" s="15" t="str">
        <f aca="false">IF($H49="","",VLOOKUP($H49,'ETF List'!$C$1:$J$100,4,0))</f>
        <v/>
      </c>
      <c r="F49" s="145" t="str">
        <f aca="false">IF($H49="","",VLOOKUP($H49,'ETF List'!$C$1:$J$100,5,0))</f>
        <v/>
      </c>
      <c r="G49" s="145" t="str">
        <f aca="false">IF($H49="","",VLOOKUP($H49,'ETF List'!$C$1:$J$100,6,0))</f>
        <v/>
      </c>
      <c r="H49" s="229" t="str">
        <f aca="false">IF('Price Inputs'!C42="","",'Price Inputs'!C42)</f>
        <v/>
      </c>
      <c r="I49" s="230" t="str">
        <f aca="false">IF(H49="","",VLOOKUP(H49,'Weekly  Sum'!$B$49:$I$77,8,0))</f>
        <v/>
      </c>
      <c r="J49" s="259"/>
      <c r="K49" s="234"/>
      <c r="L49" s="235"/>
      <c r="M49" s="236"/>
      <c r="N49" s="260" t="str">
        <f aca="false">IF(H49="","",VLOOKUP(H49,'Port Returns'!$C$176:$I$206,7,0))</f>
        <v/>
      </c>
      <c r="O49" s="258" t="str">
        <f aca="false">IF(N49="","",IF(ISERROR((1+N49)^(52/5)-1),"",(1+N49)^(52/5))-1)</f>
        <v/>
      </c>
    </row>
    <row r="50" customFormat="false" ht="13.8" hidden="false" customHeight="false" outlineLevel="0" collapsed="false">
      <c r="B50" s="150" t="n">
        <f aca="false">B49+1</f>
        <v>31</v>
      </c>
      <c r="D50" s="227" t="n">
        <v>24</v>
      </c>
      <c r="E50" s="15" t="str">
        <f aca="false">IF($H50="","",VLOOKUP($H50,'ETF List'!$C$1:$J$100,4,0))</f>
        <v/>
      </c>
      <c r="F50" s="145" t="str">
        <f aca="false">IF($H50="","",VLOOKUP($H50,'ETF List'!$C$1:$J$100,5,0))</f>
        <v/>
      </c>
      <c r="G50" s="145" t="str">
        <f aca="false">IF($H50="","",VLOOKUP($H50,'ETF List'!$C$1:$J$100,6,0))</f>
        <v/>
      </c>
      <c r="H50" s="229" t="str">
        <f aca="false">IF('Price Inputs'!C43="","",'Price Inputs'!C43)</f>
        <v/>
      </c>
      <c r="I50" s="230" t="str">
        <f aca="false">IF(H50="","",VLOOKUP(H50,'Weekly  Sum'!$B$49:$I$77,8,0))</f>
        <v/>
      </c>
      <c r="J50" s="259"/>
      <c r="K50" s="234"/>
      <c r="L50" s="235"/>
      <c r="M50" s="236"/>
      <c r="N50" s="260" t="str">
        <f aca="false">IF(H50="","",VLOOKUP(H50,'Port Returns'!$C$176:$I$206,7,0))</f>
        <v/>
      </c>
      <c r="O50" s="258" t="str">
        <f aca="false">IF(N50="","",IF(ISERROR((1+N50)^(52/5)-1),"",(1+N50)^(52/5))-1)</f>
        <v/>
      </c>
    </row>
    <row r="51" customFormat="false" ht="13.8" hidden="false" customHeight="false" outlineLevel="0" collapsed="false">
      <c r="B51" s="150" t="n">
        <f aca="false">B50+1</f>
        <v>32</v>
      </c>
      <c r="D51" s="227" t="n">
        <v>25</v>
      </c>
      <c r="E51" s="15" t="str">
        <f aca="false">IF($H51="","",VLOOKUP($H51,'ETF List'!$C$1:$J$100,4,0))</f>
        <v/>
      </c>
      <c r="F51" s="145" t="str">
        <f aca="false">IF($H51="","",VLOOKUP($H51,'ETF List'!$C$1:$J$100,5,0))</f>
        <v/>
      </c>
      <c r="G51" s="145" t="str">
        <f aca="false">IF($H51="","",VLOOKUP($H51,'ETF List'!$C$1:$J$100,6,0))</f>
        <v/>
      </c>
      <c r="H51" s="229" t="str">
        <f aca="false">IF('Price Inputs'!C44="","",'Price Inputs'!C44)</f>
        <v/>
      </c>
      <c r="I51" s="230" t="str">
        <f aca="false">IF(H51="","",VLOOKUP(H51,'Weekly  Sum'!$B$49:$I$77,8,0))</f>
        <v/>
      </c>
      <c r="J51" s="259"/>
      <c r="K51" s="234"/>
      <c r="L51" s="235"/>
      <c r="M51" s="236"/>
      <c r="N51" s="260" t="str">
        <f aca="false">IF(H51="","",VLOOKUP(H51,'Port Returns'!$C$176:$I$206,7,0))</f>
        <v/>
      </c>
      <c r="O51" s="258" t="str">
        <f aca="false">IF(N51="","",IF(ISERROR((1+N51)^(52/5)-1),"",(1+N51)^(52/5))-1)</f>
        <v/>
      </c>
    </row>
    <row r="52" customFormat="false" ht="13.8" hidden="false" customHeight="false" outlineLevel="0" collapsed="false">
      <c r="B52" s="150" t="n">
        <f aca="false">B51+1</f>
        <v>33</v>
      </c>
      <c r="D52" s="227" t="n">
        <v>26</v>
      </c>
      <c r="E52" s="15" t="str">
        <f aca="false">IF($H52="","",VLOOKUP($H52,'ETF List'!$C$1:$J$100,4,0))</f>
        <v/>
      </c>
      <c r="F52" s="145" t="str">
        <f aca="false">IF($H52="","",VLOOKUP($H52,'ETF List'!$C$1:$J$100,5,0))</f>
        <v/>
      </c>
      <c r="G52" s="145" t="str">
        <f aca="false">IF($H52="","",VLOOKUP($H52,'ETF List'!$C$1:$J$100,6,0))</f>
        <v/>
      </c>
      <c r="H52" s="229" t="str">
        <f aca="false">IF('Price Inputs'!C45="","",'Price Inputs'!C45)</f>
        <v/>
      </c>
      <c r="I52" s="230" t="str">
        <f aca="false">IF(H52="","",VLOOKUP(H52,'Weekly  Sum'!$B$49:$I$77,8,0))</f>
        <v/>
      </c>
      <c r="J52" s="259"/>
      <c r="K52" s="234"/>
      <c r="L52" s="235"/>
      <c r="M52" s="236"/>
      <c r="N52" s="260" t="str">
        <f aca="false">IF(H52="","",VLOOKUP(H52,'Port Returns'!$C$176:$I$206,7,0))</f>
        <v/>
      </c>
      <c r="O52" s="258" t="str">
        <f aca="false">IF(N52="","",IF(ISERROR((1+N52)^(52/5)-1),"",(1+N52)^(52/5))-1)</f>
        <v/>
      </c>
    </row>
    <row r="53" customFormat="false" ht="13.8" hidden="false" customHeight="false" outlineLevel="0" collapsed="false">
      <c r="B53" s="150" t="n">
        <f aca="false">B52+1</f>
        <v>34</v>
      </c>
      <c r="D53" s="227" t="n">
        <v>27</v>
      </c>
      <c r="E53" s="15" t="str">
        <f aca="false">IF($H53="","",VLOOKUP($H53,'ETF List'!$C$1:$J$100,4,0))</f>
        <v/>
      </c>
      <c r="F53" s="145" t="str">
        <f aca="false">IF($H53="","",VLOOKUP($H53,'ETF List'!$C$1:$J$100,5,0))</f>
        <v/>
      </c>
      <c r="G53" s="145" t="str">
        <f aca="false">IF($H53="","",VLOOKUP($H53,'ETF List'!$C$1:$J$100,6,0))</f>
        <v/>
      </c>
      <c r="H53" s="229" t="str">
        <f aca="false">IF('Price Inputs'!C46="","",'Price Inputs'!C46)</f>
        <v/>
      </c>
      <c r="I53" s="230" t="str">
        <f aca="false">IF(H53="","",VLOOKUP(H53,'Weekly  Sum'!$B$49:$I$77,8,0))</f>
        <v/>
      </c>
      <c r="J53" s="259"/>
      <c r="K53" s="234"/>
      <c r="L53" s="235"/>
      <c r="M53" s="236"/>
      <c r="N53" s="260" t="str">
        <f aca="false">IF(H53="","",VLOOKUP(H53,'Port Returns'!$C$176:$I$206,7,0))</f>
        <v/>
      </c>
      <c r="O53" s="258" t="str">
        <f aca="false">IF(N53="","",IF(ISERROR((1+N53)^(52/5)-1),"",(1+N53)^(52/5))-1)</f>
        <v/>
      </c>
    </row>
    <row r="54" customFormat="false" ht="13.8" hidden="false" customHeight="false" outlineLevel="0" collapsed="false">
      <c r="B54" s="150" t="n">
        <f aca="false">B53+1</f>
        <v>35</v>
      </c>
      <c r="D54" s="237" t="n">
        <v>28</v>
      </c>
      <c r="E54" s="239" t="str">
        <f aca="false">IF($H54="","",VLOOKUP($H54,'ETF List'!$C$1:$J$100,4,0))</f>
        <v/>
      </c>
      <c r="F54" s="148" t="str">
        <f aca="false">IF($H54="","",VLOOKUP($H54,'ETF List'!$C$1:$J$100,5,0))</f>
        <v/>
      </c>
      <c r="G54" s="148" t="str">
        <f aca="false">IF($H54="","",VLOOKUP($H54,'ETF List'!$C$1:$J$100,6,0))</f>
        <v/>
      </c>
      <c r="H54" s="240" t="str">
        <f aca="false">IF('Price Inputs'!C47="","",'Price Inputs'!C47)</f>
        <v/>
      </c>
      <c r="I54" s="241" t="str">
        <f aca="false">IF(H54="","",VLOOKUP(H54,'Weekly  Sum'!$B$49:$I$77,8,0))</f>
        <v/>
      </c>
      <c r="J54" s="242"/>
      <c r="K54" s="243"/>
      <c r="L54" s="244"/>
      <c r="M54" s="245"/>
      <c r="N54" s="261" t="str">
        <f aca="false">IF(H54="","",VLOOKUP(H54,'Port Returns'!$C$176:$I$206,7,0))</f>
        <v/>
      </c>
      <c r="O54" s="262" t="str">
        <f aca="false">IF(N54="","",IF(ISERROR((1+N54)^(52/5)-1),"",(1+N54)^(52/5))-1)</f>
        <v/>
      </c>
    </row>
  </sheetData>
  <mergeCells count="2">
    <mergeCell ref="N8:O8"/>
    <mergeCell ref="N24:O24"/>
  </mergeCells>
  <hyperlinks>
    <hyperlink ref="F3" r:id="rId1" display="https://www.portfoliovisualizer.com/ "/>
  </hyperlinks>
  <printOptions headings="false" gridLines="false" gridLinesSet="true" horizontalCentered="false" verticalCentered="false"/>
  <pageMargins left="0.25" right="0.25" top="0.75" bottom="0.75" header="0.511805555555555" footer="0.511805555555555"/>
  <pageSetup paperSize="1" scale="56"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colBreaks count="1" manualBreakCount="1">
    <brk id="18" man="true" max="65535" min="0"/>
  </colBreaks>
  <drawing r:id="rId2"/>
</worksheet>
</file>

<file path=xl/worksheets/sheet5.xml><?xml version="1.0" encoding="utf-8"?>
<worksheet xmlns="http://schemas.openxmlformats.org/spreadsheetml/2006/main" xmlns:r="http://schemas.openxmlformats.org/officeDocument/2006/relationships">
  <sheetPr filterMode="false">
    <pageSetUpPr fitToPage="false"/>
  </sheetPr>
  <dimension ref="A1:Z59"/>
  <sheetViews>
    <sheetView showFormulas="false" showGridLines="false" showRowColHeaders="true" showZeros="true" rightToLeft="false" tabSelected="false" showOutlineSymbols="true" defaultGridColor="true" view="normal" topLeftCell="A10" colorId="64" zoomScale="100" zoomScaleNormal="100" zoomScalePageLayoutView="100" workbookViewId="0">
      <selection pane="topLeft" activeCell="C32" activeCellId="0" sqref="C32"/>
    </sheetView>
  </sheetViews>
  <sheetFormatPr defaultRowHeight="17.25" zeroHeight="false" outlineLevelRow="0" outlineLevelCol="0"/>
  <cols>
    <col collapsed="false" customWidth="true" hidden="false" outlineLevel="0" max="1" min="1" style="135" width="4.71"/>
    <col collapsed="false" customWidth="true" hidden="false" outlineLevel="0" max="2" min="2" style="135" width="4.86"/>
    <col collapsed="false" customWidth="true" hidden="false" outlineLevel="0" max="3" min="3" style="263" width="10.71"/>
    <col collapsed="false" customWidth="true" hidden="false" outlineLevel="0" max="4" min="4" style="263" width="36.14"/>
    <col collapsed="false" customWidth="true" hidden="false" outlineLevel="0" max="5" min="5" style="263" width="20.98"/>
    <col collapsed="false" customWidth="true" hidden="false" outlineLevel="0" max="6" min="6" style="263" width="18.42"/>
    <col collapsed="false" customWidth="true" hidden="false" outlineLevel="0" max="7" min="7" style="263" width="10"/>
    <col collapsed="false" customWidth="true" hidden="false" outlineLevel="0" max="8" min="8" style="263" width="18.42"/>
    <col collapsed="false" customWidth="true" hidden="false" outlineLevel="0" max="9" min="9" style="263" width="13.29"/>
    <col collapsed="false" customWidth="true" hidden="false" outlineLevel="0" max="10" min="10" style="263" width="14.28"/>
    <col collapsed="false" customWidth="true" hidden="false" outlineLevel="0" max="11" min="11" style="263" width="12.29"/>
    <col collapsed="false" customWidth="true" hidden="false" outlineLevel="0" max="12" min="12" style="263" width="11.99"/>
    <col collapsed="false" customWidth="true" hidden="false" outlineLevel="0" max="15" min="13" style="264" width="15.57"/>
    <col collapsed="false" customWidth="true" hidden="false" outlineLevel="0" max="20" min="16" style="264" width="9.13"/>
    <col collapsed="false" customWidth="true" hidden="false" outlineLevel="0" max="21" min="21" style="264" width="19.57"/>
    <col collapsed="false" customWidth="true" hidden="false" outlineLevel="0" max="24" min="22" style="264" width="9.13"/>
    <col collapsed="false" customWidth="true" hidden="false" outlineLevel="0" max="1025" min="25" style="263" width="9.13"/>
  </cols>
  <sheetData>
    <row r="1" customFormat="false" ht="17.25" hidden="false" customHeight="true" outlineLevel="0" collapsed="false">
      <c r="A1" s="136" t="s">
        <v>388</v>
      </c>
    </row>
    <row r="3" customFormat="false" ht="17.25" hidden="false" customHeight="true" outlineLevel="0" collapsed="false">
      <c r="C3" s="265" t="s">
        <v>389</v>
      </c>
      <c r="E3" s="266" t="n">
        <f aca="false">1000000-Extra_Cash</f>
        <v>990000</v>
      </c>
    </row>
    <row r="4" customFormat="false" ht="17.25" hidden="false" customHeight="true" outlineLevel="0" collapsed="false">
      <c r="C4" s="265" t="s">
        <v>390</v>
      </c>
      <c r="E4" s="266" t="n">
        <f aca="false">'Policy Portfolio'!G20*1000000</f>
        <v>10000</v>
      </c>
    </row>
    <row r="5" customFormat="false" ht="17.25" hidden="false" customHeight="true" outlineLevel="0" collapsed="false">
      <c r="C5" s="265"/>
      <c r="E5" s="267"/>
    </row>
    <row r="6" customFormat="false" ht="17.25" hidden="false" customHeight="true" outlineLevel="0" collapsed="false">
      <c r="C6" s="268" t="s">
        <v>391</v>
      </c>
    </row>
    <row r="7" s="265" customFormat="true" ht="17.25" hidden="false" customHeight="true" outlineLevel="0" collapsed="false">
      <c r="A7" s="137"/>
      <c r="B7" s="137"/>
      <c r="C7" s="179" t="s">
        <v>1</v>
      </c>
      <c r="D7" s="180" t="s">
        <v>3</v>
      </c>
      <c r="E7" s="180" t="s">
        <v>4</v>
      </c>
      <c r="F7" s="269" t="s">
        <v>0</v>
      </c>
      <c r="G7" s="269" t="s">
        <v>392</v>
      </c>
      <c r="H7" s="269" t="s">
        <v>393</v>
      </c>
      <c r="I7" s="269" t="s">
        <v>394</v>
      </c>
      <c r="J7" s="269" t="s">
        <v>395</v>
      </c>
      <c r="K7" s="269" t="s">
        <v>396</v>
      </c>
      <c r="L7" s="269" t="s">
        <v>395</v>
      </c>
      <c r="M7" s="269" t="s">
        <v>397</v>
      </c>
      <c r="N7" s="269" t="s">
        <v>398</v>
      </c>
      <c r="O7" s="270" t="s">
        <v>399</v>
      </c>
      <c r="P7" s="271"/>
      <c r="Q7" s="272"/>
      <c r="R7" s="272"/>
      <c r="S7" s="272"/>
      <c r="T7" s="272"/>
      <c r="U7" s="272"/>
      <c r="V7" s="272"/>
      <c r="W7" s="272"/>
      <c r="X7" s="272"/>
      <c r="Y7" s="272"/>
    </row>
    <row r="8" s="265" customFormat="true" ht="17.25" hidden="false" customHeight="true" outlineLevel="0" collapsed="false">
      <c r="A8" s="137"/>
      <c r="B8" s="137"/>
      <c r="C8" s="273"/>
      <c r="D8" s="274" t="s">
        <v>273</v>
      </c>
      <c r="E8" s="274" t="s">
        <v>273</v>
      </c>
      <c r="F8" s="274"/>
      <c r="G8" s="274"/>
      <c r="H8" s="274"/>
      <c r="I8" s="274"/>
      <c r="J8" s="274"/>
      <c r="K8" s="274"/>
      <c r="L8" s="274"/>
      <c r="M8" s="274"/>
      <c r="N8" s="274"/>
      <c r="O8" s="275" t="n">
        <f aca="false">Initial_Cash+Extra_Cash+SUMIF($O$9:$O$17,"&lt;0",$O$9:$O$17)</f>
        <v>10070.74</v>
      </c>
      <c r="P8" s="276" t="s">
        <v>400</v>
      </c>
      <c r="Q8" s="272"/>
      <c r="R8" s="272"/>
      <c r="S8" s="272"/>
      <c r="T8" s="272"/>
      <c r="U8" s="272"/>
      <c r="V8" s="272"/>
      <c r="W8" s="272"/>
      <c r="X8" s="272"/>
      <c r="Y8" s="272"/>
    </row>
    <row r="9" customFormat="false" ht="15" hidden="false" customHeight="false" outlineLevel="0" collapsed="false">
      <c r="B9" s="135" t="n">
        <f aca="false">IF(C9="","",COUNTA($C$9:C9))</f>
        <v>1</v>
      </c>
      <c r="C9" s="277" t="str">
        <f aca="false">'Policy Portfolio'!H21</f>
        <v>BIV</v>
      </c>
      <c r="D9" s="278" t="str">
        <f aca="false">IF(C9="","",VLOOKUP(C9,'ETF List'!$C$1:$J$200,3,0))</f>
        <v>Vanguard Intermediate-Term Bond</v>
      </c>
      <c r="E9" s="278" t="str">
        <f aca="false">IF(C9="","",VLOOKUP(C9,'ETF List'!$C$1:$J$200,4,0))</f>
        <v>Bonds</v>
      </c>
      <c r="F9" s="278" t="str">
        <f aca="false">IF(C9="","",VLOOKUP(C9,'ETF List'!$C$1:$J$200,5,0))</f>
        <v>Aggregate Bond</v>
      </c>
      <c r="G9" s="278" t="str">
        <f aca="false">IF(C9="","","Buy")</f>
        <v>Buy</v>
      </c>
      <c r="H9" s="278"/>
      <c r="I9" s="279" t="n">
        <f aca="false">IF(C9="","",ROUND('Policy Portfolio'!G21*(Initial_Cash+Extra_Cash)/J9,0))</f>
        <v>1239</v>
      </c>
      <c r="J9" s="280" t="n">
        <v>80.68</v>
      </c>
      <c r="K9" s="281" t="n">
        <f aca="false">IF(C9="","",'Policy Portfolio'!$F$13-3)</f>
        <v>43259</v>
      </c>
      <c r="L9" s="282"/>
      <c r="M9" s="283"/>
      <c r="N9" s="283"/>
      <c r="O9" s="284" t="n">
        <f aca="false">IF(C9="","",-I9*J9)</f>
        <v>-99962.52</v>
      </c>
      <c r="P9" s="285"/>
      <c r="Y9" s="264"/>
    </row>
    <row r="10" customFormat="false" ht="15" hidden="false" customHeight="false" outlineLevel="0" collapsed="false">
      <c r="B10" s="135" t="n">
        <f aca="false">IF(C10="","",COUNTA($C$9:C10))</f>
        <v>2</v>
      </c>
      <c r="C10" s="286" t="str">
        <f aca="false">'Policy Portfolio'!H22</f>
        <v>IEF</v>
      </c>
      <c r="D10" s="287" t="str">
        <f aca="false">IF(C10="","",VLOOKUP(C10,'ETF List'!$C$1:$J$200,3,0))</f>
        <v>iShares 7-10 Yr Treasury</v>
      </c>
      <c r="E10" s="287" t="str">
        <f aca="false">IF(C10="","",VLOOKUP(C10,'ETF List'!$C$1:$J$200,4,0))</f>
        <v>Bonds</v>
      </c>
      <c r="F10" s="287" t="str">
        <f aca="false">IF(C10="","",VLOOKUP(C10,'ETF List'!$C$1:$J$200,5,0))</f>
        <v>US Government</v>
      </c>
      <c r="G10" s="287" t="str">
        <f aca="false">IF(C10="","","Buy")</f>
        <v>Buy</v>
      </c>
      <c r="H10" s="287"/>
      <c r="I10" s="288" t="n">
        <f aca="false">IF(C10="","",ROUND('Policy Portfolio'!G22*(Initial_Cash+Extra_Cash)/J10,0))</f>
        <v>737</v>
      </c>
      <c r="J10" s="289" t="n">
        <v>101.71</v>
      </c>
      <c r="K10" s="290" t="n">
        <f aca="false">IF(C10="","",'Policy Portfolio'!$F$13-3)</f>
        <v>43259</v>
      </c>
      <c r="M10" s="291"/>
      <c r="N10" s="291"/>
      <c r="O10" s="292" t="n">
        <f aca="false">IF(C10="","",-I10*J10)</f>
        <v>-74960.27</v>
      </c>
      <c r="P10" s="285"/>
      <c r="Y10" s="264"/>
    </row>
    <row r="11" customFormat="false" ht="15" hidden="false" customHeight="false" outlineLevel="0" collapsed="false">
      <c r="B11" s="135" t="n">
        <f aca="false">IF(C11="","",COUNTA($C$9:C11))</f>
        <v>3</v>
      </c>
      <c r="C11" s="286" t="str">
        <f aca="false">'Policy Portfolio'!H23</f>
        <v>HYG</v>
      </c>
      <c r="D11" s="287" t="str">
        <f aca="false">IF(C11="","",VLOOKUP(C11,'ETF List'!$C$1:$J$200,3,0))</f>
        <v>iShares High Yield Bonds</v>
      </c>
      <c r="E11" s="287" t="str">
        <f aca="false">IF(C11="","",VLOOKUP(C11,'ETF List'!$C$1:$J$200,4,0))</f>
        <v>Bonds</v>
      </c>
      <c r="F11" s="287" t="str">
        <f aca="false">IF(C11="","",VLOOKUP(C11,'ETF List'!$C$1:$J$200,5,0))</f>
        <v>Corporate</v>
      </c>
      <c r="G11" s="287" t="str">
        <f aca="false">IF(C11="","","Buy")</f>
        <v>Buy</v>
      </c>
      <c r="H11" s="287"/>
      <c r="I11" s="288" t="n">
        <f aca="false">IF(C11="","",ROUND('Policy Portfolio'!G23*(Initial_Cash+Extra_Cash)/J11,0))</f>
        <v>2043</v>
      </c>
      <c r="J11" s="289" t="n">
        <v>85.66</v>
      </c>
      <c r="K11" s="290" t="n">
        <f aca="false">IF(C11="","",'Policy Portfolio'!$F$13-3)</f>
        <v>43259</v>
      </c>
      <c r="M11" s="291"/>
      <c r="N11" s="291"/>
      <c r="O11" s="292" t="n">
        <f aca="false">IF(C11="","",-I11*J11)</f>
        <v>-175003.38</v>
      </c>
      <c r="P11" s="285"/>
      <c r="Y11" s="264"/>
    </row>
    <row r="12" customFormat="false" ht="15" hidden="false" customHeight="false" outlineLevel="0" collapsed="false">
      <c r="B12" s="135" t="n">
        <f aca="false">IF(C12="","",COUNTA($C$9:C12))</f>
        <v>4</v>
      </c>
      <c r="C12" s="286" t="str">
        <f aca="false">'Policy Portfolio'!H24</f>
        <v>IYR</v>
      </c>
      <c r="D12" s="287" t="str">
        <f aca="false">IF(C12="","",VLOOKUP(C12,'ETF List'!$C$1:$J$200,3,0))</f>
        <v>iShares US Real Estate</v>
      </c>
      <c r="E12" s="287" t="str">
        <f aca="false">IF(C12="","",VLOOKUP(C12,'ETF List'!$C$1:$J$200,4,0))</f>
        <v>Alternatives</v>
      </c>
      <c r="F12" s="287" t="str">
        <f aca="false">IF(C12="","",VLOOKUP(C12,'ETF List'!$C$1:$J$200,5,0))</f>
        <v>REIT</v>
      </c>
      <c r="G12" s="287" t="str">
        <f aca="false">IF(C12="","","Buy")</f>
        <v>Buy</v>
      </c>
      <c r="H12" s="287"/>
      <c r="I12" s="288" t="n">
        <f aca="false">IF(C12="","",ROUND('Policy Portfolio'!G24*(Initial_Cash+Extra_Cash)/J12,0))</f>
        <v>630</v>
      </c>
      <c r="J12" s="289" t="n">
        <v>79.42</v>
      </c>
      <c r="K12" s="290" t="n">
        <f aca="false">IF(C12="","",'Policy Portfolio'!$F$13-3)</f>
        <v>43259</v>
      </c>
      <c r="M12" s="291"/>
      <c r="N12" s="291"/>
      <c r="O12" s="292" t="n">
        <f aca="false">IF(C12="","",-I12*J12)</f>
        <v>-50034.6</v>
      </c>
      <c r="P12" s="285"/>
      <c r="Y12" s="264"/>
    </row>
    <row r="13" customFormat="false" ht="15" hidden="false" customHeight="false" outlineLevel="0" collapsed="false">
      <c r="B13" s="135" t="n">
        <f aca="false">IF(C13="","",COUNTA($C$9:C13))</f>
        <v>5</v>
      </c>
      <c r="C13" s="286" t="str">
        <f aca="false">'Policy Portfolio'!H25</f>
        <v>VTI</v>
      </c>
      <c r="D13" s="287" t="str">
        <f aca="false">IF(C13="","",VLOOKUP(C13,'ETF List'!$C$1:$J$200,3,0))</f>
        <v>Vanguard Total Stock Mrkt</v>
      </c>
      <c r="E13" s="287" t="str">
        <f aca="false">IF(C13="","",VLOOKUP(C13,'ETF List'!$C$1:$J$200,4,0))</f>
        <v>US Equity</v>
      </c>
      <c r="F13" s="287" t="str">
        <f aca="false">IF(C13="","",VLOOKUP(C13,'ETF List'!$C$1:$J$200,5,0))</f>
        <v>Broad Mrkt</v>
      </c>
      <c r="G13" s="287" t="str">
        <f aca="false">IF(C13="","","Buy")</f>
        <v>Buy</v>
      </c>
      <c r="H13" s="287"/>
      <c r="I13" s="288" t="n">
        <f aca="false">IF(C13="","",ROUND('Policy Portfolio'!G25*(Initial_Cash+Extra_Cash)/J13,0))</f>
        <v>2015</v>
      </c>
      <c r="J13" s="289" t="n">
        <v>143.91</v>
      </c>
      <c r="K13" s="290" t="n">
        <f aca="false">IF(C13="","",'Policy Portfolio'!$F$13-3)</f>
        <v>43259</v>
      </c>
      <c r="M13" s="291"/>
      <c r="N13" s="291"/>
      <c r="O13" s="292" t="n">
        <f aca="false">IF(C13="","",-I13*J13)</f>
        <v>-289978.65</v>
      </c>
      <c r="P13" s="285"/>
      <c r="Y13" s="264"/>
    </row>
    <row r="14" customFormat="false" ht="15" hidden="false" customHeight="false" outlineLevel="0" collapsed="false">
      <c r="B14" s="135" t="n">
        <f aca="false">IF(C14="","",COUNTA($C$9:C14))</f>
        <v>6</v>
      </c>
      <c r="C14" s="286" t="str">
        <f aca="false">'Policy Portfolio'!H26</f>
        <v>EFA</v>
      </c>
      <c r="D14" s="287" t="str">
        <f aca="false">IF(C14="","",VLOOKUP(C14,'ETF List'!$C$1:$J$200,3,0))</f>
        <v>iShares EAFE</v>
      </c>
      <c r="E14" s="287" t="str">
        <f aca="false">IF(C14="","",VLOOKUP(C14,'ETF List'!$C$1:$J$200,4,0))</f>
        <v>Intl Equity</v>
      </c>
      <c r="F14" s="287" t="str">
        <f aca="false">IF(C14="","",VLOOKUP(C14,'ETF List'!$C$1:$J$200,5,0))</f>
        <v>Developed Mrkts</v>
      </c>
      <c r="G14" s="287" t="str">
        <f aca="false">IF(C14="","","Buy")</f>
        <v>Buy</v>
      </c>
      <c r="H14" s="287"/>
      <c r="I14" s="288" t="n">
        <f aca="false">IF(C14="","",ROUND('Policy Portfolio'!G26*(Initial_Cash+Extra_Cash)/J14,0))</f>
        <v>2130</v>
      </c>
      <c r="J14" s="289" t="n">
        <v>70.41</v>
      </c>
      <c r="K14" s="290" t="n">
        <f aca="false">IF(C14="","",'Policy Portfolio'!$F$13-3)</f>
        <v>43259</v>
      </c>
      <c r="M14" s="291"/>
      <c r="N14" s="291"/>
      <c r="O14" s="292" t="n">
        <f aca="false">IF(C14="","",-I14*J14)</f>
        <v>-149973.3</v>
      </c>
      <c r="P14" s="285"/>
      <c r="Y14" s="264"/>
    </row>
    <row r="15" customFormat="false" ht="15" hidden="false" customHeight="false" outlineLevel="0" collapsed="false">
      <c r="B15" s="135" t="n">
        <f aca="false">IF(C15="","",COUNTA($C$9:C15))</f>
        <v>7</v>
      </c>
      <c r="C15" s="286" t="str">
        <f aca="false">'Policy Portfolio'!H27</f>
        <v>EEM</v>
      </c>
      <c r="D15" s="287" t="str">
        <f aca="false">IF(C15="","",VLOOKUP(C15,'ETF List'!$C$1:$J$200,3,0))</f>
        <v>iShares Emerging Mrkt</v>
      </c>
      <c r="E15" s="287" t="str">
        <f aca="false">IF(C15="","",VLOOKUP(C15,'ETF List'!$C$1:$J$200,4,0))</f>
        <v>Intl Equity</v>
      </c>
      <c r="F15" s="287" t="str">
        <f aca="false">IF(C15="","",VLOOKUP(C15,'ETF List'!$C$1:$J$200,5,0))</f>
        <v>Emerging Mrkts</v>
      </c>
      <c r="G15" s="287" t="str">
        <f aca="false">IF(C15="","","Buy")</f>
        <v>Buy</v>
      </c>
      <c r="H15" s="287"/>
      <c r="I15" s="288" t="n">
        <f aca="false">IF(C15="","",ROUND('Policy Portfolio'!G27*(Initial_Cash+Extra_Cash)/J15,0))</f>
        <v>3238</v>
      </c>
      <c r="J15" s="289" t="n">
        <v>46.33</v>
      </c>
      <c r="K15" s="290" t="n">
        <f aca="false">IF(C15="","",'Policy Portfolio'!$F$13-3)</f>
        <v>43259</v>
      </c>
      <c r="M15" s="291"/>
      <c r="N15" s="291"/>
      <c r="O15" s="292" t="n">
        <f aca="false">IF(C15="","",-I15*J15)</f>
        <v>-150016.54</v>
      </c>
      <c r="P15" s="285"/>
      <c r="Y15" s="264"/>
    </row>
    <row r="16" customFormat="false" ht="15" hidden="false" customHeight="false" outlineLevel="0" collapsed="false">
      <c r="B16" s="135" t="str">
        <f aca="false">IF(C16="","",COUNTA($C$9:C16))</f>
        <v/>
      </c>
      <c r="C16" s="286" t="str">
        <f aca="false">'Policy Portfolio'!H28</f>
        <v/>
      </c>
      <c r="D16" s="287" t="str">
        <f aca="false">IF(C16="","",VLOOKUP(C16,'ETF List'!$C$1:$J$200,3,0))</f>
        <v/>
      </c>
      <c r="E16" s="287" t="str">
        <f aca="false">IF(C16="","",VLOOKUP(C16,'ETF List'!$C$1:$J$200,4,0))</f>
        <v/>
      </c>
      <c r="F16" s="287" t="str">
        <f aca="false">IF(C16="","",VLOOKUP(C16,'ETF List'!$C$1:$J$200,5,0))</f>
        <v/>
      </c>
      <c r="G16" s="287" t="str">
        <f aca="false">IF(C16="","","Buy")</f>
        <v/>
      </c>
      <c r="H16" s="287"/>
      <c r="I16" s="288" t="str">
        <f aca="false">IF(C16="","",ROUND('Policy Portfolio'!G28*(Initial_Cash+Extra_Cash)/J16,0))</f>
        <v/>
      </c>
      <c r="J16" s="289"/>
      <c r="K16" s="290" t="str">
        <f aca="false">IF(C16="","",'Policy Portfolio'!$F$13-3)</f>
        <v/>
      </c>
      <c r="M16" s="291"/>
      <c r="N16" s="291"/>
      <c r="O16" s="292" t="str">
        <f aca="false">IF(C16="","",-I16*J16)</f>
        <v/>
      </c>
      <c r="P16" s="285"/>
      <c r="Y16" s="264"/>
    </row>
    <row r="17" customFormat="false" ht="15" hidden="false" customHeight="false" outlineLevel="0" collapsed="false">
      <c r="B17" s="135" t="str">
        <f aca="false">IF(C17="","",COUNTA($C$9:C17))</f>
        <v/>
      </c>
      <c r="C17" s="293" t="str">
        <f aca="false">'Policy Portfolio'!H29</f>
        <v/>
      </c>
      <c r="D17" s="294" t="str">
        <f aca="false">IF(C17="","",VLOOKUP(C17,'ETF List'!$C$1:$J$200,3,0))</f>
        <v/>
      </c>
      <c r="E17" s="294" t="str">
        <f aca="false">IF(C17="","",VLOOKUP(C17,'ETF List'!$C$1:$J$200,4,0))</f>
        <v/>
      </c>
      <c r="F17" s="294" t="str">
        <f aca="false">IF(C17="","",VLOOKUP(C17,'ETF List'!$C$1:$J$200,5,0))</f>
        <v/>
      </c>
      <c r="G17" s="294" t="str">
        <f aca="false">IF(C17="","","Buy")</f>
        <v/>
      </c>
      <c r="H17" s="294"/>
      <c r="I17" s="295" t="str">
        <f aca="false">IF(C17="","",ROUND('Policy Portfolio'!G29*(Initial_Cash+Extra_Cash)/J17,0))</f>
        <v/>
      </c>
      <c r="J17" s="296"/>
      <c r="K17" s="297" t="str">
        <f aca="false">IF(C17="","",'Policy Portfolio'!$F$13-3)</f>
        <v/>
      </c>
      <c r="L17" s="298"/>
      <c r="M17" s="299"/>
      <c r="N17" s="299"/>
      <c r="O17" s="300" t="str">
        <f aca="false">IF(C17="","",-I17*J17)</f>
        <v/>
      </c>
      <c r="P17" s="285"/>
      <c r="Y17" s="264"/>
    </row>
    <row r="18" customFormat="false" ht="15" hidden="false" customHeight="false" outlineLevel="0" collapsed="false">
      <c r="C18" s="301"/>
      <c r="D18" s="301"/>
      <c r="E18" s="301"/>
      <c r="F18" s="301"/>
      <c r="G18" s="301"/>
      <c r="H18" s="301"/>
      <c r="I18" s="301"/>
      <c r="J18" s="301"/>
      <c r="K18" s="301"/>
      <c r="L18" s="301"/>
      <c r="M18" s="301"/>
      <c r="N18" s="301"/>
      <c r="O18" s="301"/>
      <c r="P18" s="285"/>
      <c r="Y18" s="264"/>
    </row>
    <row r="19" customFormat="false" ht="15" hidden="false" customHeight="false" outlineLevel="0" collapsed="false">
      <c r="C19" s="301"/>
      <c r="D19" s="301"/>
      <c r="E19" s="301"/>
      <c r="F19" s="301"/>
      <c r="G19" s="301"/>
      <c r="H19" s="301"/>
      <c r="I19" s="301"/>
      <c r="J19" s="301"/>
      <c r="K19" s="301"/>
      <c r="L19" s="301"/>
      <c r="M19" s="301"/>
      <c r="N19" s="301"/>
      <c r="O19" s="301"/>
      <c r="P19" s="285"/>
      <c r="Y19" s="264"/>
    </row>
    <row r="20" s="291" customFormat="true" ht="3.75" hidden="false" customHeight="true" outlineLevel="0" collapsed="false">
      <c r="A20" s="302"/>
      <c r="B20" s="302"/>
      <c r="C20" s="303"/>
      <c r="D20" s="303"/>
      <c r="E20" s="303"/>
      <c r="F20" s="303"/>
      <c r="G20" s="303"/>
      <c r="H20" s="303"/>
      <c r="I20" s="303"/>
      <c r="J20" s="303"/>
      <c r="K20" s="303"/>
      <c r="L20" s="303"/>
      <c r="M20" s="303"/>
      <c r="N20" s="303"/>
      <c r="O20" s="303"/>
      <c r="P20" s="304"/>
      <c r="Q20" s="305"/>
      <c r="R20" s="305"/>
      <c r="S20" s="305"/>
      <c r="T20" s="305"/>
      <c r="U20" s="305"/>
      <c r="V20" s="305"/>
      <c r="W20" s="305"/>
      <c r="X20" s="305"/>
      <c r="Y20" s="305"/>
    </row>
    <row r="21" s="287" customFormat="true" ht="15" hidden="false" customHeight="false" outlineLevel="0" collapsed="false">
      <c r="A21" s="306"/>
      <c r="B21" s="306"/>
      <c r="C21" s="301"/>
      <c r="D21" s="301"/>
      <c r="E21" s="301"/>
      <c r="F21" s="301"/>
      <c r="G21" s="301"/>
      <c r="H21" s="301"/>
      <c r="I21" s="301"/>
      <c r="J21" s="301"/>
      <c r="K21" s="301"/>
      <c r="L21" s="301"/>
      <c r="M21" s="301"/>
      <c r="N21" s="301"/>
      <c r="O21" s="301"/>
      <c r="P21" s="307"/>
      <c r="Q21" s="308"/>
      <c r="R21" s="308"/>
      <c r="S21" s="308"/>
      <c r="T21" s="308"/>
      <c r="U21" s="308"/>
      <c r="V21" s="308"/>
      <c r="W21" s="308"/>
      <c r="X21" s="308"/>
      <c r="Y21" s="308"/>
    </row>
    <row r="22" customFormat="false" ht="15" hidden="false" customHeight="false" outlineLevel="0" collapsed="false">
      <c r="C22" s="301"/>
      <c r="D22" s="301"/>
      <c r="E22" s="301"/>
      <c r="F22" s="301"/>
      <c r="G22" s="301"/>
      <c r="H22" s="301"/>
      <c r="I22" s="301"/>
      <c r="J22" s="301"/>
      <c r="K22" s="301"/>
      <c r="L22" s="301"/>
      <c r="M22" s="301"/>
      <c r="N22" s="301"/>
      <c r="O22" s="301"/>
      <c r="P22" s="285"/>
      <c r="Y22" s="264"/>
    </row>
    <row r="23" customFormat="false" ht="15" hidden="false" customHeight="false" outlineLevel="0" collapsed="false">
      <c r="C23" s="309"/>
      <c r="D23" s="309"/>
      <c r="E23" s="309"/>
      <c r="F23" s="309"/>
      <c r="G23" s="310"/>
      <c r="H23" s="310"/>
      <c r="I23" s="310"/>
      <c r="J23" s="310"/>
      <c r="K23" s="310"/>
      <c r="L23" s="310"/>
      <c r="M23" s="285"/>
      <c r="N23" s="285"/>
      <c r="O23" s="285"/>
    </row>
    <row r="24" customFormat="false" ht="15" hidden="false" customHeight="false" outlineLevel="0" collapsed="false">
      <c r="C24" s="309"/>
      <c r="D24" s="309"/>
      <c r="E24" s="309"/>
      <c r="F24" s="309"/>
      <c r="G24" s="310"/>
      <c r="H24" s="310"/>
      <c r="I24" s="310"/>
      <c r="J24" s="310"/>
      <c r="K24" s="310"/>
      <c r="L24" s="310"/>
      <c r="M24" s="285"/>
      <c r="N24" s="285"/>
      <c r="O24" s="285"/>
    </row>
    <row r="25" customFormat="false" ht="15" hidden="false" customHeight="false" outlineLevel="0" collapsed="false">
      <c r="C25" s="311" t="s">
        <v>401</v>
      </c>
      <c r="D25" s="36"/>
      <c r="E25" s="11"/>
      <c r="F25" s="312" t="n">
        <f aca="false">E27</f>
        <v>2012</v>
      </c>
      <c r="G25" s="310"/>
      <c r="H25" s="310"/>
      <c r="I25" s="310"/>
      <c r="J25" s="310"/>
      <c r="K25" s="310"/>
      <c r="L25" s="310"/>
      <c r="M25" s="285"/>
      <c r="N25" s="285"/>
      <c r="O25" s="285"/>
    </row>
    <row r="26" s="265" customFormat="true" ht="13.8" hidden="false" customHeight="false" outlineLevel="0" collapsed="false">
      <c r="A26" s="137"/>
      <c r="B26" s="137"/>
      <c r="C26" s="313" t="s">
        <v>402</v>
      </c>
      <c r="D26" s="180" t="s">
        <v>403</v>
      </c>
      <c r="E26" s="180" t="s">
        <v>404</v>
      </c>
      <c r="F26" s="314" t="n">
        <f aca="false">ROUND(Initial_Cash*C27/D27,0)</f>
        <v>2012</v>
      </c>
      <c r="G26" s="310"/>
      <c r="H26" s="310"/>
      <c r="I26" s="310"/>
      <c r="J26" s="310"/>
      <c r="K26" s="310"/>
      <c r="L26" s="310"/>
      <c r="M26" s="285"/>
      <c r="N26" s="285"/>
      <c r="O26" s="285"/>
      <c r="P26" s="272"/>
      <c r="Q26" s="272"/>
      <c r="R26" s="272"/>
      <c r="S26" s="272"/>
      <c r="T26" s="272"/>
      <c r="U26" s="272"/>
      <c r="V26" s="272"/>
      <c r="W26" s="272"/>
      <c r="X26" s="272"/>
    </row>
    <row r="27" customFormat="false" ht="13.8" hidden="false" customHeight="false" outlineLevel="0" collapsed="false">
      <c r="C27" s="315" t="n">
        <v>0.175</v>
      </c>
      <c r="D27" s="316" t="n">
        <v>86.12</v>
      </c>
      <c r="E27" s="317" t="n">
        <f aca="false">ROUND(Initial_Cash*C27/D27,0)</f>
        <v>2012</v>
      </c>
      <c r="F27" s="309"/>
      <c r="G27" s="310"/>
      <c r="H27" s="310"/>
      <c r="I27" s="310"/>
      <c r="J27" s="310"/>
      <c r="K27" s="310"/>
      <c r="L27" s="310"/>
      <c r="M27" s="285"/>
      <c r="N27" s="285"/>
      <c r="O27" s="285"/>
    </row>
    <row r="28" customFormat="false" ht="15" hidden="false" customHeight="false" outlineLevel="0" collapsed="false">
      <c r="C28" s="318"/>
      <c r="D28" s="318"/>
      <c r="E28" s="318"/>
      <c r="F28" s="309"/>
      <c r="G28" s="310"/>
      <c r="H28" s="310"/>
      <c r="I28" s="310"/>
      <c r="J28" s="310"/>
      <c r="K28" s="310"/>
      <c r="L28" s="310"/>
      <c r="M28" s="285"/>
      <c r="N28" s="285"/>
      <c r="O28" s="285"/>
    </row>
    <row r="29" customFormat="false" ht="18.75" hidden="false" customHeight="false" outlineLevel="0" collapsed="false">
      <c r="C29" s="319" t="s">
        <v>387</v>
      </c>
      <c r="D29" s="309"/>
      <c r="E29" s="309"/>
      <c r="F29" s="309"/>
      <c r="G29" s="310"/>
      <c r="H29" s="310"/>
      <c r="I29" s="310"/>
      <c r="J29" s="310"/>
      <c r="K29" s="310"/>
      <c r="L29" s="310"/>
      <c r="M29" s="285"/>
      <c r="N29" s="285"/>
      <c r="O29" s="285"/>
    </row>
    <row r="30" customFormat="false" ht="45.6" hidden="false" customHeight="true" outlineLevel="0" collapsed="false">
      <c r="C30" s="179" t="s">
        <v>1</v>
      </c>
      <c r="D30" s="180" t="s">
        <v>3</v>
      </c>
      <c r="E30" s="180" t="s">
        <v>4</v>
      </c>
      <c r="F30" s="269" t="s">
        <v>0</v>
      </c>
      <c r="G30" s="269" t="s">
        <v>392</v>
      </c>
      <c r="H30" s="269" t="s">
        <v>393</v>
      </c>
      <c r="I30" s="269" t="s">
        <v>394</v>
      </c>
      <c r="J30" s="269" t="s">
        <v>405</v>
      </c>
      <c r="K30" s="269" t="s">
        <v>396</v>
      </c>
      <c r="L30" s="269" t="s">
        <v>395</v>
      </c>
      <c r="M30" s="269" t="s">
        <v>397</v>
      </c>
      <c r="N30" s="269" t="s">
        <v>398</v>
      </c>
      <c r="O30" s="270" t="s">
        <v>399</v>
      </c>
      <c r="P30" s="263"/>
      <c r="Q30" s="263"/>
      <c r="R30" s="263"/>
      <c r="S30" s="263"/>
      <c r="Y30" s="264"/>
      <c r="Z30" s="264"/>
    </row>
    <row r="31" s="265" customFormat="true" ht="15" hidden="false" customHeight="false" outlineLevel="0" collapsed="false">
      <c r="A31" s="137"/>
      <c r="B31" s="137"/>
      <c r="C31" s="273"/>
      <c r="D31" s="274" t="s">
        <v>273</v>
      </c>
      <c r="E31" s="274" t="s">
        <v>273</v>
      </c>
      <c r="F31" s="274"/>
      <c r="G31" s="274"/>
      <c r="H31" s="274"/>
      <c r="I31" s="274"/>
      <c r="J31" s="274"/>
      <c r="K31" s="274"/>
      <c r="L31" s="274"/>
      <c r="M31" s="274"/>
      <c r="N31" s="274"/>
      <c r="O31" s="275" t="n">
        <f aca="false">Initial_Cash+Extra_Cash+SUMIF($O$9:$O$17,"&lt;0",$O$9:$O$17)+SUM($O$32:$O$59)</f>
        <v>10071.98</v>
      </c>
      <c r="P31" s="276" t="s">
        <v>406</v>
      </c>
      <c r="T31" s="272"/>
      <c r="U31" s="272"/>
      <c r="V31" s="272"/>
      <c r="W31" s="272"/>
      <c r="X31" s="272"/>
      <c r="Y31" s="272"/>
      <c r="Z31" s="272"/>
    </row>
    <row r="32" customFormat="false" ht="17.25" hidden="false" customHeight="true" outlineLevel="0" collapsed="false">
      <c r="B32" s="135" t="n">
        <f aca="false">MAX(B9:B17)+1</f>
        <v>8</v>
      </c>
      <c r="C32" s="320" t="s">
        <v>202</v>
      </c>
      <c r="D32" s="278" t="str">
        <f aca="false">IF(C32="","",VLOOKUP(C32,'ETF List'!$C$1:$J$200,3,0))</f>
        <v>iShares 7-10 Yr Treasury</v>
      </c>
      <c r="E32" s="278" t="str">
        <f aca="false">IF(C32="","",VLOOKUP(C32,'ETF List'!$C$1:$J$200,4,0))</f>
        <v>Bonds</v>
      </c>
      <c r="F32" s="278" t="str">
        <f aca="false">IF(C32="","",VLOOKUP(C32,'ETF List'!$C$1:$J$200,5,0))</f>
        <v>US Government</v>
      </c>
      <c r="G32" s="321" t="s">
        <v>407</v>
      </c>
      <c r="H32" s="322" t="n">
        <v>43266</v>
      </c>
      <c r="I32" s="323" t="n">
        <v>972</v>
      </c>
      <c r="J32" s="280" t="n">
        <v>101.83</v>
      </c>
      <c r="K32" s="281" t="n">
        <f aca="false">IF(G32="Buy",H32,"")</f>
        <v>43266</v>
      </c>
      <c r="L32" s="324" t="n">
        <f aca="false">IF(G32="Buy",J32,"")</f>
        <v>101.83</v>
      </c>
      <c r="M32" s="281" t="str">
        <f aca="false">IF(G32="Sell",H32,"")</f>
        <v/>
      </c>
      <c r="N32" s="324" t="str">
        <f aca="false">IF(G32="Sell",J32,"")</f>
        <v/>
      </c>
      <c r="O32" s="325" t="n">
        <f aca="false">IF(G32="Sell",I32*N32,IF(G32="Buy",-I32*L32,""))</f>
        <v>-98978.76</v>
      </c>
      <c r="P32" s="263"/>
      <c r="Q32" s="263"/>
      <c r="R32" s="263"/>
      <c r="S32" s="263"/>
      <c r="U32" s="326"/>
      <c r="Y32" s="264"/>
      <c r="Z32" s="264"/>
    </row>
    <row r="33" customFormat="false" ht="17.25" hidden="false" customHeight="true" outlineLevel="0" collapsed="false">
      <c r="B33" s="135" t="n">
        <f aca="false">B32+1</f>
        <v>9</v>
      </c>
      <c r="C33" s="327" t="s">
        <v>125</v>
      </c>
      <c r="D33" s="287" t="str">
        <f aca="false">IF(C33="","",VLOOKUP(C33,'ETF List'!$C$1:$J$200,3,0))</f>
        <v>iShares EAFE</v>
      </c>
      <c r="E33" s="287" t="str">
        <f aca="false">IF(C33="","",VLOOKUP(C33,'ETF List'!$C$1:$J$200,4,0))</f>
        <v>Intl Equity</v>
      </c>
      <c r="F33" s="287" t="str">
        <f aca="false">IF(C33="","",VLOOKUP(C33,'ETF List'!$C$1:$J$200,5,0))</f>
        <v>Developed Mrkts</v>
      </c>
      <c r="G33" s="163" t="s">
        <v>408</v>
      </c>
      <c r="H33" s="328" t="n">
        <v>43266</v>
      </c>
      <c r="I33" s="329" t="n">
        <v>1414</v>
      </c>
      <c r="J33" s="289" t="n">
        <v>70</v>
      </c>
      <c r="K33" s="290" t="str">
        <f aca="false">IF(G33="Buy",H33,"")</f>
        <v/>
      </c>
      <c r="L33" s="330" t="str">
        <f aca="false">IF(G33="Buy",J33,"")</f>
        <v/>
      </c>
      <c r="M33" s="290" t="n">
        <f aca="false">IF(G33="Sell",H33,"")</f>
        <v>43266</v>
      </c>
      <c r="N33" s="330" t="n">
        <f aca="false">IF(G33="Sell",J33,"")</f>
        <v>70</v>
      </c>
      <c r="O33" s="331" t="n">
        <f aca="false">IF(G33="Sell",I33*N33,IF(G33="Buy",-I33*L33,""))</f>
        <v>98980</v>
      </c>
      <c r="P33" s="263"/>
      <c r="Q33" s="263"/>
      <c r="R33" s="263"/>
      <c r="S33" s="263"/>
      <c r="Y33" s="264"/>
      <c r="Z33" s="264"/>
    </row>
    <row r="34" customFormat="false" ht="17.25" hidden="false" customHeight="true" outlineLevel="0" collapsed="false">
      <c r="B34" s="135" t="n">
        <f aca="false">B33+1</f>
        <v>10</v>
      </c>
      <c r="C34" s="327"/>
      <c r="D34" s="287"/>
      <c r="E34" s="287"/>
      <c r="F34" s="287"/>
      <c r="G34" s="163"/>
      <c r="H34" s="328"/>
      <c r="I34" s="329"/>
      <c r="J34" s="289"/>
      <c r="K34" s="290" t="str">
        <f aca="false">IF(G34="Buy",H34,"")</f>
        <v/>
      </c>
      <c r="L34" s="330" t="str">
        <f aca="false">IF(G34="Buy",J34,"")</f>
        <v/>
      </c>
      <c r="M34" s="290" t="str">
        <f aca="false">IF(G34="Sell",H34,"")</f>
        <v/>
      </c>
      <c r="N34" s="330" t="str">
        <f aca="false">IF(G34="Sell",J34,"")</f>
        <v/>
      </c>
      <c r="O34" s="331" t="str">
        <f aca="false">IF(G34="Sell",I34*N34,IF(G34="Buy",-I34*L34,""))</f>
        <v/>
      </c>
      <c r="P34" s="263"/>
      <c r="Q34" s="263"/>
      <c r="R34" s="263"/>
      <c r="S34" s="263"/>
      <c r="Y34" s="264"/>
      <c r="Z34" s="264"/>
    </row>
    <row r="35" customFormat="false" ht="17.25" hidden="false" customHeight="true" outlineLevel="0" collapsed="false">
      <c r="B35" s="135" t="n">
        <f aca="false">B34+1</f>
        <v>11</v>
      </c>
      <c r="C35" s="327"/>
      <c r="D35" s="287" t="str">
        <f aca="false">IF(C35="","",VLOOKUP(C35,'ETF List'!$C$1:$J$200,3,0))</f>
        <v/>
      </c>
      <c r="E35" s="287" t="str">
        <f aca="false">IF(C35="","",VLOOKUP(C35,'ETF List'!$C$1:$J$200,4,0))</f>
        <v/>
      </c>
      <c r="F35" s="287" t="str">
        <f aca="false">IF(C35="","",VLOOKUP(C35,'ETF List'!$C$1:$J$200,5,0))</f>
        <v/>
      </c>
      <c r="G35" s="163"/>
      <c r="H35" s="328"/>
      <c r="I35" s="329"/>
      <c r="J35" s="289"/>
      <c r="K35" s="290" t="str">
        <f aca="false">IF(G35="Buy",H35,"")</f>
        <v/>
      </c>
      <c r="L35" s="330" t="str">
        <f aca="false">IF(G35="Buy",J35,"")</f>
        <v/>
      </c>
      <c r="M35" s="290" t="str">
        <f aca="false">IF(G35="Sell",H35,"")</f>
        <v/>
      </c>
      <c r="N35" s="330" t="str">
        <f aca="false">IF(G35="Sell",J35,"")</f>
        <v/>
      </c>
      <c r="O35" s="331" t="str">
        <f aca="false">IF(G35="Sell",I35*N35,IF(G35="Buy",-I35*L35,""))</f>
        <v/>
      </c>
      <c r="P35" s="263"/>
      <c r="Q35" s="263"/>
      <c r="R35" s="263"/>
      <c r="S35" s="263"/>
      <c r="Y35" s="264"/>
      <c r="Z35" s="264"/>
    </row>
    <row r="36" customFormat="false" ht="17.25" hidden="false" customHeight="true" outlineLevel="0" collapsed="false">
      <c r="B36" s="135" t="n">
        <f aca="false">B35+1</f>
        <v>12</v>
      </c>
      <c r="C36" s="327"/>
      <c r="D36" s="287" t="str">
        <f aca="false">IF(C36="","",VLOOKUP(C36,'ETF List'!$C$1:$J$200,3,0))</f>
        <v/>
      </c>
      <c r="E36" s="287" t="str">
        <f aca="false">IF(C36="","",VLOOKUP(C36,'ETF List'!$C$1:$J$200,4,0))</f>
        <v/>
      </c>
      <c r="F36" s="287" t="str">
        <f aca="false">IF(C36="","",VLOOKUP(C36,'ETF List'!$C$1:$J$200,5,0))</f>
        <v/>
      </c>
      <c r="G36" s="163"/>
      <c r="H36" s="328"/>
      <c r="I36" s="329"/>
      <c r="J36" s="289"/>
      <c r="K36" s="290" t="str">
        <f aca="false">IF(G36="Buy",H36,"")</f>
        <v/>
      </c>
      <c r="L36" s="330" t="str">
        <f aca="false">IF(G36="Buy",J36,"")</f>
        <v/>
      </c>
      <c r="M36" s="290" t="str">
        <f aca="false">IF(G36="Sell",H36,"")</f>
        <v/>
      </c>
      <c r="N36" s="330" t="str">
        <f aca="false">IF(G36="Sell",J36,"")</f>
        <v/>
      </c>
      <c r="O36" s="331" t="str">
        <f aca="false">IF(G36="Sell",I36*N36,IF(G36="Buy",-I36*L36,""))</f>
        <v/>
      </c>
      <c r="P36" s="263"/>
      <c r="Q36" s="263"/>
      <c r="R36" s="263"/>
      <c r="S36" s="263"/>
      <c r="Y36" s="264"/>
      <c r="Z36" s="264"/>
    </row>
    <row r="37" customFormat="false" ht="17.25" hidden="false" customHeight="true" outlineLevel="0" collapsed="false">
      <c r="B37" s="135" t="n">
        <f aca="false">B36+1</f>
        <v>13</v>
      </c>
      <c r="C37" s="327"/>
      <c r="D37" s="287" t="str">
        <f aca="false">IF(C37="","",VLOOKUP(C37,'ETF List'!$C$1:$J$200,3,0))</f>
        <v/>
      </c>
      <c r="E37" s="287" t="str">
        <f aca="false">IF(C37="","",VLOOKUP(C37,'ETF List'!$C$1:$J$200,4,0))</f>
        <v/>
      </c>
      <c r="F37" s="287" t="str">
        <f aca="false">IF(C37="","",VLOOKUP(C37,'ETF List'!$C$1:$J$200,5,0))</f>
        <v/>
      </c>
      <c r="G37" s="163"/>
      <c r="H37" s="328"/>
      <c r="I37" s="329"/>
      <c r="J37" s="289"/>
      <c r="K37" s="290" t="str">
        <f aca="false">IF(G37="Buy",H37,"")</f>
        <v/>
      </c>
      <c r="L37" s="330" t="str">
        <f aca="false">IF(G37="Buy",J37,"")</f>
        <v/>
      </c>
      <c r="M37" s="290" t="str">
        <f aca="false">IF(G37="Sell",H37,"")</f>
        <v/>
      </c>
      <c r="N37" s="330" t="str">
        <f aca="false">IF(G37="Sell",J37,"")</f>
        <v/>
      </c>
      <c r="O37" s="331" t="str">
        <f aca="false">IF(G37="Sell",I37*N37,IF(G37="Buy",-I37*L37,""))</f>
        <v/>
      </c>
      <c r="P37" s="263"/>
      <c r="Q37" s="263"/>
      <c r="R37" s="263"/>
      <c r="S37" s="263"/>
      <c r="Y37" s="264"/>
      <c r="Z37" s="264"/>
    </row>
    <row r="38" customFormat="false" ht="17.25" hidden="false" customHeight="true" outlineLevel="0" collapsed="false">
      <c r="B38" s="135" t="n">
        <f aca="false">B37+1</f>
        <v>14</v>
      </c>
      <c r="C38" s="327"/>
      <c r="D38" s="287" t="str">
        <f aca="false">IF(C38="","",VLOOKUP(C38,'ETF List'!$C$1:$J$200,3,0))</f>
        <v/>
      </c>
      <c r="E38" s="287" t="str">
        <f aca="false">IF(C38="","",VLOOKUP(C38,'ETF List'!$C$1:$J$200,4,0))</f>
        <v/>
      </c>
      <c r="F38" s="287" t="str">
        <f aca="false">IF(C38="","",VLOOKUP(C38,'ETF List'!$C$1:$J$200,5,0))</f>
        <v/>
      </c>
      <c r="G38" s="163"/>
      <c r="H38" s="328"/>
      <c r="I38" s="329"/>
      <c r="J38" s="289"/>
      <c r="K38" s="290" t="str">
        <f aca="false">IF(G38="Buy",H38,"")</f>
        <v/>
      </c>
      <c r="L38" s="330" t="str">
        <f aca="false">IF(G38="Buy",J38,"")</f>
        <v/>
      </c>
      <c r="M38" s="290" t="str">
        <f aca="false">IF(G38="Sell",H38,"")</f>
        <v/>
      </c>
      <c r="N38" s="330" t="str">
        <f aca="false">IF(G38="Sell",J38,"")</f>
        <v/>
      </c>
      <c r="O38" s="331" t="str">
        <f aca="false">IF(G38="Sell",I38*N38,IF(G38="Buy",-I38*L38,""))</f>
        <v/>
      </c>
      <c r="P38" s="263"/>
      <c r="Q38" s="263"/>
      <c r="R38" s="263"/>
      <c r="S38" s="263"/>
      <c r="Y38" s="264"/>
      <c r="Z38" s="264"/>
    </row>
    <row r="39" customFormat="false" ht="17.25" hidden="false" customHeight="true" outlineLevel="0" collapsed="false">
      <c r="B39" s="135" t="n">
        <f aca="false">B38+1</f>
        <v>15</v>
      </c>
      <c r="C39" s="327"/>
      <c r="D39" s="287" t="str">
        <f aca="false">IF(C39="","",VLOOKUP(C39,'ETF List'!$C$1:$J$200,3,0))</f>
        <v/>
      </c>
      <c r="E39" s="287" t="str">
        <f aca="false">IF(C39="","",VLOOKUP(C39,'ETF List'!$C$1:$J$200,4,0))</f>
        <v/>
      </c>
      <c r="F39" s="287" t="str">
        <f aca="false">IF(C39="","",VLOOKUP(C39,'ETF List'!$C$1:$J$200,5,0))</f>
        <v/>
      </c>
      <c r="G39" s="163"/>
      <c r="H39" s="328"/>
      <c r="I39" s="329"/>
      <c r="J39" s="289"/>
      <c r="K39" s="290" t="str">
        <f aca="false">IF(G39="Buy",H39,"")</f>
        <v/>
      </c>
      <c r="L39" s="330" t="str">
        <f aca="false">IF(G39="Buy",J39,"")</f>
        <v/>
      </c>
      <c r="M39" s="290" t="str">
        <f aca="false">IF(G39="Sell",H39,"")</f>
        <v/>
      </c>
      <c r="N39" s="330" t="str">
        <f aca="false">IF(G39="Sell",J39,"")</f>
        <v/>
      </c>
      <c r="O39" s="331" t="str">
        <f aca="false">IF(G39="Sell",I39*N39,IF(G39="Buy",-I39*L39,""))</f>
        <v/>
      </c>
      <c r="P39" s="263"/>
      <c r="Q39" s="263"/>
      <c r="R39" s="263"/>
      <c r="S39" s="263"/>
      <c r="Y39" s="264"/>
      <c r="Z39" s="264"/>
    </row>
    <row r="40" customFormat="false" ht="17.25" hidden="false" customHeight="true" outlineLevel="0" collapsed="false">
      <c r="B40" s="135" t="n">
        <f aca="false">B39+1</f>
        <v>16</v>
      </c>
      <c r="C40" s="327"/>
      <c r="D40" s="287" t="str">
        <f aca="false">IF(C40="","",VLOOKUP(C40,'ETF List'!$C$1:$J$200,3,0))</f>
        <v/>
      </c>
      <c r="E40" s="287" t="str">
        <f aca="false">IF(C40="","",VLOOKUP(C40,'ETF List'!$C$1:$J$200,4,0))</f>
        <v/>
      </c>
      <c r="F40" s="287" t="str">
        <f aca="false">IF(C40="","",VLOOKUP(C40,'ETF List'!$C$1:$J$200,5,0))</f>
        <v/>
      </c>
      <c r="G40" s="163"/>
      <c r="H40" s="328"/>
      <c r="I40" s="329"/>
      <c r="J40" s="289"/>
      <c r="K40" s="290" t="str">
        <f aca="false">IF(G40="Buy",H40,"")</f>
        <v/>
      </c>
      <c r="L40" s="330" t="str">
        <f aca="false">IF(G40="Buy",J40,"")</f>
        <v/>
      </c>
      <c r="M40" s="290" t="str">
        <f aca="false">IF(G40="Sell",H40,"")</f>
        <v/>
      </c>
      <c r="N40" s="330" t="str">
        <f aca="false">IF(G40="Sell",J40,"")</f>
        <v/>
      </c>
      <c r="O40" s="331" t="str">
        <f aca="false">IF(G40="Sell",I40*N40,IF(G40="Buy",-I40*L40,""))</f>
        <v/>
      </c>
      <c r="P40" s="263"/>
      <c r="Q40" s="263"/>
      <c r="R40" s="263"/>
      <c r="S40" s="263"/>
      <c r="Y40" s="264"/>
      <c r="Z40" s="264"/>
    </row>
    <row r="41" customFormat="false" ht="17.25" hidden="false" customHeight="true" outlineLevel="0" collapsed="false">
      <c r="B41" s="135" t="n">
        <f aca="false">B40+1</f>
        <v>17</v>
      </c>
      <c r="C41" s="327"/>
      <c r="D41" s="287" t="str">
        <f aca="false">IF(C41="","",VLOOKUP(C41,'ETF List'!$C$1:$J$200,3,0))</f>
        <v/>
      </c>
      <c r="E41" s="287" t="str">
        <f aca="false">IF(C41="","",VLOOKUP(C41,'ETF List'!$C$1:$J$200,4,0))</f>
        <v/>
      </c>
      <c r="F41" s="287" t="str">
        <f aca="false">IF(C41="","",VLOOKUP(C41,'ETF List'!$C$1:$J$200,5,0))</f>
        <v/>
      </c>
      <c r="G41" s="163"/>
      <c r="H41" s="328"/>
      <c r="I41" s="329"/>
      <c r="J41" s="289"/>
      <c r="K41" s="290" t="str">
        <f aca="false">IF(G41="Buy",H41,"")</f>
        <v/>
      </c>
      <c r="L41" s="330" t="str">
        <f aca="false">IF(G41="Buy",J41,"")</f>
        <v/>
      </c>
      <c r="M41" s="290" t="str">
        <f aca="false">IF(G41="Sell",H41,"")</f>
        <v/>
      </c>
      <c r="N41" s="330" t="str">
        <f aca="false">IF(G41="Sell",J41,"")</f>
        <v/>
      </c>
      <c r="O41" s="331" t="str">
        <f aca="false">IF(G41="Sell",I41*N41,IF(G41="Buy",-I41*L41,""))</f>
        <v/>
      </c>
      <c r="P41" s="263"/>
      <c r="Q41" s="263"/>
      <c r="R41" s="263"/>
      <c r="S41" s="263"/>
      <c r="Y41" s="264"/>
      <c r="Z41" s="264"/>
    </row>
    <row r="42" customFormat="false" ht="17.25" hidden="false" customHeight="true" outlineLevel="0" collapsed="false">
      <c r="B42" s="135" t="n">
        <f aca="false">B41+1</f>
        <v>18</v>
      </c>
      <c r="C42" s="327"/>
      <c r="D42" s="287" t="str">
        <f aca="false">IF(C42="","",VLOOKUP(C42,'ETF List'!$C$1:$J$200,3,0))</f>
        <v/>
      </c>
      <c r="E42" s="287" t="str">
        <f aca="false">IF(C42="","",VLOOKUP(C42,'ETF List'!$C$1:$J$200,4,0))</f>
        <v/>
      </c>
      <c r="F42" s="287" t="str">
        <f aca="false">IF(C42="","",VLOOKUP(C42,'ETF List'!$C$1:$J$200,5,0))</f>
        <v/>
      </c>
      <c r="G42" s="163"/>
      <c r="H42" s="328"/>
      <c r="I42" s="329"/>
      <c r="J42" s="289"/>
      <c r="K42" s="290" t="str">
        <f aca="false">IF(G42="Buy",H42,"")</f>
        <v/>
      </c>
      <c r="L42" s="330" t="str">
        <f aca="false">IF(G42="Buy",J42,"")</f>
        <v/>
      </c>
      <c r="M42" s="290" t="str">
        <f aca="false">IF(G42="Sell",H42,"")</f>
        <v/>
      </c>
      <c r="N42" s="330" t="str">
        <f aca="false">IF(G42="Sell",J42,"")</f>
        <v/>
      </c>
      <c r="O42" s="331" t="str">
        <f aca="false">IF(G42="Sell",I42*N42,IF(G42="Buy",-I42*L42,""))</f>
        <v/>
      </c>
      <c r="P42" s="263"/>
      <c r="Q42" s="263"/>
      <c r="R42" s="263"/>
      <c r="S42" s="263"/>
      <c r="Y42" s="264"/>
      <c r="Z42" s="264"/>
    </row>
    <row r="43" customFormat="false" ht="17.25" hidden="false" customHeight="true" outlineLevel="0" collapsed="false">
      <c r="B43" s="135" t="n">
        <f aca="false">B42+1</f>
        <v>19</v>
      </c>
      <c r="C43" s="327"/>
      <c r="D43" s="287" t="str">
        <f aca="false">IF(C43="","",VLOOKUP(C43,'ETF List'!$C$1:$J$200,3,0))</f>
        <v/>
      </c>
      <c r="E43" s="287" t="str">
        <f aca="false">IF(C43="","",VLOOKUP(C43,'ETF List'!$C$1:$J$200,4,0))</f>
        <v/>
      </c>
      <c r="F43" s="287" t="str">
        <f aca="false">IF(C43="","",VLOOKUP(C43,'ETF List'!$C$1:$J$200,5,0))</f>
        <v/>
      </c>
      <c r="G43" s="163"/>
      <c r="H43" s="328"/>
      <c r="I43" s="329"/>
      <c r="J43" s="289"/>
      <c r="K43" s="290" t="str">
        <f aca="false">IF(G43="Buy",H43,"")</f>
        <v/>
      </c>
      <c r="L43" s="330" t="str">
        <f aca="false">IF(G43="Buy",J43,"")</f>
        <v/>
      </c>
      <c r="M43" s="290" t="str">
        <f aca="false">IF(G43="Sell",H43,"")</f>
        <v/>
      </c>
      <c r="N43" s="330" t="str">
        <f aca="false">IF(G43="Sell",J43,"")</f>
        <v/>
      </c>
      <c r="O43" s="331" t="str">
        <f aca="false">IF(G43="Sell",I43*N43,IF(G43="Buy",-I43*L43,""))</f>
        <v/>
      </c>
      <c r="P43" s="263"/>
      <c r="Q43" s="263"/>
      <c r="R43" s="263"/>
      <c r="S43" s="263"/>
      <c r="Y43" s="264"/>
      <c r="Z43" s="264"/>
    </row>
    <row r="44" customFormat="false" ht="17.25" hidden="false" customHeight="true" outlineLevel="0" collapsed="false">
      <c r="B44" s="135" t="n">
        <f aca="false">B43+1</f>
        <v>20</v>
      </c>
      <c r="C44" s="327"/>
      <c r="D44" s="287" t="str">
        <f aca="false">IF(C44="","",VLOOKUP(C44,'ETF List'!$C$1:$J$200,3,0))</f>
        <v/>
      </c>
      <c r="E44" s="287" t="str">
        <f aca="false">IF(C44="","",VLOOKUP(C44,'ETF List'!$C$1:$J$200,4,0))</f>
        <v/>
      </c>
      <c r="F44" s="287" t="str">
        <f aca="false">IF(C44="","",VLOOKUP(C44,'ETF List'!$C$1:$J$200,5,0))</f>
        <v/>
      </c>
      <c r="G44" s="163"/>
      <c r="H44" s="328"/>
      <c r="I44" s="329"/>
      <c r="J44" s="289"/>
      <c r="K44" s="290" t="str">
        <f aca="false">IF(G44="Buy",H44,"")</f>
        <v/>
      </c>
      <c r="L44" s="330" t="str">
        <f aca="false">IF(G44="Buy",J44,"")</f>
        <v/>
      </c>
      <c r="M44" s="290" t="str">
        <f aca="false">IF(G44="Sell",H44,"")</f>
        <v/>
      </c>
      <c r="N44" s="330" t="str">
        <f aca="false">IF(G44="Sell",J44,"")</f>
        <v/>
      </c>
      <c r="O44" s="331" t="str">
        <f aca="false">IF(G44="Sell",I44*N44,IF(G44="Buy",-I44*L44,""))</f>
        <v/>
      </c>
      <c r="P44" s="263"/>
      <c r="Q44" s="263"/>
      <c r="R44" s="263"/>
      <c r="S44" s="263"/>
      <c r="Y44" s="264"/>
      <c r="Z44" s="264"/>
    </row>
    <row r="45" customFormat="false" ht="17.25" hidden="false" customHeight="true" outlineLevel="0" collapsed="false">
      <c r="B45" s="135" t="n">
        <f aca="false">B44+1</f>
        <v>21</v>
      </c>
      <c r="C45" s="327"/>
      <c r="D45" s="287" t="str">
        <f aca="false">IF(C45="","",VLOOKUP(C45,'ETF List'!$C$1:$J$200,3,0))</f>
        <v/>
      </c>
      <c r="E45" s="287" t="str">
        <f aca="false">IF(C45="","",VLOOKUP(C45,'ETF List'!$C$1:$J$200,4,0))</f>
        <v/>
      </c>
      <c r="F45" s="287" t="str">
        <f aca="false">IF(C45="","",VLOOKUP(C45,'ETF List'!$C$1:$J$200,5,0))</f>
        <v/>
      </c>
      <c r="G45" s="163"/>
      <c r="H45" s="328"/>
      <c r="I45" s="329"/>
      <c r="J45" s="289"/>
      <c r="K45" s="290" t="str">
        <f aca="false">IF(G45="Buy",H45,"")</f>
        <v/>
      </c>
      <c r="L45" s="330" t="str">
        <f aca="false">IF(G45="Buy",J45,"")</f>
        <v/>
      </c>
      <c r="M45" s="290" t="str">
        <f aca="false">IF(G45="Sell",H45,"")</f>
        <v/>
      </c>
      <c r="N45" s="330" t="str">
        <f aca="false">IF(G45="Sell",J45,"")</f>
        <v/>
      </c>
      <c r="O45" s="331" t="str">
        <f aca="false">IF(G45="Sell",I45*N45,IF(G45="Buy",-I45*L45,""))</f>
        <v/>
      </c>
      <c r="P45" s="263"/>
      <c r="Q45" s="263"/>
      <c r="R45" s="263"/>
      <c r="S45" s="263"/>
      <c r="Y45" s="264"/>
      <c r="Z45" s="264"/>
    </row>
    <row r="46" customFormat="false" ht="17.25" hidden="false" customHeight="true" outlineLevel="0" collapsed="false">
      <c r="B46" s="135" t="n">
        <f aca="false">B45+1</f>
        <v>22</v>
      </c>
      <c r="C46" s="327"/>
      <c r="D46" s="287" t="str">
        <f aca="false">IF(C46="","",VLOOKUP(C46,'ETF List'!$C$1:$J$200,3,0))</f>
        <v/>
      </c>
      <c r="E46" s="287" t="str">
        <f aca="false">IF(C46="","",VLOOKUP(C46,'ETF List'!$C$1:$J$200,4,0))</f>
        <v/>
      </c>
      <c r="F46" s="287" t="str">
        <f aca="false">IF(C46="","",VLOOKUP(C46,'ETF List'!$C$1:$J$200,5,0))</f>
        <v/>
      </c>
      <c r="G46" s="163"/>
      <c r="H46" s="328"/>
      <c r="I46" s="329"/>
      <c r="J46" s="289"/>
      <c r="K46" s="290" t="str">
        <f aca="false">IF(G46="Buy",H46,"")</f>
        <v/>
      </c>
      <c r="L46" s="330" t="str">
        <f aca="false">IF(G46="Buy",J46,"")</f>
        <v/>
      </c>
      <c r="M46" s="290" t="str">
        <f aca="false">IF(G46="Sell",H46,"")</f>
        <v/>
      </c>
      <c r="N46" s="330" t="str">
        <f aca="false">IF(G46="Sell",J46,"")</f>
        <v/>
      </c>
      <c r="O46" s="331" t="str">
        <f aca="false">IF(G46="Sell",I46*N46,IF(G46="Buy",-I46*L46,""))</f>
        <v/>
      </c>
      <c r="P46" s="263"/>
      <c r="Q46" s="263"/>
      <c r="R46" s="263"/>
      <c r="S46" s="263"/>
      <c r="Y46" s="264"/>
      <c r="Z46" s="264"/>
    </row>
    <row r="47" customFormat="false" ht="17.25" hidden="false" customHeight="true" outlineLevel="0" collapsed="false">
      <c r="B47" s="135" t="n">
        <f aca="false">B46+1</f>
        <v>23</v>
      </c>
      <c r="C47" s="327"/>
      <c r="D47" s="287" t="str">
        <f aca="false">IF(C47="","",VLOOKUP(C47,'ETF List'!$C$1:$J$200,3,0))</f>
        <v/>
      </c>
      <c r="E47" s="287" t="str">
        <f aca="false">IF(C47="","",VLOOKUP(C47,'ETF List'!$C$1:$J$200,4,0))</f>
        <v/>
      </c>
      <c r="F47" s="287" t="str">
        <f aca="false">IF(C47="","",VLOOKUP(C47,'ETF List'!$C$1:$J$200,5,0))</f>
        <v/>
      </c>
      <c r="G47" s="163"/>
      <c r="H47" s="328"/>
      <c r="I47" s="329"/>
      <c r="J47" s="289"/>
      <c r="K47" s="290" t="str">
        <f aca="false">IF(G47="Buy",H47,"")</f>
        <v/>
      </c>
      <c r="L47" s="330" t="str">
        <f aca="false">IF(G47="Buy",J47,"")</f>
        <v/>
      </c>
      <c r="M47" s="290" t="str">
        <f aca="false">IF(G47="Sell",H47,"")</f>
        <v/>
      </c>
      <c r="N47" s="330" t="str">
        <f aca="false">IF(G47="Sell",J47,"")</f>
        <v/>
      </c>
      <c r="O47" s="331" t="str">
        <f aca="false">IF(G47="Sell",I47*N47,IF(G47="Buy",-I47*L47,""))</f>
        <v/>
      </c>
      <c r="P47" s="263"/>
      <c r="Q47" s="263"/>
      <c r="R47" s="263"/>
      <c r="S47" s="263"/>
      <c r="Y47" s="264"/>
      <c r="Z47" s="264"/>
    </row>
    <row r="48" customFormat="false" ht="17.25" hidden="false" customHeight="true" outlineLevel="0" collapsed="false">
      <c r="B48" s="135" t="n">
        <f aca="false">B47+1</f>
        <v>24</v>
      </c>
      <c r="C48" s="327"/>
      <c r="D48" s="287" t="str">
        <f aca="false">IF(C48="","",VLOOKUP(C48,'ETF List'!$C$1:$J$200,3,0))</f>
        <v/>
      </c>
      <c r="E48" s="287" t="str">
        <f aca="false">IF(C48="","",VLOOKUP(C48,'ETF List'!$C$1:$J$200,4,0))</f>
        <v/>
      </c>
      <c r="F48" s="287" t="str">
        <f aca="false">IF(C48="","",VLOOKUP(C48,'ETF List'!$C$1:$J$200,5,0))</f>
        <v/>
      </c>
      <c r="G48" s="163"/>
      <c r="H48" s="328"/>
      <c r="I48" s="329"/>
      <c r="J48" s="289"/>
      <c r="K48" s="290" t="str">
        <f aca="false">IF(G48="Buy",H48,"")</f>
        <v/>
      </c>
      <c r="L48" s="330" t="str">
        <f aca="false">IF(G48="Buy",J48,"")</f>
        <v/>
      </c>
      <c r="M48" s="290" t="str">
        <f aca="false">IF(G48="Sell",H48,"")</f>
        <v/>
      </c>
      <c r="N48" s="330" t="str">
        <f aca="false">IF(G48="Sell",J48,"")</f>
        <v/>
      </c>
      <c r="O48" s="331" t="str">
        <f aca="false">IF(G48="Sell",I48*N48,IF(G48="Buy",-I48*L48,""))</f>
        <v/>
      </c>
      <c r="P48" s="263"/>
      <c r="Q48" s="263"/>
      <c r="R48" s="263"/>
      <c r="S48" s="263"/>
      <c r="Y48" s="264"/>
      <c r="Z48" s="264"/>
    </row>
    <row r="49" customFormat="false" ht="17.25" hidden="false" customHeight="true" outlineLevel="0" collapsed="false">
      <c r="B49" s="135" t="n">
        <f aca="false">B48+1</f>
        <v>25</v>
      </c>
      <c r="C49" s="327"/>
      <c r="D49" s="287" t="str">
        <f aca="false">IF(C49="","",VLOOKUP(C49,'ETF List'!$C$1:$J$200,3,0))</f>
        <v/>
      </c>
      <c r="E49" s="287" t="str">
        <f aca="false">IF(C49="","",VLOOKUP(C49,'ETF List'!$C$1:$J$200,4,0))</f>
        <v/>
      </c>
      <c r="F49" s="287" t="str">
        <f aca="false">IF(C49="","",VLOOKUP(C49,'ETF List'!$C$1:$J$200,5,0))</f>
        <v/>
      </c>
      <c r="G49" s="163"/>
      <c r="H49" s="328"/>
      <c r="I49" s="329"/>
      <c r="J49" s="289"/>
      <c r="K49" s="290" t="str">
        <f aca="false">IF(G49="Buy",H49,"")</f>
        <v/>
      </c>
      <c r="L49" s="330" t="str">
        <f aca="false">IF(G49="Buy",J49,"")</f>
        <v/>
      </c>
      <c r="M49" s="290" t="str">
        <f aca="false">IF(G49="Sell",H49,"")</f>
        <v/>
      </c>
      <c r="N49" s="330" t="str">
        <f aca="false">IF(G49="Sell",J49,"")</f>
        <v/>
      </c>
      <c r="O49" s="331" t="str">
        <f aca="false">IF(G49="Sell",I49*N49,IF(G49="Buy",-I49*L49,""))</f>
        <v/>
      </c>
      <c r="P49" s="263"/>
      <c r="Q49" s="263"/>
      <c r="R49" s="263"/>
      <c r="S49" s="263"/>
      <c r="Y49" s="264"/>
      <c r="Z49" s="264"/>
    </row>
    <row r="50" customFormat="false" ht="17.25" hidden="false" customHeight="true" outlineLevel="0" collapsed="false">
      <c r="B50" s="135" t="n">
        <f aca="false">B49+1</f>
        <v>26</v>
      </c>
      <c r="C50" s="327"/>
      <c r="D50" s="287" t="str">
        <f aca="false">IF(C50="","",VLOOKUP(C50,'ETF List'!$C$1:$J$200,3,0))</f>
        <v/>
      </c>
      <c r="E50" s="287" t="str">
        <f aca="false">IF(C50="","",VLOOKUP(C50,'ETF List'!$C$1:$J$200,4,0))</f>
        <v/>
      </c>
      <c r="F50" s="287" t="str">
        <f aca="false">IF(C50="","",VLOOKUP(C50,'ETF List'!$C$1:$J$200,5,0))</f>
        <v/>
      </c>
      <c r="G50" s="163"/>
      <c r="H50" s="328"/>
      <c r="I50" s="329"/>
      <c r="J50" s="289"/>
      <c r="K50" s="290" t="str">
        <f aca="false">IF(G50="Buy",H50,"")</f>
        <v/>
      </c>
      <c r="L50" s="330" t="str">
        <f aca="false">IF(G50="Buy",J50,"")</f>
        <v/>
      </c>
      <c r="M50" s="290" t="str">
        <f aca="false">IF(G50="Sell",H50,"")</f>
        <v/>
      </c>
      <c r="N50" s="330" t="str">
        <f aca="false">IF(G50="Sell",J50,"")</f>
        <v/>
      </c>
      <c r="O50" s="331" t="str">
        <f aca="false">IF(G50="Sell",I50*N50,IF(G50="Buy",-I50*L50,""))</f>
        <v/>
      </c>
      <c r="P50" s="263"/>
      <c r="Q50" s="263"/>
      <c r="R50" s="263"/>
      <c r="S50" s="263"/>
      <c r="Y50" s="264"/>
      <c r="Z50" s="264"/>
    </row>
    <row r="51" customFormat="false" ht="17.25" hidden="false" customHeight="true" outlineLevel="0" collapsed="false">
      <c r="B51" s="135" t="n">
        <f aca="false">B50+1</f>
        <v>27</v>
      </c>
      <c r="C51" s="327"/>
      <c r="D51" s="287" t="str">
        <f aca="false">IF(C51="","",VLOOKUP(C51,'ETF List'!$C$1:$J$200,3,0))</f>
        <v/>
      </c>
      <c r="E51" s="287" t="str">
        <f aca="false">IF(C51="","",VLOOKUP(C51,'ETF List'!$C$1:$J$200,4,0))</f>
        <v/>
      </c>
      <c r="F51" s="287" t="str">
        <f aca="false">IF(C51="","",VLOOKUP(C51,'ETF List'!$C$1:$J$200,5,0))</f>
        <v/>
      </c>
      <c r="G51" s="163"/>
      <c r="H51" s="328"/>
      <c r="I51" s="329"/>
      <c r="J51" s="289"/>
      <c r="K51" s="290" t="str">
        <f aca="false">IF(G51="Buy",H51,"")</f>
        <v/>
      </c>
      <c r="L51" s="330" t="str">
        <f aca="false">IF(G51="Buy",J51,"")</f>
        <v/>
      </c>
      <c r="M51" s="290" t="str">
        <f aca="false">IF(G51="Sell",H51,"")</f>
        <v/>
      </c>
      <c r="N51" s="330" t="str">
        <f aca="false">IF(G51="Sell",J51,"")</f>
        <v/>
      </c>
      <c r="O51" s="331" t="str">
        <f aca="false">IF(G51="Sell",I51*N51,IF(G51="Buy",-I51*L51,""))</f>
        <v/>
      </c>
      <c r="P51" s="263"/>
      <c r="Q51" s="263"/>
      <c r="R51" s="263"/>
      <c r="S51" s="263"/>
      <c r="Y51" s="264"/>
      <c r="Z51" s="264"/>
    </row>
    <row r="52" customFormat="false" ht="17.25" hidden="false" customHeight="true" outlineLevel="0" collapsed="false">
      <c r="B52" s="135" t="n">
        <f aca="false">B51+1</f>
        <v>28</v>
      </c>
      <c r="C52" s="327"/>
      <c r="D52" s="287" t="str">
        <f aca="false">IF(C52="","",VLOOKUP(C52,'ETF List'!$C$1:$J$200,3,0))</f>
        <v/>
      </c>
      <c r="E52" s="287" t="str">
        <f aca="false">IF(C52="","",VLOOKUP(C52,'ETF List'!$C$1:$J$200,4,0))</f>
        <v/>
      </c>
      <c r="F52" s="287" t="str">
        <f aca="false">IF(C52="","",VLOOKUP(C52,'ETF List'!$C$1:$J$200,5,0))</f>
        <v/>
      </c>
      <c r="G52" s="163"/>
      <c r="H52" s="328"/>
      <c r="I52" s="329"/>
      <c r="J52" s="289"/>
      <c r="K52" s="290" t="str">
        <f aca="false">IF(G52="Buy",H52,"")</f>
        <v/>
      </c>
      <c r="L52" s="330" t="str">
        <f aca="false">IF(G52="Buy",J52,"")</f>
        <v/>
      </c>
      <c r="M52" s="290" t="str">
        <f aca="false">IF(G52="Sell",H52,"")</f>
        <v/>
      </c>
      <c r="N52" s="330" t="str">
        <f aca="false">IF(G52="Sell",J52,"")</f>
        <v/>
      </c>
      <c r="O52" s="331" t="str">
        <f aca="false">IF(G52="Sell",I52*N52,IF(G52="Buy",-I52*L52,""))</f>
        <v/>
      </c>
      <c r="P52" s="263"/>
      <c r="Q52" s="263"/>
      <c r="R52" s="263"/>
      <c r="S52" s="263"/>
      <c r="Y52" s="264"/>
      <c r="Z52" s="264"/>
    </row>
    <row r="53" customFormat="false" ht="17.25" hidden="false" customHeight="true" outlineLevel="0" collapsed="false">
      <c r="B53" s="135" t="n">
        <f aca="false">B52+1</f>
        <v>29</v>
      </c>
      <c r="C53" s="327"/>
      <c r="D53" s="287" t="str">
        <f aca="false">IF(C53="","",VLOOKUP(C53,'ETF List'!$C$1:$J$200,3,0))</f>
        <v/>
      </c>
      <c r="E53" s="287" t="str">
        <f aca="false">IF(C53="","",VLOOKUP(C53,'ETF List'!$C$1:$J$200,4,0))</f>
        <v/>
      </c>
      <c r="F53" s="287" t="str">
        <f aca="false">IF(C53="","",VLOOKUP(C53,'ETF List'!$C$1:$J$200,5,0))</f>
        <v/>
      </c>
      <c r="G53" s="163"/>
      <c r="H53" s="328"/>
      <c r="I53" s="329"/>
      <c r="J53" s="289"/>
      <c r="K53" s="290" t="str">
        <f aca="false">IF(G53="Buy",H53,"")</f>
        <v/>
      </c>
      <c r="L53" s="330" t="str">
        <f aca="false">IF(G53="Buy",J53,"")</f>
        <v/>
      </c>
      <c r="M53" s="290" t="str">
        <f aca="false">IF(G53="Sell",H53,"")</f>
        <v/>
      </c>
      <c r="N53" s="330" t="str">
        <f aca="false">IF(G53="Sell",J53,"")</f>
        <v/>
      </c>
      <c r="O53" s="331" t="str">
        <f aca="false">IF(G53="Sell",I53*N53,IF(G53="Buy",-I53*L53,""))</f>
        <v/>
      </c>
      <c r="P53" s="263"/>
      <c r="Q53" s="263"/>
      <c r="R53" s="263"/>
      <c r="S53" s="263"/>
      <c r="Y53" s="264"/>
      <c r="Z53" s="264"/>
    </row>
    <row r="54" customFormat="false" ht="17.25" hidden="false" customHeight="true" outlineLevel="0" collapsed="false">
      <c r="B54" s="135" t="n">
        <f aca="false">B53+1</f>
        <v>30</v>
      </c>
      <c r="C54" s="327"/>
      <c r="D54" s="287" t="str">
        <f aca="false">IF(C54="","",VLOOKUP(C54,'ETF List'!$C$1:$J$200,3,0))</f>
        <v/>
      </c>
      <c r="E54" s="287" t="str">
        <f aca="false">IF(C54="","",VLOOKUP(C54,'ETF List'!$C$1:$J$200,4,0))</f>
        <v/>
      </c>
      <c r="F54" s="287" t="str">
        <f aca="false">IF(C54="","",VLOOKUP(C54,'ETF List'!$C$1:$J$200,5,0))</f>
        <v/>
      </c>
      <c r="G54" s="163"/>
      <c r="H54" s="328"/>
      <c r="I54" s="329"/>
      <c r="J54" s="289"/>
      <c r="K54" s="290" t="str">
        <f aca="false">IF(G54="Buy",H54,"")</f>
        <v/>
      </c>
      <c r="L54" s="330" t="str">
        <f aca="false">IF(G54="Buy",J54,"")</f>
        <v/>
      </c>
      <c r="M54" s="290" t="str">
        <f aca="false">IF(G54="Sell",H54,"")</f>
        <v/>
      </c>
      <c r="N54" s="330" t="str">
        <f aca="false">IF(G54="Sell",J54,"")</f>
        <v/>
      </c>
      <c r="O54" s="331" t="str">
        <f aca="false">IF(G54="Sell",I54*N54,IF(G54="Buy",-I54*L54,""))</f>
        <v/>
      </c>
      <c r="P54" s="263"/>
      <c r="Q54" s="263"/>
      <c r="R54" s="263"/>
      <c r="S54" s="263"/>
      <c r="Y54" s="264"/>
      <c r="Z54" s="264"/>
    </row>
    <row r="55" customFormat="false" ht="17.25" hidden="false" customHeight="true" outlineLevel="0" collapsed="false">
      <c r="B55" s="135" t="n">
        <f aca="false">B54+1</f>
        <v>31</v>
      </c>
      <c r="C55" s="327"/>
      <c r="D55" s="287" t="str">
        <f aca="false">IF(C55="","",VLOOKUP(C55,'ETF List'!$C$1:$J$200,3,0))</f>
        <v/>
      </c>
      <c r="E55" s="287" t="str">
        <f aca="false">IF(C55="","",VLOOKUP(C55,'ETF List'!$C$1:$J$200,4,0))</f>
        <v/>
      </c>
      <c r="F55" s="287" t="str">
        <f aca="false">IF(C55="","",VLOOKUP(C55,'ETF List'!$C$1:$J$200,5,0))</f>
        <v/>
      </c>
      <c r="G55" s="163"/>
      <c r="H55" s="328"/>
      <c r="I55" s="329"/>
      <c r="J55" s="289"/>
      <c r="K55" s="290" t="str">
        <f aca="false">IF(G55="Buy",H55,"")</f>
        <v/>
      </c>
      <c r="L55" s="330" t="str">
        <f aca="false">IF(G55="Buy",J55,"")</f>
        <v/>
      </c>
      <c r="M55" s="290" t="str">
        <f aca="false">IF(G55="Sell",H55,"")</f>
        <v/>
      </c>
      <c r="N55" s="330" t="str">
        <f aca="false">IF(G55="Sell",J55,"")</f>
        <v/>
      </c>
      <c r="O55" s="331" t="str">
        <f aca="false">IF(G55="Sell",I55*N55,IF(G55="Buy",-I55*L55,""))</f>
        <v/>
      </c>
      <c r="P55" s="263"/>
      <c r="Q55" s="263"/>
      <c r="R55" s="263"/>
      <c r="S55" s="263"/>
      <c r="Y55" s="264"/>
      <c r="Z55" s="264"/>
    </row>
    <row r="56" customFormat="false" ht="17.25" hidden="false" customHeight="true" outlineLevel="0" collapsed="false">
      <c r="B56" s="135" t="n">
        <f aca="false">B55+1</f>
        <v>32</v>
      </c>
      <c r="C56" s="327"/>
      <c r="D56" s="287" t="str">
        <f aca="false">IF(C56="","",VLOOKUP(C56,'ETF List'!$C$1:$J$200,3,0))</f>
        <v/>
      </c>
      <c r="E56" s="287" t="str">
        <f aca="false">IF(C56="","",VLOOKUP(C56,'ETF List'!$C$1:$J$200,4,0))</f>
        <v/>
      </c>
      <c r="F56" s="287" t="str">
        <f aca="false">IF(C56="","",VLOOKUP(C56,'ETF List'!$C$1:$J$200,5,0))</f>
        <v/>
      </c>
      <c r="G56" s="163"/>
      <c r="H56" s="328"/>
      <c r="I56" s="329"/>
      <c r="J56" s="289"/>
      <c r="K56" s="290" t="str">
        <f aca="false">IF(G56="Buy",H56,"")</f>
        <v/>
      </c>
      <c r="L56" s="330" t="str">
        <f aca="false">IF(G56="Buy",J56,"")</f>
        <v/>
      </c>
      <c r="M56" s="290" t="str">
        <f aca="false">IF(G56="Sell",H56,"")</f>
        <v/>
      </c>
      <c r="N56" s="330" t="str">
        <f aca="false">IF(G56="Sell",J56,"")</f>
        <v/>
      </c>
      <c r="O56" s="331" t="str">
        <f aca="false">IF(G56="Sell",I56*N56,IF(G56="Buy",-I56*L56,""))</f>
        <v/>
      </c>
      <c r="P56" s="263"/>
      <c r="Q56" s="263"/>
      <c r="R56" s="263"/>
      <c r="S56" s="263"/>
      <c r="Y56" s="264"/>
      <c r="Z56" s="264"/>
    </row>
    <row r="57" customFormat="false" ht="17.25" hidden="false" customHeight="true" outlineLevel="0" collapsed="false">
      <c r="B57" s="135" t="n">
        <f aca="false">B56+1</f>
        <v>33</v>
      </c>
      <c r="C57" s="327"/>
      <c r="D57" s="287" t="str">
        <f aca="false">IF(C57="","",VLOOKUP(C57,'ETF List'!$C$1:$J$200,3,0))</f>
        <v/>
      </c>
      <c r="E57" s="287" t="str">
        <f aca="false">IF(C57="","",VLOOKUP(C57,'ETF List'!$C$1:$J$200,4,0))</f>
        <v/>
      </c>
      <c r="F57" s="287" t="str">
        <f aca="false">IF(C57="","",VLOOKUP(C57,'ETF List'!$C$1:$J$200,5,0))</f>
        <v/>
      </c>
      <c r="G57" s="163"/>
      <c r="H57" s="328"/>
      <c r="I57" s="329"/>
      <c r="J57" s="289"/>
      <c r="K57" s="290" t="str">
        <f aca="false">IF(G57="Buy",H57,"")</f>
        <v/>
      </c>
      <c r="L57" s="330" t="str">
        <f aca="false">IF(G57="Buy",J57,"")</f>
        <v/>
      </c>
      <c r="M57" s="290" t="str">
        <f aca="false">IF(G57="Sell",H57,"")</f>
        <v/>
      </c>
      <c r="N57" s="330" t="str">
        <f aca="false">IF(G57="Sell",J57,"")</f>
        <v/>
      </c>
      <c r="O57" s="331" t="str">
        <f aca="false">IF(G57="Sell",I57*N57,IF(G57="Buy",-I57*L57,""))</f>
        <v/>
      </c>
      <c r="P57" s="263"/>
      <c r="Q57" s="263"/>
      <c r="R57" s="263"/>
      <c r="S57" s="263"/>
      <c r="Y57" s="264"/>
      <c r="Z57" s="264"/>
    </row>
    <row r="58" customFormat="false" ht="17.25" hidden="false" customHeight="true" outlineLevel="0" collapsed="false">
      <c r="B58" s="135" t="n">
        <f aca="false">B57+1</f>
        <v>34</v>
      </c>
      <c r="C58" s="327"/>
      <c r="D58" s="287" t="str">
        <f aca="false">IF(C58="","",VLOOKUP(C58,'ETF List'!$C$1:$J$200,3,0))</f>
        <v/>
      </c>
      <c r="E58" s="287" t="str">
        <f aca="false">IF(C58="","",VLOOKUP(C58,'ETF List'!$C$1:$J$200,4,0))</f>
        <v/>
      </c>
      <c r="F58" s="287" t="str">
        <f aca="false">IF(C58="","",VLOOKUP(C58,'ETF List'!$C$1:$J$200,5,0))</f>
        <v/>
      </c>
      <c r="G58" s="163"/>
      <c r="H58" s="328"/>
      <c r="I58" s="329"/>
      <c r="J58" s="289"/>
      <c r="K58" s="290" t="str">
        <f aca="false">IF(G58="Buy",H58,"")</f>
        <v/>
      </c>
      <c r="L58" s="330" t="str">
        <f aca="false">IF(G58="Buy",J58,"")</f>
        <v/>
      </c>
      <c r="M58" s="290" t="str">
        <f aca="false">IF(G58="Sell",H58,"")</f>
        <v/>
      </c>
      <c r="N58" s="330" t="str">
        <f aca="false">IF(G58="Sell",J58,"")</f>
        <v/>
      </c>
      <c r="O58" s="331" t="str">
        <f aca="false">IF(G58="Sell",I58*N58,IF(G58="Buy",-I58*L58,""))</f>
        <v/>
      </c>
      <c r="P58" s="263"/>
      <c r="Q58" s="263"/>
      <c r="R58" s="263"/>
      <c r="S58" s="263"/>
      <c r="Y58" s="264"/>
      <c r="Z58" s="264"/>
    </row>
    <row r="59" customFormat="false" ht="17.25" hidden="false" customHeight="true" outlineLevel="0" collapsed="false">
      <c r="B59" s="135" t="n">
        <f aca="false">B58+1</f>
        <v>35</v>
      </c>
      <c r="C59" s="332"/>
      <c r="D59" s="294" t="str">
        <f aca="false">IF(C59="","",VLOOKUP(C59,'ETF List'!$C$1:$J$200,3,0))</f>
        <v/>
      </c>
      <c r="E59" s="294" t="str">
        <f aca="false">IF(C59="","",VLOOKUP(C59,'ETF List'!$C$1:$J$200,4,0))</f>
        <v/>
      </c>
      <c r="F59" s="294" t="str">
        <f aca="false">IF(C59="","",VLOOKUP(C59,'ETF List'!$C$1:$J$200,5,0))</f>
        <v/>
      </c>
      <c r="G59" s="168"/>
      <c r="H59" s="333"/>
      <c r="I59" s="334"/>
      <c r="J59" s="296"/>
      <c r="K59" s="297" t="str">
        <f aca="false">IF(G59="Buy",H59,"")</f>
        <v/>
      </c>
      <c r="L59" s="335" t="str">
        <f aca="false">IF(G59="Buy",J59,"")</f>
        <v/>
      </c>
      <c r="M59" s="297" t="str">
        <f aca="false">IF(G59="Sell",H59,"")</f>
        <v/>
      </c>
      <c r="N59" s="335" t="str">
        <f aca="false">IF(G59="Sell",J59,"")</f>
        <v/>
      </c>
      <c r="O59" s="336" t="str">
        <f aca="false">IF(G59="Sell",I59*N59,IF(G59="Buy",-I59*L59,""))</f>
        <v/>
      </c>
      <c r="P59" s="263"/>
      <c r="Q59" s="263"/>
      <c r="R59" s="263"/>
      <c r="S59" s="263"/>
      <c r="Y59" s="264"/>
      <c r="Z59" s="264"/>
    </row>
  </sheetData>
  <dataValidations count="1">
    <dataValidation allowBlank="true" operator="between" showDropDown="false" showErrorMessage="true" showInputMessage="true" sqref="G32:G59" type="list">
      <formula1>",Buy,Sell"</formula1>
      <formula2>0</formula2>
    </dataValidation>
  </dataValidations>
  <printOptions headings="false" gridLines="false" gridLinesSet="true" horizontalCentered="false" verticalCentered="false"/>
  <pageMargins left="0.25" right="0.25" top="0.75" bottom="0.75" header="0.511805555555555" footer="0.511805555555555"/>
  <pageSetup paperSize="1" scale="5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colBreaks count="1" manualBreakCount="1">
    <brk id="15" man="true" max="65535" min="0"/>
  </colBreaks>
  <drawing r:id="rId1"/>
</worksheet>
</file>

<file path=xl/worksheets/sheet6.xml><?xml version="1.0" encoding="utf-8"?>
<worksheet xmlns="http://schemas.openxmlformats.org/spreadsheetml/2006/main" xmlns:r="http://schemas.openxmlformats.org/officeDocument/2006/relationships">
  <sheetPr filterMode="false">
    <pageSetUpPr fitToPage="true"/>
  </sheetPr>
  <dimension ref="A1:T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1" activeCellId="0" sqref="F21"/>
    </sheetView>
  </sheetViews>
  <sheetFormatPr defaultRowHeight="15" zeroHeight="false" outlineLevelRow="0" outlineLevelCol="0"/>
  <cols>
    <col collapsed="false" customWidth="true" hidden="false" outlineLevel="0" max="2" min="1" style="0" width="8.54"/>
    <col collapsed="false" customWidth="true" hidden="false" outlineLevel="0" max="3" min="3" style="0" width="9"/>
    <col collapsed="false" customWidth="true" hidden="false" outlineLevel="0" max="4" min="4" style="0" width="26.71"/>
    <col collapsed="false" customWidth="true" hidden="false" outlineLevel="0" max="5" min="5" style="0" width="15.29"/>
    <col collapsed="false" customWidth="true" hidden="false" outlineLevel="0" max="10" min="6" style="0" width="15.88"/>
    <col collapsed="false" customWidth="true" hidden="false" outlineLevel="0" max="13" min="11" style="0" width="8.54"/>
    <col collapsed="false" customWidth="true" hidden="false" outlineLevel="0" max="14" min="14" style="0" width="9.71"/>
    <col collapsed="false" customWidth="true" hidden="false" outlineLevel="0" max="16" min="15" style="0" width="8.54"/>
    <col collapsed="false" customWidth="true" hidden="false" outlineLevel="0" max="17" min="17" style="0" width="9.71"/>
    <col collapsed="false" customWidth="true" hidden="false" outlineLevel="0" max="18" min="18" style="0" width="8.54"/>
    <col collapsed="false" customWidth="true" hidden="false" outlineLevel="0" max="19" min="19" style="0" width="14.15"/>
    <col collapsed="false" customWidth="true" hidden="false" outlineLevel="0" max="20" min="20" style="0" width="24.15"/>
    <col collapsed="false" customWidth="true" hidden="false" outlineLevel="0" max="1025" min="21" style="0" width="8.54"/>
  </cols>
  <sheetData>
    <row r="1" customFormat="false" ht="18.75" hidden="false" customHeight="false" outlineLevel="0" collapsed="false">
      <c r="A1" s="136" t="s">
        <v>409</v>
      </c>
    </row>
    <row r="3" s="194" customFormat="true" ht="15" hidden="false" customHeight="false" outlineLevel="0" collapsed="false">
      <c r="C3" s="202" t="s">
        <v>255</v>
      </c>
      <c r="D3" s="337"/>
      <c r="E3" s="337"/>
      <c r="F3" s="337"/>
      <c r="G3" s="337"/>
      <c r="H3" s="337"/>
      <c r="I3" s="337"/>
      <c r="J3" s="338"/>
    </row>
    <row r="4" customFormat="false" ht="15" hidden="false" customHeight="false" outlineLevel="0" collapsed="false">
      <c r="C4" s="339"/>
      <c r="D4" s="340"/>
      <c r="E4" s="341" t="n">
        <f aca="false">'Policy Portfolio'!F13-3</f>
        <v>43259</v>
      </c>
      <c r="F4" s="341" t="n">
        <f aca="false">E4+7</f>
        <v>43266</v>
      </c>
      <c r="G4" s="341" t="n">
        <f aca="false">F4+7</f>
        <v>43273</v>
      </c>
      <c r="H4" s="341" t="n">
        <f aca="false">G4+7</f>
        <v>43280</v>
      </c>
      <c r="I4" s="341" t="n">
        <f aca="false">H4+7</f>
        <v>43287</v>
      </c>
      <c r="J4" s="342" t="n">
        <f aca="false">I4+7</f>
        <v>43294</v>
      </c>
    </row>
    <row r="5" s="194" customFormat="true" ht="15" hidden="false" customHeight="false" outlineLevel="0" collapsed="false">
      <c r="C5" s="153" t="s">
        <v>1</v>
      </c>
      <c r="D5" s="154" t="s">
        <v>3</v>
      </c>
      <c r="E5" s="154" t="s">
        <v>410</v>
      </c>
      <c r="F5" s="154" t="s">
        <v>347</v>
      </c>
      <c r="G5" s="154" t="s">
        <v>348</v>
      </c>
      <c r="H5" s="154" t="s">
        <v>349</v>
      </c>
      <c r="I5" s="154" t="s">
        <v>350</v>
      </c>
      <c r="J5" s="155" t="s">
        <v>351</v>
      </c>
    </row>
    <row r="6" customFormat="false" ht="13.8" hidden="false" customHeight="false" outlineLevel="0" collapsed="false">
      <c r="C6" s="343" t="str">
        <f aca="false">IF('Policy Portfolio'!H21="","",'Policy Portfolio'!H21)</f>
        <v>BIV</v>
      </c>
      <c r="D6" s="344" t="str">
        <f aca="false">IF(C6="","",VLOOKUP(C6,'Policy Portfolio'!$AN$2:$AP$29,2,0))</f>
        <v>Vanguard Intermediate-Term Bond</v>
      </c>
      <c r="E6" s="345" t="n">
        <f aca="false">IF(C6="","",Trades!J9)</f>
        <v>80.68</v>
      </c>
      <c r="F6" s="346" t="n">
        <v>80.61</v>
      </c>
      <c r="G6" s="346" t="n">
        <v>80.66</v>
      </c>
      <c r="H6" s="346"/>
      <c r="I6" s="346"/>
      <c r="J6" s="347"/>
    </row>
    <row r="7" customFormat="false" ht="13.8" hidden="false" customHeight="false" outlineLevel="0" collapsed="false">
      <c r="C7" s="348" t="str">
        <f aca="false">IF('Policy Portfolio'!H22="","",'Policy Portfolio'!H22)</f>
        <v>IEF</v>
      </c>
      <c r="D7" s="349" t="str">
        <f aca="false">IF(C7="","",VLOOKUP(C7,'Policy Portfolio'!$AN$2:$AP$29,2,0))</f>
        <v>iShares 7-10 Yr Treasury B</v>
      </c>
      <c r="E7" s="350" t="n">
        <f aca="false">IF(C7="","",Trades!J10)</f>
        <v>101.71</v>
      </c>
      <c r="F7" s="351" t="n">
        <v>101.83</v>
      </c>
      <c r="G7" s="351" t="n">
        <v>102.11</v>
      </c>
      <c r="H7" s="351"/>
      <c r="I7" s="351"/>
      <c r="J7" s="352"/>
    </row>
    <row r="8" customFormat="false" ht="13.8" hidden="false" customHeight="false" outlineLevel="0" collapsed="false">
      <c r="C8" s="348" t="str">
        <f aca="false">IF('Policy Portfolio'!H23="","",'Policy Portfolio'!H23)</f>
        <v>HYG</v>
      </c>
      <c r="D8" s="349" t="str">
        <f aca="false">IF(C8="","",VLOOKUP(C8,'Policy Portfolio'!$AN$2:$AP$29,2,0))</f>
        <v>iShares High Yield Bonds</v>
      </c>
      <c r="E8" s="350" t="n">
        <f aca="false">IF(C8="","",Trades!J11)</f>
        <v>85.66</v>
      </c>
      <c r="F8" s="351" t="n">
        <v>86.12</v>
      </c>
      <c r="G8" s="351" t="n">
        <v>85.91</v>
      </c>
      <c r="H8" s="351"/>
      <c r="I8" s="351"/>
      <c r="J8" s="352"/>
    </row>
    <row r="9" customFormat="false" ht="13.8" hidden="false" customHeight="false" outlineLevel="0" collapsed="false">
      <c r="C9" s="348" t="str">
        <f aca="false">IF('Policy Portfolio'!H24="","",'Policy Portfolio'!H24)</f>
        <v>IYR</v>
      </c>
      <c r="D9" s="349" t="str">
        <f aca="false">IF(C9="","",VLOOKUP(C9,'Policy Portfolio'!$AN$2:$AP$29,2,0))</f>
        <v>iShares US Real Estate</v>
      </c>
      <c r="E9" s="350" t="n">
        <f aca="false">IF(C9="","",Trades!J12)</f>
        <v>79.42</v>
      </c>
      <c r="F9" s="351" t="n">
        <v>78.96</v>
      </c>
      <c r="G9" s="351" t="n">
        <v>80.7</v>
      </c>
      <c r="H9" s="351"/>
      <c r="I9" s="351"/>
      <c r="J9" s="352"/>
    </row>
    <row r="10" customFormat="false" ht="13.8" hidden="false" customHeight="false" outlineLevel="0" collapsed="false">
      <c r="C10" s="348" t="str">
        <f aca="false">IF('Policy Portfolio'!H25="","",'Policy Portfolio'!H25)</f>
        <v>VTI</v>
      </c>
      <c r="D10" s="349" t="str">
        <f aca="false">IF(C10="","",VLOOKUP(C10,'Policy Portfolio'!$AN$2:$AP$29,2,0))</f>
        <v>Vanguard Total Stock Mrkt</v>
      </c>
      <c r="E10" s="350" t="n">
        <f aca="false">IF(C10="","",Trades!J13)</f>
        <v>143.91</v>
      </c>
      <c r="F10" s="351" t="n">
        <v>144.16</v>
      </c>
      <c r="G10" s="351" t="n">
        <v>142.45</v>
      </c>
      <c r="H10" s="351"/>
      <c r="I10" s="351"/>
      <c r="J10" s="352"/>
    </row>
    <row r="11" customFormat="false" ht="13.8" hidden="false" customHeight="false" outlineLevel="0" collapsed="false">
      <c r="C11" s="348" t="str">
        <f aca="false">IF('Policy Portfolio'!H26="","",'Policy Portfolio'!H26)</f>
        <v>EFA</v>
      </c>
      <c r="D11" s="349" t="str">
        <f aca="false">IF(C11="","",VLOOKUP(C11,'Policy Portfolio'!$AN$2:$AP$29,2,0))</f>
        <v>iShares EAFE</v>
      </c>
      <c r="E11" s="350" t="n">
        <f aca="false">IF(C11="","",Trades!J14)</f>
        <v>70.41</v>
      </c>
      <c r="F11" s="351" t="n">
        <v>70</v>
      </c>
      <c r="G11" s="351" t="n">
        <v>67.8</v>
      </c>
      <c r="H11" s="351"/>
      <c r="I11" s="351"/>
      <c r="J11" s="352"/>
    </row>
    <row r="12" customFormat="false" ht="13.8" hidden="false" customHeight="false" outlineLevel="0" collapsed="false">
      <c r="C12" s="348" t="str">
        <f aca="false">IF('Policy Portfolio'!H27="","",'Policy Portfolio'!H27)</f>
        <v>EEM</v>
      </c>
      <c r="D12" s="349" t="str">
        <f aca="false">IF(C12="","",VLOOKUP(C12,'Policy Portfolio'!$AN$2:$AP$29,2,0))</f>
        <v>iShares Emerging Mrkt</v>
      </c>
      <c r="E12" s="350" t="n">
        <f aca="false">IF(C12="","",Trades!J15)</f>
        <v>46.33</v>
      </c>
      <c r="F12" s="351" t="n">
        <v>45.25</v>
      </c>
      <c r="G12" s="351" t="n">
        <v>43.91</v>
      </c>
      <c r="H12" s="351"/>
      <c r="I12" s="351"/>
      <c r="J12" s="352"/>
    </row>
    <row r="13" customFormat="false" ht="15" hidden="false" customHeight="false" outlineLevel="0" collapsed="false">
      <c r="C13" s="348" t="str">
        <f aca="false">IF('Policy Portfolio'!H28="","",'Policy Portfolio'!H28)</f>
        <v/>
      </c>
      <c r="D13" s="349" t="str">
        <f aca="false">IF(C13="","",VLOOKUP(C13,'Policy Portfolio'!$AN$2:$AP$29,2,0))</f>
        <v/>
      </c>
      <c r="E13" s="350" t="str">
        <f aca="false">IF(C13="","",Trades!J16)</f>
        <v/>
      </c>
      <c r="F13" s="351"/>
      <c r="G13" s="351"/>
      <c r="H13" s="351"/>
      <c r="I13" s="351"/>
      <c r="J13" s="352"/>
    </row>
    <row r="14" customFormat="false" ht="15" hidden="false" customHeight="false" outlineLevel="0" collapsed="false">
      <c r="C14" s="353" t="str">
        <f aca="false">IF('Policy Portfolio'!H29="","",'Policy Portfolio'!H29)</f>
        <v/>
      </c>
      <c r="D14" s="354" t="str">
        <f aca="false">IF(C14="","",VLOOKUP(C14,'Policy Portfolio'!$AN$2:$AP$29,2,0))</f>
        <v/>
      </c>
      <c r="E14" s="355" t="str">
        <f aca="false">IF(C14="","",Trades!J17)</f>
        <v/>
      </c>
      <c r="F14" s="356"/>
      <c r="G14" s="356"/>
      <c r="H14" s="356"/>
      <c r="I14" s="356"/>
      <c r="J14" s="357"/>
    </row>
    <row r="17" s="194" customFormat="true" ht="15" hidden="false" customHeight="false" outlineLevel="0" collapsed="false">
      <c r="C17" s="358" t="s">
        <v>387</v>
      </c>
      <c r="D17" s="359"/>
      <c r="E17" s="359"/>
      <c r="F17" s="359"/>
      <c r="G17" s="359"/>
      <c r="H17" s="359"/>
      <c r="I17" s="359"/>
      <c r="J17" s="360"/>
    </row>
    <row r="18" customFormat="false" ht="15" hidden="false" customHeight="false" outlineLevel="0" collapsed="false">
      <c r="C18" s="339"/>
      <c r="D18" s="340"/>
      <c r="E18" s="341" t="n">
        <f aca="false">E4</f>
        <v>43259</v>
      </c>
      <c r="F18" s="341" t="n">
        <f aca="false">F4</f>
        <v>43266</v>
      </c>
      <c r="G18" s="341" t="n">
        <f aca="false">G4</f>
        <v>43273</v>
      </c>
      <c r="H18" s="341" t="n">
        <f aca="false">H4</f>
        <v>43280</v>
      </c>
      <c r="I18" s="341" t="n">
        <f aca="false">I4</f>
        <v>43287</v>
      </c>
      <c r="J18" s="342" t="n">
        <f aca="false">J4</f>
        <v>43294</v>
      </c>
    </row>
    <row r="19" s="194" customFormat="true" ht="15" hidden="false" customHeight="false" outlineLevel="0" collapsed="false">
      <c r="C19" s="179" t="s">
        <v>1</v>
      </c>
      <c r="D19" s="180" t="s">
        <v>3</v>
      </c>
      <c r="E19" s="180" t="str">
        <f aca="false">E5</f>
        <v>Begin</v>
      </c>
      <c r="F19" s="180" t="str">
        <f aca="false">F5</f>
        <v>Week 1</v>
      </c>
      <c r="G19" s="180" t="str">
        <f aca="false">G5</f>
        <v>Week 2</v>
      </c>
      <c r="H19" s="180" t="str">
        <f aca="false">H5</f>
        <v>Week 3</v>
      </c>
      <c r="I19" s="180" t="str">
        <f aca="false">I5</f>
        <v>Week 4</v>
      </c>
      <c r="J19" s="181" t="str">
        <f aca="false">J5</f>
        <v>Week 5</v>
      </c>
      <c r="P19" s="191" t="s">
        <v>411</v>
      </c>
      <c r="Q19" s="191" t="s">
        <v>412</v>
      </c>
      <c r="R19" s="191" t="s">
        <v>413</v>
      </c>
      <c r="S19" s="191" t="s">
        <v>1</v>
      </c>
      <c r="T19" s="191" t="s">
        <v>3</v>
      </c>
    </row>
    <row r="20" customFormat="false" ht="13.8" hidden="false" customHeight="false" outlineLevel="0" collapsed="false">
      <c r="B20" s="150" t="n">
        <v>1</v>
      </c>
      <c r="C20" s="361" t="s">
        <v>202</v>
      </c>
      <c r="D20" s="362" t="s">
        <v>203</v>
      </c>
      <c r="E20" s="363" t="n">
        <v>101.71</v>
      </c>
      <c r="F20" s="346" t="n">
        <v>101.83</v>
      </c>
      <c r="G20" s="346" t="n">
        <v>102.11</v>
      </c>
      <c r="H20" s="346"/>
      <c r="I20" s="364"/>
      <c r="J20" s="347"/>
      <c r="P20" s="150" t="str">
        <f aca="false">Trades!G32</f>
        <v>Buy</v>
      </c>
      <c r="Q20" s="150" t="str">
        <f aca="false">IF(ISERROR(VLOOKUP(Trades!C32,'Price Inputs'!$C$6:$C$15,1,0)),"New","Bought")</f>
        <v>Bought</v>
      </c>
      <c r="R20" s="365" t="str">
        <f aca="false">IF(AND(P20="Buy",Q20="New"),COUNTIFS($P$20:P20,"Buy",$Q$20:Q20,"New"),"")</f>
        <v/>
      </c>
      <c r="S20" s="150" t="str">
        <f aca="false">Trades!C32</f>
        <v>IEF</v>
      </c>
      <c r="T20" s="150" t="str">
        <f aca="false">Trades!D32</f>
        <v>iShares 7-10 Yr Treasury</v>
      </c>
    </row>
    <row r="21" customFormat="false" ht="13.8" hidden="false" customHeight="false" outlineLevel="0" collapsed="false">
      <c r="B21" s="150" t="n">
        <v>2</v>
      </c>
      <c r="C21" s="366" t="s">
        <v>125</v>
      </c>
      <c r="D21" s="367" t="s">
        <v>414</v>
      </c>
      <c r="E21" s="368" t="n">
        <v>70.41</v>
      </c>
      <c r="F21" s="369" t="n">
        <v>70</v>
      </c>
      <c r="G21" s="351" t="n">
        <v>67.8</v>
      </c>
      <c r="H21" s="351"/>
      <c r="I21" s="370"/>
      <c r="J21" s="352"/>
      <c r="P21" s="150" t="str">
        <f aca="false">Trades!G33</f>
        <v>Sell</v>
      </c>
      <c r="Q21" s="150" t="str">
        <f aca="false">IF(ISERROR(VLOOKUP(Trades!C33,'Price Inputs'!$C$6:$C$15,1,0)),"New","Bought")</f>
        <v>Bought</v>
      </c>
      <c r="R21" s="365" t="str">
        <f aca="false">IF(AND(P21="Buy",Q21="New"),COUNTIFS($P$20:P21,"Buy",$Q$20:Q21,"New"),"")</f>
        <v/>
      </c>
      <c r="S21" s="150" t="str">
        <f aca="false">Trades!C33</f>
        <v>EFA</v>
      </c>
      <c r="T21" s="150" t="str">
        <f aca="false">Trades!D33</f>
        <v>iShares EAFE</v>
      </c>
    </row>
    <row r="22" customFormat="false" ht="15" hidden="false" customHeight="false" outlineLevel="0" collapsed="false">
      <c r="B22" s="150" t="n">
        <v>3</v>
      </c>
      <c r="C22" s="366" t="str">
        <f aca="false">IF(ISERROR(VLOOKUP(B22,$R$20:$S$49,2,0)),"",(VLOOKUP(B22,$R$20:$S$49,2,0)))</f>
        <v/>
      </c>
      <c r="D22" s="367" t="str">
        <f aca="false">IF(ISERROR(VLOOKUP(B22,$R$20:$T$49,3,0)),"",(VLOOKUP(B22,$R$20:$T$49,3,0)))</f>
        <v/>
      </c>
      <c r="E22" s="368"/>
      <c r="F22" s="369"/>
      <c r="G22" s="351"/>
      <c r="H22" s="351"/>
      <c r="I22" s="370"/>
      <c r="J22" s="352"/>
      <c r="P22" s="150" t="n">
        <f aca="false">Trades!G34</f>
        <v>0</v>
      </c>
      <c r="Q22" s="150" t="str">
        <f aca="false">IF(ISERROR(VLOOKUP(Trades!C34,'Price Inputs'!$C$6:$C$15,1,0)),"New","Bought")</f>
        <v>Bought</v>
      </c>
      <c r="R22" s="365" t="str">
        <f aca="false">IF(AND(P22="Buy",Q22="New"),COUNTIFS($P$20:P22,"Buy",$Q$20:Q22,"New"),"")</f>
        <v/>
      </c>
      <c r="S22" s="150" t="n">
        <f aca="false">Trades!C34</f>
        <v>0</v>
      </c>
      <c r="T22" s="150" t="n">
        <f aca="false">Trades!D34</f>
        <v>0</v>
      </c>
    </row>
    <row r="23" customFormat="false" ht="15" hidden="false" customHeight="false" outlineLevel="0" collapsed="false">
      <c r="B23" s="150" t="n">
        <v>4</v>
      </c>
      <c r="C23" s="366" t="str">
        <f aca="false">IF(ISERROR(VLOOKUP(B23,$R$20:$S$49,2,0)),"",(VLOOKUP(B23,$R$20:$S$49,2,0)))</f>
        <v/>
      </c>
      <c r="D23" s="367" t="str">
        <f aca="false">IF(ISERROR(VLOOKUP(B23,$R$20:$T$49,3,0)),"",(VLOOKUP(B23,$R$20:$T$49,3,0)))</f>
        <v/>
      </c>
      <c r="E23" s="368"/>
      <c r="F23" s="369"/>
      <c r="G23" s="351"/>
      <c r="H23" s="351"/>
      <c r="I23" s="370"/>
      <c r="J23" s="352"/>
      <c r="P23" s="150" t="n">
        <f aca="false">Trades!G35</f>
        <v>0</v>
      </c>
      <c r="Q23" s="150" t="str">
        <f aca="false">IF(ISERROR(VLOOKUP(Trades!C35,'Price Inputs'!$C$6:$C$15,1,0)),"New","Bought")</f>
        <v>Bought</v>
      </c>
      <c r="R23" s="365" t="str">
        <f aca="false">IF(AND(P23="Buy",Q23="New"),COUNTIFS($P$20:P23,"Buy",$Q$20:Q23,"New"),"")</f>
        <v/>
      </c>
      <c r="S23" s="150" t="n">
        <f aca="false">Trades!C35</f>
        <v>0</v>
      </c>
      <c r="T23" s="150" t="str">
        <f aca="false">Trades!D35</f>
        <v/>
      </c>
    </row>
    <row r="24" customFormat="false" ht="15" hidden="false" customHeight="false" outlineLevel="0" collapsed="false">
      <c r="B24" s="150" t="n">
        <v>5</v>
      </c>
      <c r="C24" s="366" t="str">
        <f aca="false">IF(ISERROR(VLOOKUP(B24,$R$20:$S$49,2,0)),"",(VLOOKUP(B24,$R$20:$S$49,2,0)))</f>
        <v/>
      </c>
      <c r="D24" s="367" t="str">
        <f aca="false">IF(ISERROR(VLOOKUP(B24,$R$20:$T$49,3,0)),"",(VLOOKUP(B24,$R$20:$T$49,3,0)))</f>
        <v/>
      </c>
      <c r="E24" s="368"/>
      <c r="F24" s="369"/>
      <c r="G24" s="351"/>
      <c r="H24" s="351"/>
      <c r="I24" s="370"/>
      <c r="J24" s="352"/>
      <c r="P24" s="150" t="n">
        <f aca="false">Trades!G36</f>
        <v>0</v>
      </c>
      <c r="Q24" s="150" t="str">
        <f aca="false">IF(ISERROR(VLOOKUP(Trades!C36,'Price Inputs'!$C$6:$C$15,1,0)),"New","Bought")</f>
        <v>Bought</v>
      </c>
      <c r="R24" s="365" t="str">
        <f aca="false">IF(AND(P24="Buy",Q24="New"),COUNTIFS($P$20:P24,"Buy",$Q$20:Q24,"New"),"")</f>
        <v/>
      </c>
      <c r="S24" s="150" t="n">
        <f aca="false">Trades!C36</f>
        <v>0</v>
      </c>
      <c r="T24" s="150" t="str">
        <f aca="false">Trades!D36</f>
        <v/>
      </c>
    </row>
    <row r="25" customFormat="false" ht="15" hidden="false" customHeight="false" outlineLevel="0" collapsed="false">
      <c r="B25" s="150" t="n">
        <v>6</v>
      </c>
      <c r="C25" s="366" t="str">
        <f aca="false">IF(ISERROR(VLOOKUP(B25,$R$20:$S$49,2,0)),"",(VLOOKUP(B25,$R$20:$S$49,2,0)))</f>
        <v/>
      </c>
      <c r="D25" s="367" t="str">
        <f aca="false">IF(ISERROR(VLOOKUP(B25,$R$20:$T$49,3,0)),"",(VLOOKUP(B25,$R$20:$T$49,3,0)))</f>
        <v/>
      </c>
      <c r="E25" s="368"/>
      <c r="F25" s="369"/>
      <c r="G25" s="351"/>
      <c r="H25" s="351"/>
      <c r="I25" s="370"/>
      <c r="J25" s="352"/>
      <c r="P25" s="150" t="n">
        <f aca="false">Trades!G37</f>
        <v>0</v>
      </c>
      <c r="Q25" s="150" t="str">
        <f aca="false">IF(ISERROR(VLOOKUP(Trades!C37,'Price Inputs'!$C$6:$C$15,1,0)),"New","Bought")</f>
        <v>Bought</v>
      </c>
      <c r="R25" s="365" t="str">
        <f aca="false">IF(AND(P25="Buy",Q25="New"),COUNTIFS($P$20:P25,"Buy",$Q$20:Q25,"New"),"")</f>
        <v/>
      </c>
      <c r="S25" s="150" t="n">
        <f aca="false">Trades!C37</f>
        <v>0</v>
      </c>
      <c r="T25" s="150" t="str">
        <f aca="false">Trades!D37</f>
        <v/>
      </c>
    </row>
    <row r="26" customFormat="false" ht="15" hidden="false" customHeight="false" outlineLevel="0" collapsed="false">
      <c r="B26" s="150" t="n">
        <v>7</v>
      </c>
      <c r="C26" s="366" t="str">
        <f aca="false">IF(ISERROR(VLOOKUP(B26,$R$20:$S$49,2,0)),"",(VLOOKUP(B26,$R$20:$S$49,2,0)))</f>
        <v/>
      </c>
      <c r="D26" s="367" t="str">
        <f aca="false">IF(ISERROR(VLOOKUP(B26,$R$20:$T$49,3,0)),"",(VLOOKUP(B26,$R$20:$T$49,3,0)))</f>
        <v/>
      </c>
      <c r="E26" s="368"/>
      <c r="F26" s="369"/>
      <c r="G26" s="351"/>
      <c r="H26" s="351"/>
      <c r="I26" s="370"/>
      <c r="J26" s="352"/>
      <c r="P26" s="150" t="n">
        <f aca="false">Trades!G38</f>
        <v>0</v>
      </c>
      <c r="Q26" s="150" t="str">
        <f aca="false">IF(ISERROR(VLOOKUP(Trades!C38,'Price Inputs'!$C$6:$C$15,1,0)),"New","Bought")</f>
        <v>Bought</v>
      </c>
      <c r="R26" s="365" t="str">
        <f aca="false">IF(AND(P26="Buy",Q26="New"),COUNTIFS($P$20:P26,"Buy",$Q$20:Q26,"New"),"")</f>
        <v/>
      </c>
      <c r="S26" s="150" t="n">
        <f aca="false">Trades!C38</f>
        <v>0</v>
      </c>
      <c r="T26" s="150" t="str">
        <f aca="false">Trades!D38</f>
        <v/>
      </c>
    </row>
    <row r="27" customFormat="false" ht="15" hidden="false" customHeight="false" outlineLevel="0" collapsed="false">
      <c r="B27" s="150" t="n">
        <v>8</v>
      </c>
      <c r="C27" s="366" t="str">
        <f aca="false">IF(ISERROR(VLOOKUP(B27,$R$20:$S$49,2,0)),"",(VLOOKUP(B27,$R$20:$S$49,2,0)))</f>
        <v/>
      </c>
      <c r="D27" s="367" t="str">
        <f aca="false">IF(ISERROR(VLOOKUP(B27,$R$20:$T$49,3,0)),"",(VLOOKUP(B27,$R$20:$T$49,3,0)))</f>
        <v/>
      </c>
      <c r="E27" s="368"/>
      <c r="F27" s="369"/>
      <c r="G27" s="351"/>
      <c r="H27" s="351"/>
      <c r="I27" s="370"/>
      <c r="J27" s="352"/>
      <c r="P27" s="150" t="n">
        <f aca="false">Trades!G39</f>
        <v>0</v>
      </c>
      <c r="Q27" s="150" t="str">
        <f aca="false">IF(ISERROR(VLOOKUP(Trades!C39,'Price Inputs'!$C$6:$C$15,1,0)),"New","Bought")</f>
        <v>Bought</v>
      </c>
      <c r="R27" s="365" t="str">
        <f aca="false">IF(AND(P27="Buy",Q27="New"),COUNTIFS($P$20:P27,"Buy",$Q$20:Q27,"New"),"")</f>
        <v/>
      </c>
      <c r="S27" s="150" t="n">
        <f aca="false">Trades!C39</f>
        <v>0</v>
      </c>
      <c r="T27" s="150" t="str">
        <f aca="false">Trades!D39</f>
        <v/>
      </c>
    </row>
    <row r="28" customFormat="false" ht="15" hidden="false" customHeight="false" outlineLevel="0" collapsed="false">
      <c r="B28" s="150" t="n">
        <v>9</v>
      </c>
      <c r="C28" s="366" t="str">
        <f aca="false">IF(ISERROR(VLOOKUP(B28,$R$20:$S$49,2,0)),"",(VLOOKUP(B28,$R$20:$S$49,2,0)))</f>
        <v/>
      </c>
      <c r="D28" s="367" t="str">
        <f aca="false">IF(ISERROR(VLOOKUP(B28,$R$20:$T$49,3,0)),"",(VLOOKUP(B28,$R$20:$T$49,3,0)))</f>
        <v/>
      </c>
      <c r="E28" s="368"/>
      <c r="F28" s="369"/>
      <c r="G28" s="351"/>
      <c r="H28" s="351"/>
      <c r="I28" s="370"/>
      <c r="J28" s="352"/>
      <c r="P28" s="150" t="n">
        <f aca="false">Trades!G40</f>
        <v>0</v>
      </c>
      <c r="Q28" s="150" t="str">
        <f aca="false">IF(ISERROR(VLOOKUP(Trades!C40,'Price Inputs'!$C$6:$C$15,1,0)),"New","Bought")</f>
        <v>Bought</v>
      </c>
      <c r="R28" s="365" t="str">
        <f aca="false">IF(AND(P28="Buy",Q28="New"),COUNTIFS($P$20:P28,"Buy",$Q$20:Q28,"New"),"")</f>
        <v/>
      </c>
      <c r="S28" s="150" t="n">
        <f aca="false">Trades!C40</f>
        <v>0</v>
      </c>
      <c r="T28" s="150" t="str">
        <f aca="false">Trades!D40</f>
        <v/>
      </c>
    </row>
    <row r="29" customFormat="false" ht="15" hidden="false" customHeight="false" outlineLevel="0" collapsed="false">
      <c r="B29" s="150" t="n">
        <v>10</v>
      </c>
      <c r="C29" s="366" t="str">
        <f aca="false">IF(ISERROR(VLOOKUP(B29,$R$20:$S$49,2,0)),"",(VLOOKUP(B29,$R$20:$S$49,2,0)))</f>
        <v/>
      </c>
      <c r="D29" s="367" t="str">
        <f aca="false">IF(ISERROR(VLOOKUP(B29,$R$20:$T$49,3,0)),"",(VLOOKUP(B29,$R$20:$T$49,3,0)))</f>
        <v/>
      </c>
      <c r="E29" s="368"/>
      <c r="F29" s="369"/>
      <c r="G29" s="351"/>
      <c r="H29" s="351"/>
      <c r="I29" s="370"/>
      <c r="J29" s="352"/>
      <c r="P29" s="150" t="n">
        <f aca="false">Trades!G41</f>
        <v>0</v>
      </c>
      <c r="Q29" s="150" t="str">
        <f aca="false">IF(ISERROR(VLOOKUP(Trades!C41,'Price Inputs'!$C$6:$C$15,1,0)),"New","Bought")</f>
        <v>Bought</v>
      </c>
      <c r="R29" s="365" t="str">
        <f aca="false">IF(AND(P29="Buy",Q29="New"),COUNTIFS($P$20:P29,"Buy",$Q$20:Q29,"New"),"")</f>
        <v/>
      </c>
      <c r="S29" s="150" t="n">
        <f aca="false">Trades!C41</f>
        <v>0</v>
      </c>
      <c r="T29" s="150" t="str">
        <f aca="false">Trades!D41</f>
        <v/>
      </c>
    </row>
    <row r="30" customFormat="false" ht="15" hidden="false" customHeight="false" outlineLevel="0" collapsed="false">
      <c r="B30" s="150" t="n">
        <v>11</v>
      </c>
      <c r="C30" s="366" t="str">
        <f aca="false">IF(ISERROR(VLOOKUP(B30,$R$20:$S$49,2,0)),"",(VLOOKUP(B30,$R$20:$S$49,2,0)))</f>
        <v/>
      </c>
      <c r="D30" s="367" t="str">
        <f aca="false">IF(ISERROR(VLOOKUP(B30,$R$20:$T$49,3,0)),"",(VLOOKUP(B30,$R$20:$T$49,3,0)))</f>
        <v/>
      </c>
      <c r="E30" s="368"/>
      <c r="F30" s="369"/>
      <c r="G30" s="351"/>
      <c r="H30" s="351"/>
      <c r="I30" s="370"/>
      <c r="J30" s="352"/>
      <c r="P30" s="150" t="n">
        <f aca="false">Trades!G42</f>
        <v>0</v>
      </c>
      <c r="Q30" s="150" t="str">
        <f aca="false">IF(ISERROR(VLOOKUP(Trades!C42,'Price Inputs'!$C$6:$C$15,1,0)),"New","Bought")</f>
        <v>Bought</v>
      </c>
      <c r="R30" s="365" t="str">
        <f aca="false">IF(AND(P30="Buy",Q30="New"),COUNTIFS($P$20:P30,"Buy",$Q$20:Q30,"New"),"")</f>
        <v/>
      </c>
      <c r="S30" s="150" t="n">
        <f aca="false">Trades!C42</f>
        <v>0</v>
      </c>
      <c r="T30" s="150" t="str">
        <f aca="false">Trades!D42</f>
        <v/>
      </c>
    </row>
    <row r="31" customFormat="false" ht="15" hidden="false" customHeight="false" outlineLevel="0" collapsed="false">
      <c r="B31" s="150" t="n">
        <v>12</v>
      </c>
      <c r="C31" s="366" t="str">
        <f aca="false">IF(ISERROR(VLOOKUP(B31,$R$20:$S$49,2,0)),"",(VLOOKUP(B31,$R$20:$S$49,2,0)))</f>
        <v/>
      </c>
      <c r="D31" s="367" t="str">
        <f aca="false">IF(ISERROR(VLOOKUP(B31,$R$20:$T$49,3,0)),"",(VLOOKUP(B31,$R$20:$T$49,3,0)))</f>
        <v/>
      </c>
      <c r="E31" s="368"/>
      <c r="F31" s="369"/>
      <c r="G31" s="351"/>
      <c r="H31" s="351"/>
      <c r="I31" s="370"/>
      <c r="J31" s="352"/>
      <c r="P31" s="150" t="n">
        <f aca="false">Trades!G43</f>
        <v>0</v>
      </c>
      <c r="Q31" s="150" t="str">
        <f aca="false">IF(ISERROR(VLOOKUP(Trades!C43,'Price Inputs'!$C$6:$C$15,1,0)),"New","Bought")</f>
        <v>Bought</v>
      </c>
      <c r="R31" s="365" t="str">
        <f aca="false">IF(AND(P31="Buy",Q31="New"),COUNTIFS($P$20:P31,"Buy",$Q$20:Q31,"New"),"")</f>
        <v/>
      </c>
      <c r="S31" s="150" t="n">
        <f aca="false">Trades!C43</f>
        <v>0</v>
      </c>
      <c r="T31" s="150" t="str">
        <f aca="false">Trades!D43</f>
        <v/>
      </c>
    </row>
    <row r="32" customFormat="false" ht="15" hidden="false" customHeight="false" outlineLevel="0" collapsed="false">
      <c r="B32" s="150" t="n">
        <v>13</v>
      </c>
      <c r="C32" s="366" t="str">
        <f aca="false">IF(ISERROR(VLOOKUP(B32,$R$20:$S$49,2,0)),"",(VLOOKUP(B32,$R$20:$S$49,2,0)))</f>
        <v/>
      </c>
      <c r="D32" s="367" t="str">
        <f aca="false">IF(ISERROR(VLOOKUP(B32,$R$20:$T$49,3,0)),"",(VLOOKUP(B32,$R$20:$T$49,3,0)))</f>
        <v/>
      </c>
      <c r="E32" s="368"/>
      <c r="F32" s="369"/>
      <c r="G32" s="351"/>
      <c r="H32" s="351"/>
      <c r="I32" s="370"/>
      <c r="J32" s="352"/>
      <c r="P32" s="150" t="n">
        <f aca="false">Trades!G44</f>
        <v>0</v>
      </c>
      <c r="Q32" s="150" t="str">
        <f aca="false">IF(ISERROR(VLOOKUP(Trades!C44,'Price Inputs'!$C$6:$C$15,1,0)),"New","Bought")</f>
        <v>Bought</v>
      </c>
      <c r="R32" s="365" t="str">
        <f aca="false">IF(AND(P32="Buy",Q32="New"),COUNTIFS($P$20:P32,"Buy",$Q$20:Q32,"New"),"")</f>
        <v/>
      </c>
      <c r="S32" s="150" t="n">
        <f aca="false">Trades!C44</f>
        <v>0</v>
      </c>
      <c r="T32" s="150" t="str">
        <f aca="false">Trades!D44</f>
        <v/>
      </c>
    </row>
    <row r="33" customFormat="false" ht="15" hidden="false" customHeight="false" outlineLevel="0" collapsed="false">
      <c r="B33" s="150" t="n">
        <v>14</v>
      </c>
      <c r="C33" s="366" t="str">
        <f aca="false">IF(ISERROR(VLOOKUP(B33,$R$20:$S$49,2,0)),"",(VLOOKUP(B33,$R$20:$S$49,2,0)))</f>
        <v/>
      </c>
      <c r="D33" s="367" t="str">
        <f aca="false">IF(ISERROR(VLOOKUP(B33,$R$20:$T$49,3,0)),"",(VLOOKUP(B33,$R$20:$T$49,3,0)))</f>
        <v/>
      </c>
      <c r="E33" s="368"/>
      <c r="F33" s="369"/>
      <c r="G33" s="351"/>
      <c r="H33" s="351"/>
      <c r="I33" s="370"/>
      <c r="J33" s="352"/>
      <c r="P33" s="150" t="n">
        <f aca="false">Trades!G45</f>
        <v>0</v>
      </c>
      <c r="Q33" s="150" t="str">
        <f aca="false">IF(ISERROR(VLOOKUP(Trades!C45,'Price Inputs'!$C$6:$C$15,1,0)),"New","Bought")</f>
        <v>Bought</v>
      </c>
      <c r="R33" s="365" t="str">
        <f aca="false">IF(AND(P33="Buy",Q33="New"),COUNTIFS($P$20:P33,"Buy",$Q$20:Q33,"New"),"")</f>
        <v/>
      </c>
      <c r="S33" s="150" t="n">
        <f aca="false">Trades!C45</f>
        <v>0</v>
      </c>
      <c r="T33" s="150" t="str">
        <f aca="false">Trades!D45</f>
        <v/>
      </c>
    </row>
    <row r="34" customFormat="false" ht="15" hidden="false" customHeight="false" outlineLevel="0" collapsed="false">
      <c r="B34" s="150" t="n">
        <v>15</v>
      </c>
      <c r="C34" s="366" t="str">
        <f aca="false">IF(ISERROR(VLOOKUP(B34,$R$20:$S$49,2,0)),"",(VLOOKUP(B34,$R$20:$S$49,2,0)))</f>
        <v/>
      </c>
      <c r="D34" s="367" t="str">
        <f aca="false">IF(ISERROR(VLOOKUP(B34,$R$20:$T$49,3,0)),"",(VLOOKUP(B34,$R$20:$T$49,3,0)))</f>
        <v/>
      </c>
      <c r="E34" s="368"/>
      <c r="F34" s="369"/>
      <c r="G34" s="351"/>
      <c r="H34" s="351"/>
      <c r="I34" s="370"/>
      <c r="J34" s="352"/>
      <c r="P34" s="150" t="n">
        <f aca="false">Trades!G46</f>
        <v>0</v>
      </c>
      <c r="Q34" s="150" t="str">
        <f aca="false">IF(ISERROR(VLOOKUP(Trades!C46,'Price Inputs'!$C$6:$C$15,1,0)),"New","Bought")</f>
        <v>Bought</v>
      </c>
      <c r="R34" s="365" t="str">
        <f aca="false">IF(AND(P34="Buy",Q34="New"),COUNTIFS($P$20:P34,"Buy",$Q$20:Q34,"New"),"")</f>
        <v/>
      </c>
      <c r="S34" s="150" t="n">
        <f aca="false">Trades!C46</f>
        <v>0</v>
      </c>
      <c r="T34" s="150" t="str">
        <f aca="false">Trades!D46</f>
        <v/>
      </c>
    </row>
    <row r="35" customFormat="false" ht="15" hidden="false" customHeight="false" outlineLevel="0" collapsed="false">
      <c r="B35" s="150" t="n">
        <v>16</v>
      </c>
      <c r="C35" s="366" t="str">
        <f aca="false">IF(ISERROR(VLOOKUP(B35,$R$20:$S$49,2,0)),"",(VLOOKUP(B35,$R$20:$S$49,2,0)))</f>
        <v/>
      </c>
      <c r="D35" s="367" t="str">
        <f aca="false">IF(ISERROR(VLOOKUP(B35,$R$20:$T$49,3,0)),"",(VLOOKUP(B35,$R$20:$T$49,3,0)))</f>
        <v/>
      </c>
      <c r="E35" s="368"/>
      <c r="F35" s="369"/>
      <c r="G35" s="351"/>
      <c r="H35" s="351"/>
      <c r="I35" s="370"/>
      <c r="J35" s="352"/>
      <c r="P35" s="150" t="n">
        <f aca="false">Trades!G47</f>
        <v>0</v>
      </c>
      <c r="Q35" s="150" t="str">
        <f aca="false">IF(ISERROR(VLOOKUP(Trades!C47,'Price Inputs'!$C$6:$C$15,1,0)),"New","Bought")</f>
        <v>Bought</v>
      </c>
      <c r="R35" s="365" t="str">
        <f aca="false">IF(AND(P35="Buy",Q35="New"),COUNTIFS($P$20:P35,"Buy",$Q$20:Q35,"New"),"")</f>
        <v/>
      </c>
      <c r="S35" s="150" t="n">
        <f aca="false">Trades!C47</f>
        <v>0</v>
      </c>
      <c r="T35" s="150" t="str">
        <f aca="false">Trades!D47</f>
        <v/>
      </c>
    </row>
    <row r="36" customFormat="false" ht="15" hidden="false" customHeight="false" outlineLevel="0" collapsed="false">
      <c r="B36" s="150" t="n">
        <v>17</v>
      </c>
      <c r="C36" s="366" t="str">
        <f aca="false">IF(ISERROR(VLOOKUP(B36,$R$20:$S$49,2,0)),"",(VLOOKUP(B36,$R$20:$S$49,2,0)))</f>
        <v/>
      </c>
      <c r="D36" s="367" t="str">
        <f aca="false">IF(ISERROR(VLOOKUP(B36,$R$20:$T$49,3,0)),"",(VLOOKUP(B36,$R$20:$T$49,3,0)))</f>
        <v/>
      </c>
      <c r="E36" s="368"/>
      <c r="F36" s="369"/>
      <c r="G36" s="351"/>
      <c r="H36" s="351"/>
      <c r="I36" s="370"/>
      <c r="J36" s="352"/>
      <c r="P36" s="150" t="n">
        <f aca="false">Trades!G48</f>
        <v>0</v>
      </c>
      <c r="Q36" s="150" t="str">
        <f aca="false">IF(ISERROR(VLOOKUP(Trades!C48,'Price Inputs'!$C$6:$C$15,1,0)),"New","Bought")</f>
        <v>Bought</v>
      </c>
      <c r="R36" s="365" t="str">
        <f aca="false">IF(AND(P36="Buy",Q36="New"),COUNTIFS($P$20:P36,"Buy",$Q$20:Q36,"New"),"")</f>
        <v/>
      </c>
      <c r="S36" s="150" t="n">
        <f aca="false">Trades!C48</f>
        <v>0</v>
      </c>
      <c r="T36" s="150" t="str">
        <f aca="false">Trades!D48</f>
        <v/>
      </c>
    </row>
    <row r="37" customFormat="false" ht="15" hidden="false" customHeight="false" outlineLevel="0" collapsed="false">
      <c r="B37" s="150" t="n">
        <v>18</v>
      </c>
      <c r="C37" s="366" t="str">
        <f aca="false">IF(ISERROR(VLOOKUP(B37,$R$20:$S$49,2,0)),"",(VLOOKUP(B37,$R$20:$S$49,2,0)))</f>
        <v/>
      </c>
      <c r="D37" s="367" t="str">
        <f aca="false">IF(ISERROR(VLOOKUP(B37,$R$20:$T$49,3,0)),"",(VLOOKUP(B37,$R$20:$T$49,3,0)))</f>
        <v/>
      </c>
      <c r="E37" s="368"/>
      <c r="F37" s="369"/>
      <c r="G37" s="351"/>
      <c r="H37" s="351"/>
      <c r="I37" s="370"/>
      <c r="J37" s="352"/>
      <c r="P37" s="150" t="n">
        <f aca="false">Trades!G49</f>
        <v>0</v>
      </c>
      <c r="Q37" s="150" t="str">
        <f aca="false">IF(ISERROR(VLOOKUP(Trades!C49,'Price Inputs'!$C$6:$C$15,1,0)),"New","Bought")</f>
        <v>Bought</v>
      </c>
      <c r="R37" s="365" t="str">
        <f aca="false">IF(AND(P37="Buy",Q37="New"),COUNTIFS($P$20:P37,"Buy",$Q$20:Q37,"New"),"")</f>
        <v/>
      </c>
      <c r="S37" s="150" t="n">
        <f aca="false">Trades!C49</f>
        <v>0</v>
      </c>
      <c r="T37" s="150" t="str">
        <f aca="false">Trades!D49</f>
        <v/>
      </c>
    </row>
    <row r="38" customFormat="false" ht="15" hidden="false" customHeight="false" outlineLevel="0" collapsed="false">
      <c r="B38" s="150" t="n">
        <v>19</v>
      </c>
      <c r="C38" s="366" t="str">
        <f aca="false">IF(ISERROR(VLOOKUP(B38,$R$20:$S$49,2,0)),"",(VLOOKUP(B38,$R$20:$S$49,2,0)))</f>
        <v/>
      </c>
      <c r="D38" s="367" t="str">
        <f aca="false">IF(ISERROR(VLOOKUP(B38,$R$20:$T$49,3,0)),"",(VLOOKUP(B38,$R$20:$T$49,3,0)))</f>
        <v/>
      </c>
      <c r="E38" s="368"/>
      <c r="F38" s="369"/>
      <c r="G38" s="351"/>
      <c r="H38" s="351"/>
      <c r="I38" s="370"/>
      <c r="J38" s="352"/>
      <c r="P38" s="150" t="n">
        <f aca="false">Trades!G50</f>
        <v>0</v>
      </c>
      <c r="Q38" s="150" t="str">
        <f aca="false">IF(ISERROR(VLOOKUP(Trades!C50,'Price Inputs'!$C$6:$C$15,1,0)),"New","Bought")</f>
        <v>Bought</v>
      </c>
      <c r="R38" s="365" t="str">
        <f aca="false">IF(AND(P38="Buy",Q38="New"),COUNTIFS($P$20:P38,"Buy",$Q$20:Q38,"New"),"")</f>
        <v/>
      </c>
      <c r="S38" s="150" t="n">
        <f aca="false">Trades!C50</f>
        <v>0</v>
      </c>
      <c r="T38" s="150" t="str">
        <f aca="false">Trades!D50</f>
        <v/>
      </c>
    </row>
    <row r="39" customFormat="false" ht="15" hidden="false" customHeight="false" outlineLevel="0" collapsed="false">
      <c r="B39" s="150" t="n">
        <v>20</v>
      </c>
      <c r="C39" s="366" t="str">
        <f aca="false">IF(ISERROR(VLOOKUP(B39,$R$20:$S$49,2,0)),"",(VLOOKUP(B39,$R$20:$S$49,2,0)))</f>
        <v/>
      </c>
      <c r="D39" s="367" t="str">
        <f aca="false">IF(ISERROR(VLOOKUP(B39,$R$20:$T$49,3,0)),"",(VLOOKUP(B39,$R$20:$T$49,3,0)))</f>
        <v/>
      </c>
      <c r="E39" s="368"/>
      <c r="F39" s="369"/>
      <c r="G39" s="351"/>
      <c r="H39" s="351"/>
      <c r="I39" s="370"/>
      <c r="J39" s="352"/>
      <c r="P39" s="150" t="n">
        <f aca="false">Trades!G51</f>
        <v>0</v>
      </c>
      <c r="Q39" s="150" t="str">
        <f aca="false">IF(ISERROR(VLOOKUP(Trades!C51,'Price Inputs'!$C$6:$C$15,1,0)),"New","Bought")</f>
        <v>Bought</v>
      </c>
      <c r="R39" s="365" t="str">
        <f aca="false">IF(AND(P39="Buy",Q39="New"),COUNTIFS($P$20:P39,"Buy",$Q$20:Q39,"New"),"")</f>
        <v/>
      </c>
      <c r="S39" s="150" t="n">
        <f aca="false">Trades!C51</f>
        <v>0</v>
      </c>
      <c r="T39" s="150" t="str">
        <f aca="false">Trades!D51</f>
        <v/>
      </c>
    </row>
    <row r="40" customFormat="false" ht="15" hidden="false" customHeight="false" outlineLevel="0" collapsed="false">
      <c r="B40" s="150" t="n">
        <v>21</v>
      </c>
      <c r="C40" s="366" t="str">
        <f aca="false">IF(ISERROR(VLOOKUP(B40,$R$20:$S$49,2,0)),"",(VLOOKUP(B40,$R$20:$S$49,2,0)))</f>
        <v/>
      </c>
      <c r="D40" s="367" t="str">
        <f aca="false">IF(ISERROR(VLOOKUP(B40,$R$20:$T$49,3,0)),"",(VLOOKUP(B40,$R$20:$T$49,3,0)))</f>
        <v/>
      </c>
      <c r="E40" s="368"/>
      <c r="F40" s="369"/>
      <c r="G40" s="351"/>
      <c r="H40" s="351"/>
      <c r="I40" s="370"/>
      <c r="J40" s="352"/>
      <c r="P40" s="150" t="n">
        <f aca="false">Trades!G52</f>
        <v>0</v>
      </c>
      <c r="Q40" s="150" t="str">
        <f aca="false">IF(ISERROR(VLOOKUP(Trades!C52,'Price Inputs'!$C$6:$C$15,1,0)),"New","Bought")</f>
        <v>Bought</v>
      </c>
      <c r="R40" s="365" t="str">
        <f aca="false">IF(AND(P40="Buy",Q40="New"),COUNTIFS($P$20:P40,"Buy",$Q$20:Q40,"New"),"")</f>
        <v/>
      </c>
      <c r="S40" s="150" t="n">
        <f aca="false">Trades!C52</f>
        <v>0</v>
      </c>
      <c r="T40" s="150" t="str">
        <f aca="false">Trades!D52</f>
        <v/>
      </c>
    </row>
    <row r="41" customFormat="false" ht="15" hidden="false" customHeight="false" outlineLevel="0" collapsed="false">
      <c r="B41" s="150" t="n">
        <v>22</v>
      </c>
      <c r="C41" s="366" t="str">
        <f aca="false">IF(ISERROR(VLOOKUP(B41,$R$20:$S$49,2,0)),"",(VLOOKUP(B41,$R$20:$S$49,2,0)))</f>
        <v/>
      </c>
      <c r="D41" s="367" t="str">
        <f aca="false">IF(ISERROR(VLOOKUP(B41,$R$20:$T$49,3,0)),"",(VLOOKUP(B41,$R$20:$T$49,3,0)))</f>
        <v/>
      </c>
      <c r="E41" s="368"/>
      <c r="F41" s="369"/>
      <c r="G41" s="351"/>
      <c r="H41" s="351"/>
      <c r="I41" s="370"/>
      <c r="J41" s="352"/>
      <c r="P41" s="150" t="n">
        <f aca="false">Trades!G53</f>
        <v>0</v>
      </c>
      <c r="Q41" s="150" t="str">
        <f aca="false">IF(ISERROR(VLOOKUP(Trades!C53,'Price Inputs'!$C$6:$C$15,1,0)),"New","Bought")</f>
        <v>Bought</v>
      </c>
      <c r="R41" s="365" t="str">
        <f aca="false">IF(AND(P41="Buy",Q41="New"),COUNTIFS($P$20:P41,"Buy",$Q$20:Q41,"New"),"")</f>
        <v/>
      </c>
      <c r="S41" s="150" t="n">
        <f aca="false">Trades!C53</f>
        <v>0</v>
      </c>
      <c r="T41" s="150" t="str">
        <f aca="false">Trades!D53</f>
        <v/>
      </c>
    </row>
    <row r="42" customFormat="false" ht="15" hidden="false" customHeight="false" outlineLevel="0" collapsed="false">
      <c r="B42" s="150" t="n">
        <v>23</v>
      </c>
      <c r="C42" s="366" t="str">
        <f aca="false">IF(ISERROR(VLOOKUP(B42,$R$20:$S$49,2,0)),"",(VLOOKUP(B42,$R$20:$S$49,2,0)))</f>
        <v/>
      </c>
      <c r="D42" s="367" t="str">
        <f aca="false">IF(ISERROR(VLOOKUP(B42,$R$20:$T$49,3,0)),"",(VLOOKUP(B42,$R$20:$T$49,3,0)))</f>
        <v/>
      </c>
      <c r="E42" s="368"/>
      <c r="F42" s="369"/>
      <c r="G42" s="351"/>
      <c r="H42" s="351"/>
      <c r="I42" s="370"/>
      <c r="J42" s="352"/>
      <c r="P42" s="150" t="n">
        <f aca="false">Trades!G54</f>
        <v>0</v>
      </c>
      <c r="Q42" s="150" t="str">
        <f aca="false">IF(ISERROR(VLOOKUP(Trades!C54,'Price Inputs'!$C$6:$C$15,1,0)),"New","Bought")</f>
        <v>Bought</v>
      </c>
      <c r="R42" s="365" t="str">
        <f aca="false">IF(AND(P42="Buy",Q42="New"),COUNTIFS($P$20:P42,"Buy",$Q$20:Q42,"New"),"")</f>
        <v/>
      </c>
      <c r="S42" s="150" t="n">
        <f aca="false">Trades!C54</f>
        <v>0</v>
      </c>
      <c r="T42" s="150" t="str">
        <f aca="false">Trades!D54</f>
        <v/>
      </c>
    </row>
    <row r="43" customFormat="false" ht="15" hidden="false" customHeight="false" outlineLevel="0" collapsed="false">
      <c r="B43" s="150" t="n">
        <v>24</v>
      </c>
      <c r="C43" s="366" t="str">
        <f aca="false">IF(ISERROR(VLOOKUP(B43,$R$20:$S$49,2,0)),"",(VLOOKUP(B43,$R$20:$S$49,2,0)))</f>
        <v/>
      </c>
      <c r="D43" s="367" t="str">
        <f aca="false">IF(ISERROR(VLOOKUP(B43,$R$20:$T$49,3,0)),"",(VLOOKUP(B43,$R$20:$T$49,3,0)))</f>
        <v/>
      </c>
      <c r="E43" s="368"/>
      <c r="F43" s="369"/>
      <c r="G43" s="351"/>
      <c r="H43" s="351"/>
      <c r="I43" s="370"/>
      <c r="J43" s="352"/>
      <c r="P43" s="150" t="n">
        <f aca="false">Trades!G55</f>
        <v>0</v>
      </c>
      <c r="Q43" s="150" t="str">
        <f aca="false">IF(ISERROR(VLOOKUP(Trades!C55,'Price Inputs'!$C$6:$C$15,1,0)),"New","Bought")</f>
        <v>Bought</v>
      </c>
      <c r="R43" s="365" t="str">
        <f aca="false">IF(AND(P43="Buy",Q43="New"),COUNTIFS($P$20:P43,"Buy",$Q$20:Q43,"New"),"")</f>
        <v/>
      </c>
      <c r="S43" s="150" t="n">
        <f aca="false">Trades!C55</f>
        <v>0</v>
      </c>
      <c r="T43" s="150" t="str">
        <f aca="false">Trades!D55</f>
        <v/>
      </c>
    </row>
    <row r="44" customFormat="false" ht="15" hidden="false" customHeight="false" outlineLevel="0" collapsed="false">
      <c r="B44" s="150" t="n">
        <v>25</v>
      </c>
      <c r="C44" s="366" t="str">
        <f aca="false">IF(ISERROR(VLOOKUP(B44,$R$20:$S$49,2,0)),"",(VLOOKUP(B44,$R$20:$S$49,2,0)))</f>
        <v/>
      </c>
      <c r="D44" s="367" t="str">
        <f aca="false">IF(ISERROR(VLOOKUP(B44,$R$20:$T$49,3,0)),"",(VLOOKUP(B44,$R$20:$T$49,3,0)))</f>
        <v/>
      </c>
      <c r="E44" s="368"/>
      <c r="F44" s="369"/>
      <c r="G44" s="351"/>
      <c r="H44" s="351"/>
      <c r="I44" s="370"/>
      <c r="J44" s="352"/>
      <c r="P44" s="150" t="n">
        <f aca="false">Trades!G56</f>
        <v>0</v>
      </c>
      <c r="Q44" s="150" t="str">
        <f aca="false">IF(ISERROR(VLOOKUP(Trades!C56,'Price Inputs'!$C$6:$C$15,1,0)),"New","Bought")</f>
        <v>Bought</v>
      </c>
      <c r="R44" s="365" t="str">
        <f aca="false">IF(AND(P44="Buy",Q44="New"),COUNTIFS($P$20:P44,"Buy",$Q$20:Q44,"New"),"")</f>
        <v/>
      </c>
      <c r="S44" s="150" t="n">
        <f aca="false">Trades!C56</f>
        <v>0</v>
      </c>
      <c r="T44" s="150" t="str">
        <f aca="false">Trades!D56</f>
        <v/>
      </c>
    </row>
    <row r="45" customFormat="false" ht="15" hidden="false" customHeight="false" outlineLevel="0" collapsed="false">
      <c r="B45" s="150" t="n">
        <v>26</v>
      </c>
      <c r="C45" s="366" t="str">
        <f aca="false">IF(ISERROR(VLOOKUP(B45,$R$20:$S$49,2,0)),"",(VLOOKUP(B45,$R$20:$S$49,2,0)))</f>
        <v/>
      </c>
      <c r="D45" s="367" t="str">
        <f aca="false">IF(ISERROR(VLOOKUP(B45,$R$20:$T$49,3,0)),"",(VLOOKUP(B45,$R$20:$T$49,3,0)))</f>
        <v/>
      </c>
      <c r="E45" s="368"/>
      <c r="F45" s="369"/>
      <c r="G45" s="351"/>
      <c r="H45" s="351"/>
      <c r="I45" s="370"/>
      <c r="J45" s="352"/>
      <c r="P45" s="150" t="n">
        <f aca="false">Trades!G57</f>
        <v>0</v>
      </c>
      <c r="Q45" s="150" t="str">
        <f aca="false">IF(ISERROR(VLOOKUP(Trades!C57,'Price Inputs'!$C$6:$C$15,1,0)),"New","Bought")</f>
        <v>Bought</v>
      </c>
      <c r="R45" s="365" t="str">
        <f aca="false">IF(AND(P45="Buy",Q45="New"),COUNTIFS($P$20:P45,"Buy",$Q$20:Q45,"New"),"")</f>
        <v/>
      </c>
      <c r="S45" s="150" t="n">
        <f aca="false">Trades!C57</f>
        <v>0</v>
      </c>
      <c r="T45" s="150" t="str">
        <f aca="false">Trades!D57</f>
        <v/>
      </c>
    </row>
    <row r="46" customFormat="false" ht="15" hidden="false" customHeight="false" outlineLevel="0" collapsed="false">
      <c r="B46" s="150" t="n">
        <v>27</v>
      </c>
      <c r="C46" s="366" t="str">
        <f aca="false">IF(ISERROR(VLOOKUP(B46,$R$20:$S$49,2,0)),"",(VLOOKUP(B46,$R$20:$S$49,2,0)))</f>
        <v/>
      </c>
      <c r="D46" s="367" t="str">
        <f aca="false">IF(ISERROR(VLOOKUP(B46,$R$20:$T$49,3,0)),"",(VLOOKUP(B46,$R$20:$T$49,3,0)))</f>
        <v/>
      </c>
      <c r="E46" s="368"/>
      <c r="F46" s="369"/>
      <c r="G46" s="351"/>
      <c r="H46" s="351"/>
      <c r="I46" s="370"/>
      <c r="J46" s="352"/>
      <c r="P46" s="150" t="n">
        <f aca="false">Trades!G58</f>
        <v>0</v>
      </c>
      <c r="Q46" s="150" t="str">
        <f aca="false">IF(ISERROR(VLOOKUP(Trades!C58,'Price Inputs'!$C$6:$C$15,1,0)),"New","Bought")</f>
        <v>Bought</v>
      </c>
      <c r="R46" s="365" t="str">
        <f aca="false">IF(AND(P46="Buy",Q46="New"),COUNTIFS($P$20:P46,"Buy",$Q$20:Q46,"New"),"")</f>
        <v/>
      </c>
      <c r="S46" s="150" t="n">
        <f aca="false">Trades!C58</f>
        <v>0</v>
      </c>
      <c r="T46" s="150" t="str">
        <f aca="false">Trades!D58</f>
        <v/>
      </c>
    </row>
    <row r="47" customFormat="false" ht="15" hidden="false" customHeight="false" outlineLevel="0" collapsed="false">
      <c r="B47" s="150" t="n">
        <v>28</v>
      </c>
      <c r="C47" s="366" t="str">
        <f aca="false">IF(ISERROR(VLOOKUP(B47,$R$20:$S$49,2,0)),"",(VLOOKUP(B47,$R$20:$S$49,2,0)))</f>
        <v/>
      </c>
      <c r="D47" s="367" t="str">
        <f aca="false">IF(ISERROR(VLOOKUP(B47,$R$20:$T$49,3,0)),"",(VLOOKUP(B47,$R$20:$T$49,3,0)))</f>
        <v/>
      </c>
      <c r="E47" s="368"/>
      <c r="F47" s="369"/>
      <c r="G47" s="351"/>
      <c r="H47" s="351"/>
      <c r="I47" s="370"/>
      <c r="J47" s="352"/>
      <c r="P47" s="150" t="e">
        <f aca="false">trades!#ref!</f>
        <v>#NAME?</v>
      </c>
      <c r="Q47" s="150" t="str">
        <f aca="false">IF(ISERROR(VLOOKUP(trades!#ref!,'Price Inputs'!$C$6:$C$15,1,0)),"New","Bought")</f>
        <v>New</v>
      </c>
      <c r="R47" s="365" t="e">
        <f aca="false">IF(AND(P47="Buy",Q47="New"),COUNTIFS($P$20:P47,"Buy",$Q$20:Q47,"New"),"")</f>
        <v>#NAME?</v>
      </c>
      <c r="S47" s="150" t="e">
        <f aca="false">trades!#ref!</f>
        <v>#NAME?</v>
      </c>
      <c r="T47" s="150" t="e">
        <f aca="false">trades!#ref!</f>
        <v>#NAME?</v>
      </c>
    </row>
    <row r="48" customFormat="false" ht="15" hidden="false" customHeight="false" outlineLevel="0" collapsed="false">
      <c r="B48" s="150" t="n">
        <v>29</v>
      </c>
      <c r="C48" s="366" t="str">
        <f aca="false">IF(ISERROR(VLOOKUP(B48,$R$20:$S$49,2,0)),"",(VLOOKUP(B48,$R$20:$S$49,2,0)))</f>
        <v/>
      </c>
      <c r="D48" s="367" t="str">
        <f aca="false">IF(ISERROR(VLOOKUP(B48,$R$20:$T$49,3,0)),"",(VLOOKUP(B48,$R$20:$T$49,3,0)))</f>
        <v/>
      </c>
      <c r="E48" s="368"/>
      <c r="F48" s="369"/>
      <c r="G48" s="351"/>
      <c r="H48" s="351"/>
      <c r="I48" s="370"/>
      <c r="J48" s="352"/>
      <c r="P48" s="150" t="n">
        <f aca="false">Trades!G59</f>
        <v>0</v>
      </c>
      <c r="Q48" s="150" t="str">
        <f aca="false">IF(ISERROR(VLOOKUP(Trades!C59,'Price Inputs'!$C$6:$C$15,1,0)),"New","Bought")</f>
        <v>Bought</v>
      </c>
      <c r="R48" s="365" t="str">
        <f aca="false">IF(AND(P48="Buy",Q48="New"),COUNTIFS($P$20:P48,"Buy",$Q$20:Q48,"New"),"")</f>
        <v/>
      </c>
      <c r="S48" s="150" t="n">
        <f aca="false">Trades!C59</f>
        <v>0</v>
      </c>
      <c r="T48" s="150" t="str">
        <f aca="false">Trades!D59</f>
        <v/>
      </c>
    </row>
    <row r="49" customFormat="false" ht="15" hidden="false" customHeight="false" outlineLevel="0" collapsed="false">
      <c r="B49" s="150" t="n">
        <v>30</v>
      </c>
      <c r="C49" s="371" t="str">
        <f aca="false">IF(ISERROR(VLOOKUP(B49,$R$20:$S$49,2,0)),"",(VLOOKUP(B49,$R$20:$S$49,2,0)))</f>
        <v/>
      </c>
      <c r="D49" s="372" t="str">
        <f aca="false">IF(ISERROR(VLOOKUP(B49,$R$20:$T$49,3,0)),"",(VLOOKUP(B49,$R$20:$T$49,3,0)))</f>
        <v/>
      </c>
      <c r="E49" s="373"/>
      <c r="F49" s="374"/>
      <c r="G49" s="356"/>
      <c r="H49" s="356"/>
      <c r="I49" s="375"/>
      <c r="J49" s="357"/>
      <c r="P49" s="150" t="e">
        <f aca="false">trades!#ref!</f>
        <v>#NAME?</v>
      </c>
      <c r="Q49" s="150" t="str">
        <f aca="false">IF(ISERROR(VLOOKUP(trades!#ref!,'Price Inputs'!$C$6:$C$15,1,0)),"New","Bought")</f>
        <v>New</v>
      </c>
      <c r="R49" s="365" t="e">
        <f aca="false">IF(AND(P49="Buy",Q49="New"),COUNTIFS($P$20:P49,"Buy",$Q$20:Q49,"New"),"")</f>
        <v>#NAME?</v>
      </c>
      <c r="S49" s="150" t="e">
        <f aca="false">trades!#ref!</f>
        <v>#NAME?</v>
      </c>
      <c r="T49" s="150" t="e">
        <f aca="false">trades!#ref!</f>
        <v>#NAME?</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colBreaks count="1" manualBreakCount="1">
    <brk id="10" man="true" max="65535" min="0"/>
  </colBreaks>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AC40"/>
  <sheetViews>
    <sheetView showFormulas="false" showGridLines="false" showRowColHeaders="true" showZeros="true" rightToLeft="false" tabSelected="false" showOutlineSymbols="true" defaultGridColor="true" view="normal" topLeftCell="D1" colorId="64" zoomScale="100" zoomScaleNormal="100" zoomScalePageLayoutView="100" workbookViewId="0">
      <selection pane="topLeft" activeCell="E5" activeCellId="0" sqref="E5"/>
    </sheetView>
  </sheetViews>
  <sheetFormatPr defaultRowHeight="17.25" zeroHeight="false" outlineLevelRow="0" outlineLevelCol="0"/>
  <cols>
    <col collapsed="false" customWidth="true" hidden="false" outlineLevel="0" max="1" min="1" style="263" width="4.71"/>
    <col collapsed="false" customWidth="true" hidden="false" outlineLevel="0" max="2" min="2" style="263" width="4.86"/>
    <col collapsed="false" customWidth="true" hidden="false" outlineLevel="0" max="3" min="3" style="263" width="10.71"/>
    <col collapsed="false" customWidth="true" hidden="false" outlineLevel="0" max="4" min="4" style="263" width="30.7"/>
    <col collapsed="false" customWidth="true" hidden="false" outlineLevel="0" max="6" min="5" style="263" width="18.42"/>
    <col collapsed="false" customWidth="true" hidden="false" outlineLevel="0" max="7" min="7" style="263" width="18"/>
    <col collapsed="false" customWidth="true" hidden="false" outlineLevel="0" max="8" min="8" style="376" width="16.14"/>
    <col collapsed="false" customWidth="true" hidden="false" outlineLevel="0" max="9" min="9" style="263" width="17.59"/>
    <col collapsed="false" customWidth="true" hidden="false" outlineLevel="0" max="10" min="10" style="263" width="15.57"/>
    <col collapsed="false" customWidth="true" hidden="false" outlineLevel="0" max="19" min="11" style="264" width="15.57"/>
    <col collapsed="false" customWidth="true" hidden="false" outlineLevel="0" max="20" min="20" style="377" width="15.57"/>
    <col collapsed="false" customWidth="true" hidden="false" outlineLevel="0" max="21" min="21" style="135" width="9.13"/>
    <col collapsed="false" customWidth="true" hidden="false" outlineLevel="0" max="22" min="22" style="135" width="18.12"/>
    <col collapsed="false" customWidth="true" hidden="false" outlineLevel="0" max="23" min="23" style="135" width="19.31"/>
    <col collapsed="false" customWidth="true" hidden="false" outlineLevel="0" max="26" min="24" style="135" width="23.01"/>
    <col collapsed="false" customWidth="true" hidden="false" outlineLevel="0" max="29" min="27" style="263" width="9.13"/>
    <col collapsed="false" customWidth="true" hidden="false" outlineLevel="0" max="41" min="30" style="264" width="9.13"/>
    <col collapsed="false" customWidth="true" hidden="false" outlineLevel="0" max="1025" min="42" style="263" width="9.13"/>
  </cols>
  <sheetData>
    <row r="1" customFormat="false" ht="17.25" hidden="false" customHeight="true" outlineLevel="0" collapsed="false">
      <c r="A1" s="136" t="s">
        <v>415</v>
      </c>
      <c r="H1" s="263"/>
    </row>
    <row r="2" customFormat="false" ht="17.25" hidden="false" customHeight="true" outlineLevel="0" collapsed="false">
      <c r="H2" s="263"/>
    </row>
    <row r="3" customFormat="false" ht="17.25" hidden="false" customHeight="true" outlineLevel="0" collapsed="false">
      <c r="C3" s="265" t="s">
        <v>389</v>
      </c>
      <c r="E3" s="266" t="n">
        <f aca="false">Initial_Cash</f>
        <v>990000</v>
      </c>
      <c r="H3" s="263"/>
    </row>
    <row r="4" customFormat="false" ht="17.25" hidden="false" customHeight="true" outlineLevel="0" collapsed="false">
      <c r="C4" s="265" t="s">
        <v>416</v>
      </c>
      <c r="E4" s="266" t="n">
        <f aca="false">Extra_Cash</f>
        <v>10000</v>
      </c>
      <c r="H4" s="263"/>
    </row>
    <row r="5" customFormat="false" ht="17.25" hidden="false" customHeight="true" outlineLevel="0" collapsed="false">
      <c r="C5" s="378" t="s">
        <v>417</v>
      </c>
      <c r="E5" s="379" t="s">
        <v>347</v>
      </c>
      <c r="H5" s="263"/>
    </row>
    <row r="6" customFormat="false" ht="17.25" hidden="false" customHeight="true" outlineLevel="0" collapsed="false">
      <c r="C6" s="265"/>
      <c r="E6" s="267"/>
      <c r="H6" s="263"/>
      <c r="V6" s="365" t="s">
        <v>273</v>
      </c>
      <c r="W6" s="365" t="s">
        <v>199</v>
      </c>
      <c r="X6" s="365" t="s">
        <v>43</v>
      </c>
      <c r="Y6" s="365" t="s">
        <v>114</v>
      </c>
      <c r="Z6" s="365" t="s">
        <v>13</v>
      </c>
    </row>
    <row r="7" s="264" customFormat="true" ht="26.25" hidden="false" customHeight="false" outlineLevel="0" collapsed="false">
      <c r="A7" s="263"/>
      <c r="B7" s="263"/>
      <c r="C7" s="380" t="s">
        <v>418</v>
      </c>
      <c r="D7" s="309"/>
      <c r="E7" s="309"/>
      <c r="F7" s="309"/>
      <c r="G7" s="309"/>
      <c r="H7" s="310"/>
      <c r="I7" s="309"/>
      <c r="J7" s="310"/>
      <c r="K7" s="285"/>
      <c r="L7" s="285"/>
      <c r="M7" s="285"/>
      <c r="N7" s="285"/>
      <c r="O7" s="285"/>
      <c r="P7" s="285"/>
      <c r="Q7" s="285"/>
      <c r="R7" s="285"/>
      <c r="S7" s="285"/>
      <c r="T7" s="381"/>
      <c r="U7" s="135" t="s">
        <v>258</v>
      </c>
      <c r="V7" s="382" t="n">
        <f aca="false">VLOOKUP(V6,'Policy Portfolio'!$L$39:$N$43,3,0)</f>
        <v>0.01</v>
      </c>
      <c r="W7" s="382" t="n">
        <f aca="false">VLOOKUP(W6,'Policy Portfolio'!$L$39:$N$43,3,0)</f>
        <v>0.35</v>
      </c>
      <c r="X7" s="382" t="n">
        <f aca="false">VLOOKUP(X6,'Policy Portfolio'!$L$39:$N$43,3,0)</f>
        <v>0.29</v>
      </c>
      <c r="Y7" s="382" t="n">
        <f aca="false">VLOOKUP(Y6,'Policy Portfolio'!$L$39:$N$43,3,0)</f>
        <v>0.3</v>
      </c>
      <c r="Z7" s="382" t="n">
        <f aca="false">VLOOKUP(Z6,'Policy Portfolio'!$L$39:$N$43,3,0)</f>
        <v>0.05</v>
      </c>
      <c r="AA7" s="263"/>
      <c r="AB7" s="263"/>
      <c r="AC7" s="263"/>
    </row>
    <row r="8" s="264" customFormat="true" ht="21" hidden="false" customHeight="false" outlineLevel="0" collapsed="false">
      <c r="A8" s="263"/>
      <c r="B8" s="263"/>
      <c r="C8" s="383" t="s">
        <v>419</v>
      </c>
      <c r="D8" s="384"/>
      <c r="E8" s="385" t="n">
        <f aca="false">SUM(J10:J40)</f>
        <v>996785.1</v>
      </c>
      <c r="F8" s="385"/>
      <c r="G8" s="386"/>
      <c r="H8" s="387"/>
      <c r="I8" s="388"/>
      <c r="J8" s="389" t="s">
        <v>269</v>
      </c>
      <c r="K8" s="390" t="n">
        <f aca="false">$E$8/SUM($E$3:$E$4)-1</f>
        <v>-0.00321490000000013</v>
      </c>
      <c r="T8" s="377"/>
      <c r="U8" s="135" t="s">
        <v>420</v>
      </c>
      <c r="V8" s="391" t="n">
        <f aca="false">SUM(V10:V25)</f>
        <v>10071.98</v>
      </c>
      <c r="W8" s="392" t="n">
        <f aca="false">SUM(W10:W25)</f>
        <v>449846.42</v>
      </c>
      <c r="X8" s="392" t="n">
        <f aca="false">SUM(X10:X25)</f>
        <v>290482.4</v>
      </c>
      <c r="Y8" s="392" t="n">
        <f aca="false">SUM(Y10:Y25)</f>
        <v>196639.5</v>
      </c>
      <c r="Z8" s="392" t="n">
        <f aca="false">SUM(Z10:Z25)</f>
        <v>49744.8</v>
      </c>
      <c r="AA8" s="263"/>
      <c r="AB8" s="263"/>
      <c r="AC8" s="263"/>
    </row>
    <row r="9" s="264" customFormat="true" ht="45.6" hidden="false" customHeight="true" outlineLevel="0" collapsed="false">
      <c r="A9" s="263"/>
      <c r="B9" s="263"/>
      <c r="C9" s="179" t="s">
        <v>1</v>
      </c>
      <c r="D9" s="180" t="s">
        <v>3</v>
      </c>
      <c r="E9" s="180" t="s">
        <v>421</v>
      </c>
      <c r="F9" s="180" t="s">
        <v>4</v>
      </c>
      <c r="G9" s="269" t="s">
        <v>0</v>
      </c>
      <c r="H9" s="269" t="s">
        <v>394</v>
      </c>
      <c r="I9" s="269" t="s">
        <v>422</v>
      </c>
      <c r="J9" s="180" t="s">
        <v>423</v>
      </c>
      <c r="K9" s="269" t="s">
        <v>424</v>
      </c>
      <c r="T9" s="377"/>
      <c r="U9" s="393"/>
      <c r="V9" s="391"/>
      <c r="W9" s="392"/>
      <c r="X9" s="392"/>
      <c r="Y9" s="392"/>
      <c r="Z9" s="392"/>
      <c r="AA9" s="263"/>
      <c r="AB9" s="263"/>
      <c r="AC9" s="263"/>
    </row>
    <row r="10" s="272" customFormat="true" ht="17.25" hidden="false" customHeight="true" outlineLevel="0" collapsed="false">
      <c r="A10" s="394"/>
      <c r="B10" s="265"/>
      <c r="C10" s="273"/>
      <c r="D10" s="274" t="s">
        <v>273</v>
      </c>
      <c r="E10" s="274"/>
      <c r="F10" s="274" t="s">
        <v>273</v>
      </c>
      <c r="G10" s="274"/>
      <c r="H10" s="395"/>
      <c r="I10" s="396"/>
      <c r="J10" s="397" t="n">
        <f aca="false">Initial_Cash+Extra_Cash+SUMIFS(Trades!$O$9:$O$17,Trades!$K$9:$K$17,"&lt;="&amp;HLOOKUP('Current Portfolio'!E5,'Portfolio Bucket'!$D$1:$I$2,2,0))+SUMIFS(Trades!$O$32:$O$59,Trades!$K$32:$K$59,"&lt;="&amp;HLOOKUP('Current Portfolio'!E5,'Portfolio Bucket'!$D$1:$I$2,2,0))+SUMIFS(Trades!$O$32:$O$59,Trades!$M$32:$M$59,"&lt;="&amp;HLOOKUP('Current Portfolio'!E5,'Portfolio Bucket'!$D$1:$I$2,2,0))</f>
        <v>10071.98</v>
      </c>
      <c r="K10" s="398" t="n">
        <f aca="false">IF(ISNUMBER(J10),J10/SUM(Mrkt_Value,$J$10),0)</f>
        <v>0.0101044648440271</v>
      </c>
      <c r="T10" s="399"/>
      <c r="U10" s="400"/>
      <c r="V10" s="401" t="n">
        <f aca="false">IF($F10=V$6,$J10,0)</f>
        <v>10071.98</v>
      </c>
      <c r="W10" s="401" t="n">
        <f aca="false">IF($F10=W$6,$J10,0)</f>
        <v>0</v>
      </c>
      <c r="X10" s="401" t="n">
        <f aca="false">IF($F10=X$6,$J10,0)</f>
        <v>0</v>
      </c>
      <c r="Y10" s="401" t="n">
        <f aca="false">IF($F10=Y$6,$J10,0)</f>
        <v>0</v>
      </c>
      <c r="Z10" s="401" t="n">
        <f aca="false">IF($F10=Z$6,$J10,0)</f>
        <v>0</v>
      </c>
      <c r="AA10" s="265"/>
      <c r="AB10" s="265"/>
      <c r="AC10" s="265"/>
    </row>
    <row r="11" s="264" customFormat="true" ht="17.25" hidden="false" customHeight="true" outlineLevel="0" collapsed="false">
      <c r="A11" s="135" t="n">
        <f aca="false">IF(B11&lt;='Policy Portfolio'!$A$17,'Current Portfolio'!$B11,$B11)</f>
        <v>1</v>
      </c>
      <c r="B11" s="135" t="n">
        <v>1</v>
      </c>
      <c r="C11" s="402" t="str">
        <f aca="false">IF(ISERROR(VLOOKUP(B11,'Portfolio Bucket'!$A$2:$C$69,2,0)),"",VLOOKUP(B11,'Portfolio Bucket'!$A$2:$C$69,3,0))</f>
        <v>BIV</v>
      </c>
      <c r="D11" s="278" t="str">
        <f aca="false">IF(C11="","",VLOOKUP(C11,'ETF List'!$C$1:$J$200,3,0))</f>
        <v>Vanguard Intermediate-Term Bond</v>
      </c>
      <c r="E11" s="278" t="str">
        <f aca="false">IF(C11="","",IF(ISERROR(VLOOKUP(C11,'Policy Portfolio'!$H$21:$H$29,1,0)),"Tactical","Policy"))</f>
        <v>Policy</v>
      </c>
      <c r="F11" s="278" t="str">
        <f aca="false">IF(C11="","",VLOOKUP(C11,'ETF List'!$C$1:$J$200,4,0))</f>
        <v>Bonds</v>
      </c>
      <c r="G11" s="278" t="str">
        <f aca="false">IF(C11="","",VLOOKUP(C11,'ETF List'!$C$1:$J$200,5,0))</f>
        <v>Aggregate Bond</v>
      </c>
      <c r="H11" s="403" t="n">
        <f aca="false">IF(C11="","",INDEX('Portfolio Bucket'!$C$2:$I$69,MATCH(C11,'Portfolio Bucket'!$C$2:$C$69,0),MATCH($E$5,'Portfolio Bucket'!$C$1:$I$1,0)))</f>
        <v>1239</v>
      </c>
      <c r="I11" s="404" t="n">
        <f aca="false">IF(C11="","",IF(INDEX('Price Inputs'!$C$5:$J$49,MATCH(C11,'Price Inputs'!$C$5:$C$49,0),MATCH('Current Portfolio'!$E$5,'Price Inputs'!$C$5:$J$5,0))=0,VLOOKUP(C11,Trades!$C$32:$O$59,8,0),INDEX('Price Inputs'!$C$5:$J$49,MATCH(C11,'Price Inputs'!$C$5:$C$49,0),MATCH('Current Portfolio'!$E$5,'Price Inputs'!$C$5:$J$5,0))))</f>
        <v>80.61</v>
      </c>
      <c r="J11" s="405" t="n">
        <f aca="false">IF(C11="","",H11*I11)</f>
        <v>99875.79</v>
      </c>
      <c r="K11" s="406" t="n">
        <f aca="false">IF(ISNUMBER(J11),J11/SUM(Mrkt_Value,$J$10),"")</f>
        <v>0.100197916281052</v>
      </c>
      <c r="T11" s="377"/>
      <c r="U11" s="407"/>
      <c r="V11" s="392" t="n">
        <f aca="false">IF($F11=V$6,$J11,0)</f>
        <v>0</v>
      </c>
      <c r="W11" s="392" t="n">
        <f aca="false">IF($F11=W$6,$J11,0)</f>
        <v>99875.79</v>
      </c>
      <c r="X11" s="392" t="n">
        <f aca="false">IF($F11=X$6,$J11,0)</f>
        <v>0</v>
      </c>
      <c r="Y11" s="392" t="n">
        <f aca="false">IF($F11=Y$6,$J11,0)</f>
        <v>0</v>
      </c>
      <c r="Z11" s="392" t="n">
        <f aca="false">IF($F11=Z$6,$J11,0)</f>
        <v>0</v>
      </c>
      <c r="AA11" s="263"/>
      <c r="AB11" s="263"/>
      <c r="AC11" s="263"/>
    </row>
    <row r="12" s="264" customFormat="true" ht="17.25" hidden="false" customHeight="true" outlineLevel="0" collapsed="false">
      <c r="A12" s="135" t="n">
        <f aca="false">IF(B12&lt;='Policy Portfolio'!$A$17,'Current Portfolio'!$B12,$B12)</f>
        <v>2</v>
      </c>
      <c r="B12" s="135" t="n">
        <v>2</v>
      </c>
      <c r="C12" s="408" t="str">
        <f aca="false">IF(ISERROR(VLOOKUP(B12,'Portfolio Bucket'!$A$2:$C$69,2,0)),"",VLOOKUP(B12,'Portfolio Bucket'!$A$2:$C$69,3,0))</f>
        <v>EEM</v>
      </c>
      <c r="D12" s="287" t="str">
        <f aca="false">IF(C12="","",VLOOKUP(C12,'ETF List'!$C$1:$J$200,3,0))</f>
        <v>iShares Emerging Mrkt</v>
      </c>
      <c r="E12" s="287" t="str">
        <f aca="false">IF(C12="","",IF(ISERROR(VLOOKUP(C12,'Policy Portfolio'!$H$21:$H$29,1,0)),"Tactical","Policy"))</f>
        <v>Policy</v>
      </c>
      <c r="F12" s="287" t="str">
        <f aca="false">IF(C12="","",VLOOKUP(C12,'ETF List'!$C$1:$J$200,4,0))</f>
        <v>Intl Equity</v>
      </c>
      <c r="G12" s="287" t="str">
        <f aca="false">IF(C12="","",VLOOKUP(C12,'ETF List'!$C$1:$J$200,5,0))</f>
        <v>Emerging Mrkts</v>
      </c>
      <c r="H12" s="409" t="n">
        <f aca="false">IF(C12="","",INDEX('Portfolio Bucket'!$C$2:$I$69,MATCH(C12,'Portfolio Bucket'!$C$2:$C$69,0),MATCH($E$5,'Portfolio Bucket'!$C$1:$I$1,0)))</f>
        <v>3238</v>
      </c>
      <c r="I12" s="404" t="n">
        <f aca="false">IF(C12="","",IF(INDEX('Price Inputs'!$C$5:$J$49,MATCH(C12,'Price Inputs'!$C$5:$C$49,0),MATCH('Current Portfolio'!$E$5,'Price Inputs'!$C$5:$J$5,0))=0,VLOOKUP(C12,Trades!$C$32:$O$59,8,0),INDEX('Price Inputs'!$C$5:$J$49,MATCH(C12,'Price Inputs'!$C$5:$C$49,0),MATCH('Current Portfolio'!$E$5,'Price Inputs'!$C$5:$J$5,0))))</f>
        <v>45.25</v>
      </c>
      <c r="J12" s="410" t="n">
        <f aca="false">IF(C12="","",H12*I12)</f>
        <v>146519.5</v>
      </c>
      <c r="K12" s="411" t="n">
        <f aca="false">IF(ISNUMBER(J12),J12/SUM(Mrkt_Value,$J$10),"")</f>
        <v>0.14699206478909</v>
      </c>
      <c r="T12" s="377"/>
      <c r="U12" s="407"/>
      <c r="V12" s="392" t="n">
        <f aca="false">IF($F12=V$6,$J12,0)</f>
        <v>0</v>
      </c>
      <c r="W12" s="392" t="n">
        <f aca="false">IF($F12=W$6,$J12,0)</f>
        <v>0</v>
      </c>
      <c r="X12" s="392" t="n">
        <f aca="false">IF($F12=X$6,$J12,0)</f>
        <v>0</v>
      </c>
      <c r="Y12" s="392" t="n">
        <f aca="false">IF($F12=Y$6,$J12,0)</f>
        <v>146519.5</v>
      </c>
      <c r="Z12" s="392" t="n">
        <f aca="false">IF($F12=Z$6,$J12,0)</f>
        <v>0</v>
      </c>
      <c r="AA12" s="263"/>
      <c r="AB12" s="263"/>
      <c r="AC12" s="263"/>
    </row>
    <row r="13" s="264" customFormat="true" ht="17.25" hidden="false" customHeight="true" outlineLevel="0" collapsed="false">
      <c r="A13" s="135" t="n">
        <f aca="false">IF(B13&lt;='Policy Portfolio'!$A$17,'Current Portfolio'!$B13,$B13)</f>
        <v>3</v>
      </c>
      <c r="B13" s="135" t="n">
        <v>3</v>
      </c>
      <c r="C13" s="408" t="str">
        <f aca="false">IF(ISERROR(VLOOKUP(B13,'Portfolio Bucket'!$A$2:$C$69,2,0)),"",VLOOKUP(B13,'Portfolio Bucket'!$A$2:$C$69,3,0))</f>
        <v>EFA</v>
      </c>
      <c r="D13" s="287" t="str">
        <f aca="false">IF(C13="","",VLOOKUP(C13,'ETF List'!$C$1:$J$200,3,0))</f>
        <v>iShares EAFE</v>
      </c>
      <c r="E13" s="287" t="str">
        <f aca="false">IF(C13="","",IF(ISERROR(VLOOKUP(C13,'Policy Portfolio'!$H$21:$H$29,1,0)),"Tactical","Policy"))</f>
        <v>Policy</v>
      </c>
      <c r="F13" s="287" t="str">
        <f aca="false">IF(C13="","",VLOOKUP(C13,'ETF List'!$C$1:$J$200,4,0))</f>
        <v>Intl Equity</v>
      </c>
      <c r="G13" s="287" t="str">
        <f aca="false">IF(C13="","",VLOOKUP(C13,'ETF List'!$C$1:$J$200,5,0))</f>
        <v>Developed Mrkts</v>
      </c>
      <c r="H13" s="409" t="n">
        <f aca="false">IF(C13="","",INDEX('Portfolio Bucket'!$C$2:$I$69,MATCH(C13,'Portfolio Bucket'!$C$2:$C$69,0),MATCH($E$5,'Portfolio Bucket'!$C$1:$I$1,0)))</f>
        <v>716</v>
      </c>
      <c r="I13" s="404" t="n">
        <f aca="false">IF(C13="","",IF(INDEX('Price Inputs'!$C$5:$J$49,MATCH(C13,'Price Inputs'!$C$5:$C$49,0),MATCH('Current Portfolio'!$E$5,'Price Inputs'!$C$5:$J$5,0))=0,VLOOKUP(C13,Trades!$C$32:$O$59,8,0),INDEX('Price Inputs'!$C$5:$J$49,MATCH(C13,'Price Inputs'!$C$5:$C$49,0),MATCH('Current Portfolio'!$E$5,'Price Inputs'!$C$5:$J$5,0))))</f>
        <v>70</v>
      </c>
      <c r="J13" s="410" t="n">
        <f aca="false">IF(C13="","",H13*I13)</f>
        <v>50120</v>
      </c>
      <c r="K13" s="411" t="n">
        <f aca="false">IF(ISNUMBER(J13),J13/SUM(Mrkt_Value,$J$10),"")</f>
        <v>0.0502816504781221</v>
      </c>
      <c r="T13" s="377"/>
      <c r="U13" s="407"/>
      <c r="V13" s="392" t="n">
        <f aca="false">IF($F13=V$6,$J13,0)</f>
        <v>0</v>
      </c>
      <c r="W13" s="392" t="n">
        <f aca="false">IF($F13=W$6,$J13,0)</f>
        <v>0</v>
      </c>
      <c r="X13" s="392" t="n">
        <f aca="false">IF($F13=X$6,$J13,0)</f>
        <v>0</v>
      </c>
      <c r="Y13" s="392" t="n">
        <f aca="false">IF($F13=Y$6,$J13,0)</f>
        <v>50120</v>
      </c>
      <c r="Z13" s="392" t="n">
        <f aca="false">IF($F13=Z$6,$J13,0)</f>
        <v>0</v>
      </c>
      <c r="AA13" s="263"/>
      <c r="AB13" s="263"/>
      <c r="AC13" s="263"/>
    </row>
    <row r="14" s="264" customFormat="true" ht="17.25" hidden="false" customHeight="true" outlineLevel="0" collapsed="false">
      <c r="A14" s="135" t="n">
        <f aca="false">IF(B14&lt;='Policy Portfolio'!$A$17,'Current Portfolio'!$B14,$B14)</f>
        <v>4</v>
      </c>
      <c r="B14" s="135" t="n">
        <v>4</v>
      </c>
      <c r="C14" s="408" t="str">
        <f aca="false">IF(ISERROR(VLOOKUP(B14,'Portfolio Bucket'!$A$2:$C$69,2,0)),"",VLOOKUP(B14,'Portfolio Bucket'!$A$2:$C$69,3,0))</f>
        <v>HYG</v>
      </c>
      <c r="D14" s="287" t="str">
        <f aca="false">IF(C14="","",VLOOKUP(C14,'ETF List'!$C$1:$J$200,3,0))</f>
        <v>iShares High Yield Bonds</v>
      </c>
      <c r="E14" s="287" t="str">
        <f aca="false">IF(C14="","",IF(ISERROR(VLOOKUP(C14,'Policy Portfolio'!$H$21:$H$29,1,0)),"Tactical","Policy"))</f>
        <v>Policy</v>
      </c>
      <c r="F14" s="287" t="str">
        <f aca="false">IF(C14="","",VLOOKUP(C14,'ETF List'!$C$1:$J$200,4,0))</f>
        <v>Bonds</v>
      </c>
      <c r="G14" s="287" t="str">
        <f aca="false">IF(C14="","",VLOOKUP(C14,'ETF List'!$C$1:$J$200,5,0))</f>
        <v>Corporate</v>
      </c>
      <c r="H14" s="409" t="n">
        <f aca="false">IF(C14="","",INDEX('Portfolio Bucket'!$C$2:$I$69,MATCH(C14,'Portfolio Bucket'!$C$2:$C$69,0),MATCH($E$5,'Portfolio Bucket'!$C$1:$I$1,0)))</f>
        <v>2043</v>
      </c>
      <c r="I14" s="404" t="n">
        <f aca="false">IF(C14="","",IF(INDEX('Price Inputs'!$C$5:$J$49,MATCH(C14,'Price Inputs'!$C$5:$C$49,0),MATCH('Current Portfolio'!$E$5,'Price Inputs'!$C$5:$J$5,0))=0,VLOOKUP(C14,Trades!$C$32:$O$59,8,0),INDEX('Price Inputs'!$C$5:$J$49,MATCH(C14,'Price Inputs'!$C$5:$C$49,0),MATCH('Current Portfolio'!$E$5,'Price Inputs'!$C$5:$J$5,0))))</f>
        <v>86.12</v>
      </c>
      <c r="J14" s="410" t="n">
        <f aca="false">IF(C14="","",H14*I14)</f>
        <v>175943.16</v>
      </c>
      <c r="K14" s="411" t="n">
        <f aca="false">IF(ISNUMBER(J14),J14/SUM(Mrkt_Value,$J$10),"")</f>
        <v>0.176510624005114</v>
      </c>
      <c r="T14" s="377"/>
      <c r="U14" s="407"/>
      <c r="V14" s="392" t="n">
        <f aca="false">IF($F14=V$6,$J14,0)</f>
        <v>0</v>
      </c>
      <c r="W14" s="392" t="n">
        <f aca="false">IF($F14=W$6,$J14,0)</f>
        <v>175943.16</v>
      </c>
      <c r="X14" s="392" t="n">
        <f aca="false">IF($F14=X$6,$J14,0)</f>
        <v>0</v>
      </c>
      <c r="Y14" s="392" t="n">
        <f aca="false">IF($F14=Y$6,$J14,0)</f>
        <v>0</v>
      </c>
      <c r="Z14" s="392" t="n">
        <f aca="false">IF($F14=Z$6,$J14,0)</f>
        <v>0</v>
      </c>
      <c r="AA14" s="263"/>
      <c r="AB14" s="263"/>
      <c r="AC14" s="263"/>
    </row>
    <row r="15" s="264" customFormat="true" ht="17.25" hidden="false" customHeight="true" outlineLevel="0" collapsed="false">
      <c r="A15" s="135" t="n">
        <f aca="false">IF(B15&lt;='Policy Portfolio'!$A$17,'Current Portfolio'!$B15,$B15)</f>
        <v>5</v>
      </c>
      <c r="B15" s="135" t="n">
        <v>5</v>
      </c>
      <c r="C15" s="408" t="str">
        <f aca="false">IF(ISERROR(VLOOKUP(B15,'Portfolio Bucket'!$A$2:$C$69,2,0)),"",VLOOKUP(B15,'Portfolio Bucket'!$A$2:$C$69,3,0))</f>
        <v>IEF</v>
      </c>
      <c r="D15" s="287" t="str">
        <f aca="false">IF(C15="","",VLOOKUP(C15,'ETF List'!$C$1:$J$200,3,0))</f>
        <v>iShares 7-10 Yr Treasury</v>
      </c>
      <c r="E15" s="287" t="str">
        <f aca="false">IF(C15="","",IF(ISERROR(VLOOKUP(C15,'Policy Portfolio'!$H$21:$H$29,1,0)),"Tactical","Policy"))</f>
        <v>Policy</v>
      </c>
      <c r="F15" s="287" t="str">
        <f aca="false">IF(C15="","",VLOOKUP(C15,'ETF List'!$C$1:$J$200,4,0))</f>
        <v>Bonds</v>
      </c>
      <c r="G15" s="287" t="str">
        <f aca="false">IF(C15="","",VLOOKUP(C15,'ETF List'!$C$1:$J$200,5,0))</f>
        <v>US Government</v>
      </c>
      <c r="H15" s="409" t="n">
        <f aca="false">IF(C15="","",INDEX('Portfolio Bucket'!$C$2:$I$69,MATCH(C15,'Portfolio Bucket'!$C$2:$C$69,0),MATCH($E$5,'Portfolio Bucket'!$C$1:$I$1,0)))</f>
        <v>1709</v>
      </c>
      <c r="I15" s="404" t="n">
        <f aca="false">IF(C15="","",IF(INDEX('Price Inputs'!$C$5:$J$49,MATCH(C15,'Price Inputs'!$C$5:$C$49,0),MATCH('Current Portfolio'!$E$5,'Price Inputs'!$C$5:$J$5,0))=0,VLOOKUP(C15,Trades!$C$32:$O$59,8,0),INDEX('Price Inputs'!$C$5:$J$49,MATCH(C15,'Price Inputs'!$C$5:$C$49,0),MATCH('Current Portfolio'!$E$5,'Price Inputs'!$C$5:$J$5,0))))</f>
        <v>101.83</v>
      </c>
      <c r="J15" s="410" t="n">
        <f aca="false">IF(C15="","",H15*I15)</f>
        <v>174027.47</v>
      </c>
      <c r="K15" s="411" t="n">
        <f aca="false">IF(ISNUMBER(J15),J15/SUM(Mrkt_Value,$J$10),"")</f>
        <v>0.174588755389702</v>
      </c>
      <c r="T15" s="377"/>
      <c r="U15" s="407"/>
      <c r="V15" s="392" t="n">
        <f aca="false">IF($F15=V$6,$J15,0)</f>
        <v>0</v>
      </c>
      <c r="W15" s="392" t="n">
        <f aca="false">IF($F15=W$6,$J15,0)</f>
        <v>174027.47</v>
      </c>
      <c r="X15" s="392" t="n">
        <f aca="false">IF($F15=X$6,$J15,0)</f>
        <v>0</v>
      </c>
      <c r="Y15" s="392" t="n">
        <f aca="false">IF($F15=Y$6,$J15,0)</f>
        <v>0</v>
      </c>
      <c r="Z15" s="392" t="n">
        <f aca="false">IF($F15=Z$6,$J15,0)</f>
        <v>0</v>
      </c>
      <c r="AA15" s="263"/>
      <c r="AB15" s="263"/>
      <c r="AC15" s="263"/>
    </row>
    <row r="16" s="264" customFormat="true" ht="17.25" hidden="false" customHeight="true" outlineLevel="0" collapsed="false">
      <c r="A16" s="135" t="n">
        <f aca="false">IF(B16&lt;='Policy Portfolio'!$A$17,'Current Portfolio'!$B16,$B16)</f>
        <v>6</v>
      </c>
      <c r="B16" s="135" t="n">
        <v>6</v>
      </c>
      <c r="C16" s="408" t="str">
        <f aca="false">IF(ISERROR(VLOOKUP(B16,'Portfolio Bucket'!$A$2:$C$69,2,0)),"",VLOOKUP(B16,'Portfolio Bucket'!$A$2:$C$69,3,0))</f>
        <v>IYR</v>
      </c>
      <c r="D16" s="287" t="str">
        <f aca="false">IF(C16="","",VLOOKUP(C16,'ETF List'!$C$1:$J$200,3,0))</f>
        <v>iShares US Real Estate</v>
      </c>
      <c r="E16" s="287" t="str">
        <f aca="false">IF(C16="","",IF(ISERROR(VLOOKUP(C16,'Policy Portfolio'!$H$21:$H$29,1,0)),"Tactical","Policy"))</f>
        <v>Policy</v>
      </c>
      <c r="F16" s="287" t="str">
        <f aca="false">IF(C16="","",VLOOKUP(C16,'ETF List'!$C$1:$J$200,4,0))</f>
        <v>Alternatives</v>
      </c>
      <c r="G16" s="287" t="str">
        <f aca="false">IF(C16="","",VLOOKUP(C16,'ETF List'!$C$1:$J$200,5,0))</f>
        <v>REIT</v>
      </c>
      <c r="H16" s="409" t="n">
        <f aca="false">IF(C16="","",INDEX('Portfolio Bucket'!$C$2:$I$69,MATCH(C16,'Portfolio Bucket'!$C$2:$C$69,0),MATCH($E$5,'Portfolio Bucket'!$C$1:$I$1,0)))</f>
        <v>630</v>
      </c>
      <c r="I16" s="404" t="n">
        <f aca="false">IF(C16="","",IF(INDEX('Price Inputs'!$C$5:$J$49,MATCH(C16,'Price Inputs'!$C$5:$C$49,0),MATCH('Current Portfolio'!$E$5,'Price Inputs'!$C$5:$J$5,0))=0,VLOOKUP(C16,Trades!$C$32:$O$59,8,0),INDEX('Price Inputs'!$C$5:$J$49,MATCH(C16,'Price Inputs'!$C$5:$C$49,0),MATCH('Current Portfolio'!$E$5,'Price Inputs'!$C$5:$J$5,0))))</f>
        <v>78.96</v>
      </c>
      <c r="J16" s="410" t="n">
        <f aca="false">IF(C16="","",H16*I16)</f>
        <v>49744.8</v>
      </c>
      <c r="K16" s="411" t="n">
        <f aca="false">IF(ISNUMBER(J16),J16/SUM(Mrkt_Value,$J$10),"")</f>
        <v>0.0499052403572244</v>
      </c>
      <c r="T16" s="377"/>
      <c r="U16" s="407"/>
      <c r="V16" s="392" t="n">
        <f aca="false">IF($F16=V$6,$J16,0)</f>
        <v>0</v>
      </c>
      <c r="W16" s="392" t="n">
        <f aca="false">IF($F16=W$6,$J16,0)</f>
        <v>0</v>
      </c>
      <c r="X16" s="392" t="n">
        <f aca="false">IF($F16=X$6,$J16,0)</f>
        <v>0</v>
      </c>
      <c r="Y16" s="392" t="n">
        <f aca="false">IF($F16=Y$6,$J16,0)</f>
        <v>0</v>
      </c>
      <c r="Z16" s="392" t="n">
        <f aca="false">IF($F16=Z$6,$J16,0)</f>
        <v>49744.8</v>
      </c>
      <c r="AA16" s="263"/>
      <c r="AB16" s="263"/>
      <c r="AC16" s="263"/>
    </row>
    <row r="17" s="264" customFormat="true" ht="17.25" hidden="false" customHeight="true" outlineLevel="0" collapsed="false">
      <c r="A17" s="135" t="n">
        <f aca="false">IF(B17&lt;='Policy Portfolio'!$A$17,'Current Portfolio'!$B17,$B17)</f>
        <v>7</v>
      </c>
      <c r="B17" s="135" t="n">
        <v>7</v>
      </c>
      <c r="C17" s="408" t="str">
        <f aca="false">IF(ISERROR(VLOOKUP(B17,'Portfolio Bucket'!$A$2:$C$69,2,0)),"",VLOOKUP(B17,'Portfolio Bucket'!$A$2:$C$69,3,0))</f>
        <v>VTI</v>
      </c>
      <c r="D17" s="287" t="str">
        <f aca="false">IF(C17="","",VLOOKUP(C17,'ETF List'!$C$1:$J$200,3,0))</f>
        <v>Vanguard Total Stock Mrkt</v>
      </c>
      <c r="E17" s="287" t="str">
        <f aca="false">IF(C17="","",IF(ISERROR(VLOOKUP(C17,'Policy Portfolio'!$H$21:$H$29,1,0)),"Tactical","Policy"))</f>
        <v>Policy</v>
      </c>
      <c r="F17" s="287" t="str">
        <f aca="false">IF(C17="","",VLOOKUP(C17,'ETF List'!$C$1:$J$200,4,0))</f>
        <v>US Equity</v>
      </c>
      <c r="G17" s="287" t="str">
        <f aca="false">IF(C17="","",VLOOKUP(C17,'ETF List'!$C$1:$J$200,5,0))</f>
        <v>Broad Mrkt</v>
      </c>
      <c r="H17" s="409" t="n">
        <f aca="false">IF(C17="","",INDEX('Portfolio Bucket'!$C$2:$I$69,MATCH(C17,'Portfolio Bucket'!$C$2:$C$69,0),MATCH($E$5,'Portfolio Bucket'!$C$1:$I$1,0)))</f>
        <v>2015</v>
      </c>
      <c r="I17" s="404" t="n">
        <f aca="false">IF(C17="","",IF(INDEX('Price Inputs'!$C$5:$J$49,MATCH(C17,'Price Inputs'!$C$5:$C$49,0),MATCH('Current Portfolio'!$E$5,'Price Inputs'!$C$5:$J$5,0))=0,VLOOKUP(C17,Trades!$C$32:$O$59,8,0),INDEX('Price Inputs'!$C$5:$J$49,MATCH(C17,'Price Inputs'!$C$5:$C$49,0),MATCH('Current Portfolio'!$E$5,'Price Inputs'!$C$5:$J$5,0))))</f>
        <v>144.16</v>
      </c>
      <c r="J17" s="410" t="n">
        <f aca="false">IF(C17="","",H17*I17)</f>
        <v>290482.4</v>
      </c>
      <c r="K17" s="411" t="n">
        <f aca="false">IF(ISNUMBER(J17),J17/SUM(Mrkt_Value,$J$10),"")</f>
        <v>0.291419283855667</v>
      </c>
      <c r="T17" s="377"/>
      <c r="U17" s="407"/>
      <c r="V17" s="392" t="n">
        <f aca="false">IF($F17=V$6,$J17,0)</f>
        <v>0</v>
      </c>
      <c r="W17" s="392" t="n">
        <f aca="false">IF($F17=W$6,$J17,0)</f>
        <v>0</v>
      </c>
      <c r="X17" s="392" t="n">
        <f aca="false">IF($F17=X$6,$J17,0)</f>
        <v>290482.4</v>
      </c>
      <c r="Y17" s="392" t="n">
        <f aca="false">IF($F17=Y$6,$J17,0)</f>
        <v>0</v>
      </c>
      <c r="Z17" s="392" t="n">
        <f aca="false">IF($F17=Z$6,$J17,0)</f>
        <v>0</v>
      </c>
      <c r="AA17" s="263"/>
      <c r="AB17" s="263"/>
      <c r="AC17" s="263"/>
    </row>
    <row r="18" s="264" customFormat="true" ht="17.25" hidden="false" customHeight="true" outlineLevel="0" collapsed="false">
      <c r="A18" s="135" t="n">
        <f aca="false">IF(B18&lt;='Policy Portfolio'!$A$17,'Current Portfolio'!$B18,$B18)</f>
        <v>8</v>
      </c>
      <c r="B18" s="135" t="n">
        <v>8</v>
      </c>
      <c r="C18" s="408" t="str">
        <f aca="false">IF(ISERROR(VLOOKUP(B18,'Portfolio Bucket'!$A$2:$C$69,2,0)),"",VLOOKUP(B18,'Portfolio Bucket'!$A$2:$C$69,3,0))</f>
        <v/>
      </c>
      <c r="D18" s="287" t="str">
        <f aca="false">IF(C18="","",VLOOKUP(C18,'ETF List'!$C$1:$J$200,3,0))</f>
        <v/>
      </c>
      <c r="E18" s="287" t="str">
        <f aca="false">IF(C18="","",IF(ISERROR(VLOOKUP(C18,'Policy Portfolio'!$H$21:$H$29,1,0)),"Tactical","Policy"))</f>
        <v/>
      </c>
      <c r="F18" s="287" t="str">
        <f aca="false">IF(C18="","",VLOOKUP(C18,'ETF List'!$C$1:$J$200,4,0))</f>
        <v/>
      </c>
      <c r="G18" s="287" t="str">
        <f aca="false">IF(C18="","",VLOOKUP(C18,'ETF List'!$C$1:$J$200,5,0))</f>
        <v/>
      </c>
      <c r="H18" s="409" t="str">
        <f aca="false">IF(C18="","",INDEX('Portfolio Bucket'!$C$2:$I$69,MATCH(C18,'Portfolio Bucket'!$C$2:$C$69,0),MATCH($E$5,'Portfolio Bucket'!$C$1:$I$1,0)))</f>
        <v/>
      </c>
      <c r="I18" s="404" t="str">
        <f aca="false">IF(C18="","",IF(INDEX('Price Inputs'!$C$5:$J$49,MATCH(C18,'Price Inputs'!$C$5:$C$49,0),MATCH('Current Portfolio'!$E$5,'Price Inputs'!$C$5:$J$5,0))=0,VLOOKUP(C18,Trades!$C$32:$O$59,8,0),INDEX('Price Inputs'!$C$5:$J$49,MATCH(C18,'Price Inputs'!$C$5:$C$49,0),MATCH('Current Portfolio'!$E$5,'Price Inputs'!$C$5:$J$5,0))))</f>
        <v/>
      </c>
      <c r="J18" s="410" t="str">
        <f aca="false">IF(C18="","",H18*I18)</f>
        <v/>
      </c>
      <c r="K18" s="411" t="str">
        <f aca="false">IF(ISNUMBER(J18),J18/SUM(Mrkt_Value,$J$10),"")</f>
        <v/>
      </c>
      <c r="T18" s="377"/>
      <c r="U18" s="407"/>
      <c r="V18" s="392" t="n">
        <f aca="false">IF($F18=V$6,$J18,0)</f>
        <v>0</v>
      </c>
      <c r="W18" s="392" t="n">
        <f aca="false">IF($F18=W$6,$J18,0)</f>
        <v>0</v>
      </c>
      <c r="X18" s="392" t="n">
        <f aca="false">IF($F18=X$6,$J18,0)</f>
        <v>0</v>
      </c>
      <c r="Y18" s="392" t="n">
        <f aca="false">IF($F18=Y$6,$J18,0)</f>
        <v>0</v>
      </c>
      <c r="Z18" s="392" t="n">
        <f aca="false">IF($F18=Z$6,$J18,0)</f>
        <v>0</v>
      </c>
      <c r="AA18" s="263"/>
      <c r="AB18" s="263"/>
      <c r="AC18" s="263"/>
    </row>
    <row r="19" s="264" customFormat="true" ht="17.25" hidden="false" customHeight="true" outlineLevel="0" collapsed="false">
      <c r="A19" s="135" t="n">
        <f aca="false">IF(B19&lt;='Policy Portfolio'!$A$17,'Current Portfolio'!$B19,$B19)</f>
        <v>9</v>
      </c>
      <c r="B19" s="135" t="n">
        <v>9</v>
      </c>
      <c r="C19" s="408" t="str">
        <f aca="false">IF(ISERROR(VLOOKUP(B19,'Portfolio Bucket'!$A$2:$C$69,2,0)),"",VLOOKUP(B19,'Portfolio Bucket'!$A$2:$C$69,3,0))</f>
        <v/>
      </c>
      <c r="D19" s="287" t="str">
        <f aca="false">IF(C19="","",VLOOKUP(C19,'ETF List'!$C$1:$J$200,3,0))</f>
        <v/>
      </c>
      <c r="E19" s="287" t="str">
        <f aca="false">IF(C19="","",IF(ISERROR(VLOOKUP(C19,'Policy Portfolio'!$H$21:$H$29,1,0)),"Tactical","Policy"))</f>
        <v/>
      </c>
      <c r="F19" s="287" t="str">
        <f aca="false">IF(C19="","",VLOOKUP(C19,'ETF List'!$C$1:$J$200,4,0))</f>
        <v/>
      </c>
      <c r="G19" s="287" t="str">
        <f aca="false">IF(C19="","",VLOOKUP(C19,'ETF List'!$C$1:$J$200,5,0))</f>
        <v/>
      </c>
      <c r="H19" s="409" t="str">
        <f aca="false">IF(C19="","",INDEX('Portfolio Bucket'!$C$2:$I$69,MATCH(C19,'Portfolio Bucket'!$C$2:$C$69,0),MATCH($E$5,'Portfolio Bucket'!$C$1:$I$1,0)))</f>
        <v/>
      </c>
      <c r="I19" s="404" t="str">
        <f aca="false">IF(C19="","",IF(INDEX('Price Inputs'!$C$5:$J$49,MATCH(C19,'Price Inputs'!$C$5:$C$49,0),MATCH('Current Portfolio'!$E$5,'Price Inputs'!$C$5:$J$5,0))=0,VLOOKUP(C19,Trades!$C$32:$O$59,8,0),INDEX('Price Inputs'!$C$5:$J$49,MATCH(C19,'Price Inputs'!$C$5:$C$49,0),MATCH('Current Portfolio'!$E$5,'Price Inputs'!$C$5:$J$5,0))))</f>
        <v/>
      </c>
      <c r="J19" s="410" t="str">
        <f aca="false">IF(C19="","",H19*I19)</f>
        <v/>
      </c>
      <c r="K19" s="411" t="str">
        <f aca="false">IF(ISNUMBER(J19),J19/SUM(Mrkt_Value,$J$10),"")</f>
        <v/>
      </c>
      <c r="T19" s="377"/>
      <c r="U19" s="407"/>
      <c r="V19" s="392" t="n">
        <f aca="false">IF($F19=V$6,$J19,0)</f>
        <v>0</v>
      </c>
      <c r="W19" s="392" t="n">
        <f aca="false">IF($F19=W$6,$J19,0)</f>
        <v>0</v>
      </c>
      <c r="X19" s="392" t="n">
        <f aca="false">IF($F19=X$6,$J19,0)</f>
        <v>0</v>
      </c>
      <c r="Y19" s="392" t="n">
        <f aca="false">IF($F19=Y$6,$J19,0)</f>
        <v>0</v>
      </c>
      <c r="Z19" s="392" t="n">
        <f aca="false">IF($F19=Z$6,$J19,0)</f>
        <v>0</v>
      </c>
      <c r="AA19" s="263"/>
      <c r="AB19" s="263"/>
      <c r="AC19" s="263"/>
    </row>
    <row r="20" s="264" customFormat="true" ht="17.25" hidden="false" customHeight="true" outlineLevel="0" collapsed="false">
      <c r="A20" s="135" t="n">
        <f aca="false">IF(B20&lt;='Policy Portfolio'!$A$17,'Current Portfolio'!$B20,$B20)</f>
        <v>10</v>
      </c>
      <c r="B20" s="135" t="n">
        <v>10</v>
      </c>
      <c r="C20" s="408" t="str">
        <f aca="false">IF(ISERROR(VLOOKUP(B20,'Portfolio Bucket'!$A$2:$C$69,2,0)),"",VLOOKUP(B20,'Portfolio Bucket'!$A$2:$C$69,3,0))</f>
        <v/>
      </c>
      <c r="D20" s="287" t="str">
        <f aca="false">IF(C20="","",VLOOKUP(C20,'ETF List'!$C$1:$J$200,3,0))</f>
        <v/>
      </c>
      <c r="E20" s="287" t="str">
        <f aca="false">IF(C20="","",IF(ISERROR(VLOOKUP(C20,'Policy Portfolio'!$H$21:$H$29,1,0)),"Tactical","Policy"))</f>
        <v/>
      </c>
      <c r="F20" s="287" t="str">
        <f aca="false">IF(C20="","",VLOOKUP(C20,'ETF List'!$C$1:$J$200,4,0))</f>
        <v/>
      </c>
      <c r="G20" s="287" t="str">
        <f aca="false">IF(C20="","",VLOOKUP(C20,'ETF List'!$C$1:$J$200,5,0))</f>
        <v/>
      </c>
      <c r="H20" s="409" t="str">
        <f aca="false">IF(C20="","",INDEX('Portfolio Bucket'!$C$2:$I$69,MATCH(C20,'Portfolio Bucket'!$C$2:$C$69,0),MATCH($E$5,'Portfolio Bucket'!$C$1:$I$1,0)))</f>
        <v/>
      </c>
      <c r="I20" s="404" t="str">
        <f aca="false">IF(C20="","",IF(INDEX('Price Inputs'!$C$5:$J$49,MATCH(C20,'Price Inputs'!$C$5:$C$49,0),MATCH('Current Portfolio'!$E$5,'Price Inputs'!$C$5:$J$5,0))=0,VLOOKUP(C20,Trades!$C$32:$O$59,8,0),INDEX('Price Inputs'!$C$5:$J$49,MATCH(C20,'Price Inputs'!$C$5:$C$49,0),MATCH('Current Portfolio'!$E$5,'Price Inputs'!$C$5:$J$5,0))))</f>
        <v/>
      </c>
      <c r="J20" s="410" t="str">
        <f aca="false">IF(C20="","",H20*I20)</f>
        <v/>
      </c>
      <c r="K20" s="411" t="str">
        <f aca="false">IF(ISNUMBER(J20),J20/SUM(Mrkt_Value,$J$10),"")</f>
        <v/>
      </c>
      <c r="T20" s="377"/>
      <c r="U20" s="407"/>
      <c r="V20" s="392" t="n">
        <f aca="false">IF($F20=V$6,$J20,0)</f>
        <v>0</v>
      </c>
      <c r="W20" s="392" t="n">
        <f aca="false">IF($F20=W$6,$J20,0)</f>
        <v>0</v>
      </c>
      <c r="X20" s="392" t="n">
        <f aca="false">IF($F20=X$6,$J20,0)</f>
        <v>0</v>
      </c>
      <c r="Y20" s="392" t="n">
        <f aca="false">IF($F20=Y$6,$J20,0)</f>
        <v>0</v>
      </c>
      <c r="Z20" s="392" t="n">
        <f aca="false">IF($F20=Z$6,$J20,0)</f>
        <v>0</v>
      </c>
      <c r="AA20" s="263"/>
      <c r="AB20" s="263"/>
      <c r="AC20" s="263"/>
    </row>
    <row r="21" s="264" customFormat="true" ht="17.25" hidden="false" customHeight="true" outlineLevel="0" collapsed="false">
      <c r="A21" s="135" t="n">
        <f aca="false">IF(B21&lt;='Policy Portfolio'!$A$17,'Current Portfolio'!$B21,$B21)</f>
        <v>11</v>
      </c>
      <c r="B21" s="135" t="n">
        <v>11</v>
      </c>
      <c r="C21" s="408" t="str">
        <f aca="false">IF(ISERROR(VLOOKUP(B21,'Portfolio Bucket'!$A$2:$C$69,2,0)),"",VLOOKUP(B21,'Portfolio Bucket'!$A$2:$C$69,3,0))</f>
        <v/>
      </c>
      <c r="D21" s="287" t="str">
        <f aca="false">IF(C21="","",VLOOKUP(C21,'ETF List'!$C$1:$J$200,3,0))</f>
        <v/>
      </c>
      <c r="E21" s="287" t="str">
        <f aca="false">IF(C21="","",IF(ISERROR(VLOOKUP(C21,'Policy Portfolio'!$H$21:$H$29,1,0)),"Tactical","Policy"))</f>
        <v/>
      </c>
      <c r="F21" s="287" t="str">
        <f aca="false">IF(C21="","",VLOOKUP(C21,'ETF List'!$C$1:$J$200,4,0))</f>
        <v/>
      </c>
      <c r="G21" s="287" t="str">
        <f aca="false">IF(C21="","",VLOOKUP(C21,'ETF List'!$C$1:$J$200,5,0))</f>
        <v/>
      </c>
      <c r="H21" s="409" t="str">
        <f aca="false">IF(C21="","",INDEX('Portfolio Bucket'!$C$2:$I$69,MATCH(C21,'Portfolio Bucket'!$C$2:$C$69,0),MATCH($E$5,'Portfolio Bucket'!$C$1:$I$1,0)))</f>
        <v/>
      </c>
      <c r="I21" s="404" t="str">
        <f aca="false">IF(C21="","",IF(INDEX('Price Inputs'!$C$5:$J$49,MATCH(C21,'Price Inputs'!$C$5:$C$49,0),MATCH('Current Portfolio'!$E$5,'Price Inputs'!$C$5:$J$5,0))=0,VLOOKUP(C21,Trades!$C$32:$O$59,8,0),INDEX('Price Inputs'!$C$5:$J$49,MATCH(C21,'Price Inputs'!$C$5:$C$49,0),MATCH('Current Portfolio'!$E$5,'Price Inputs'!$C$5:$J$5,0))))</f>
        <v/>
      </c>
      <c r="J21" s="410" t="str">
        <f aca="false">IF(C21="","",H21*I21)</f>
        <v/>
      </c>
      <c r="K21" s="411" t="str">
        <f aca="false">IF(ISNUMBER(J21),J21/SUM(Mrkt_Value,$J$10),"")</f>
        <v/>
      </c>
      <c r="T21" s="377"/>
      <c r="U21" s="407"/>
      <c r="V21" s="392" t="n">
        <f aca="false">IF($F21=V$6,$J21,0)</f>
        <v>0</v>
      </c>
      <c r="W21" s="392" t="n">
        <f aca="false">IF($F21=W$6,$J21,0)</f>
        <v>0</v>
      </c>
      <c r="X21" s="392" t="n">
        <f aca="false">IF($F21=X$6,$J21,0)</f>
        <v>0</v>
      </c>
      <c r="Y21" s="392" t="n">
        <f aca="false">IF($F21=Y$6,$J21,0)</f>
        <v>0</v>
      </c>
      <c r="Z21" s="392" t="n">
        <f aca="false">IF($F21=Z$6,$J21,0)</f>
        <v>0</v>
      </c>
      <c r="AA21" s="263"/>
      <c r="AB21" s="263"/>
      <c r="AC21" s="263"/>
    </row>
    <row r="22" s="264" customFormat="true" ht="17.25" hidden="false" customHeight="true" outlineLevel="0" collapsed="false">
      <c r="A22" s="135" t="n">
        <f aca="false">IF(B22&lt;='Policy Portfolio'!$A$17,'Current Portfolio'!$B22,$B22)</f>
        <v>12</v>
      </c>
      <c r="B22" s="135" t="n">
        <v>12</v>
      </c>
      <c r="C22" s="408" t="str">
        <f aca="false">IF(ISERROR(VLOOKUP(B22,'Portfolio Bucket'!$A$2:$C$69,2,0)),"",VLOOKUP(B22,'Portfolio Bucket'!$A$2:$C$69,3,0))</f>
        <v/>
      </c>
      <c r="D22" s="287" t="str">
        <f aca="false">IF(C22="","",VLOOKUP(C22,'ETF List'!$C$1:$J$200,3,0))</f>
        <v/>
      </c>
      <c r="E22" s="287" t="str">
        <f aca="false">IF(C22="","",IF(ISERROR(VLOOKUP(C22,'Policy Portfolio'!$H$21:$H$29,1,0)),"Tactical","Policy"))</f>
        <v/>
      </c>
      <c r="F22" s="287" t="str">
        <f aca="false">IF(C22="","",VLOOKUP(C22,'ETF List'!$C$1:$J$200,4,0))</f>
        <v/>
      </c>
      <c r="G22" s="287" t="str">
        <f aca="false">IF(C22="","",VLOOKUP(C22,'ETF List'!$C$1:$J$200,5,0))</f>
        <v/>
      </c>
      <c r="H22" s="409" t="str">
        <f aca="false">IF(C22="","",INDEX('Portfolio Bucket'!$C$2:$I$69,MATCH(C22,'Portfolio Bucket'!$C$2:$C$69,0),MATCH($E$5,'Portfolio Bucket'!$C$1:$I$1,0)))</f>
        <v/>
      </c>
      <c r="I22" s="404" t="str">
        <f aca="false">IF(C22="","",IF(INDEX('Price Inputs'!$C$5:$J$49,MATCH(C22,'Price Inputs'!$C$5:$C$49,0),MATCH('Current Portfolio'!$E$5,'Price Inputs'!$C$5:$J$5,0))=0,VLOOKUP(C22,Trades!$C$32:$O$59,8,0),INDEX('Price Inputs'!$C$5:$J$49,MATCH(C22,'Price Inputs'!$C$5:$C$49,0),MATCH('Current Portfolio'!$E$5,'Price Inputs'!$C$5:$J$5,0))))</f>
        <v/>
      </c>
      <c r="J22" s="410" t="str">
        <f aca="false">IF(C22="","",H22*I22)</f>
        <v/>
      </c>
      <c r="K22" s="411" t="str">
        <f aca="false">IF(ISNUMBER(J22),J22/SUM(Mrkt_Value,$J$10),"")</f>
        <v/>
      </c>
      <c r="T22" s="377"/>
      <c r="U22" s="407"/>
      <c r="V22" s="392" t="n">
        <f aca="false">IF($F22=V$6,$J22,0)</f>
        <v>0</v>
      </c>
      <c r="W22" s="392" t="n">
        <f aca="false">IF($F22=W$6,$J22,0)</f>
        <v>0</v>
      </c>
      <c r="X22" s="392" t="n">
        <f aca="false">IF($F22=X$6,$J22,0)</f>
        <v>0</v>
      </c>
      <c r="Y22" s="392" t="n">
        <f aca="false">IF($F22=Y$6,$J22,0)</f>
        <v>0</v>
      </c>
      <c r="Z22" s="392" t="n">
        <f aca="false">IF($F22=Z$6,$J22,0)</f>
        <v>0</v>
      </c>
      <c r="AA22" s="263"/>
      <c r="AB22" s="263"/>
      <c r="AC22" s="263"/>
    </row>
    <row r="23" s="264" customFormat="true" ht="17.25" hidden="false" customHeight="true" outlineLevel="0" collapsed="false">
      <c r="A23" s="135" t="n">
        <f aca="false">IF(B23&lt;='Policy Portfolio'!$A$17,'Current Portfolio'!$B23,$B23)</f>
        <v>13</v>
      </c>
      <c r="B23" s="135" t="n">
        <v>13</v>
      </c>
      <c r="C23" s="408" t="str">
        <f aca="false">IF(ISERROR(VLOOKUP(B23,'Portfolio Bucket'!$A$2:$C$69,2,0)),"",VLOOKUP(B23,'Portfolio Bucket'!$A$2:$C$69,3,0))</f>
        <v/>
      </c>
      <c r="D23" s="287" t="str">
        <f aca="false">IF(C23="","",VLOOKUP(C23,'ETF List'!$C$1:$J$200,3,0))</f>
        <v/>
      </c>
      <c r="E23" s="287" t="str">
        <f aca="false">IF(C23="","",IF(ISERROR(VLOOKUP(C23,'Policy Portfolio'!$H$21:$H$29,1,0)),"Tactical","Policy"))</f>
        <v/>
      </c>
      <c r="F23" s="287" t="str">
        <f aca="false">IF(C23="","",VLOOKUP(C23,'ETF List'!$C$1:$J$200,4,0))</f>
        <v/>
      </c>
      <c r="G23" s="287" t="str">
        <f aca="false">IF(C23="","",VLOOKUP(C23,'ETF List'!$C$1:$J$200,5,0))</f>
        <v/>
      </c>
      <c r="H23" s="409" t="str">
        <f aca="false">IF(C23="","",INDEX('Portfolio Bucket'!$C$2:$I$69,MATCH(C23,'Portfolio Bucket'!$C$2:$C$69,0),MATCH($E$5,'Portfolio Bucket'!$C$1:$I$1,0)))</f>
        <v/>
      </c>
      <c r="I23" s="404" t="str">
        <f aca="false">IF(C23="","",IF(INDEX('Price Inputs'!$C$5:$J$49,MATCH(C23,'Price Inputs'!$C$5:$C$49,0),MATCH('Current Portfolio'!$E$5,'Price Inputs'!$C$5:$J$5,0))=0,VLOOKUP(C23,Trades!$C$32:$O$59,8,0),INDEX('Price Inputs'!$C$5:$J$49,MATCH(C23,'Price Inputs'!$C$5:$C$49,0),MATCH('Current Portfolio'!$E$5,'Price Inputs'!$C$5:$J$5,0))))</f>
        <v/>
      </c>
      <c r="J23" s="410" t="str">
        <f aca="false">IF(C23="","",H23*I23)</f>
        <v/>
      </c>
      <c r="K23" s="411" t="str">
        <f aca="false">IF(ISNUMBER(J23),J23/SUM(Mrkt_Value,$J$10),"")</f>
        <v/>
      </c>
      <c r="T23" s="377"/>
      <c r="U23" s="407"/>
      <c r="V23" s="392" t="n">
        <f aca="false">IF($F23=V$6,$J23,0)</f>
        <v>0</v>
      </c>
      <c r="W23" s="392" t="n">
        <f aca="false">IF($F23=W$6,$J23,0)</f>
        <v>0</v>
      </c>
      <c r="X23" s="392" t="n">
        <f aca="false">IF($F23=X$6,$J23,0)</f>
        <v>0</v>
      </c>
      <c r="Y23" s="392" t="n">
        <f aca="false">IF($F23=Y$6,$J23,0)</f>
        <v>0</v>
      </c>
      <c r="Z23" s="392" t="n">
        <f aca="false">IF($F23=Z$6,$J23,0)</f>
        <v>0</v>
      </c>
      <c r="AA23" s="263"/>
      <c r="AB23" s="263"/>
      <c r="AC23" s="263"/>
    </row>
    <row r="24" s="264" customFormat="true" ht="17.25" hidden="false" customHeight="true" outlineLevel="0" collapsed="false">
      <c r="A24" s="135" t="n">
        <f aca="false">IF(B24&lt;='Policy Portfolio'!$A$17,'Current Portfolio'!$B24,$B24)</f>
        <v>14</v>
      </c>
      <c r="B24" s="135" t="n">
        <v>14</v>
      </c>
      <c r="C24" s="408" t="str">
        <f aca="false">IF(ISERROR(VLOOKUP(B24,'Portfolio Bucket'!$A$2:$C$69,2,0)),"",VLOOKUP(B24,'Portfolio Bucket'!$A$2:$C$69,3,0))</f>
        <v/>
      </c>
      <c r="D24" s="287" t="str">
        <f aca="false">IF(C24="","",VLOOKUP(C24,'ETF List'!$C$1:$J$200,3,0))</f>
        <v/>
      </c>
      <c r="E24" s="287" t="str">
        <f aca="false">IF(C24="","",IF(ISERROR(VLOOKUP(C24,'Policy Portfolio'!$H$21:$H$29,1,0)),"Tactical","Policy"))</f>
        <v/>
      </c>
      <c r="F24" s="287" t="str">
        <f aca="false">IF(C24="","",VLOOKUP(C24,'ETF List'!$C$1:$J$200,4,0))</f>
        <v/>
      </c>
      <c r="G24" s="287" t="str">
        <f aca="false">IF(C24="","",VLOOKUP(C24,'ETF List'!$C$1:$J$200,5,0))</f>
        <v/>
      </c>
      <c r="H24" s="409" t="str">
        <f aca="false">IF(C24="","",INDEX('Portfolio Bucket'!$C$2:$I$69,MATCH(C24,'Portfolio Bucket'!$C$2:$C$69,0),MATCH($E$5,'Portfolio Bucket'!$C$1:$I$1,0)))</f>
        <v/>
      </c>
      <c r="I24" s="404" t="str">
        <f aca="false">IF(C24="","",IF(INDEX('Price Inputs'!$C$5:$J$49,MATCH(C24,'Price Inputs'!$C$5:$C$49,0),MATCH('Current Portfolio'!$E$5,'Price Inputs'!$C$5:$J$5,0))=0,VLOOKUP(C24,Trades!$C$32:$O$59,8,0),INDEX('Price Inputs'!$C$5:$J$49,MATCH(C24,'Price Inputs'!$C$5:$C$49,0),MATCH('Current Portfolio'!$E$5,'Price Inputs'!$C$5:$J$5,0))))</f>
        <v/>
      </c>
      <c r="J24" s="410" t="str">
        <f aca="false">IF(C24="","",H24*I24)</f>
        <v/>
      </c>
      <c r="K24" s="411" t="str">
        <f aca="false">IF(ISNUMBER(J24),J24/SUM(Mrkt_Value,$J$10),"")</f>
        <v/>
      </c>
      <c r="T24" s="377"/>
      <c r="U24" s="407"/>
      <c r="V24" s="392" t="n">
        <f aca="false">IF($F24=V$6,$J24,0)</f>
        <v>0</v>
      </c>
      <c r="W24" s="392" t="n">
        <f aca="false">IF($F24=W$6,$J24,0)</f>
        <v>0</v>
      </c>
      <c r="X24" s="392" t="n">
        <f aca="false">IF($F24=X$6,$J24,0)</f>
        <v>0</v>
      </c>
      <c r="Y24" s="392" t="n">
        <f aca="false">IF($F24=Y$6,$J24,0)</f>
        <v>0</v>
      </c>
      <c r="Z24" s="392" t="n">
        <f aca="false">IF($F24=Z$6,$J24,0)</f>
        <v>0</v>
      </c>
      <c r="AA24" s="263"/>
      <c r="AB24" s="263"/>
      <c r="AC24" s="263"/>
    </row>
    <row r="25" s="264" customFormat="true" ht="17.25" hidden="false" customHeight="true" outlineLevel="0" collapsed="false">
      <c r="A25" s="135" t="n">
        <f aca="false">IF(B25&lt;='Policy Portfolio'!$A$17,'Current Portfolio'!$B25,$B25)</f>
        <v>15</v>
      </c>
      <c r="B25" s="135" t="n">
        <v>15</v>
      </c>
      <c r="C25" s="408" t="str">
        <f aca="false">IF(ISERROR(VLOOKUP(B25,'Portfolio Bucket'!$A$2:$C$69,2,0)),"",VLOOKUP(B25,'Portfolio Bucket'!$A$2:$C$69,3,0))</f>
        <v/>
      </c>
      <c r="D25" s="287" t="str">
        <f aca="false">IF(C25="","",VLOOKUP(C25,'ETF List'!$C$1:$J$200,3,0))</f>
        <v/>
      </c>
      <c r="E25" s="287" t="str">
        <f aca="false">IF(C25="","",IF(ISERROR(VLOOKUP(C25,'Policy Portfolio'!$H$21:$H$29,1,0)),"Tactical","Policy"))</f>
        <v/>
      </c>
      <c r="F25" s="287" t="str">
        <f aca="false">IF(C25="","",VLOOKUP(C25,'ETF List'!$C$1:$J$200,4,0))</f>
        <v/>
      </c>
      <c r="G25" s="287" t="str">
        <f aca="false">IF(C25="","",VLOOKUP(C25,'ETF List'!$C$1:$J$200,5,0))</f>
        <v/>
      </c>
      <c r="H25" s="409" t="str">
        <f aca="false">IF(C25="","",INDEX('Portfolio Bucket'!$C$2:$I$69,MATCH(C25,'Portfolio Bucket'!$C$2:$C$69,0),MATCH($E$5,'Portfolio Bucket'!$C$1:$I$1,0)))</f>
        <v/>
      </c>
      <c r="I25" s="404" t="str">
        <f aca="false">IF(C25="","",IF(INDEX('Price Inputs'!$C$5:$J$49,MATCH(C25,'Price Inputs'!$C$5:$C$49,0),MATCH('Current Portfolio'!$E$5,'Price Inputs'!$C$5:$J$5,0))=0,VLOOKUP(C25,Trades!$C$32:$O$59,8,0),INDEX('Price Inputs'!$C$5:$J$49,MATCH(C25,'Price Inputs'!$C$5:$C$49,0),MATCH('Current Portfolio'!$E$5,'Price Inputs'!$C$5:$J$5,0))))</f>
        <v/>
      </c>
      <c r="J25" s="410" t="str">
        <f aca="false">IF(C25="","",H25*I25)</f>
        <v/>
      </c>
      <c r="K25" s="411" t="str">
        <f aca="false">IF(ISNUMBER(J25),J25/SUM(Mrkt_Value,$J$10),"")</f>
        <v/>
      </c>
      <c r="T25" s="377"/>
      <c r="U25" s="407"/>
      <c r="V25" s="392" t="n">
        <f aca="false">IF($F25=V$6,$J25,0)</f>
        <v>0</v>
      </c>
      <c r="W25" s="392" t="n">
        <f aca="false">IF($F25=W$6,$J25,0)</f>
        <v>0</v>
      </c>
      <c r="X25" s="392" t="n">
        <f aca="false">IF($F25=X$6,$J25,0)</f>
        <v>0</v>
      </c>
      <c r="Y25" s="392" t="n">
        <f aca="false">IF($F25=Y$6,$J25,0)</f>
        <v>0</v>
      </c>
      <c r="Z25" s="392" t="n">
        <f aca="false">IF($F25=Z$6,$J25,0)</f>
        <v>0</v>
      </c>
      <c r="AA25" s="263"/>
      <c r="AB25" s="263"/>
      <c r="AC25" s="263"/>
    </row>
    <row r="26" customFormat="false" ht="17.25" hidden="false" customHeight="true" outlineLevel="0" collapsed="false">
      <c r="A26" s="135" t="n">
        <f aca="false">IF(B26&lt;='Policy Portfolio'!$A$17,'Current Portfolio'!$B26,$B26)</f>
        <v>16</v>
      </c>
      <c r="B26" s="135" t="n">
        <v>16</v>
      </c>
      <c r="C26" s="408" t="str">
        <f aca="false">IF(ISERROR(VLOOKUP(B26,'Portfolio Bucket'!$A$2:$C$69,2,0)),"",VLOOKUP(B26,'Portfolio Bucket'!$A$2:$C$69,3,0))</f>
        <v/>
      </c>
      <c r="D26" s="287" t="str">
        <f aca="false">IF(C26="","",VLOOKUP(C26,'ETF List'!$C$1:$J$200,3,0))</f>
        <v/>
      </c>
      <c r="E26" s="287" t="str">
        <f aca="false">IF(C26="","",IF(ISERROR(VLOOKUP(C26,'Policy Portfolio'!$H$21:$H$29,1,0)),"Tactical","Policy"))</f>
        <v/>
      </c>
      <c r="F26" s="287" t="str">
        <f aca="false">IF(C26="","",VLOOKUP(C26,'ETF List'!$C$1:$J$200,4,0))</f>
        <v/>
      </c>
      <c r="G26" s="287" t="str">
        <f aca="false">IF(C26="","",VLOOKUP(C26,'ETF List'!$C$1:$J$200,5,0))</f>
        <v/>
      </c>
      <c r="H26" s="409" t="str">
        <f aca="false">IF(C26="","",INDEX('Portfolio Bucket'!$C$2:$I$69,MATCH(C26,'Portfolio Bucket'!$C$2:$C$69,0),MATCH($E$5,'Portfolio Bucket'!$C$1:$I$1,0)))</f>
        <v/>
      </c>
      <c r="I26" s="404" t="str">
        <f aca="false">IF(C26="","",IF(INDEX('Price Inputs'!$C$5:$J$49,MATCH(C26,'Price Inputs'!$C$5:$C$49,0),MATCH('Current Portfolio'!$E$5,'Price Inputs'!$C$5:$J$5,0))=0,VLOOKUP(C26,Trades!$C$32:$O$59,8,0),INDEX('Price Inputs'!$C$5:$J$49,MATCH(C26,'Price Inputs'!$C$5:$C$49,0),MATCH('Current Portfolio'!$E$5,'Price Inputs'!$C$5:$J$5,0))))</f>
        <v/>
      </c>
      <c r="J26" s="410" t="str">
        <f aca="false">IF(C26="","",H26*I26)</f>
        <v/>
      </c>
      <c r="K26" s="411" t="str">
        <f aca="false">IF(ISNUMBER(J26),J26/SUM(Mrkt_Value,$J$10),"")</f>
        <v/>
      </c>
      <c r="L26" s="263"/>
      <c r="M26" s="263"/>
      <c r="N26" s="263"/>
      <c r="O26" s="263"/>
      <c r="P26" s="263"/>
      <c r="Q26" s="263"/>
      <c r="R26" s="263"/>
      <c r="S26" s="263"/>
      <c r="V26" s="392" t="n">
        <f aca="false">IF($F26=V$6,$J26,0)</f>
        <v>0</v>
      </c>
      <c r="W26" s="392" t="n">
        <f aca="false">IF($F26=W$6,$J26,0)</f>
        <v>0</v>
      </c>
      <c r="X26" s="392" t="n">
        <f aca="false">IF($F26=X$6,$J26,0)</f>
        <v>0</v>
      </c>
      <c r="Y26" s="392" t="n">
        <f aca="false">IF($F26=Y$6,$J26,0)</f>
        <v>0</v>
      </c>
      <c r="Z26" s="392" t="n">
        <f aca="false">IF($F26=Z$6,$J26,0)</f>
        <v>0</v>
      </c>
    </row>
    <row r="27" customFormat="false" ht="17.25" hidden="false" customHeight="true" outlineLevel="0" collapsed="false">
      <c r="A27" s="135" t="n">
        <f aca="false">IF(B27&lt;='Policy Portfolio'!$A$17,'Current Portfolio'!$B27,$B27)</f>
        <v>17</v>
      </c>
      <c r="B27" s="135" t="n">
        <v>17</v>
      </c>
      <c r="C27" s="408" t="str">
        <f aca="false">IF(ISERROR(VLOOKUP(B27,'Portfolio Bucket'!$A$2:$C$69,2,0)),"",VLOOKUP(B27,'Portfolio Bucket'!$A$2:$C$69,3,0))</f>
        <v/>
      </c>
      <c r="D27" s="287" t="str">
        <f aca="false">IF(C27="","",VLOOKUP(C27,'ETF List'!$C$1:$J$200,3,0))</f>
        <v/>
      </c>
      <c r="E27" s="287" t="str">
        <f aca="false">IF(C27="","",IF(ISERROR(VLOOKUP(C27,'Policy Portfolio'!$H$21:$H$29,1,0)),"Tactical","Policy"))</f>
        <v/>
      </c>
      <c r="F27" s="287" t="str">
        <f aca="false">IF(C27="","",VLOOKUP(C27,'ETF List'!$C$1:$J$200,4,0))</f>
        <v/>
      </c>
      <c r="G27" s="287" t="str">
        <f aca="false">IF(C27="","",VLOOKUP(C27,'ETF List'!$C$1:$J$200,5,0))</f>
        <v/>
      </c>
      <c r="H27" s="409" t="str">
        <f aca="false">IF(C27="","",INDEX('Portfolio Bucket'!$C$2:$I$69,MATCH(C27,'Portfolio Bucket'!$C$2:$C$69,0),MATCH($E$5,'Portfolio Bucket'!$C$1:$I$1,0)))</f>
        <v/>
      </c>
      <c r="I27" s="404" t="str">
        <f aca="false">IF(C27="","",IF(INDEX('Price Inputs'!$C$5:$J$49,MATCH(C27,'Price Inputs'!$C$5:$C$49,0),MATCH('Current Portfolio'!$E$5,'Price Inputs'!$C$5:$J$5,0))=0,VLOOKUP(C27,Trades!$C$32:$O$59,8,0),INDEX('Price Inputs'!$C$5:$J$49,MATCH(C27,'Price Inputs'!$C$5:$C$49,0),MATCH('Current Portfolio'!$E$5,'Price Inputs'!$C$5:$J$5,0))))</f>
        <v/>
      </c>
      <c r="J27" s="410" t="str">
        <f aca="false">IF(C27="","",H27*I27)</f>
        <v/>
      </c>
      <c r="K27" s="411" t="str">
        <f aca="false">IF(ISNUMBER(J27),J27/SUM(Mrkt_Value,$J$10),"")</f>
        <v/>
      </c>
      <c r="L27" s="263"/>
      <c r="M27" s="263"/>
      <c r="N27" s="263"/>
      <c r="O27" s="263"/>
      <c r="P27" s="263"/>
      <c r="Q27" s="263"/>
      <c r="R27" s="263"/>
      <c r="S27" s="263"/>
      <c r="V27" s="392" t="n">
        <f aca="false">IF($F27=V$6,$J27,0)</f>
        <v>0</v>
      </c>
      <c r="W27" s="392" t="n">
        <f aca="false">IF($F27=W$6,$J27,0)</f>
        <v>0</v>
      </c>
      <c r="X27" s="392" t="n">
        <f aca="false">IF($F27=X$6,$J27,0)</f>
        <v>0</v>
      </c>
      <c r="Y27" s="392" t="n">
        <f aca="false">IF($F27=Y$6,$J27,0)</f>
        <v>0</v>
      </c>
      <c r="Z27" s="392" t="n">
        <f aca="false">IF($F27=Z$6,$J27,0)</f>
        <v>0</v>
      </c>
    </row>
    <row r="28" customFormat="false" ht="17.25" hidden="false" customHeight="true" outlineLevel="0" collapsed="false">
      <c r="A28" s="135" t="n">
        <f aca="false">IF(B28&lt;='Policy Portfolio'!$A$17,'Current Portfolio'!$B28,$B28)</f>
        <v>18</v>
      </c>
      <c r="B28" s="135" t="n">
        <v>18</v>
      </c>
      <c r="C28" s="408" t="str">
        <f aca="false">IF(ISERROR(VLOOKUP(B28,'Portfolio Bucket'!$A$2:$C$69,2,0)),"",VLOOKUP(B28,'Portfolio Bucket'!$A$2:$C$69,3,0))</f>
        <v/>
      </c>
      <c r="D28" s="287" t="str">
        <f aca="false">IF(C28="","",VLOOKUP(C28,'ETF List'!$C$1:$J$200,3,0))</f>
        <v/>
      </c>
      <c r="E28" s="287" t="str">
        <f aca="false">IF(C28="","",IF(ISERROR(VLOOKUP(C28,'Policy Portfolio'!$H$21:$H$29,1,0)),"Tactical","Policy"))</f>
        <v/>
      </c>
      <c r="F28" s="287" t="str">
        <f aca="false">IF(C28="","",VLOOKUP(C28,'ETF List'!$C$1:$J$200,4,0))</f>
        <v/>
      </c>
      <c r="G28" s="287" t="str">
        <f aca="false">IF(C28="","",VLOOKUP(C28,'ETF List'!$C$1:$J$200,5,0))</f>
        <v/>
      </c>
      <c r="H28" s="409" t="str">
        <f aca="false">IF(C28="","",INDEX('Portfolio Bucket'!$C$2:$I$69,MATCH(C28,'Portfolio Bucket'!$C$2:$C$69,0),MATCH($E$5,'Portfolio Bucket'!$C$1:$I$1,0)))</f>
        <v/>
      </c>
      <c r="I28" s="404" t="str">
        <f aca="false">IF(C28="","",IF(INDEX('Price Inputs'!$C$5:$J$49,MATCH(C28,'Price Inputs'!$C$5:$C$49,0),MATCH('Current Portfolio'!$E$5,'Price Inputs'!$C$5:$J$5,0))=0,VLOOKUP(C28,Trades!$C$32:$O$59,8,0),INDEX('Price Inputs'!$C$5:$J$49,MATCH(C28,'Price Inputs'!$C$5:$C$49,0),MATCH('Current Portfolio'!$E$5,'Price Inputs'!$C$5:$J$5,0))))</f>
        <v/>
      </c>
      <c r="J28" s="410" t="str">
        <f aca="false">IF(C28="","",H28*I28)</f>
        <v/>
      </c>
      <c r="K28" s="411" t="str">
        <f aca="false">IF(ISNUMBER(J28),J28/SUM(Mrkt_Value,$J$10),"")</f>
        <v/>
      </c>
      <c r="L28" s="263"/>
      <c r="M28" s="263"/>
      <c r="N28" s="263"/>
      <c r="O28" s="263"/>
      <c r="P28" s="263"/>
      <c r="Q28" s="263"/>
      <c r="R28" s="263"/>
      <c r="S28" s="263"/>
      <c r="V28" s="392" t="n">
        <f aca="false">IF($F28=V$6,$J28,0)</f>
        <v>0</v>
      </c>
      <c r="W28" s="392" t="n">
        <f aca="false">IF($F28=W$6,$J28,0)</f>
        <v>0</v>
      </c>
      <c r="X28" s="392" t="n">
        <f aca="false">IF($F28=X$6,$J28,0)</f>
        <v>0</v>
      </c>
      <c r="Y28" s="392" t="n">
        <f aca="false">IF($F28=Y$6,$J28,0)</f>
        <v>0</v>
      </c>
      <c r="Z28" s="392" t="n">
        <f aca="false">IF($F28=Z$6,$J28,0)</f>
        <v>0</v>
      </c>
    </row>
    <row r="29" s="263" customFormat="true" ht="15" hidden="false" customHeight="false" outlineLevel="0" collapsed="false">
      <c r="A29" s="135" t="n">
        <f aca="false">IF(B29&lt;='Policy Portfolio'!$A$17,'Current Portfolio'!$B29,$B29)</f>
        <v>19</v>
      </c>
      <c r="B29" s="135" t="n">
        <v>19</v>
      </c>
      <c r="C29" s="408" t="str">
        <f aca="false">IF(ISERROR(VLOOKUP(B29,'Portfolio Bucket'!$A$2:$C$69,2,0)),"",VLOOKUP(B29,'Portfolio Bucket'!$A$2:$C$69,3,0))</f>
        <v/>
      </c>
      <c r="D29" s="287" t="str">
        <f aca="false">IF(C29="","",VLOOKUP(C29,'ETF List'!$C$1:$J$200,3,0))</f>
        <v/>
      </c>
      <c r="E29" s="287" t="str">
        <f aca="false">IF(C29="","",IF(ISERROR(VLOOKUP(C29,'Policy Portfolio'!$H$21:$H$29,1,0)),"Tactical","Policy"))</f>
        <v/>
      </c>
      <c r="F29" s="287" t="str">
        <f aca="false">IF(C29="","",VLOOKUP(C29,'ETF List'!$C$1:$J$200,4,0))</f>
        <v/>
      </c>
      <c r="G29" s="287" t="str">
        <f aca="false">IF(C29="","",VLOOKUP(C29,'ETF List'!$C$1:$J$200,5,0))</f>
        <v/>
      </c>
      <c r="H29" s="409" t="str">
        <f aca="false">IF(C29="","",INDEX('Portfolio Bucket'!$C$2:$I$69,MATCH(C29,'Portfolio Bucket'!$C$2:$C$69,0),MATCH($E$5,'Portfolio Bucket'!$C$1:$I$1,0)))</f>
        <v/>
      </c>
      <c r="I29" s="404" t="str">
        <f aca="false">IF(C29="","",IF(INDEX('Price Inputs'!$C$5:$J$49,MATCH(C29,'Price Inputs'!$C$5:$C$49,0),MATCH('Current Portfolio'!$E$5,'Price Inputs'!$C$5:$J$5,0))=0,VLOOKUP(C29,Trades!$C$32:$O$59,8,0),INDEX('Price Inputs'!$C$5:$J$49,MATCH(C29,'Price Inputs'!$C$5:$C$49,0),MATCH('Current Portfolio'!$E$5,'Price Inputs'!$C$5:$J$5,0))))</f>
        <v/>
      </c>
      <c r="J29" s="410" t="str">
        <f aca="false">IF(C29="","",H29*I29)</f>
        <v/>
      </c>
      <c r="K29" s="411" t="str">
        <f aca="false">IF(ISNUMBER(J29),J29/SUM(Mrkt_Value,$J$10),"")</f>
        <v/>
      </c>
      <c r="T29" s="377"/>
      <c r="U29" s="135"/>
      <c r="V29" s="392" t="n">
        <f aca="false">IF($F29=V$6,$J29,0)</f>
        <v>0</v>
      </c>
      <c r="W29" s="392" t="n">
        <f aca="false">IF($F29=W$6,$J29,0)</f>
        <v>0</v>
      </c>
      <c r="X29" s="392" t="n">
        <f aca="false">IF($F29=X$6,$J29,0)</f>
        <v>0</v>
      </c>
      <c r="Y29" s="392" t="n">
        <f aca="false">IF($F29=Y$6,$J29,0)</f>
        <v>0</v>
      </c>
      <c r="Z29" s="392" t="n">
        <f aca="false">IF($F29=Z$6,$J29,0)</f>
        <v>0</v>
      </c>
    </row>
    <row r="30" s="263" customFormat="true" ht="17.25" hidden="false" customHeight="true" outlineLevel="0" collapsed="false">
      <c r="A30" s="135" t="n">
        <f aca="false">IF(B30&lt;='Policy Portfolio'!$A$17,'Current Portfolio'!$B30,$B30)</f>
        <v>20</v>
      </c>
      <c r="B30" s="135" t="n">
        <v>20</v>
      </c>
      <c r="C30" s="408" t="str">
        <f aca="false">IF(ISERROR(VLOOKUP(B30,'Portfolio Bucket'!$A$2:$C$69,2,0)),"",VLOOKUP(B30,'Portfolio Bucket'!$A$2:$C$69,3,0))</f>
        <v/>
      </c>
      <c r="D30" s="287" t="str">
        <f aca="false">IF(C30="","",VLOOKUP(C30,'ETF List'!$C$1:$J$200,3,0))</f>
        <v/>
      </c>
      <c r="E30" s="287" t="str">
        <f aca="false">IF(C30="","",IF(ISERROR(VLOOKUP(C30,'Policy Portfolio'!$H$21:$H$29,1,0)),"Tactical","Policy"))</f>
        <v/>
      </c>
      <c r="F30" s="287" t="str">
        <f aca="false">IF(C30="","",VLOOKUP(C30,'ETF List'!$C$1:$J$200,4,0))</f>
        <v/>
      </c>
      <c r="G30" s="287" t="str">
        <f aca="false">IF(C30="","",VLOOKUP(C30,'ETF List'!$C$1:$J$200,5,0))</f>
        <v/>
      </c>
      <c r="H30" s="409" t="str">
        <f aca="false">IF(C30="","",INDEX('Portfolio Bucket'!$C$2:$I$69,MATCH(C30,'Portfolio Bucket'!$C$2:$C$69,0),MATCH($E$5,'Portfolio Bucket'!$C$1:$I$1,0)))</f>
        <v/>
      </c>
      <c r="I30" s="404" t="str">
        <f aca="false">IF(C30="","",IF(INDEX('Price Inputs'!$C$5:$J$49,MATCH(C30,'Price Inputs'!$C$5:$C$49,0),MATCH('Current Portfolio'!$E$5,'Price Inputs'!$C$5:$J$5,0))=0,VLOOKUP(C30,Trades!$C$32:$O$59,8,0),INDEX('Price Inputs'!$C$5:$J$49,MATCH(C30,'Price Inputs'!$C$5:$C$49,0),MATCH('Current Portfolio'!$E$5,'Price Inputs'!$C$5:$J$5,0))))</f>
        <v/>
      </c>
      <c r="J30" s="410" t="str">
        <f aca="false">IF(C30="","",H30*I30)</f>
        <v/>
      </c>
      <c r="K30" s="411" t="str">
        <f aca="false">IF(ISNUMBER(J30),J30/SUM(Mrkt_Value,$J$10),"")</f>
        <v/>
      </c>
      <c r="T30" s="377"/>
      <c r="U30" s="135"/>
      <c r="V30" s="392" t="n">
        <f aca="false">IF($F30=V$6,$J30,0)</f>
        <v>0</v>
      </c>
      <c r="W30" s="392" t="n">
        <f aca="false">IF($F30=W$6,$J30,0)</f>
        <v>0</v>
      </c>
      <c r="X30" s="392" t="n">
        <f aca="false">IF($F30=X$6,$J30,0)</f>
        <v>0</v>
      </c>
      <c r="Y30" s="392" t="n">
        <f aca="false">IF($F30=Y$6,$J30,0)</f>
        <v>0</v>
      </c>
      <c r="Z30" s="392" t="n">
        <f aca="false">IF($F30=Z$6,$J30,0)</f>
        <v>0</v>
      </c>
    </row>
    <row r="31" s="263" customFormat="true" ht="17.25" hidden="false" customHeight="true" outlineLevel="0" collapsed="false">
      <c r="A31" s="135" t="n">
        <f aca="false">IF(B31&lt;='Policy Portfolio'!$A$17,'Current Portfolio'!$B31,$B31)</f>
        <v>21</v>
      </c>
      <c r="B31" s="135" t="n">
        <v>21</v>
      </c>
      <c r="C31" s="408" t="str">
        <f aca="false">IF(ISERROR(VLOOKUP(B31,'Portfolio Bucket'!$A$2:$C$69,2,0)),"",VLOOKUP(B31,'Portfolio Bucket'!$A$2:$C$69,3,0))</f>
        <v/>
      </c>
      <c r="D31" s="287" t="str">
        <f aca="false">IF(C31="","",VLOOKUP(C31,'ETF List'!$C$1:$J$200,3,0))</f>
        <v/>
      </c>
      <c r="E31" s="287" t="str">
        <f aca="false">IF(C31="","",IF(ISERROR(VLOOKUP(C31,'Policy Portfolio'!$H$21:$H$29,1,0)),"Tactical","Policy"))</f>
        <v/>
      </c>
      <c r="F31" s="287" t="str">
        <f aca="false">IF(C31="","",VLOOKUP(C31,'ETF List'!$C$1:$J$200,4,0))</f>
        <v/>
      </c>
      <c r="G31" s="287" t="str">
        <f aca="false">IF(C31="","",VLOOKUP(C31,'ETF List'!$C$1:$J$200,5,0))</f>
        <v/>
      </c>
      <c r="H31" s="409" t="str">
        <f aca="false">IF(C31="","",INDEX('Portfolio Bucket'!$C$2:$I$69,MATCH(C31,'Portfolio Bucket'!$C$2:$C$69,0),MATCH($E$5,'Portfolio Bucket'!$C$1:$I$1,0)))</f>
        <v/>
      </c>
      <c r="I31" s="404" t="str">
        <f aca="false">IF(C31="","",IF(INDEX('Price Inputs'!$C$5:$J$49,MATCH(C31,'Price Inputs'!$C$5:$C$49,0),MATCH('Current Portfolio'!$E$5,'Price Inputs'!$C$5:$J$5,0))=0,VLOOKUP(C31,Trades!$C$32:$O$59,8,0),INDEX('Price Inputs'!$C$5:$J$49,MATCH(C31,'Price Inputs'!$C$5:$C$49,0),MATCH('Current Portfolio'!$E$5,'Price Inputs'!$C$5:$J$5,0))))</f>
        <v/>
      </c>
      <c r="J31" s="410" t="str">
        <f aca="false">IF(C31="","",H31*I31)</f>
        <v/>
      </c>
      <c r="K31" s="411" t="str">
        <f aca="false">IF(ISNUMBER(J31),J31/SUM(Mrkt_Value,$J$10),"")</f>
        <v/>
      </c>
      <c r="T31" s="377"/>
      <c r="U31" s="135"/>
      <c r="V31" s="392" t="n">
        <f aca="false">IF($F31=V$6,$J31,0)</f>
        <v>0</v>
      </c>
      <c r="W31" s="392" t="n">
        <f aca="false">IF($F31=W$6,$J31,0)</f>
        <v>0</v>
      </c>
      <c r="X31" s="392" t="n">
        <f aca="false">IF($F31=X$6,$J31,0)</f>
        <v>0</v>
      </c>
      <c r="Y31" s="392" t="n">
        <f aca="false">IF($F31=Y$6,$J31,0)</f>
        <v>0</v>
      </c>
      <c r="Z31" s="392" t="n">
        <f aca="false">IF($F31=Z$6,$J31,0)</f>
        <v>0</v>
      </c>
    </row>
    <row r="32" s="263" customFormat="true" ht="17.25" hidden="false" customHeight="true" outlineLevel="0" collapsed="false">
      <c r="A32" s="135" t="n">
        <f aca="false">IF(B32&lt;='Policy Portfolio'!$A$17,'Current Portfolio'!$B32,$B32)</f>
        <v>22</v>
      </c>
      <c r="B32" s="135" t="n">
        <v>22</v>
      </c>
      <c r="C32" s="408" t="str">
        <f aca="false">IF(ISERROR(VLOOKUP(B32,'Portfolio Bucket'!$A$2:$C$69,2,0)),"",VLOOKUP(B32,'Portfolio Bucket'!$A$2:$C$69,3,0))</f>
        <v/>
      </c>
      <c r="D32" s="287" t="str">
        <f aca="false">IF(C32="","",VLOOKUP(C32,'ETF List'!$C$1:$J$200,3,0))</f>
        <v/>
      </c>
      <c r="E32" s="287" t="str">
        <f aca="false">IF(C32="","",IF(ISERROR(VLOOKUP(C32,'Policy Portfolio'!$H$21:$H$29,1,0)),"Tactical","Policy"))</f>
        <v/>
      </c>
      <c r="F32" s="287" t="str">
        <f aca="false">IF(C32="","",VLOOKUP(C32,'ETF List'!$C$1:$J$200,4,0))</f>
        <v/>
      </c>
      <c r="G32" s="287" t="str">
        <f aca="false">IF(C32="","",VLOOKUP(C32,'ETF List'!$C$1:$J$200,5,0))</f>
        <v/>
      </c>
      <c r="H32" s="409" t="str">
        <f aca="false">IF(C32="","",INDEX('Portfolio Bucket'!$C$2:$I$69,MATCH(C32,'Portfolio Bucket'!$C$2:$C$69,0),MATCH($E$5,'Portfolio Bucket'!$C$1:$I$1,0)))</f>
        <v/>
      </c>
      <c r="I32" s="404" t="str">
        <f aca="false">IF(C32="","",IF(INDEX('Price Inputs'!$C$5:$J$49,MATCH(C32,'Price Inputs'!$C$5:$C$49,0),MATCH('Current Portfolio'!$E$5,'Price Inputs'!$C$5:$J$5,0))=0,VLOOKUP(C32,Trades!$C$32:$O$59,8,0),INDEX('Price Inputs'!$C$5:$J$49,MATCH(C32,'Price Inputs'!$C$5:$C$49,0),MATCH('Current Portfolio'!$E$5,'Price Inputs'!$C$5:$J$5,0))))</f>
        <v/>
      </c>
      <c r="J32" s="410" t="str">
        <f aca="false">IF(C32="","",H32*I32)</f>
        <v/>
      </c>
      <c r="K32" s="411" t="str">
        <f aca="false">IF(ISNUMBER(J32),J32/SUM(Mrkt_Value,$J$10),"")</f>
        <v/>
      </c>
      <c r="T32" s="377"/>
      <c r="U32" s="135"/>
      <c r="V32" s="392" t="n">
        <f aca="false">IF($F32=V$6,$J32,0)</f>
        <v>0</v>
      </c>
      <c r="W32" s="392" t="n">
        <f aca="false">IF($F32=W$6,$J32,0)</f>
        <v>0</v>
      </c>
      <c r="X32" s="392" t="n">
        <f aca="false">IF($F32=X$6,$J32,0)</f>
        <v>0</v>
      </c>
      <c r="Y32" s="392" t="n">
        <f aca="false">IF($F32=Y$6,$J32,0)</f>
        <v>0</v>
      </c>
      <c r="Z32" s="392" t="n">
        <f aca="false">IF($F32=Z$6,$J32,0)</f>
        <v>0</v>
      </c>
    </row>
    <row r="33" s="263" customFormat="true" ht="17.25" hidden="false" customHeight="true" outlineLevel="0" collapsed="false">
      <c r="A33" s="135" t="n">
        <f aca="false">IF(B33&lt;='Policy Portfolio'!$A$17,'Current Portfolio'!$B33,$B33)</f>
        <v>23</v>
      </c>
      <c r="B33" s="135" t="n">
        <v>23</v>
      </c>
      <c r="C33" s="408" t="str">
        <f aca="false">IF(ISERROR(VLOOKUP(B33,'Portfolio Bucket'!$A$2:$C$69,2,0)),"",VLOOKUP(B33,'Portfolio Bucket'!$A$2:$C$69,3,0))</f>
        <v/>
      </c>
      <c r="D33" s="287" t="str">
        <f aca="false">IF(C33="","",VLOOKUP(C33,'ETF List'!$C$1:$J$200,3,0))</f>
        <v/>
      </c>
      <c r="E33" s="287" t="str">
        <f aca="false">IF(C33="","",IF(ISERROR(VLOOKUP(C33,'Policy Portfolio'!$H$21:$H$29,1,0)),"Tactical","Policy"))</f>
        <v/>
      </c>
      <c r="F33" s="287" t="str">
        <f aca="false">IF(C33="","",VLOOKUP(C33,'ETF List'!$C$1:$J$200,4,0))</f>
        <v/>
      </c>
      <c r="G33" s="287" t="str">
        <f aca="false">IF(C33="","",VLOOKUP(C33,'ETF List'!$C$1:$J$200,5,0))</f>
        <v/>
      </c>
      <c r="H33" s="409" t="str">
        <f aca="false">IF(C33="","",INDEX('Portfolio Bucket'!$C$2:$I$69,MATCH(C33,'Portfolio Bucket'!$C$2:$C$69,0),MATCH($E$5,'Portfolio Bucket'!$C$1:$I$1,0)))</f>
        <v/>
      </c>
      <c r="I33" s="404" t="str">
        <f aca="false">IF(C33="","",IF(INDEX('Price Inputs'!$C$5:$J$49,MATCH(C33,'Price Inputs'!$C$5:$C$49,0),MATCH('Current Portfolio'!$E$5,'Price Inputs'!$C$5:$J$5,0))=0,VLOOKUP(C33,Trades!$C$32:$O$59,8,0),INDEX('Price Inputs'!$C$5:$J$49,MATCH(C33,'Price Inputs'!$C$5:$C$49,0),MATCH('Current Portfolio'!$E$5,'Price Inputs'!$C$5:$J$5,0))))</f>
        <v/>
      </c>
      <c r="J33" s="410" t="str">
        <f aca="false">IF(C33="","",H33*I33)</f>
        <v/>
      </c>
      <c r="K33" s="411" t="str">
        <f aca="false">IF(ISNUMBER(J33),J33/SUM(Mrkt_Value,$J$10),"")</f>
        <v/>
      </c>
      <c r="T33" s="377"/>
      <c r="U33" s="135"/>
      <c r="V33" s="392" t="n">
        <f aca="false">IF($F33=V$6,$J33,0)</f>
        <v>0</v>
      </c>
      <c r="W33" s="392" t="n">
        <f aca="false">IF($F33=W$6,$J33,0)</f>
        <v>0</v>
      </c>
      <c r="X33" s="392" t="n">
        <f aca="false">IF($F33=X$6,$J33,0)</f>
        <v>0</v>
      </c>
      <c r="Y33" s="392" t="n">
        <f aca="false">IF($F33=Y$6,$J33,0)</f>
        <v>0</v>
      </c>
      <c r="Z33" s="392" t="n">
        <f aca="false">IF($F33=Z$6,$J33,0)</f>
        <v>0</v>
      </c>
    </row>
    <row r="34" s="263" customFormat="true" ht="17.25" hidden="false" customHeight="true" outlineLevel="0" collapsed="false">
      <c r="A34" s="135" t="n">
        <f aca="false">IF(B34&lt;='Policy Portfolio'!$A$17,'Current Portfolio'!$B34,$B34)</f>
        <v>24</v>
      </c>
      <c r="B34" s="135" t="n">
        <v>24</v>
      </c>
      <c r="C34" s="408" t="str">
        <f aca="false">IF(ISERROR(VLOOKUP(B34,'Portfolio Bucket'!$A$2:$C$69,2,0)),"",VLOOKUP(B34,'Portfolio Bucket'!$A$2:$C$69,3,0))</f>
        <v/>
      </c>
      <c r="D34" s="287" t="str">
        <f aca="false">IF(C34="","",VLOOKUP(C34,'ETF List'!$C$1:$J$200,3,0))</f>
        <v/>
      </c>
      <c r="E34" s="287" t="str">
        <f aca="false">IF(C34="","",IF(ISERROR(VLOOKUP(C34,'Policy Portfolio'!$H$21:$H$29,1,0)),"Tactical","Policy"))</f>
        <v/>
      </c>
      <c r="F34" s="287" t="str">
        <f aca="false">IF(C34="","",VLOOKUP(C34,'ETF List'!$C$1:$J$200,4,0))</f>
        <v/>
      </c>
      <c r="G34" s="287" t="str">
        <f aca="false">IF(C34="","",VLOOKUP(C34,'ETF List'!$C$1:$J$200,5,0))</f>
        <v/>
      </c>
      <c r="H34" s="409" t="str">
        <f aca="false">IF(C34="","",INDEX('Portfolio Bucket'!$C$2:$I$69,MATCH(C34,'Portfolio Bucket'!$C$2:$C$69,0),MATCH($E$5,'Portfolio Bucket'!$C$1:$I$1,0)))</f>
        <v/>
      </c>
      <c r="I34" s="404" t="str">
        <f aca="false">IF(C34="","",IF(INDEX('Price Inputs'!$C$5:$J$49,MATCH(C34,'Price Inputs'!$C$5:$C$49,0),MATCH('Current Portfolio'!$E$5,'Price Inputs'!$C$5:$J$5,0))=0,VLOOKUP(C34,Trades!$C$32:$O$59,8,0),INDEX('Price Inputs'!$C$5:$J$49,MATCH(C34,'Price Inputs'!$C$5:$C$49,0),MATCH('Current Portfolio'!$E$5,'Price Inputs'!$C$5:$J$5,0))))</f>
        <v/>
      </c>
      <c r="J34" s="410" t="str">
        <f aca="false">IF(C34="","",H34*I34)</f>
        <v/>
      </c>
      <c r="K34" s="411" t="str">
        <f aca="false">IF(ISNUMBER(J34),J34/SUM(Mrkt_Value,$J$10),"")</f>
        <v/>
      </c>
      <c r="T34" s="377"/>
      <c r="U34" s="135"/>
      <c r="V34" s="392" t="n">
        <f aca="false">IF($F34=V$6,$J34,0)</f>
        <v>0</v>
      </c>
      <c r="W34" s="392" t="n">
        <f aca="false">IF($F34=W$6,$J34,0)</f>
        <v>0</v>
      </c>
      <c r="X34" s="392" t="n">
        <f aca="false">IF($F34=X$6,$J34,0)</f>
        <v>0</v>
      </c>
      <c r="Y34" s="392" t="n">
        <f aca="false">IF($F34=Y$6,$J34,0)</f>
        <v>0</v>
      </c>
      <c r="Z34" s="392" t="n">
        <f aca="false">IF($F34=Z$6,$J34,0)</f>
        <v>0</v>
      </c>
    </row>
    <row r="35" s="263" customFormat="true" ht="17.25" hidden="false" customHeight="true" outlineLevel="0" collapsed="false">
      <c r="A35" s="135" t="n">
        <f aca="false">IF(B35&lt;='Policy Portfolio'!$A$17,'Current Portfolio'!$B35,$B35)</f>
        <v>25</v>
      </c>
      <c r="B35" s="135" t="n">
        <v>25</v>
      </c>
      <c r="C35" s="408" t="str">
        <f aca="false">IF(ISERROR(VLOOKUP(B35,'Portfolio Bucket'!$A$2:$C$69,2,0)),"",VLOOKUP(B35,'Portfolio Bucket'!$A$2:$C$69,3,0))</f>
        <v/>
      </c>
      <c r="D35" s="287" t="str">
        <f aca="false">IF(C35="","",VLOOKUP(C35,'ETF List'!$C$1:$J$200,3,0))</f>
        <v/>
      </c>
      <c r="E35" s="287" t="str">
        <f aca="false">IF(C35="","",IF(ISERROR(VLOOKUP(C35,'Policy Portfolio'!$H$21:$H$29,1,0)),"Tactical","Policy"))</f>
        <v/>
      </c>
      <c r="F35" s="287" t="str">
        <f aca="false">IF(C35="","",VLOOKUP(C35,'ETF List'!$C$1:$J$200,4,0))</f>
        <v/>
      </c>
      <c r="G35" s="287" t="str">
        <f aca="false">IF(C35="","",VLOOKUP(C35,'ETF List'!$C$1:$J$200,5,0))</f>
        <v/>
      </c>
      <c r="H35" s="409" t="str">
        <f aca="false">IF(C35="","",INDEX('Portfolio Bucket'!$C$2:$I$69,MATCH(C35,'Portfolio Bucket'!$C$2:$C$69,0),MATCH($E$5,'Portfolio Bucket'!$C$1:$I$1,0)))</f>
        <v/>
      </c>
      <c r="I35" s="404" t="str">
        <f aca="false">IF(C35="","",IF(INDEX('Price Inputs'!$C$5:$J$49,MATCH(C35,'Price Inputs'!$C$5:$C$49,0),MATCH('Current Portfolio'!$E$5,'Price Inputs'!$C$5:$J$5,0))=0,VLOOKUP(C35,Trades!$C$32:$O$59,8,0),INDEX('Price Inputs'!$C$5:$J$49,MATCH(C35,'Price Inputs'!$C$5:$C$49,0),MATCH('Current Portfolio'!$E$5,'Price Inputs'!$C$5:$J$5,0))))</f>
        <v/>
      </c>
      <c r="J35" s="410" t="str">
        <f aca="false">IF(C35="","",H35*I35)</f>
        <v/>
      </c>
      <c r="K35" s="411" t="str">
        <f aca="false">IF(ISNUMBER(J35),J35/SUM(Mrkt_Value,$J$10),"")</f>
        <v/>
      </c>
      <c r="T35" s="377"/>
      <c r="U35" s="135"/>
      <c r="V35" s="392" t="n">
        <f aca="false">IF($F35=V$6,$J35,0)</f>
        <v>0</v>
      </c>
      <c r="W35" s="392" t="n">
        <f aca="false">IF($F35=W$6,$J35,0)</f>
        <v>0</v>
      </c>
      <c r="X35" s="392" t="n">
        <f aca="false">IF($F35=X$6,$J35,0)</f>
        <v>0</v>
      </c>
      <c r="Y35" s="392" t="n">
        <f aca="false">IF($F35=Y$6,$J35,0)</f>
        <v>0</v>
      </c>
      <c r="Z35" s="392" t="n">
        <f aca="false">IF($F35=Z$6,$J35,0)</f>
        <v>0</v>
      </c>
    </row>
    <row r="36" s="263" customFormat="true" ht="17.25" hidden="false" customHeight="true" outlineLevel="0" collapsed="false">
      <c r="A36" s="135" t="n">
        <f aca="false">IF(B36&lt;='Policy Portfolio'!$A$17,'Current Portfolio'!$B36,$B36)</f>
        <v>26</v>
      </c>
      <c r="B36" s="135" t="n">
        <v>26</v>
      </c>
      <c r="C36" s="408" t="str">
        <f aca="false">IF(ISERROR(VLOOKUP(B36,'Portfolio Bucket'!$A$2:$C$69,2,0)),"",VLOOKUP(B36,'Portfolio Bucket'!$A$2:$C$69,3,0))</f>
        <v/>
      </c>
      <c r="D36" s="287" t="str">
        <f aca="false">IF(C36="","",VLOOKUP(C36,'ETF List'!$C$1:$J$200,3,0))</f>
        <v/>
      </c>
      <c r="E36" s="287" t="str">
        <f aca="false">IF(C36="","",IF(ISERROR(VLOOKUP(C36,'Policy Portfolio'!$H$21:$H$29,1,0)),"Tactical","Policy"))</f>
        <v/>
      </c>
      <c r="F36" s="287" t="str">
        <f aca="false">IF(C36="","",VLOOKUP(C36,'ETF List'!$C$1:$J$200,4,0))</f>
        <v/>
      </c>
      <c r="G36" s="287" t="str">
        <f aca="false">IF(C36="","",VLOOKUP(C36,'ETF List'!$C$1:$J$200,5,0))</f>
        <v/>
      </c>
      <c r="H36" s="409" t="str">
        <f aca="false">IF(C36="","",INDEX('Portfolio Bucket'!$C$2:$I$69,MATCH(C36,'Portfolio Bucket'!$C$2:$C$69,0),MATCH($E$5,'Portfolio Bucket'!$C$1:$I$1,0)))</f>
        <v/>
      </c>
      <c r="I36" s="404" t="str">
        <f aca="false">IF(C36="","",IF(INDEX('Price Inputs'!$C$5:$J$49,MATCH(C36,'Price Inputs'!$C$5:$C$49,0),MATCH('Current Portfolio'!$E$5,'Price Inputs'!$C$5:$J$5,0))=0,VLOOKUP(C36,Trades!$C$32:$O$59,8,0),INDEX('Price Inputs'!$C$5:$J$49,MATCH(C36,'Price Inputs'!$C$5:$C$49,0),MATCH('Current Portfolio'!$E$5,'Price Inputs'!$C$5:$J$5,0))))</f>
        <v/>
      </c>
      <c r="J36" s="410" t="str">
        <f aca="false">IF(C36="","",H36*I36)</f>
        <v/>
      </c>
      <c r="K36" s="411" t="str">
        <f aca="false">IF(ISNUMBER(J36),J36/SUM(Mrkt_Value,$J$10),"")</f>
        <v/>
      </c>
      <c r="T36" s="377"/>
      <c r="U36" s="135"/>
      <c r="V36" s="392" t="n">
        <f aca="false">IF($F36=V$6,$J36,0)</f>
        <v>0</v>
      </c>
      <c r="W36" s="392" t="n">
        <f aca="false">IF($F36=W$6,$J36,0)</f>
        <v>0</v>
      </c>
      <c r="X36" s="392" t="n">
        <f aca="false">IF($F36=X$6,$J36,0)</f>
        <v>0</v>
      </c>
      <c r="Y36" s="392" t="n">
        <f aca="false">IF($F36=Y$6,$J36,0)</f>
        <v>0</v>
      </c>
      <c r="Z36" s="392" t="n">
        <f aca="false">IF($F36=Z$6,$J36,0)</f>
        <v>0</v>
      </c>
    </row>
    <row r="37" s="263" customFormat="true" ht="17.25" hidden="false" customHeight="true" outlineLevel="0" collapsed="false">
      <c r="A37" s="135" t="n">
        <f aca="false">IF(B37&lt;='Policy Portfolio'!$A$17,'Current Portfolio'!$B37,$B37)</f>
        <v>27</v>
      </c>
      <c r="B37" s="135" t="n">
        <v>27</v>
      </c>
      <c r="C37" s="408" t="str">
        <f aca="false">IF(ISERROR(VLOOKUP(B37,'Portfolio Bucket'!$A$2:$C$69,2,0)),"",VLOOKUP(B37,'Portfolio Bucket'!$A$2:$C$69,3,0))</f>
        <v/>
      </c>
      <c r="D37" s="287" t="str">
        <f aca="false">IF(C37="","",VLOOKUP(C37,'ETF List'!$C$1:$J$200,3,0))</f>
        <v/>
      </c>
      <c r="E37" s="287" t="str">
        <f aca="false">IF(C37="","",IF(ISERROR(VLOOKUP(C37,'Policy Portfolio'!$H$21:$H$29,1,0)),"Tactical","Policy"))</f>
        <v/>
      </c>
      <c r="F37" s="287" t="str">
        <f aca="false">IF(C37="","",VLOOKUP(C37,'ETF List'!$C$1:$J$200,4,0))</f>
        <v/>
      </c>
      <c r="G37" s="287" t="str">
        <f aca="false">IF(C37="","",VLOOKUP(C37,'ETF List'!$C$1:$J$200,5,0))</f>
        <v/>
      </c>
      <c r="H37" s="409" t="str">
        <f aca="false">IF(C37="","",INDEX('Portfolio Bucket'!$C$2:$I$69,MATCH(C37,'Portfolio Bucket'!$C$2:$C$69,0),MATCH($E$5,'Portfolio Bucket'!$C$1:$I$1,0)))</f>
        <v/>
      </c>
      <c r="I37" s="404" t="str">
        <f aca="false">IF(C37="","",IF(INDEX('Price Inputs'!$C$5:$J$49,MATCH(C37,'Price Inputs'!$C$5:$C$49,0),MATCH('Current Portfolio'!$E$5,'Price Inputs'!$C$5:$J$5,0))=0,VLOOKUP(C37,Trades!$C$32:$O$59,8,0),INDEX('Price Inputs'!$C$5:$J$49,MATCH(C37,'Price Inputs'!$C$5:$C$49,0),MATCH('Current Portfolio'!$E$5,'Price Inputs'!$C$5:$J$5,0))))</f>
        <v/>
      </c>
      <c r="J37" s="410" t="str">
        <f aca="false">IF(C37="","",H37*I37)</f>
        <v/>
      </c>
      <c r="K37" s="411" t="str">
        <f aca="false">IF(ISNUMBER(J37),J37/SUM(Mrkt_Value,$J$10),"")</f>
        <v/>
      </c>
      <c r="T37" s="377"/>
      <c r="U37" s="135"/>
      <c r="V37" s="392" t="n">
        <f aca="false">IF($F37=V$6,$J37,0)</f>
        <v>0</v>
      </c>
      <c r="W37" s="392" t="n">
        <f aca="false">IF($F37=W$6,$J37,0)</f>
        <v>0</v>
      </c>
      <c r="X37" s="392" t="n">
        <f aca="false">IF($F37=X$6,$J37,0)</f>
        <v>0</v>
      </c>
      <c r="Y37" s="392" t="n">
        <f aca="false">IF($F37=Y$6,$J37,0)</f>
        <v>0</v>
      </c>
      <c r="Z37" s="392" t="n">
        <f aca="false">IF($F37=Z$6,$J37,0)</f>
        <v>0</v>
      </c>
    </row>
    <row r="38" s="263" customFormat="true" ht="17.25" hidden="false" customHeight="true" outlineLevel="0" collapsed="false">
      <c r="A38" s="135" t="n">
        <f aca="false">IF(B38&lt;='Policy Portfolio'!$A$17,'Current Portfolio'!$B38,$B38)</f>
        <v>28</v>
      </c>
      <c r="B38" s="135" t="n">
        <v>28</v>
      </c>
      <c r="C38" s="408" t="str">
        <f aca="false">IF(ISERROR(VLOOKUP(B38,'Portfolio Bucket'!$A$2:$C$69,2,0)),"",VLOOKUP(B38,'Portfolio Bucket'!$A$2:$C$69,3,0))</f>
        <v/>
      </c>
      <c r="D38" s="287" t="str">
        <f aca="false">IF(C38="","",VLOOKUP(C38,'ETF List'!$C$1:$J$200,3,0))</f>
        <v/>
      </c>
      <c r="E38" s="287" t="str">
        <f aca="false">IF(C38="","",IF(ISERROR(VLOOKUP(C38,'Policy Portfolio'!$H$21:$H$29,1,0)),"Tactical","Policy"))</f>
        <v/>
      </c>
      <c r="F38" s="287" t="str">
        <f aca="false">IF(C38="","",VLOOKUP(C38,'ETF List'!$C$1:$J$200,4,0))</f>
        <v/>
      </c>
      <c r="G38" s="287" t="str">
        <f aca="false">IF(C38="","",VLOOKUP(C38,'ETF List'!$C$1:$J$200,5,0))</f>
        <v/>
      </c>
      <c r="H38" s="409" t="str">
        <f aca="false">IF(C38="","",INDEX('Portfolio Bucket'!$C$2:$I$69,MATCH(C38,'Portfolio Bucket'!$C$2:$C$69,0),MATCH($E$5,'Portfolio Bucket'!$C$1:$I$1,0)))</f>
        <v/>
      </c>
      <c r="I38" s="404" t="str">
        <f aca="false">IF(C38="","",IF(INDEX('Price Inputs'!$C$5:$J$49,MATCH(C38,'Price Inputs'!$C$5:$C$49,0),MATCH('Current Portfolio'!$E$5,'Price Inputs'!$C$5:$J$5,0))=0,VLOOKUP(C38,Trades!$C$32:$O$59,8,0),INDEX('Price Inputs'!$C$5:$J$49,MATCH(C38,'Price Inputs'!$C$5:$C$49,0),MATCH('Current Portfolio'!$E$5,'Price Inputs'!$C$5:$J$5,0))))</f>
        <v/>
      </c>
      <c r="J38" s="410" t="str">
        <f aca="false">IF(C38="","",H38*I38)</f>
        <v/>
      </c>
      <c r="K38" s="411" t="str">
        <f aca="false">IF(ISNUMBER(J38),J38/SUM(Mrkt_Value,$J$10),"")</f>
        <v/>
      </c>
      <c r="T38" s="377"/>
      <c r="U38" s="135"/>
      <c r="V38" s="392" t="n">
        <f aca="false">IF($F38=V$6,$J38,0)</f>
        <v>0</v>
      </c>
      <c r="W38" s="392" t="n">
        <f aca="false">IF($F38=W$6,$J38,0)</f>
        <v>0</v>
      </c>
      <c r="X38" s="392" t="n">
        <f aca="false">IF($F38=X$6,$J38,0)</f>
        <v>0</v>
      </c>
      <c r="Y38" s="392" t="n">
        <f aca="false">IF($F38=Y$6,$J38,0)</f>
        <v>0</v>
      </c>
      <c r="Z38" s="392" t="n">
        <f aca="false">IF($F38=Z$6,$J38,0)</f>
        <v>0</v>
      </c>
    </row>
    <row r="39" s="263" customFormat="true" ht="17.25" hidden="false" customHeight="true" outlineLevel="0" collapsed="false">
      <c r="A39" s="135" t="n">
        <f aca="false">IF(B39&lt;='Policy Portfolio'!$A$17,'Current Portfolio'!$B39,$B39)</f>
        <v>29</v>
      </c>
      <c r="B39" s="135" t="n">
        <v>29</v>
      </c>
      <c r="C39" s="408" t="str">
        <f aca="false">IF(ISERROR(VLOOKUP(B39,'Portfolio Bucket'!$A$2:$C$69,2,0)),"",VLOOKUP(B39,'Portfolio Bucket'!$A$2:$C$69,3,0))</f>
        <v/>
      </c>
      <c r="D39" s="287" t="str">
        <f aca="false">IF(C39="","",VLOOKUP(C39,'ETF List'!$C$1:$J$200,3,0))</f>
        <v/>
      </c>
      <c r="E39" s="287" t="str">
        <f aca="false">IF(C39="","",IF(ISERROR(VLOOKUP(C39,'Policy Portfolio'!$H$21:$H$29,1,0)),"Tactical","Policy"))</f>
        <v/>
      </c>
      <c r="F39" s="287" t="str">
        <f aca="false">IF(C39="","",VLOOKUP(C39,'ETF List'!$C$1:$J$200,4,0))</f>
        <v/>
      </c>
      <c r="G39" s="287" t="str">
        <f aca="false">IF(C39="","",VLOOKUP(C39,'ETF List'!$C$1:$J$200,5,0))</f>
        <v/>
      </c>
      <c r="H39" s="409" t="str">
        <f aca="false">IF(C39="","",INDEX('Portfolio Bucket'!$C$2:$I$69,MATCH(C39,'Portfolio Bucket'!$C$2:$C$69,0),MATCH($E$5,'Portfolio Bucket'!$C$1:$I$1,0)))</f>
        <v/>
      </c>
      <c r="I39" s="404" t="str">
        <f aca="false">IF(C39="","",IF(INDEX('Price Inputs'!$C$5:$J$49,MATCH(C39,'Price Inputs'!$C$5:$C$49,0),MATCH('Current Portfolio'!$E$5,'Price Inputs'!$C$5:$J$5,0))=0,VLOOKUP(C39,Trades!$C$32:$O$59,8,0),INDEX('Price Inputs'!$C$5:$J$49,MATCH(C39,'Price Inputs'!$C$5:$C$49,0),MATCH('Current Portfolio'!$E$5,'Price Inputs'!$C$5:$J$5,0))))</f>
        <v/>
      </c>
      <c r="J39" s="410" t="str">
        <f aca="false">IF(C39="","",H39*I39)</f>
        <v/>
      </c>
      <c r="K39" s="411" t="str">
        <f aca="false">IF(ISNUMBER(J39),J39/SUM(Mrkt_Value,$J$10),"")</f>
        <v/>
      </c>
      <c r="T39" s="377"/>
      <c r="U39" s="135"/>
      <c r="V39" s="392" t="n">
        <f aca="false">IF($F39=V$6,$J39,0)</f>
        <v>0</v>
      </c>
      <c r="W39" s="392" t="n">
        <f aca="false">IF($F39=W$6,$J39,0)</f>
        <v>0</v>
      </c>
      <c r="X39" s="392" t="n">
        <f aca="false">IF($F39=X$6,$J39,0)</f>
        <v>0</v>
      </c>
      <c r="Y39" s="392" t="n">
        <f aca="false">IF($F39=Y$6,$J39,0)</f>
        <v>0</v>
      </c>
      <c r="Z39" s="392" t="n">
        <f aca="false">IF($F39=Z$6,$J39,0)</f>
        <v>0</v>
      </c>
    </row>
    <row r="40" s="263" customFormat="true" ht="17.25" hidden="false" customHeight="true" outlineLevel="0" collapsed="false">
      <c r="A40" s="135" t="n">
        <f aca="false">IF(B40&lt;='Policy Portfolio'!$A$17,'Current Portfolio'!$B40,$B40)</f>
        <v>30</v>
      </c>
      <c r="B40" s="135" t="n">
        <v>30</v>
      </c>
      <c r="C40" s="412" t="str">
        <f aca="false">IF(ISERROR(VLOOKUP(B40,'Portfolio Bucket'!$A$2:$C$69,2,0)),"",VLOOKUP(B40,'Portfolio Bucket'!$A$2:$C$69,3,0))</f>
        <v/>
      </c>
      <c r="D40" s="294" t="str">
        <f aca="false">IF(C40="","",VLOOKUP(C40,'ETF List'!$C$1:$J$200,3,0))</f>
        <v/>
      </c>
      <c r="E40" s="294" t="str">
        <f aca="false">IF(C40="","",IF(ISERROR(VLOOKUP(C40,'Policy Portfolio'!$H$21:$H$29,1,0)),"Tactical","Policy"))</f>
        <v/>
      </c>
      <c r="F40" s="294" t="str">
        <f aca="false">IF(C40="","",VLOOKUP(C40,'ETF List'!$C$1:$J$200,4,0))</f>
        <v/>
      </c>
      <c r="G40" s="294" t="str">
        <f aca="false">IF(C40="","",VLOOKUP(C40,'ETF List'!$C$1:$J$200,5,0))</f>
        <v/>
      </c>
      <c r="H40" s="413" t="str">
        <f aca="false">IF(C40="","",INDEX('Portfolio Bucket'!$C$2:$I$69,MATCH(C40,'Portfolio Bucket'!$C$2:$C$69,0),MATCH($E$5,'Portfolio Bucket'!$C$1:$I$1,0)))</f>
        <v/>
      </c>
      <c r="I40" s="414" t="str">
        <f aca="false">IF(C40="","",IF(INDEX('Price Inputs'!$C$5:$J$49,MATCH(C40,'Price Inputs'!$C$5:$C$49,0),MATCH('Current Portfolio'!$E$5,'Price Inputs'!$C$5:$J$5,0))=0,VLOOKUP(C40,Trades!$C$32:$O$59,8,0),INDEX('Price Inputs'!$C$5:$J$49,MATCH(C40,'Price Inputs'!$C$5:$C$49,0),MATCH('Current Portfolio'!$E$5,'Price Inputs'!$C$5:$J$5,0))))</f>
        <v/>
      </c>
      <c r="J40" s="415" t="str">
        <f aca="false">IF(C40="","",H40*I40)</f>
        <v/>
      </c>
      <c r="K40" s="416" t="str">
        <f aca="false">IF(ISNUMBER(J40),J40/SUM(Mrkt_Value,$J$10),"")</f>
        <v/>
      </c>
      <c r="T40" s="377"/>
      <c r="U40" s="135"/>
      <c r="V40" s="392" t="n">
        <f aca="false">IF($F40=V$6,$J40,0)</f>
        <v>0</v>
      </c>
      <c r="W40" s="392" t="n">
        <f aca="false">IF($F40=W$6,$J40,0)</f>
        <v>0</v>
      </c>
      <c r="X40" s="392" t="n">
        <f aca="false">IF($F40=X$6,$J40,0)</f>
        <v>0</v>
      </c>
      <c r="Y40" s="392" t="n">
        <f aca="false">IF($F40=Y$6,$J40,0)</f>
        <v>0</v>
      </c>
      <c r="Z40" s="392" t="n">
        <f aca="false">IF($F40=Z$6,$J40,0)</f>
        <v>0</v>
      </c>
    </row>
  </sheetData>
  <sheetProtection sheet="true" scenarios="true" formatColumns="false"/>
  <dataValidations count="2">
    <dataValidation allowBlank="true" error="This cell needs to be greater than zero!" operator="between" prompt="Cash needs to be greater than $0." showDropDown="false" showErrorMessage="true" showInputMessage="true" sqref="J10" type="none">
      <formula1>0</formula1>
      <formula2>0</formula2>
    </dataValidation>
    <dataValidation allowBlank="true" operator="between" showDropDown="false" showErrorMessage="true" showInputMessage="true" sqref="E5" type="list">
      <formula1>'Price Inputs'!$E$19:$J$19</formula1>
      <formula2>0</formula2>
    </dataValidation>
  </dataValidations>
  <printOptions headings="false" gridLines="false" gridLinesSet="true" horizontalCentered="false" verticalCentered="false"/>
  <pageMargins left="0.25" right="0.25" top="0.5" bottom="0.5" header="0.511805555555555" footer="0.511805555555555"/>
  <pageSetup paperSize="1" scale="54"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X206"/>
  <sheetViews>
    <sheetView showFormulas="false" showGridLines="false" showRowColHeaders="true" showZeros="true" rightToLeft="false" tabSelected="false" showOutlineSymbols="true" defaultGridColor="true" view="normal" topLeftCell="B1" colorId="64" zoomScale="100" zoomScaleNormal="100" zoomScalePageLayoutView="100" workbookViewId="0">
      <selection pane="topLeft" activeCell="D32" activeCellId="0" sqref="D32"/>
    </sheetView>
  </sheetViews>
  <sheetFormatPr defaultRowHeight="17.25" zeroHeight="false" outlineLevelRow="0" outlineLevelCol="0"/>
  <cols>
    <col collapsed="false" customWidth="true" hidden="false" outlineLevel="0" max="1" min="1" style="263" width="4.71"/>
    <col collapsed="false" customWidth="true" hidden="false" outlineLevel="0" max="2" min="2" style="263" width="4.86"/>
    <col collapsed="false" customWidth="true" hidden="false" outlineLevel="0" max="3" min="3" style="263" width="14.86"/>
    <col collapsed="false" customWidth="true" hidden="false" outlineLevel="0" max="4" min="4" style="263" width="36.71"/>
    <col collapsed="false" customWidth="true" hidden="false" outlineLevel="0" max="13" min="5" style="263" width="20.14"/>
    <col collapsed="false" customWidth="true" hidden="false" outlineLevel="0" max="14" min="14" style="263" width="15.42"/>
    <col collapsed="false" customWidth="true" hidden="false" outlineLevel="0" max="15" min="15" style="263" width="20.57"/>
    <col collapsed="false" customWidth="true" hidden="false" outlineLevel="0" max="16" min="16" style="263" width="30.14"/>
    <col collapsed="false" customWidth="true" hidden="false" outlineLevel="0" max="17" min="17" style="314" width="14.86"/>
    <col collapsed="false" customWidth="true" hidden="false" outlineLevel="0" max="18" min="18" style="263" width="23.42"/>
    <col collapsed="false" customWidth="true" hidden="false" outlineLevel="0" max="19" min="19" style="314" width="17.29"/>
    <col collapsed="false" customWidth="true" hidden="false" outlineLevel="0" max="20" min="20" style="417" width="24.71"/>
    <col collapsed="false" customWidth="true" hidden="false" outlineLevel="0" max="21" min="21" style="417" width="17"/>
    <col collapsed="false" customWidth="true" hidden="false" outlineLevel="0" max="22" min="22" style="417" width="24.41"/>
    <col collapsed="false" customWidth="true" hidden="false" outlineLevel="0" max="1025" min="23" style="263" width="9.13"/>
  </cols>
  <sheetData>
    <row r="1" customFormat="false" ht="23.25" hidden="false" customHeight="true" outlineLevel="0" collapsed="false">
      <c r="A1" s="418" t="s">
        <v>425</v>
      </c>
    </row>
    <row r="2" customFormat="false" ht="17.25" hidden="false" customHeight="true" outlineLevel="0" collapsed="false">
      <c r="D2" s="378" t="s">
        <v>417</v>
      </c>
      <c r="E2" s="419" t="s">
        <v>347</v>
      </c>
    </row>
    <row r="3" customFormat="false" ht="17.25" hidden="false" customHeight="true" outlineLevel="0" collapsed="false">
      <c r="E3" s="420" t="n">
        <f aca="false">HLOOKUP('Port Returns'!E2,'Portfolio Bucket'!$D$1:$I$2,2)</f>
        <v>43266</v>
      </c>
      <c r="J3" s="421"/>
    </row>
    <row r="4" customFormat="false" ht="17.25" hidden="true" customHeight="true" outlineLevel="0" collapsed="false"/>
    <row r="5" customFormat="false" ht="17.25" hidden="true" customHeight="true" outlineLevel="0" collapsed="false"/>
    <row r="6" customFormat="false" ht="26.25" hidden="false" customHeight="false" outlineLevel="0" collapsed="false">
      <c r="C6" s="380" t="s">
        <v>426</v>
      </c>
      <c r="D6" s="309"/>
      <c r="E6" s="309"/>
      <c r="F6" s="309"/>
      <c r="G6" s="309"/>
      <c r="H6" s="310"/>
      <c r="I6" s="309"/>
      <c r="J6" s="309"/>
      <c r="K6" s="285"/>
    </row>
    <row r="7" customFormat="false" ht="17.25" hidden="false" customHeight="true" outlineLevel="0" collapsed="false">
      <c r="C7" s="422" t="s">
        <v>419</v>
      </c>
      <c r="D7" s="423"/>
      <c r="E7" s="424" t="n">
        <f aca="false">SUM(K9:K39)</f>
        <v>996785.1</v>
      </c>
      <c r="F7" s="424"/>
      <c r="G7" s="425"/>
      <c r="H7" s="425"/>
      <c r="I7" s="426"/>
      <c r="J7" s="426"/>
      <c r="K7" s="427" t="s">
        <v>269</v>
      </c>
      <c r="L7" s="428"/>
      <c r="M7" s="429" t="n">
        <f aca="false">(E7)/(Initial_Cash+Extra_Cash)-1</f>
        <v>-0.00321490000000013</v>
      </c>
    </row>
    <row r="8" s="265" customFormat="true" ht="46.5" hidden="false" customHeight="true" outlineLevel="0" collapsed="false">
      <c r="C8" s="179" t="s">
        <v>1</v>
      </c>
      <c r="D8" s="180" t="s">
        <v>3</v>
      </c>
      <c r="E8" s="180" t="s">
        <v>421</v>
      </c>
      <c r="F8" s="180" t="s">
        <v>4</v>
      </c>
      <c r="G8" s="269" t="s">
        <v>394</v>
      </c>
      <c r="H8" s="269" t="s">
        <v>427</v>
      </c>
      <c r="I8" s="269" t="s">
        <v>428</v>
      </c>
      <c r="J8" s="269" t="s">
        <v>429</v>
      </c>
      <c r="K8" s="180" t="s">
        <v>423</v>
      </c>
      <c r="L8" s="269" t="s">
        <v>430</v>
      </c>
      <c r="M8" s="270" t="s">
        <v>431</v>
      </c>
      <c r="Q8" s="309"/>
      <c r="S8" s="309"/>
      <c r="T8" s="430"/>
      <c r="U8" s="430"/>
      <c r="V8" s="430"/>
      <c r="W8" s="430"/>
      <c r="X8" s="430"/>
    </row>
    <row r="9" s="265" customFormat="true" ht="17.25" hidden="false" customHeight="true" outlineLevel="0" collapsed="false">
      <c r="C9" s="431"/>
      <c r="D9" s="432" t="s">
        <v>273</v>
      </c>
      <c r="E9" s="432"/>
      <c r="F9" s="432" t="s">
        <v>273</v>
      </c>
      <c r="G9" s="432"/>
      <c r="H9" s="432"/>
      <c r="I9" s="432"/>
      <c r="J9" s="432"/>
      <c r="K9" s="433" t="n">
        <f aca="false">Initial_Cash+Extra_Cash+SUMIFS(Trades!$O$9:$O$17,Trades!$K$9:$K$17,"&lt;="&amp;HLOOKUP(E2,'Portfolio Bucket'!$D$1:$I$2,2,0))+SUMIFS(Trades!$O$32:$O$59,Trades!$K$32:$K$59,"&lt;="&amp;HLOOKUP(E2,'Portfolio Bucket'!$D$1:$I$2,2,0))+SUMIFS(Trades!$O$32:$O$59,Trades!$M$32:$M$59,"&lt;="&amp;HLOOKUP(E2,'Portfolio Bucket'!$D$1:$I$2,2,0))</f>
        <v>10071.98</v>
      </c>
      <c r="L9" s="434"/>
      <c r="M9" s="435"/>
      <c r="Q9" s="309"/>
      <c r="S9" s="309"/>
      <c r="T9" s="430"/>
      <c r="U9" s="430"/>
      <c r="V9" s="430"/>
      <c r="W9" s="430"/>
      <c r="X9" s="430"/>
    </row>
    <row r="10" customFormat="false" ht="17.25" hidden="false" customHeight="true" outlineLevel="0" collapsed="false">
      <c r="C10" s="436" t="str">
        <f aca="false">IF('Current Portfolio'!C11="","",'Current Portfolio'!C11)</f>
        <v>BIV</v>
      </c>
      <c r="D10" s="437" t="str">
        <f aca="false">IF(C10="","",VLOOKUP(C10,'ETF List'!$C$1:$J$200,3,0))</f>
        <v>Vanguard Intermediate-Term Bond</v>
      </c>
      <c r="E10" s="438" t="str">
        <f aca="false">IF(C10="","",IF(ISERROR(VLOOKUP(C10,'Policy Portfolio'!$H$21:$H$29,1,0)),"Tactical","Policy"))</f>
        <v>Policy</v>
      </c>
      <c r="F10" s="282" t="str">
        <f aca="false">IF(C10="","",VLOOKUP(C10,'ETF List'!$C$1:$J$200,4,0))</f>
        <v>Bonds</v>
      </c>
      <c r="G10" s="439" t="n">
        <f aca="false">IF(C10="","",INDEX('Portfolio Bucket'!$C$2:$I$69,MATCH(C10,'Portfolio Bucket'!$C$2:$C$69,0),MATCH($E$2,'Portfolio Bucket'!$C$1:$I$1,0)))</f>
        <v>1239</v>
      </c>
      <c r="H10" s="440" t="n">
        <f aca="false">IF(C10="","",VLOOKUP(C10,'Portfolio Bucket'!$N$3:$Q$69,4,0))</f>
        <v>80.68</v>
      </c>
      <c r="I10" s="441" t="n">
        <f aca="false">IF(C10="","",G10*H10)</f>
        <v>99962.52</v>
      </c>
      <c r="J10" s="440" t="n">
        <f aca="false">IF(C10="","",IF(INDEX('Price Inputs'!$C$5:$J$49,MATCH('Port Returns'!C10,'Price Inputs'!$C$5:$C$49,0),MATCH($E$2,'Price Inputs'!$C$5:$J$5,0))=0,VLOOKUP(C10,Trades!$C$9:$O$59,8,0),INDEX('Price Inputs'!$C$5:$J$49,MATCH('Port Returns'!C10,'Price Inputs'!$C$5:$C$49,0),MATCH($E$2,'Price Inputs'!$C$5:$J$5,0))))</f>
        <v>80.61</v>
      </c>
      <c r="K10" s="441" t="n">
        <f aca="false">IF(C10="","",G10*J10)</f>
        <v>99875.79</v>
      </c>
      <c r="L10" s="442" t="n">
        <f aca="false">IF(C10="","",K10-I10)</f>
        <v>-86.7300000000105</v>
      </c>
      <c r="M10" s="443" t="n">
        <f aca="false">IF(OR(C10="",I10=0),"",L10/I10)</f>
        <v>-0.000867625185919787</v>
      </c>
      <c r="W10" s="417"/>
      <c r="X10" s="417"/>
    </row>
    <row r="11" customFormat="false" ht="17.25" hidden="false" customHeight="true" outlineLevel="0" collapsed="false">
      <c r="C11" s="444" t="str">
        <f aca="false">IF('Current Portfolio'!C12="","",'Current Portfolio'!C12)</f>
        <v>EEM</v>
      </c>
      <c r="D11" s="445" t="str">
        <f aca="false">IF(C11="","",VLOOKUP(C11,'ETF List'!$C$1:$J$200,3,0))</f>
        <v>iShares Emerging Mrkt</v>
      </c>
      <c r="E11" s="314" t="str">
        <f aca="false">IF(C11="","",IF(ISERROR(VLOOKUP(C11,'Policy Portfolio'!$H$21:$H$29,1,0)),"Tactical","Policy"))</f>
        <v>Policy</v>
      </c>
      <c r="F11" s="263" t="str">
        <f aca="false">IF(C11="","",VLOOKUP(C11,'ETF List'!$C$1:$J$200,4,0))</f>
        <v>Intl Equity</v>
      </c>
      <c r="G11" s="446" t="n">
        <f aca="false">IF(C11="","",INDEX('Portfolio Bucket'!$C$2:$I$69,MATCH(C11,'Portfolio Bucket'!$C$2:$C$69,0),MATCH($E$2,'Portfolio Bucket'!$C$1:$I$1,0)))</f>
        <v>3238</v>
      </c>
      <c r="H11" s="447" t="n">
        <f aca="false">IF(C11="","",VLOOKUP(C11,'Portfolio Bucket'!$N$3:$Q$69,4,0))</f>
        <v>46.33</v>
      </c>
      <c r="I11" s="448" t="n">
        <f aca="false">IF(C11="","",G11*H11)</f>
        <v>150016.54</v>
      </c>
      <c r="J11" s="447" t="n">
        <f aca="false">IF(C11="","",IF(INDEX('Price Inputs'!$C$5:$J$49,MATCH('Port Returns'!C11,'Price Inputs'!$C$5:$C$49,0),MATCH($E$2,'Price Inputs'!$C$5:$J$5,0))=0,VLOOKUP(C11,Trades!$C$9:$O$59,8,0),INDEX('Price Inputs'!$C$5:$J$49,MATCH('Port Returns'!C11,'Price Inputs'!$C$5:$C$49,0),MATCH($E$2,'Price Inputs'!$C$5:$J$5,0))))</f>
        <v>45.25</v>
      </c>
      <c r="K11" s="448" t="n">
        <f aca="false">IF(C11="","",G11*J11)</f>
        <v>146519.5</v>
      </c>
      <c r="L11" s="442" t="n">
        <f aca="false">IF(C11="","",K11-I11)</f>
        <v>-3497.04000000001</v>
      </c>
      <c r="M11" s="449" t="n">
        <f aca="false">IF(OR(C11="",I11=0),"",L11/I11)</f>
        <v>-0.0233110295704727</v>
      </c>
      <c r="W11" s="417"/>
      <c r="X11" s="417"/>
    </row>
    <row r="12" customFormat="false" ht="17.25" hidden="false" customHeight="true" outlineLevel="0" collapsed="false">
      <c r="C12" s="444" t="str">
        <f aca="false">IF('Current Portfolio'!C13="","",'Current Portfolio'!C13)</f>
        <v>EFA</v>
      </c>
      <c r="D12" s="445" t="str">
        <f aca="false">IF(C12="","",VLOOKUP(C12,'ETF List'!$C$1:$J$200,3,0))</f>
        <v>iShares EAFE</v>
      </c>
      <c r="E12" s="314" t="str">
        <f aca="false">IF(C12="","",IF(ISERROR(VLOOKUP(C12,'Policy Portfolio'!$H$21:$H$29,1,0)),"Tactical","Policy"))</f>
        <v>Policy</v>
      </c>
      <c r="F12" s="263" t="str">
        <f aca="false">IF(C12="","",VLOOKUP(C12,'ETF List'!$C$1:$J$200,4,0))</f>
        <v>Intl Equity</v>
      </c>
      <c r="G12" s="446" t="n">
        <f aca="false">IF(C12="","",INDEX('Portfolio Bucket'!$C$2:$I$69,MATCH(C12,'Portfolio Bucket'!$C$2:$C$69,0),MATCH($E$2,'Portfolio Bucket'!$C$1:$I$1,0)))</f>
        <v>716</v>
      </c>
      <c r="H12" s="447" t="n">
        <f aca="false">IF(C12="","",VLOOKUP(C12,'Portfolio Bucket'!$N$3:$Q$69,4,0))</f>
        <v>70.41</v>
      </c>
      <c r="I12" s="448" t="n">
        <f aca="false">IF(C12="","",G12*H12)</f>
        <v>50413.56</v>
      </c>
      <c r="J12" s="447" t="n">
        <f aca="false">IF(C12="","",IF(INDEX('Price Inputs'!$C$5:$J$49,MATCH('Port Returns'!C12,'Price Inputs'!$C$5:$C$49,0),MATCH($E$2,'Price Inputs'!$C$5:$J$5,0))=0,VLOOKUP(C12,Trades!$C$9:$O$59,8,0),INDEX('Price Inputs'!$C$5:$J$49,MATCH('Port Returns'!C12,'Price Inputs'!$C$5:$C$49,0),MATCH($E$2,'Price Inputs'!$C$5:$J$5,0))))</f>
        <v>70</v>
      </c>
      <c r="K12" s="448" t="n">
        <f aca="false">IF(C12="","",G12*J12)</f>
        <v>50120</v>
      </c>
      <c r="L12" s="442" t="n">
        <f aca="false">IF(C12="","",K12-I12)</f>
        <v>-293.559999999998</v>
      </c>
      <c r="M12" s="449" t="n">
        <f aca="false">IF(OR(C12="",I12=0),"",L12/I12)</f>
        <v>-0.00582303650049704</v>
      </c>
      <c r="W12" s="417"/>
      <c r="X12" s="417"/>
    </row>
    <row r="13" customFormat="false" ht="17.25" hidden="false" customHeight="true" outlineLevel="0" collapsed="false">
      <c r="C13" s="444" t="str">
        <f aca="false">IF('Current Portfolio'!C14="","",'Current Portfolio'!C14)</f>
        <v>HYG</v>
      </c>
      <c r="D13" s="445" t="str">
        <f aca="false">IF(C13="","",VLOOKUP(C13,'ETF List'!$C$1:$J$200,3,0))</f>
        <v>iShares High Yield Bonds</v>
      </c>
      <c r="E13" s="314" t="str">
        <f aca="false">IF(C13="","",IF(ISERROR(VLOOKUP(C13,'Policy Portfolio'!$H$21:$H$29,1,0)),"Tactical","Policy"))</f>
        <v>Policy</v>
      </c>
      <c r="F13" s="263" t="str">
        <f aca="false">IF(C13="","",VLOOKUP(C13,'ETF List'!$C$1:$J$200,4,0))</f>
        <v>Bonds</v>
      </c>
      <c r="G13" s="446" t="n">
        <f aca="false">IF(C13="","",INDEX('Portfolio Bucket'!$C$2:$I$69,MATCH(C13,'Portfolio Bucket'!$C$2:$C$69,0),MATCH($E$2,'Portfolio Bucket'!$C$1:$I$1,0)))</f>
        <v>2043</v>
      </c>
      <c r="H13" s="447" t="n">
        <f aca="false">IF(C13="","",VLOOKUP(C13,'Portfolio Bucket'!$N$3:$Q$69,4,0))</f>
        <v>85.66</v>
      </c>
      <c r="I13" s="448" t="n">
        <f aca="false">IF(C13="","",G13*H13)</f>
        <v>175003.38</v>
      </c>
      <c r="J13" s="447" t="n">
        <f aca="false">IF(C13="","",IF(INDEX('Price Inputs'!$C$5:$J$49,MATCH('Port Returns'!C13,'Price Inputs'!$C$5:$C$49,0),MATCH($E$2,'Price Inputs'!$C$5:$J$5,0))=0,VLOOKUP(C13,Trades!$C$9:$O$59,8,0),INDEX('Price Inputs'!$C$5:$J$49,MATCH('Port Returns'!C13,'Price Inputs'!$C$5:$C$49,0),MATCH($E$2,'Price Inputs'!$C$5:$J$5,0))))</f>
        <v>86.12</v>
      </c>
      <c r="K13" s="448" t="n">
        <f aca="false">IF(C13="","",G13*J13)</f>
        <v>175943.16</v>
      </c>
      <c r="L13" s="442" t="n">
        <f aca="false">IF(C13="","",K13-I13)</f>
        <v>939.779999999999</v>
      </c>
      <c r="M13" s="449" t="n">
        <f aca="false">IF(OR(C13="",I13=0),"",L13/I13)</f>
        <v>0.00537006770954937</v>
      </c>
      <c r="W13" s="417"/>
      <c r="X13" s="417"/>
    </row>
    <row r="14" customFormat="false" ht="17.25" hidden="false" customHeight="true" outlineLevel="0" collapsed="false">
      <c r="C14" s="444" t="str">
        <f aca="false">IF('Current Portfolio'!C15="","",'Current Portfolio'!C15)</f>
        <v>IEF</v>
      </c>
      <c r="D14" s="445" t="str">
        <f aca="false">IF(C14="","",VLOOKUP(C14,'ETF List'!$C$1:$J$200,3,0))</f>
        <v>iShares 7-10 Yr Treasury</v>
      </c>
      <c r="E14" s="314" t="str">
        <f aca="false">IF(C14="","",IF(ISERROR(VLOOKUP(C14,'Policy Portfolio'!$H$21:$H$29,1,0)),"Tactical","Policy"))</f>
        <v>Policy</v>
      </c>
      <c r="F14" s="263" t="str">
        <f aca="false">IF(C14="","",VLOOKUP(C14,'ETF List'!$C$1:$J$200,4,0))</f>
        <v>Bonds</v>
      </c>
      <c r="G14" s="446" t="n">
        <f aca="false">IF(C14="","",INDEX('Portfolio Bucket'!$C$2:$I$69,MATCH(C14,'Portfolio Bucket'!$C$2:$C$69,0),MATCH($E$2,'Portfolio Bucket'!$C$1:$I$1,0)))</f>
        <v>1709</v>
      </c>
      <c r="H14" s="447" t="n">
        <f aca="false">IF(C14="","",VLOOKUP(C14,'Portfolio Bucket'!$N$3:$Q$69,4,0))</f>
        <v>101.778250438853</v>
      </c>
      <c r="I14" s="448" t="n">
        <f aca="false">IF(C14="","",G14*H14)</f>
        <v>173939.03</v>
      </c>
      <c r="J14" s="447" t="n">
        <f aca="false">IF(C14="","",IF(INDEX('Price Inputs'!$C$5:$J$49,MATCH('Port Returns'!C14,'Price Inputs'!$C$5:$C$49,0),MATCH($E$2,'Price Inputs'!$C$5:$J$5,0))=0,VLOOKUP(C14,Trades!$C$9:$O$59,8,0),INDEX('Price Inputs'!$C$5:$J$49,MATCH('Port Returns'!C14,'Price Inputs'!$C$5:$C$49,0),MATCH($E$2,'Price Inputs'!$C$5:$J$5,0))))</f>
        <v>101.83</v>
      </c>
      <c r="K14" s="448" t="n">
        <f aca="false">IF(C14="","",G14*J14)</f>
        <v>174027.47</v>
      </c>
      <c r="L14" s="442" t="n">
        <f aca="false">IF(C14="","",K14-I14)</f>
        <v>88.4400000002352</v>
      </c>
      <c r="M14" s="449" t="n">
        <f aca="false">IF(OR(C14="",I14=0),"",L14/I14)</f>
        <v>0.000508454025529723</v>
      </c>
      <c r="W14" s="417"/>
      <c r="X14" s="417"/>
    </row>
    <row r="15" customFormat="false" ht="17.25" hidden="false" customHeight="true" outlineLevel="0" collapsed="false">
      <c r="C15" s="444" t="str">
        <f aca="false">IF('Current Portfolio'!C16="","",'Current Portfolio'!C16)</f>
        <v>IYR</v>
      </c>
      <c r="D15" s="445" t="str">
        <f aca="false">IF(C15="","",VLOOKUP(C15,'ETF List'!$C$1:$J$200,3,0))</f>
        <v>iShares US Real Estate</v>
      </c>
      <c r="E15" s="314" t="str">
        <f aca="false">IF(C15="","",IF(ISERROR(VLOOKUP(C15,'Policy Portfolio'!$H$21:$H$29,1,0)),"Tactical","Policy"))</f>
        <v>Policy</v>
      </c>
      <c r="F15" s="263" t="str">
        <f aca="false">IF(C15="","",VLOOKUP(C15,'ETF List'!$C$1:$J$200,4,0))</f>
        <v>Alternatives</v>
      </c>
      <c r="G15" s="446" t="n">
        <f aca="false">IF(C15="","",INDEX('Portfolio Bucket'!$C$2:$I$69,MATCH(C15,'Portfolio Bucket'!$C$2:$C$69,0),MATCH($E$2,'Portfolio Bucket'!$C$1:$I$1,0)))</f>
        <v>630</v>
      </c>
      <c r="H15" s="447" t="n">
        <f aca="false">IF(C15="","",VLOOKUP(C15,'Portfolio Bucket'!$N$3:$Q$69,4,0))</f>
        <v>79.42</v>
      </c>
      <c r="I15" s="448" t="n">
        <f aca="false">IF(C15="","",G15*H15)</f>
        <v>50034.6</v>
      </c>
      <c r="J15" s="447" t="n">
        <f aca="false">IF(C15="","",IF(INDEX('Price Inputs'!$C$5:$J$49,MATCH('Port Returns'!C15,'Price Inputs'!$C$5:$C$49,0),MATCH($E$2,'Price Inputs'!$C$5:$J$5,0))=0,VLOOKUP(C15,Trades!$C$9:$O$59,8,0),INDEX('Price Inputs'!$C$5:$J$49,MATCH('Port Returns'!C15,'Price Inputs'!$C$5:$C$49,0),MATCH($E$2,'Price Inputs'!$C$5:$J$5,0))))</f>
        <v>78.96</v>
      </c>
      <c r="K15" s="448" t="n">
        <f aca="false">IF(C15="","",G15*J15)</f>
        <v>49744.8</v>
      </c>
      <c r="L15" s="442" t="n">
        <f aca="false">IF(C15="","",K15-I15)</f>
        <v>-289.800000000003</v>
      </c>
      <c r="M15" s="449" t="n">
        <f aca="false">IF(OR(C15="",I15=0),"",L15/I15)</f>
        <v>-0.00579199194157649</v>
      </c>
      <c r="W15" s="417"/>
      <c r="X15" s="417"/>
    </row>
    <row r="16" customFormat="false" ht="17.25" hidden="false" customHeight="true" outlineLevel="0" collapsed="false">
      <c r="C16" s="444" t="str">
        <f aca="false">IF('Current Portfolio'!C17="","",'Current Portfolio'!C17)</f>
        <v>VTI</v>
      </c>
      <c r="D16" s="445" t="str">
        <f aca="false">IF(C16="","",VLOOKUP(C16,'ETF List'!$C$1:$J$200,3,0))</f>
        <v>Vanguard Total Stock Mrkt</v>
      </c>
      <c r="E16" s="314" t="str">
        <f aca="false">IF(C16="","",IF(ISERROR(VLOOKUP(C16,'Policy Portfolio'!$H$21:$H$29,1,0)),"Tactical","Policy"))</f>
        <v>Policy</v>
      </c>
      <c r="F16" s="263" t="str">
        <f aca="false">IF(C16="","",VLOOKUP(C16,'ETF List'!$C$1:$J$200,4,0))</f>
        <v>US Equity</v>
      </c>
      <c r="G16" s="446" t="n">
        <f aca="false">IF(C16="","",INDEX('Portfolio Bucket'!$C$2:$I$69,MATCH(C16,'Portfolio Bucket'!$C$2:$C$69,0),MATCH($E$2,'Portfolio Bucket'!$C$1:$I$1,0)))</f>
        <v>2015</v>
      </c>
      <c r="H16" s="447" t="n">
        <f aca="false">IF(C16="","",VLOOKUP(C16,'Portfolio Bucket'!$N$3:$Q$69,4,0))</f>
        <v>143.91</v>
      </c>
      <c r="I16" s="448" t="n">
        <f aca="false">IF(C16="","",G16*H16)</f>
        <v>289978.65</v>
      </c>
      <c r="J16" s="447" t="n">
        <f aca="false">IF(C16="","",IF(INDEX('Price Inputs'!$C$5:$J$49,MATCH('Port Returns'!C16,'Price Inputs'!$C$5:$C$49,0),MATCH($E$2,'Price Inputs'!$C$5:$J$5,0))=0,VLOOKUP(C16,Trades!$C$9:$O$59,8,0),INDEX('Price Inputs'!$C$5:$J$49,MATCH('Port Returns'!C16,'Price Inputs'!$C$5:$C$49,0),MATCH($E$2,'Price Inputs'!$C$5:$J$5,0))))</f>
        <v>144.16</v>
      </c>
      <c r="K16" s="448" t="n">
        <f aca="false">IF(C16="","",G16*J16)</f>
        <v>290482.4</v>
      </c>
      <c r="L16" s="442" t="n">
        <f aca="false">IF(C16="","",K16-I16)</f>
        <v>503.75</v>
      </c>
      <c r="M16" s="449" t="n">
        <f aca="false">IF(OR(C16="",I16=0),"",L16/I16)</f>
        <v>0.00173719685914808</v>
      </c>
      <c r="W16" s="417"/>
      <c r="X16" s="417"/>
    </row>
    <row r="17" customFormat="false" ht="17.25" hidden="false" customHeight="true" outlineLevel="0" collapsed="false">
      <c r="C17" s="444" t="str">
        <f aca="false">IF('Current Portfolio'!C18="","",'Current Portfolio'!C18)</f>
        <v/>
      </c>
      <c r="D17" s="445" t="str">
        <f aca="false">IF(C17="","",VLOOKUP(C17,'ETF List'!$C$1:$J$200,3,0))</f>
        <v/>
      </c>
      <c r="E17" s="314" t="str">
        <f aca="false">IF(C17="","",IF(ISERROR(VLOOKUP(C17,'Policy Portfolio'!$H$21:$H$29,1,0)),"Tactical","Policy"))</f>
        <v/>
      </c>
      <c r="F17" s="263" t="str">
        <f aca="false">IF(C17="","",VLOOKUP(C17,'ETF List'!$C$1:$J$200,4,0))</f>
        <v/>
      </c>
      <c r="G17" s="446" t="str">
        <f aca="false">IF(C17="","",INDEX('Portfolio Bucket'!$C$2:$I$69,MATCH(C17,'Portfolio Bucket'!$C$2:$C$69,0),MATCH($E$2,'Portfolio Bucket'!$C$1:$I$1,0)))</f>
        <v/>
      </c>
      <c r="H17" s="447" t="str">
        <f aca="false">IF(C17="","",VLOOKUP(C17,'Portfolio Bucket'!$N$3:$Q$69,4,0))</f>
        <v/>
      </c>
      <c r="I17" s="448" t="str">
        <f aca="false">IF(C17="","",G17*H17)</f>
        <v/>
      </c>
      <c r="J17" s="447" t="str">
        <f aca="false">IF(C17="","",IF(INDEX('Price Inputs'!$C$5:$J$49,MATCH('Port Returns'!C17,'Price Inputs'!$C$5:$C$49,0),MATCH($E$2,'Price Inputs'!$C$5:$J$5,0))=0,VLOOKUP(C17,Trades!$C$9:$O$59,8,0),INDEX('Price Inputs'!$C$5:$J$49,MATCH('Port Returns'!C17,'Price Inputs'!$C$5:$C$49,0),MATCH($E$2,'Price Inputs'!$C$5:$J$5,0))))</f>
        <v/>
      </c>
      <c r="K17" s="448" t="str">
        <f aca="false">IF(C17="","",G17*J17)</f>
        <v/>
      </c>
      <c r="L17" s="442" t="str">
        <f aca="false">IF(C17="","",K17-I17)</f>
        <v/>
      </c>
      <c r="M17" s="449" t="str">
        <f aca="false">IF(OR(C17="",I17=0),"",L17/I17)</f>
        <v/>
      </c>
      <c r="W17" s="417"/>
      <c r="X17" s="417"/>
    </row>
    <row r="18" customFormat="false" ht="17.25" hidden="false" customHeight="true" outlineLevel="0" collapsed="false">
      <c r="C18" s="444" t="str">
        <f aca="false">IF('Current Portfolio'!C19="","",'Current Portfolio'!C19)</f>
        <v/>
      </c>
      <c r="D18" s="445" t="str">
        <f aca="false">IF(C18="","",VLOOKUP(C18,'ETF List'!$C$1:$J$200,3,0))</f>
        <v/>
      </c>
      <c r="E18" s="314" t="str">
        <f aca="false">IF(C18="","",IF(ISERROR(VLOOKUP(C18,'Policy Portfolio'!$H$21:$H$29,1,0)),"Tactical","Policy"))</f>
        <v/>
      </c>
      <c r="F18" s="263" t="str">
        <f aca="false">IF(C18="","",VLOOKUP(C18,'ETF List'!$C$1:$J$200,4,0))</f>
        <v/>
      </c>
      <c r="G18" s="446" t="str">
        <f aca="false">IF(C18="","",INDEX('Portfolio Bucket'!$C$2:$I$69,MATCH(C18,'Portfolio Bucket'!$C$2:$C$69,0),MATCH($E$2,'Portfolio Bucket'!$C$1:$I$1,0)))</f>
        <v/>
      </c>
      <c r="H18" s="447" t="str">
        <f aca="false">IF(C18="","",VLOOKUP(C18,'Portfolio Bucket'!$N$3:$Q$69,4,0))</f>
        <v/>
      </c>
      <c r="I18" s="448" t="str">
        <f aca="false">IF(C18="","",G18*H18)</f>
        <v/>
      </c>
      <c r="J18" s="447" t="str">
        <f aca="false">IF(C18="","",IF(INDEX('Price Inputs'!$C$5:$J$49,MATCH('Port Returns'!C18,'Price Inputs'!$C$5:$C$49,0),MATCH($E$2,'Price Inputs'!$C$5:$J$5,0))=0,VLOOKUP(C18,Trades!$C$9:$O$59,8,0),INDEX('Price Inputs'!$C$5:$J$49,MATCH('Port Returns'!C18,'Price Inputs'!$C$5:$C$49,0),MATCH($E$2,'Price Inputs'!$C$5:$J$5,0))))</f>
        <v/>
      </c>
      <c r="K18" s="448" t="str">
        <f aca="false">IF(C18="","",G18*J18)</f>
        <v/>
      </c>
      <c r="L18" s="442" t="str">
        <f aca="false">IF(C18="","",K18-I18)</f>
        <v/>
      </c>
      <c r="M18" s="449" t="str">
        <f aca="false">IF(OR(C18="",I18=0),"",L18/I18)</f>
        <v/>
      </c>
      <c r="W18" s="417"/>
      <c r="X18" s="417"/>
    </row>
    <row r="19" customFormat="false" ht="17.25" hidden="false" customHeight="true" outlineLevel="0" collapsed="false">
      <c r="C19" s="444" t="str">
        <f aca="false">IF('Current Portfolio'!C20="","",'Current Portfolio'!C20)</f>
        <v/>
      </c>
      <c r="D19" s="445" t="str">
        <f aca="false">IF(C19="","",VLOOKUP(C19,'ETF List'!$C$1:$J$200,3,0))</f>
        <v/>
      </c>
      <c r="E19" s="314" t="str">
        <f aca="false">IF(C19="","",IF(ISERROR(VLOOKUP(C19,'Policy Portfolio'!$H$21:$H$29,1,0)),"Tactical","Policy"))</f>
        <v/>
      </c>
      <c r="F19" s="263" t="str">
        <f aca="false">IF(C19="","",VLOOKUP(C19,'ETF List'!$C$1:$J$200,4,0))</f>
        <v/>
      </c>
      <c r="G19" s="446" t="str">
        <f aca="false">IF(C19="","",INDEX('Portfolio Bucket'!$C$2:$I$69,MATCH(C19,'Portfolio Bucket'!$C$2:$C$69,0),MATCH($E$2,'Portfolio Bucket'!$C$1:$I$1,0)))</f>
        <v/>
      </c>
      <c r="H19" s="447" t="str">
        <f aca="false">IF(C19="","",VLOOKUP(C19,'Portfolio Bucket'!$N$3:$Q$69,4,0))</f>
        <v/>
      </c>
      <c r="I19" s="448" t="str">
        <f aca="false">IF(C19="","",G19*H19)</f>
        <v/>
      </c>
      <c r="J19" s="447" t="str">
        <f aca="false">IF(C19="","",IF(INDEX('Price Inputs'!$C$5:$J$49,MATCH('Port Returns'!C19,'Price Inputs'!$C$5:$C$49,0),MATCH($E$2,'Price Inputs'!$C$5:$J$5,0))=0,VLOOKUP(C19,Trades!$C$9:$O$59,8,0),INDEX('Price Inputs'!$C$5:$J$49,MATCH('Port Returns'!C19,'Price Inputs'!$C$5:$C$49,0),MATCH($E$2,'Price Inputs'!$C$5:$J$5,0))))</f>
        <v/>
      </c>
      <c r="K19" s="448" t="str">
        <f aca="false">IF(C19="","",G19*J19)</f>
        <v/>
      </c>
      <c r="L19" s="442" t="str">
        <f aca="false">IF(C19="","",K19-I19)</f>
        <v/>
      </c>
      <c r="M19" s="449" t="str">
        <f aca="false">IF(OR(C19="",I19=0),"",L19/I19)</f>
        <v/>
      </c>
      <c r="W19" s="417"/>
      <c r="X19" s="417"/>
    </row>
    <row r="20" customFormat="false" ht="17.25" hidden="false" customHeight="true" outlineLevel="0" collapsed="false">
      <c r="C20" s="444" t="str">
        <f aca="false">IF('Current Portfolio'!C21="","",'Current Portfolio'!C21)</f>
        <v/>
      </c>
      <c r="D20" s="445" t="str">
        <f aca="false">IF(C20="","",VLOOKUP(C20,'ETF List'!$C$1:$J$200,3,0))</f>
        <v/>
      </c>
      <c r="E20" s="314" t="str">
        <f aca="false">IF(C20="","",IF(ISERROR(VLOOKUP(C20,'Policy Portfolio'!$H$21:$H$29,1,0)),"Tactical","Policy"))</f>
        <v/>
      </c>
      <c r="F20" s="263" t="str">
        <f aca="false">IF(C20="","",VLOOKUP(C20,'ETF List'!$C$1:$J$200,4,0))</f>
        <v/>
      </c>
      <c r="G20" s="446" t="str">
        <f aca="false">IF(C20="","",INDEX('Portfolio Bucket'!$C$2:$I$69,MATCH(C20,'Portfolio Bucket'!$C$2:$C$69,0),MATCH($E$2,'Portfolio Bucket'!$C$1:$I$1,0)))</f>
        <v/>
      </c>
      <c r="H20" s="447" t="str">
        <f aca="false">IF(C20="","",VLOOKUP(C20,'Portfolio Bucket'!$N$3:$Q$69,4,0))</f>
        <v/>
      </c>
      <c r="I20" s="448" t="str">
        <f aca="false">IF(C20="","",G20*H20)</f>
        <v/>
      </c>
      <c r="J20" s="447" t="str">
        <f aca="false">IF(C20="","",IF(INDEX('Price Inputs'!$C$5:$J$49,MATCH('Port Returns'!C20,'Price Inputs'!$C$5:$C$49,0),MATCH($E$2,'Price Inputs'!$C$5:$J$5,0))=0,VLOOKUP(C20,Trades!$C$9:$O$59,8,0),INDEX('Price Inputs'!$C$5:$J$49,MATCH('Port Returns'!C20,'Price Inputs'!$C$5:$C$49,0),MATCH($E$2,'Price Inputs'!$C$5:$J$5,0))))</f>
        <v/>
      </c>
      <c r="K20" s="448" t="str">
        <f aca="false">IF(C20="","",G20*J20)</f>
        <v/>
      </c>
      <c r="L20" s="442" t="str">
        <f aca="false">IF(C20="","",K20-I20)</f>
        <v/>
      </c>
      <c r="M20" s="449" t="str">
        <f aca="false">IF(OR(C20="",I20=0),"",L20/I20)</f>
        <v/>
      </c>
      <c r="W20" s="417"/>
      <c r="X20" s="417"/>
    </row>
    <row r="21" customFormat="false" ht="17.25" hidden="false" customHeight="true" outlineLevel="0" collapsed="false">
      <c r="C21" s="444" t="str">
        <f aca="false">IF('Current Portfolio'!C22="","",'Current Portfolio'!C22)</f>
        <v/>
      </c>
      <c r="D21" s="445" t="str">
        <f aca="false">IF(C21="","",VLOOKUP(C21,'ETF List'!$C$1:$J$200,3,0))</f>
        <v/>
      </c>
      <c r="E21" s="314" t="str">
        <f aca="false">IF(C21="","",IF(ISERROR(VLOOKUP(C21,'Policy Portfolio'!$H$21:$H$29,1,0)),"Tactical","Policy"))</f>
        <v/>
      </c>
      <c r="F21" s="263" t="str">
        <f aca="false">IF(C21="","",VLOOKUP(C21,'ETF List'!$C$1:$J$200,4,0))</f>
        <v/>
      </c>
      <c r="G21" s="446" t="str">
        <f aca="false">IF(C21="","",INDEX('Portfolio Bucket'!$C$2:$I$69,MATCH(C21,'Portfolio Bucket'!$C$2:$C$69,0),MATCH($E$2,'Portfolio Bucket'!$C$1:$I$1,0)))</f>
        <v/>
      </c>
      <c r="H21" s="447" t="str">
        <f aca="false">IF(C21="","",VLOOKUP(C21,'Portfolio Bucket'!$N$3:$Q$69,4,0))</f>
        <v/>
      </c>
      <c r="I21" s="448" t="str">
        <f aca="false">IF(C21="","",G21*H21)</f>
        <v/>
      </c>
      <c r="J21" s="447" t="str">
        <f aca="false">IF(C21="","",IF(INDEX('Price Inputs'!$C$5:$J$49,MATCH('Port Returns'!C21,'Price Inputs'!$C$5:$C$49,0),MATCH($E$2,'Price Inputs'!$C$5:$J$5,0))=0,VLOOKUP(C21,Trades!$C$9:$O$59,8,0),INDEX('Price Inputs'!$C$5:$J$49,MATCH('Port Returns'!C21,'Price Inputs'!$C$5:$C$49,0),MATCH($E$2,'Price Inputs'!$C$5:$J$5,0))))</f>
        <v/>
      </c>
      <c r="K21" s="448" t="str">
        <f aca="false">IF(C21="","",G21*J21)</f>
        <v/>
      </c>
      <c r="L21" s="442" t="str">
        <f aca="false">IF(C21="","",K21-I21)</f>
        <v/>
      </c>
      <c r="M21" s="449" t="str">
        <f aca="false">IF(OR(C21="",I21=0),"",L21/I21)</f>
        <v/>
      </c>
      <c r="W21" s="417"/>
      <c r="X21" s="417"/>
    </row>
    <row r="22" customFormat="false" ht="17.25" hidden="false" customHeight="true" outlineLevel="0" collapsed="false">
      <c r="C22" s="444" t="str">
        <f aca="false">IF('Current Portfolio'!C23="","",'Current Portfolio'!C23)</f>
        <v/>
      </c>
      <c r="D22" s="445" t="str">
        <f aca="false">IF(C22="","",VLOOKUP(C22,'ETF List'!$C$1:$J$200,3,0))</f>
        <v/>
      </c>
      <c r="E22" s="314" t="str">
        <f aca="false">IF(C22="","",IF(ISERROR(VLOOKUP(C22,'Policy Portfolio'!$H$21:$H$29,1,0)),"Tactical","Policy"))</f>
        <v/>
      </c>
      <c r="F22" s="263" t="str">
        <f aca="false">IF(C22="","",VLOOKUP(C22,'ETF List'!$C$1:$J$200,4,0))</f>
        <v/>
      </c>
      <c r="G22" s="446" t="str">
        <f aca="false">IF(C22="","",INDEX('Portfolio Bucket'!$C$2:$I$69,MATCH(C22,'Portfolio Bucket'!$C$2:$C$69,0),MATCH($E$2,'Portfolio Bucket'!$C$1:$I$1,0)))</f>
        <v/>
      </c>
      <c r="H22" s="447" t="str">
        <f aca="false">IF(C22="","",VLOOKUP(C22,'Portfolio Bucket'!$N$3:$Q$69,4,0))</f>
        <v/>
      </c>
      <c r="I22" s="448" t="str">
        <f aca="false">IF(C22="","",G22*H22)</f>
        <v/>
      </c>
      <c r="J22" s="447" t="str">
        <f aca="false">IF(C22="","",IF(INDEX('Price Inputs'!$C$5:$J$49,MATCH('Port Returns'!C22,'Price Inputs'!$C$5:$C$49,0),MATCH($E$2,'Price Inputs'!$C$5:$J$5,0))=0,VLOOKUP(C22,Trades!$C$9:$O$59,8,0),INDEX('Price Inputs'!$C$5:$J$49,MATCH('Port Returns'!C22,'Price Inputs'!$C$5:$C$49,0),MATCH($E$2,'Price Inputs'!$C$5:$J$5,0))))</f>
        <v/>
      </c>
      <c r="K22" s="448" t="str">
        <f aca="false">IF(C22="","",G22*J22)</f>
        <v/>
      </c>
      <c r="L22" s="442" t="str">
        <f aca="false">IF(C22="","",K22-I22)</f>
        <v/>
      </c>
      <c r="M22" s="449" t="str">
        <f aca="false">IF(OR(C22="",I22=0),"",L22/I22)</f>
        <v/>
      </c>
      <c r="W22" s="417"/>
      <c r="X22" s="417"/>
    </row>
    <row r="23" customFormat="false" ht="17.25" hidden="false" customHeight="true" outlineLevel="0" collapsed="false">
      <c r="C23" s="444" t="str">
        <f aca="false">IF('Current Portfolio'!C24="","",'Current Portfolio'!C24)</f>
        <v/>
      </c>
      <c r="D23" s="445" t="str">
        <f aca="false">IF(C23="","",VLOOKUP(C23,'ETF List'!$C$1:$J$200,3,0))</f>
        <v/>
      </c>
      <c r="E23" s="314" t="str">
        <f aca="false">IF(C23="","",IF(ISERROR(VLOOKUP(C23,'Policy Portfolio'!$H$21:$H$29,1,0)),"Tactical","Policy"))</f>
        <v/>
      </c>
      <c r="F23" s="263" t="str">
        <f aca="false">IF(C23="","",VLOOKUP(C23,'ETF List'!$C$1:$J$200,4,0))</f>
        <v/>
      </c>
      <c r="G23" s="446" t="str">
        <f aca="false">IF(C23="","",INDEX('Portfolio Bucket'!$C$2:$I$69,MATCH(C23,'Portfolio Bucket'!$C$2:$C$69,0),MATCH($E$2,'Portfolio Bucket'!$C$1:$I$1,0)))</f>
        <v/>
      </c>
      <c r="H23" s="447" t="str">
        <f aca="false">IF(C23="","",VLOOKUP(C23,'Portfolio Bucket'!$N$3:$Q$69,4,0))</f>
        <v/>
      </c>
      <c r="I23" s="448" t="str">
        <f aca="false">IF(C23="","",G23*H23)</f>
        <v/>
      </c>
      <c r="J23" s="447" t="str">
        <f aca="false">IF(C23="","",IF(INDEX('Price Inputs'!$C$5:$J$49,MATCH('Port Returns'!C23,'Price Inputs'!$C$5:$C$49,0),MATCH($E$2,'Price Inputs'!$C$5:$J$5,0))=0,VLOOKUP(C23,Trades!$C$9:$O$59,8,0),INDEX('Price Inputs'!$C$5:$J$49,MATCH('Port Returns'!C23,'Price Inputs'!$C$5:$C$49,0),MATCH($E$2,'Price Inputs'!$C$5:$J$5,0))))</f>
        <v/>
      </c>
      <c r="K23" s="448" t="str">
        <f aca="false">IF(C23="","",G23*J23)</f>
        <v/>
      </c>
      <c r="L23" s="442" t="str">
        <f aca="false">IF(C23="","",K23-I23)</f>
        <v/>
      </c>
      <c r="M23" s="449" t="str">
        <f aca="false">IF(OR(C23="",I23=0),"",L23/I23)</f>
        <v/>
      </c>
      <c r="W23" s="417"/>
      <c r="X23" s="417"/>
    </row>
    <row r="24" customFormat="false" ht="17.25" hidden="false" customHeight="true" outlineLevel="0" collapsed="false">
      <c r="C24" s="444" t="str">
        <f aca="false">IF('Current Portfolio'!C25="","",'Current Portfolio'!C25)</f>
        <v/>
      </c>
      <c r="D24" s="445" t="str">
        <f aca="false">IF(C24="","",VLOOKUP(C24,'ETF List'!$C$1:$J$200,3,0))</f>
        <v/>
      </c>
      <c r="E24" s="314" t="str">
        <f aca="false">IF(C24="","",IF(ISERROR(VLOOKUP(C24,'Policy Portfolio'!$H$21:$H$29,1,0)),"Tactical","Policy"))</f>
        <v/>
      </c>
      <c r="F24" s="263" t="str">
        <f aca="false">IF(C24="","",VLOOKUP(C24,'ETF List'!$C$1:$J$200,4,0))</f>
        <v/>
      </c>
      <c r="G24" s="446" t="str">
        <f aca="false">IF(C24="","",INDEX('Portfolio Bucket'!$C$2:$I$69,MATCH(C24,'Portfolio Bucket'!$C$2:$C$69,0),MATCH($E$2,'Portfolio Bucket'!$C$1:$I$1,0)))</f>
        <v/>
      </c>
      <c r="H24" s="447" t="str">
        <f aca="false">IF(C24="","",VLOOKUP(C24,'Portfolio Bucket'!$N$3:$Q$69,4,0))</f>
        <v/>
      </c>
      <c r="I24" s="448" t="str">
        <f aca="false">IF(C24="","",G24*H24)</f>
        <v/>
      </c>
      <c r="J24" s="447" t="str">
        <f aca="false">IF(C24="","",IF(INDEX('Price Inputs'!$C$5:$J$49,MATCH('Port Returns'!C24,'Price Inputs'!$C$5:$C$49,0),MATCH($E$2,'Price Inputs'!$C$5:$J$5,0))=0,VLOOKUP(C24,Trades!$C$9:$O$59,8,0),INDEX('Price Inputs'!$C$5:$J$49,MATCH('Port Returns'!C24,'Price Inputs'!$C$5:$C$49,0),MATCH($E$2,'Price Inputs'!$C$5:$J$5,0))))</f>
        <v/>
      </c>
      <c r="K24" s="448" t="str">
        <f aca="false">IF(C24="","",G24*J24)</f>
        <v/>
      </c>
      <c r="L24" s="442" t="str">
        <f aca="false">IF(C24="","",K24-I24)</f>
        <v/>
      </c>
      <c r="M24" s="449" t="str">
        <f aca="false">IF(OR(C24="",I24=0),"",L24/I24)</f>
        <v/>
      </c>
      <c r="W24" s="417"/>
      <c r="X24" s="417"/>
    </row>
    <row r="25" customFormat="false" ht="17.25" hidden="false" customHeight="true" outlineLevel="0" collapsed="false">
      <c r="C25" s="444" t="str">
        <f aca="false">IF('Current Portfolio'!C26="","",'Current Portfolio'!C26)</f>
        <v/>
      </c>
      <c r="D25" s="445" t="str">
        <f aca="false">IF(C25="","",VLOOKUP(C25,'ETF List'!$C$1:$J$200,3,0))</f>
        <v/>
      </c>
      <c r="E25" s="314" t="str">
        <f aca="false">IF(C25="","",IF(ISERROR(VLOOKUP(C25,'Policy Portfolio'!$H$21:$H$29,1,0)),"Tactical","Policy"))</f>
        <v/>
      </c>
      <c r="F25" s="263" t="str">
        <f aca="false">IF(C25="","",VLOOKUP(C25,'ETF List'!$C$1:$J$200,4,0))</f>
        <v/>
      </c>
      <c r="G25" s="446" t="str">
        <f aca="false">IF(C25="","",INDEX('Portfolio Bucket'!$C$2:$I$69,MATCH(C25,'Portfolio Bucket'!$C$2:$C$69,0),MATCH($E$2,'Portfolio Bucket'!$C$1:$I$1,0)))</f>
        <v/>
      </c>
      <c r="H25" s="447" t="str">
        <f aca="false">IF(C25="","",VLOOKUP(C25,'Portfolio Bucket'!$N$3:$Q$69,4,0))</f>
        <v/>
      </c>
      <c r="I25" s="448" t="str">
        <f aca="false">IF(C25="","",G25*H25)</f>
        <v/>
      </c>
      <c r="J25" s="447" t="str">
        <f aca="false">IF(C25="","",IF(INDEX('Price Inputs'!$C$5:$J$49,MATCH('Port Returns'!C25,'Price Inputs'!$C$5:$C$49,0),MATCH($E$2,'Price Inputs'!$C$5:$J$5,0))=0,VLOOKUP(C25,Trades!$C$9:$O$59,8,0),INDEX('Price Inputs'!$C$5:$J$49,MATCH('Port Returns'!C25,'Price Inputs'!$C$5:$C$49,0),MATCH($E$2,'Price Inputs'!$C$5:$J$5,0))))</f>
        <v/>
      </c>
      <c r="K25" s="448" t="str">
        <f aca="false">IF(C25="","",G25*J25)</f>
        <v/>
      </c>
      <c r="L25" s="442" t="str">
        <f aca="false">IF(C25="","",K25-I25)</f>
        <v/>
      </c>
      <c r="M25" s="449" t="str">
        <f aca="false">IF(OR(C25="",I25=0),"",L25/I25)</f>
        <v/>
      </c>
      <c r="W25" s="417"/>
      <c r="X25" s="417"/>
    </row>
    <row r="26" customFormat="false" ht="17.25" hidden="false" customHeight="true" outlineLevel="0" collapsed="false">
      <c r="C26" s="444" t="str">
        <f aca="false">IF('Current Portfolio'!C27="","",'Current Portfolio'!C27)</f>
        <v/>
      </c>
      <c r="D26" s="445" t="str">
        <f aca="false">IF(C26="","",VLOOKUP(C26,'ETF List'!$C$1:$J$200,3,0))</f>
        <v/>
      </c>
      <c r="E26" s="314" t="str">
        <f aca="false">IF(C26="","",IF(ISERROR(VLOOKUP(C26,'Policy Portfolio'!$H$21:$H$29,1,0)),"Tactical","Policy"))</f>
        <v/>
      </c>
      <c r="F26" s="263" t="str">
        <f aca="false">IF(C26="","",VLOOKUP(C26,'ETF List'!$C$1:$J$200,4,0))</f>
        <v/>
      </c>
      <c r="G26" s="446" t="str">
        <f aca="false">IF(C26="","",INDEX('Portfolio Bucket'!$C$2:$I$69,MATCH(C26,'Portfolio Bucket'!$C$2:$C$69,0),MATCH($E$2,'Portfolio Bucket'!$C$1:$I$1,0)))</f>
        <v/>
      </c>
      <c r="H26" s="447" t="str">
        <f aca="false">IF(C26="","",VLOOKUP(C26,'Portfolio Bucket'!$N$3:$Q$69,4,0))</f>
        <v/>
      </c>
      <c r="I26" s="448" t="str">
        <f aca="false">IF(C26="","",G26*H26)</f>
        <v/>
      </c>
      <c r="J26" s="447" t="str">
        <f aca="false">IF(C26="","",IF(INDEX('Price Inputs'!$C$5:$J$49,MATCH('Port Returns'!C26,'Price Inputs'!$C$5:$C$49,0),MATCH($E$2,'Price Inputs'!$C$5:$J$5,0))=0,VLOOKUP(C26,Trades!$C$9:$O$59,8,0),INDEX('Price Inputs'!$C$5:$J$49,MATCH('Port Returns'!C26,'Price Inputs'!$C$5:$C$49,0),MATCH($E$2,'Price Inputs'!$C$5:$J$5,0))))</f>
        <v/>
      </c>
      <c r="K26" s="448" t="str">
        <f aca="false">IF(C26="","",G26*J26)</f>
        <v/>
      </c>
      <c r="L26" s="442" t="str">
        <f aca="false">IF(C26="","",K26-I26)</f>
        <v/>
      </c>
      <c r="M26" s="449" t="str">
        <f aca="false">IF(OR(C26="",I26=0),"",L26/I26)</f>
        <v/>
      </c>
      <c r="W26" s="417"/>
      <c r="X26" s="417"/>
    </row>
    <row r="27" customFormat="false" ht="17.25" hidden="false" customHeight="true" outlineLevel="0" collapsed="false">
      <c r="C27" s="444" t="str">
        <f aca="false">IF('Current Portfolio'!C28="","",'Current Portfolio'!C28)</f>
        <v/>
      </c>
      <c r="D27" s="445" t="str">
        <f aca="false">IF(C27="","",VLOOKUP(C27,'ETF List'!$C$1:$J$200,3,0))</f>
        <v/>
      </c>
      <c r="E27" s="314" t="str">
        <f aca="false">IF(C27="","",IF(ISERROR(VLOOKUP(C27,'Policy Portfolio'!$H$21:$H$29,1,0)),"Tactical","Policy"))</f>
        <v/>
      </c>
      <c r="F27" s="263" t="str">
        <f aca="false">IF(C27="","",VLOOKUP(C27,'ETF List'!$C$1:$J$200,4,0))</f>
        <v/>
      </c>
      <c r="G27" s="446" t="str">
        <f aca="false">IF(C27="","",INDEX('Portfolio Bucket'!$C$2:$I$69,MATCH(C27,'Portfolio Bucket'!$C$2:$C$69,0),MATCH($E$2,'Portfolio Bucket'!$C$1:$I$1,0)))</f>
        <v/>
      </c>
      <c r="H27" s="447" t="str">
        <f aca="false">IF(C27="","",VLOOKUP(C27,'Portfolio Bucket'!$N$3:$Q$69,4,0))</f>
        <v/>
      </c>
      <c r="I27" s="448" t="str">
        <f aca="false">IF(C27="","",G27*H27)</f>
        <v/>
      </c>
      <c r="J27" s="447" t="str">
        <f aca="false">IF(C27="","",IF(INDEX('Price Inputs'!$C$5:$J$49,MATCH('Port Returns'!C27,'Price Inputs'!$C$5:$C$49,0),MATCH($E$2,'Price Inputs'!$C$5:$J$5,0))=0,VLOOKUP(C27,Trades!$C$9:$O$59,8,0),INDEX('Price Inputs'!$C$5:$J$49,MATCH('Port Returns'!C27,'Price Inputs'!$C$5:$C$49,0),MATCH($E$2,'Price Inputs'!$C$5:$J$5,0))))</f>
        <v/>
      </c>
      <c r="K27" s="448" t="str">
        <f aca="false">IF(C27="","",G27*J27)</f>
        <v/>
      </c>
      <c r="L27" s="442" t="str">
        <f aca="false">IF(C27="","",K27-I27)</f>
        <v/>
      </c>
      <c r="M27" s="449" t="str">
        <f aca="false">IF(OR(C27="",I27=0),"",L27/I27)</f>
        <v/>
      </c>
      <c r="W27" s="417"/>
      <c r="X27" s="417"/>
    </row>
    <row r="28" customFormat="false" ht="17.25" hidden="false" customHeight="true" outlineLevel="0" collapsed="false">
      <c r="C28" s="444" t="str">
        <f aca="false">IF('Current Portfolio'!C29="","",'Current Portfolio'!C29)</f>
        <v/>
      </c>
      <c r="D28" s="445" t="str">
        <f aca="false">IF(C28="","",VLOOKUP(C28,'ETF List'!$C$1:$J$200,3,0))</f>
        <v/>
      </c>
      <c r="E28" s="314" t="str">
        <f aca="false">IF(C28="","",IF(ISERROR(VLOOKUP(C28,'Policy Portfolio'!$H$21:$H$29,1,0)),"Tactical","Policy"))</f>
        <v/>
      </c>
      <c r="F28" s="263" t="str">
        <f aca="false">IF(C28="","",VLOOKUP(C28,'ETF List'!$C$1:$J$200,4,0))</f>
        <v/>
      </c>
      <c r="G28" s="446" t="str">
        <f aca="false">IF(C28="","",INDEX('Portfolio Bucket'!$C$2:$I$69,MATCH(C28,'Portfolio Bucket'!$C$2:$C$69,0),MATCH($E$2,'Portfolio Bucket'!$C$1:$I$1,0)))</f>
        <v/>
      </c>
      <c r="H28" s="447" t="str">
        <f aca="false">IF(C28="","",VLOOKUP(C28,'Portfolio Bucket'!$N$3:$Q$69,4,0))</f>
        <v/>
      </c>
      <c r="I28" s="448" t="str">
        <f aca="false">IF(C28="","",G28*H28)</f>
        <v/>
      </c>
      <c r="J28" s="447" t="str">
        <f aca="false">IF(C28="","",IF(INDEX('Price Inputs'!$C$5:$J$49,MATCH('Port Returns'!C28,'Price Inputs'!$C$5:$C$49,0),MATCH($E$2,'Price Inputs'!$C$5:$J$5,0))=0,VLOOKUP(C28,Trades!$C$9:$O$59,8,0),INDEX('Price Inputs'!$C$5:$J$49,MATCH('Port Returns'!C28,'Price Inputs'!$C$5:$C$49,0),MATCH($E$2,'Price Inputs'!$C$5:$J$5,0))))</f>
        <v/>
      </c>
      <c r="K28" s="448" t="str">
        <f aca="false">IF(C28="","",G28*J28)</f>
        <v/>
      </c>
      <c r="L28" s="442" t="str">
        <f aca="false">IF(C28="","",K28-I28)</f>
        <v/>
      </c>
      <c r="M28" s="449" t="str">
        <f aca="false">IF(OR(C28="",I28=0),"",L28/I28)</f>
        <v/>
      </c>
      <c r="W28" s="417"/>
      <c r="X28" s="417"/>
    </row>
    <row r="29" customFormat="false" ht="17.25" hidden="false" customHeight="true" outlineLevel="0" collapsed="false">
      <c r="C29" s="444" t="str">
        <f aca="false">IF('Current Portfolio'!C30="","",'Current Portfolio'!C30)</f>
        <v/>
      </c>
      <c r="D29" s="445" t="str">
        <f aca="false">IF(C29="","",VLOOKUP(C29,'ETF List'!$C$1:$J$200,3,0))</f>
        <v/>
      </c>
      <c r="E29" s="314" t="str">
        <f aca="false">IF(C29="","",IF(ISERROR(VLOOKUP(C29,'Policy Portfolio'!$H$21:$H$29,1,0)),"Tactical","Policy"))</f>
        <v/>
      </c>
      <c r="F29" s="263" t="str">
        <f aca="false">IF(C29="","",VLOOKUP(C29,'ETF List'!$C$1:$J$200,4,0))</f>
        <v/>
      </c>
      <c r="G29" s="446" t="str">
        <f aca="false">IF(C29="","",INDEX('Portfolio Bucket'!$C$2:$I$69,MATCH(C29,'Portfolio Bucket'!$C$2:$C$69,0),MATCH($E$2,'Portfolio Bucket'!$C$1:$I$1,0)))</f>
        <v/>
      </c>
      <c r="H29" s="447" t="str">
        <f aca="false">IF(C29="","",VLOOKUP(C29,'Portfolio Bucket'!$N$3:$Q$69,4,0))</f>
        <v/>
      </c>
      <c r="I29" s="448" t="str">
        <f aca="false">IF(C29="","",G29*H29)</f>
        <v/>
      </c>
      <c r="J29" s="447" t="str">
        <f aca="false">IF(C29="","",IF(INDEX('Price Inputs'!$C$5:$J$49,MATCH('Port Returns'!C29,'Price Inputs'!$C$5:$C$49,0),MATCH($E$2,'Price Inputs'!$C$5:$J$5,0))=0,VLOOKUP(C29,Trades!$C$9:$O$59,8,0),INDEX('Price Inputs'!$C$5:$J$49,MATCH('Port Returns'!C29,'Price Inputs'!$C$5:$C$49,0),MATCH($E$2,'Price Inputs'!$C$5:$J$5,0))))</f>
        <v/>
      </c>
      <c r="K29" s="448" t="str">
        <f aca="false">IF(C29="","",G29*J29)</f>
        <v/>
      </c>
      <c r="L29" s="442" t="str">
        <f aca="false">IF(C29="","",K29-I29)</f>
        <v/>
      </c>
      <c r="M29" s="449" t="str">
        <f aca="false">IF(OR(C29="",I29=0),"",L29/I29)</f>
        <v/>
      </c>
      <c r="W29" s="417"/>
      <c r="X29" s="417"/>
    </row>
    <row r="30" customFormat="false" ht="17.25" hidden="false" customHeight="true" outlineLevel="0" collapsed="false">
      <c r="C30" s="444" t="str">
        <f aca="false">IF('Current Portfolio'!C31="","",'Current Portfolio'!C31)</f>
        <v/>
      </c>
      <c r="D30" s="445" t="str">
        <f aca="false">IF(C30="","",VLOOKUP(C30,'ETF List'!$C$1:$J$200,3,0))</f>
        <v/>
      </c>
      <c r="E30" s="314" t="str">
        <f aca="false">IF(C30="","",IF(ISERROR(VLOOKUP(C30,'Policy Portfolio'!$H$21:$H$29,1,0)),"Tactical","Policy"))</f>
        <v/>
      </c>
      <c r="F30" s="263" t="str">
        <f aca="false">IF(C30="","",VLOOKUP(C30,'ETF List'!$C$1:$J$200,4,0))</f>
        <v/>
      </c>
      <c r="G30" s="446" t="str">
        <f aca="false">IF(C30="","",INDEX('Portfolio Bucket'!$C$2:$I$69,MATCH(C30,'Portfolio Bucket'!$C$2:$C$69,0),MATCH($E$2,'Portfolio Bucket'!$C$1:$I$1,0)))</f>
        <v/>
      </c>
      <c r="H30" s="447" t="str">
        <f aca="false">IF(C30="","",VLOOKUP(C30,'Portfolio Bucket'!$N$3:$Q$69,4,0))</f>
        <v/>
      </c>
      <c r="I30" s="448" t="str">
        <f aca="false">IF(C30="","",G30*H30)</f>
        <v/>
      </c>
      <c r="J30" s="447" t="str">
        <f aca="false">IF(C30="","",IF(INDEX('Price Inputs'!$C$5:$J$49,MATCH('Port Returns'!C30,'Price Inputs'!$C$5:$C$49,0),MATCH($E$2,'Price Inputs'!$C$5:$J$5,0))=0,VLOOKUP(C30,Trades!$C$9:$O$59,8,0),INDEX('Price Inputs'!$C$5:$J$49,MATCH('Port Returns'!C30,'Price Inputs'!$C$5:$C$49,0),MATCH($E$2,'Price Inputs'!$C$5:$J$5,0))))</f>
        <v/>
      </c>
      <c r="K30" s="448" t="str">
        <f aca="false">IF(C30="","",G30*J30)</f>
        <v/>
      </c>
      <c r="L30" s="442" t="str">
        <f aca="false">IF(C30="","",K30-I30)</f>
        <v/>
      </c>
      <c r="M30" s="449" t="str">
        <f aca="false">IF(OR(C30="",I30=0),"",L30/I30)</f>
        <v/>
      </c>
      <c r="W30" s="417"/>
      <c r="X30" s="417"/>
    </row>
    <row r="31" customFormat="false" ht="17.25" hidden="false" customHeight="true" outlineLevel="0" collapsed="false">
      <c r="C31" s="444" t="str">
        <f aca="false">IF('Current Portfolio'!C32="","",'Current Portfolio'!C32)</f>
        <v/>
      </c>
      <c r="D31" s="445" t="str">
        <f aca="false">IF(C31="","",VLOOKUP(C31,'ETF List'!$C$1:$J$200,3,0))</f>
        <v/>
      </c>
      <c r="E31" s="314" t="str">
        <f aca="false">IF(C31="","",IF(ISERROR(VLOOKUP(C31,'Policy Portfolio'!$H$21:$H$29,1,0)),"Tactical","Policy"))</f>
        <v/>
      </c>
      <c r="F31" s="263" t="str">
        <f aca="false">IF(C31="","",VLOOKUP(C31,'ETF List'!$C$1:$J$200,4,0))</f>
        <v/>
      </c>
      <c r="G31" s="446" t="str">
        <f aca="false">IF(C31="","",INDEX('Portfolio Bucket'!$C$2:$I$69,MATCH(C31,'Portfolio Bucket'!$C$2:$C$69,0),MATCH($E$2,'Portfolio Bucket'!$C$1:$I$1,0)))</f>
        <v/>
      </c>
      <c r="H31" s="447" t="str">
        <f aca="false">IF(C31="","",VLOOKUP(C31,'Portfolio Bucket'!$N$3:$Q$69,4,0))</f>
        <v/>
      </c>
      <c r="I31" s="448" t="str">
        <f aca="false">IF(C31="","",G31*H31)</f>
        <v/>
      </c>
      <c r="J31" s="447" t="str">
        <f aca="false">IF(C31="","",IF(INDEX('Price Inputs'!$C$5:$J$49,MATCH('Port Returns'!C31,'Price Inputs'!$C$5:$C$49,0),MATCH($E$2,'Price Inputs'!$C$5:$J$5,0))=0,VLOOKUP(C31,Trades!$C$9:$O$59,8,0),INDEX('Price Inputs'!$C$5:$J$49,MATCH('Port Returns'!C31,'Price Inputs'!$C$5:$C$49,0),MATCH($E$2,'Price Inputs'!$C$5:$J$5,0))))</f>
        <v/>
      </c>
      <c r="K31" s="448" t="str">
        <f aca="false">IF(C31="","",G31*J31)</f>
        <v/>
      </c>
      <c r="L31" s="442" t="str">
        <f aca="false">IF(C31="","",K31-I31)</f>
        <v/>
      </c>
      <c r="M31" s="449" t="str">
        <f aca="false">IF(OR(C31="",I31=0),"",L31/I31)</f>
        <v/>
      </c>
      <c r="W31" s="417"/>
      <c r="X31" s="417"/>
    </row>
    <row r="32" customFormat="false" ht="17.25" hidden="false" customHeight="true" outlineLevel="0" collapsed="false">
      <c r="C32" s="444" t="str">
        <f aca="false">IF('Current Portfolio'!C33="","",'Current Portfolio'!C33)</f>
        <v/>
      </c>
      <c r="D32" s="445" t="str">
        <f aca="false">IF(C32="","",VLOOKUP(C32,'ETF List'!$C$1:$J$200,3,0))</f>
        <v/>
      </c>
      <c r="E32" s="314" t="str">
        <f aca="false">IF(C32="","",IF(ISERROR(VLOOKUP(C32,'Policy Portfolio'!$H$21:$H$29,1,0)),"Tactical","Policy"))</f>
        <v/>
      </c>
      <c r="F32" s="263" t="str">
        <f aca="false">IF(C32="","",VLOOKUP(C32,'ETF List'!$C$1:$J$200,4,0))</f>
        <v/>
      </c>
      <c r="G32" s="446" t="str">
        <f aca="false">IF(C32="","",INDEX('Portfolio Bucket'!$C$2:$I$69,MATCH(C32,'Portfolio Bucket'!$C$2:$C$69,0),MATCH($E$2,'Portfolio Bucket'!$C$1:$I$1,0)))</f>
        <v/>
      </c>
      <c r="H32" s="447" t="str">
        <f aca="false">IF(C32="","",VLOOKUP(C32,'Portfolio Bucket'!$N$3:$Q$69,4,0))</f>
        <v/>
      </c>
      <c r="I32" s="448" t="str">
        <f aca="false">IF(C32="","",G32*H32)</f>
        <v/>
      </c>
      <c r="J32" s="447" t="str">
        <f aca="false">IF(C32="","",IF(INDEX('Price Inputs'!$C$5:$J$49,MATCH('Port Returns'!C32,'Price Inputs'!$C$5:$C$49,0),MATCH($E$2,'Price Inputs'!$C$5:$J$5,0))=0,VLOOKUP(C32,Trades!$C$9:$O$59,8,0),INDEX('Price Inputs'!$C$5:$J$49,MATCH('Port Returns'!C32,'Price Inputs'!$C$5:$C$49,0),MATCH($E$2,'Price Inputs'!$C$5:$J$5,0))))</f>
        <v/>
      </c>
      <c r="K32" s="448" t="str">
        <f aca="false">IF(C32="","",G32*J32)</f>
        <v/>
      </c>
      <c r="L32" s="442" t="str">
        <f aca="false">IF(C32="","",K32-I32)</f>
        <v/>
      </c>
      <c r="M32" s="449" t="str">
        <f aca="false">IF(OR(C32="",I32=0),"",L32/I32)</f>
        <v/>
      </c>
      <c r="W32" s="417"/>
      <c r="X32" s="417"/>
    </row>
    <row r="33" customFormat="false" ht="17.25" hidden="false" customHeight="true" outlineLevel="0" collapsed="false">
      <c r="C33" s="444" t="str">
        <f aca="false">IF('Current Portfolio'!C34="","",'Current Portfolio'!C34)</f>
        <v/>
      </c>
      <c r="D33" s="445" t="str">
        <f aca="false">IF(C33="","",VLOOKUP(C33,'ETF List'!$C$1:$J$200,3,0))</f>
        <v/>
      </c>
      <c r="E33" s="314" t="str">
        <f aca="false">IF(C33="","",IF(ISERROR(VLOOKUP(C33,'Policy Portfolio'!$H$21:$H$29,1,0)),"Tactical","Policy"))</f>
        <v/>
      </c>
      <c r="F33" s="263" t="str">
        <f aca="false">IF(C33="","",VLOOKUP(C33,'ETF List'!$C$1:$J$200,4,0))</f>
        <v/>
      </c>
      <c r="G33" s="446" t="str">
        <f aca="false">IF(C33="","",INDEX('Portfolio Bucket'!$C$2:$I$69,MATCH(C33,'Portfolio Bucket'!$C$2:$C$69,0),MATCH($E$2,'Portfolio Bucket'!$C$1:$I$1,0)))</f>
        <v/>
      </c>
      <c r="H33" s="447" t="str">
        <f aca="false">IF(C33="","",VLOOKUP(C33,'Portfolio Bucket'!$N$3:$Q$69,4,0))</f>
        <v/>
      </c>
      <c r="I33" s="448" t="str">
        <f aca="false">IF(C33="","",G33*H33)</f>
        <v/>
      </c>
      <c r="J33" s="447" t="str">
        <f aca="false">IF(C33="","",IF(INDEX('Price Inputs'!$C$5:$J$49,MATCH('Port Returns'!C33,'Price Inputs'!$C$5:$C$49,0),MATCH($E$2,'Price Inputs'!$C$5:$J$5,0))=0,VLOOKUP(C33,Trades!$C$9:$O$59,8,0),INDEX('Price Inputs'!$C$5:$J$49,MATCH('Port Returns'!C33,'Price Inputs'!$C$5:$C$49,0),MATCH($E$2,'Price Inputs'!$C$5:$J$5,0))))</f>
        <v/>
      </c>
      <c r="K33" s="448" t="str">
        <f aca="false">IF(C33="","",G33*J33)</f>
        <v/>
      </c>
      <c r="L33" s="442" t="str">
        <f aca="false">IF(C33="","",K33-I33)</f>
        <v/>
      </c>
      <c r="M33" s="449" t="str">
        <f aca="false">IF(OR(C33="",I33=0),"",L33/I33)</f>
        <v/>
      </c>
      <c r="W33" s="417"/>
      <c r="X33" s="417"/>
    </row>
    <row r="34" customFormat="false" ht="17.25" hidden="false" customHeight="true" outlineLevel="0" collapsed="false">
      <c r="C34" s="444" t="str">
        <f aca="false">IF('Current Portfolio'!C35="","",'Current Portfolio'!C35)</f>
        <v/>
      </c>
      <c r="D34" s="445" t="str">
        <f aca="false">IF(C34="","",VLOOKUP(C34,'ETF List'!$C$1:$J$200,3,0))</f>
        <v/>
      </c>
      <c r="E34" s="314" t="str">
        <f aca="false">IF(C34="","",IF(ISERROR(VLOOKUP(C34,'Policy Portfolio'!$H$21:$H$29,1,0)),"Tactical","Policy"))</f>
        <v/>
      </c>
      <c r="F34" s="263" t="str">
        <f aca="false">IF(C34="","",VLOOKUP(C34,'ETF List'!$C$1:$J$200,4,0))</f>
        <v/>
      </c>
      <c r="G34" s="446" t="str">
        <f aca="false">IF(C34="","",INDEX('Portfolio Bucket'!$C$2:$I$69,MATCH(C34,'Portfolio Bucket'!$C$2:$C$69,0),MATCH($E$2,'Portfolio Bucket'!$C$1:$I$1,0)))</f>
        <v/>
      </c>
      <c r="H34" s="447" t="str">
        <f aca="false">IF(C34="","",VLOOKUP(C34,'Portfolio Bucket'!$N$3:$Q$69,4,0))</f>
        <v/>
      </c>
      <c r="I34" s="448" t="str">
        <f aca="false">IF(C34="","",G34*H34)</f>
        <v/>
      </c>
      <c r="J34" s="447" t="str">
        <f aca="false">IF(C34="","",IF(INDEX('Price Inputs'!$C$5:$J$49,MATCH('Port Returns'!C34,'Price Inputs'!$C$5:$C$49,0),MATCH($E$2,'Price Inputs'!$C$5:$J$5,0))=0,VLOOKUP(C34,Trades!$C$9:$O$59,8,0),INDEX('Price Inputs'!$C$5:$J$49,MATCH('Port Returns'!C34,'Price Inputs'!$C$5:$C$49,0),MATCH($E$2,'Price Inputs'!$C$5:$J$5,0))))</f>
        <v/>
      </c>
      <c r="K34" s="448" t="str">
        <f aca="false">IF(C34="","",G34*J34)</f>
        <v/>
      </c>
      <c r="L34" s="442" t="str">
        <f aca="false">IF(C34="","",K34-I34)</f>
        <v/>
      </c>
      <c r="M34" s="449" t="str">
        <f aca="false">IF(OR(C34="",I34=0),"",L34/I34)</f>
        <v/>
      </c>
      <c r="W34" s="417"/>
      <c r="X34" s="417"/>
    </row>
    <row r="35" customFormat="false" ht="17.25" hidden="false" customHeight="true" outlineLevel="0" collapsed="false">
      <c r="C35" s="444" t="str">
        <f aca="false">IF('Current Portfolio'!C36="","",'Current Portfolio'!C36)</f>
        <v/>
      </c>
      <c r="D35" s="445" t="str">
        <f aca="false">IF(C35="","",VLOOKUP(C35,'ETF List'!$C$1:$J$200,3,0))</f>
        <v/>
      </c>
      <c r="E35" s="314" t="str">
        <f aca="false">IF(C35="","",IF(ISERROR(VLOOKUP(C35,'Policy Portfolio'!$H$21:$H$29,1,0)),"Tactical","Policy"))</f>
        <v/>
      </c>
      <c r="F35" s="263" t="str">
        <f aca="false">IF(C35="","",VLOOKUP(C35,'ETF List'!$C$1:$J$200,4,0))</f>
        <v/>
      </c>
      <c r="G35" s="446" t="str">
        <f aca="false">IF(C35="","",INDEX('Portfolio Bucket'!$C$2:$I$69,MATCH(C35,'Portfolio Bucket'!$C$2:$C$69,0),MATCH($E$2,'Portfolio Bucket'!$C$1:$I$1,0)))</f>
        <v/>
      </c>
      <c r="H35" s="447" t="str">
        <f aca="false">IF(C35="","",VLOOKUP(C35,'Portfolio Bucket'!$N$3:$Q$69,4,0))</f>
        <v/>
      </c>
      <c r="I35" s="448" t="str">
        <f aca="false">IF(C35="","",G35*H35)</f>
        <v/>
      </c>
      <c r="J35" s="447" t="str">
        <f aca="false">IF(C35="","",IF(INDEX('Price Inputs'!$C$5:$J$49,MATCH('Port Returns'!C35,'Price Inputs'!$C$5:$C$49,0),MATCH($E$2,'Price Inputs'!$C$5:$J$5,0))=0,VLOOKUP(C35,Trades!$C$9:$O$59,8,0),INDEX('Price Inputs'!$C$5:$J$49,MATCH('Port Returns'!C35,'Price Inputs'!$C$5:$C$49,0),MATCH($E$2,'Price Inputs'!$C$5:$J$5,0))))</f>
        <v/>
      </c>
      <c r="K35" s="448" t="str">
        <f aca="false">IF(C35="","",G35*J35)</f>
        <v/>
      </c>
      <c r="L35" s="442" t="str">
        <f aca="false">IF(C35="","",K35-I35)</f>
        <v/>
      </c>
      <c r="M35" s="449" t="str">
        <f aca="false">IF(OR(C35="",I35=0),"",L35/I35)</f>
        <v/>
      </c>
      <c r="W35" s="417"/>
      <c r="X35" s="417"/>
    </row>
    <row r="36" customFormat="false" ht="17.25" hidden="false" customHeight="true" outlineLevel="0" collapsed="false">
      <c r="C36" s="444" t="str">
        <f aca="false">IF('Current Portfolio'!C37="","",'Current Portfolio'!C37)</f>
        <v/>
      </c>
      <c r="D36" s="445" t="str">
        <f aca="false">IF(C36="","",VLOOKUP(C36,'ETF List'!$C$1:$J$200,3,0))</f>
        <v/>
      </c>
      <c r="E36" s="314" t="str">
        <f aca="false">IF(C36="","",IF(ISERROR(VLOOKUP(C36,'Policy Portfolio'!$H$21:$H$29,1,0)),"Tactical","Policy"))</f>
        <v/>
      </c>
      <c r="F36" s="263" t="str">
        <f aca="false">IF(C36="","",VLOOKUP(C36,'ETF List'!$C$1:$J$200,4,0))</f>
        <v/>
      </c>
      <c r="G36" s="446" t="str">
        <f aca="false">IF(C36="","",INDEX('Portfolio Bucket'!$C$2:$I$69,MATCH(C36,'Portfolio Bucket'!$C$2:$C$69,0),MATCH($E$2,'Portfolio Bucket'!$C$1:$I$1,0)))</f>
        <v/>
      </c>
      <c r="H36" s="447" t="str">
        <f aca="false">IF(C36="","",VLOOKUP(C36,'Portfolio Bucket'!$N$3:$Q$69,4,0))</f>
        <v/>
      </c>
      <c r="I36" s="448" t="str">
        <f aca="false">IF(C36="","",G36*H36)</f>
        <v/>
      </c>
      <c r="J36" s="447" t="str">
        <f aca="false">IF(C36="","",IF(INDEX('Price Inputs'!$C$5:$J$49,MATCH('Port Returns'!C36,'Price Inputs'!$C$5:$C$49,0),MATCH($E$2,'Price Inputs'!$C$5:$J$5,0))=0,VLOOKUP(C36,Trades!$C$9:$O$59,8,0),INDEX('Price Inputs'!$C$5:$J$49,MATCH('Port Returns'!C36,'Price Inputs'!$C$5:$C$49,0),MATCH($E$2,'Price Inputs'!$C$5:$J$5,0))))</f>
        <v/>
      </c>
      <c r="K36" s="448" t="str">
        <f aca="false">IF(C36="","",G36*J36)</f>
        <v/>
      </c>
      <c r="L36" s="442" t="str">
        <f aca="false">IF(C36="","",K36-I36)</f>
        <v/>
      </c>
      <c r="M36" s="449" t="str">
        <f aca="false">IF(OR(C36="",I36=0),"",L36/I36)</f>
        <v/>
      </c>
      <c r="W36" s="417"/>
      <c r="X36" s="417"/>
    </row>
    <row r="37" customFormat="false" ht="17.25" hidden="false" customHeight="true" outlineLevel="0" collapsed="false">
      <c r="C37" s="444" t="str">
        <f aca="false">IF('Current Portfolio'!C38="","",'Current Portfolio'!C38)</f>
        <v/>
      </c>
      <c r="D37" s="445" t="str">
        <f aca="false">IF(C37="","",VLOOKUP(C37,'ETF List'!$C$1:$J$200,3,0))</f>
        <v/>
      </c>
      <c r="E37" s="314" t="str">
        <f aca="false">IF(C37="","",IF(ISERROR(VLOOKUP(C37,'Policy Portfolio'!$H$21:$H$29,1,0)),"Tactical","Policy"))</f>
        <v/>
      </c>
      <c r="F37" s="263" t="str">
        <f aca="false">IF(C37="","",VLOOKUP(C37,'ETF List'!$C$1:$J$200,4,0))</f>
        <v/>
      </c>
      <c r="G37" s="446" t="str">
        <f aca="false">IF(C37="","",INDEX('Portfolio Bucket'!$C$2:$I$69,MATCH(C37,'Portfolio Bucket'!$C$2:$C$69,0),MATCH($E$2,'Portfolio Bucket'!$C$1:$I$1,0)))</f>
        <v/>
      </c>
      <c r="H37" s="447" t="str">
        <f aca="false">IF(C37="","",VLOOKUP(C37,'Portfolio Bucket'!$N$3:$Q$69,4,0))</f>
        <v/>
      </c>
      <c r="I37" s="448" t="str">
        <f aca="false">IF(C37="","",G37*H37)</f>
        <v/>
      </c>
      <c r="J37" s="447" t="str">
        <f aca="false">IF(C37="","",IF(INDEX('Price Inputs'!$C$5:$J$49,MATCH('Port Returns'!C37,'Price Inputs'!$C$5:$C$49,0),MATCH($E$2,'Price Inputs'!$C$5:$J$5,0))=0,VLOOKUP(C37,Trades!$C$9:$O$59,8,0),INDEX('Price Inputs'!$C$5:$J$49,MATCH('Port Returns'!C37,'Price Inputs'!$C$5:$C$49,0),MATCH($E$2,'Price Inputs'!$C$5:$J$5,0))))</f>
        <v/>
      </c>
      <c r="K37" s="448" t="str">
        <f aca="false">IF(C37="","",G37*J37)</f>
        <v/>
      </c>
      <c r="L37" s="442" t="str">
        <f aca="false">IF(C37="","",K37-I37)</f>
        <v/>
      </c>
      <c r="M37" s="449" t="str">
        <f aca="false">IF(OR(C37="",I37=0),"",L37/I37)</f>
        <v/>
      </c>
      <c r="W37" s="417"/>
      <c r="X37" s="417"/>
    </row>
    <row r="38" customFormat="false" ht="17.25" hidden="false" customHeight="true" outlineLevel="0" collapsed="false">
      <c r="C38" s="444" t="str">
        <f aca="false">IF('Current Portfolio'!C39="","",'Current Portfolio'!C39)</f>
        <v/>
      </c>
      <c r="D38" s="445" t="str">
        <f aca="false">IF(C38="","",VLOOKUP(C38,'ETF List'!$C$1:$J$200,3,0))</f>
        <v/>
      </c>
      <c r="E38" s="314" t="str">
        <f aca="false">IF(C38="","",IF(ISERROR(VLOOKUP(C38,'Policy Portfolio'!$H$21:$H$29,1,0)),"Tactical","Policy"))</f>
        <v/>
      </c>
      <c r="F38" s="263" t="str">
        <f aca="false">IF(C38="","",VLOOKUP(C38,'ETF List'!$C$1:$J$200,4,0))</f>
        <v/>
      </c>
      <c r="G38" s="446" t="str">
        <f aca="false">IF(C38="","",INDEX('Portfolio Bucket'!$C$2:$I$69,MATCH(C38,'Portfolio Bucket'!$C$2:$C$69,0),MATCH($E$2,'Portfolio Bucket'!$C$1:$I$1,0)))</f>
        <v/>
      </c>
      <c r="H38" s="447" t="str">
        <f aca="false">IF(C38="","",VLOOKUP(C38,'Portfolio Bucket'!$N$3:$Q$69,4,0))</f>
        <v/>
      </c>
      <c r="I38" s="448" t="str">
        <f aca="false">IF(C38="","",G38*H38)</f>
        <v/>
      </c>
      <c r="J38" s="447" t="str">
        <f aca="false">IF(C38="","",IF(INDEX('Price Inputs'!$C$5:$J$49,MATCH('Port Returns'!C38,'Price Inputs'!$C$5:$C$49,0),MATCH($E$2,'Price Inputs'!$C$5:$J$5,0))=0,VLOOKUP(C38,Trades!$C$9:$O$59,8,0),INDEX('Price Inputs'!$C$5:$J$49,MATCH('Port Returns'!C38,'Price Inputs'!$C$5:$C$49,0),MATCH($E$2,'Price Inputs'!$C$5:$J$5,0))))</f>
        <v/>
      </c>
      <c r="K38" s="448" t="str">
        <f aca="false">IF(C38="","",G38*J38)</f>
        <v/>
      </c>
      <c r="L38" s="442" t="str">
        <f aca="false">IF(C38="","",K38-I38)</f>
        <v/>
      </c>
      <c r="M38" s="449" t="str">
        <f aca="false">IF(OR(C38="",I38=0),"",L38/I38)</f>
        <v/>
      </c>
      <c r="W38" s="417"/>
      <c r="X38" s="417"/>
    </row>
    <row r="39" customFormat="false" ht="17.25" hidden="false" customHeight="true" outlineLevel="0" collapsed="false">
      <c r="C39" s="450" t="str">
        <f aca="false">IF('Current Portfolio'!C40="","",'Current Portfolio'!C40)</f>
        <v/>
      </c>
      <c r="D39" s="451" t="str">
        <f aca="false">IF(C39="","",VLOOKUP(C39,'ETF List'!$C$1:$J$200,3,0))</f>
        <v/>
      </c>
      <c r="E39" s="452" t="str">
        <f aca="false">IF(C39="","",IF(ISERROR(VLOOKUP(C39,'Policy Portfolio'!$H$21:$H$29,1,0)),"Tactical","Policy"))</f>
        <v/>
      </c>
      <c r="F39" s="298" t="str">
        <f aca="false">IF(C39="","",VLOOKUP(C39,'ETF List'!$C$1:$J$200,4,0))</f>
        <v/>
      </c>
      <c r="G39" s="453" t="str">
        <f aca="false">IF(C39="","",INDEX('Portfolio Bucket'!$C$2:$I$69,MATCH(C39,'Portfolio Bucket'!$C$2:$C$69,0),MATCH($E$2,'Portfolio Bucket'!$C$1:$I$1,0)))</f>
        <v/>
      </c>
      <c r="H39" s="454" t="str">
        <f aca="false">IF(C39="","",VLOOKUP(C39,'Portfolio Bucket'!$N$3:$Q$69,4,0))</f>
        <v/>
      </c>
      <c r="I39" s="455" t="str">
        <f aca="false">IF(C39="","",G39*H39)</f>
        <v/>
      </c>
      <c r="J39" s="454" t="str">
        <f aca="false">IF(C39="","",IF(INDEX('Price Inputs'!$C$5:$J$49,MATCH('Port Returns'!C39,'Price Inputs'!$C$5:$C$49,0),MATCH($E$2,'Price Inputs'!$C$5:$J$5,0))=0,VLOOKUP(C39,Trades!$C$9:$O$59,8,0),INDEX('Price Inputs'!$C$5:$J$49,MATCH('Port Returns'!C39,'Price Inputs'!$C$5:$C$49,0),MATCH($E$2,'Price Inputs'!$C$5:$J$5,0))))</f>
        <v/>
      </c>
      <c r="K39" s="455" t="str">
        <f aca="false">IF(C39="","",G39*J39)</f>
        <v/>
      </c>
      <c r="L39" s="456" t="str">
        <f aca="false">IF(C39="","",K39-I39)</f>
        <v/>
      </c>
      <c r="M39" s="457" t="str">
        <f aca="false">IF(OR(C39="",I39=0),"",L39/I39)</f>
        <v/>
      </c>
      <c r="W39" s="417"/>
      <c r="X39" s="417"/>
    </row>
    <row r="40" customFormat="false" ht="17.25" hidden="false" customHeight="true" outlineLevel="0" collapsed="false">
      <c r="C40" s="458" t="s">
        <v>432</v>
      </c>
      <c r="H40" s="264"/>
      <c r="I40" s="376"/>
      <c r="J40" s="459"/>
      <c r="K40" s="460"/>
      <c r="Q40" s="461"/>
      <c r="S40" s="263"/>
      <c r="T40" s="462"/>
    </row>
    <row r="41" customFormat="false" ht="17.25" hidden="false" customHeight="true" outlineLevel="0" collapsed="false">
      <c r="C41" s="458" t="s">
        <v>433</v>
      </c>
      <c r="H41" s="264"/>
      <c r="I41" s="376"/>
      <c r="J41" s="459"/>
      <c r="K41" s="460"/>
      <c r="Q41" s="461"/>
      <c r="S41" s="263"/>
      <c r="T41" s="462"/>
    </row>
    <row r="42" customFormat="false" ht="17.25" hidden="false" customHeight="true" outlineLevel="0" collapsed="false">
      <c r="C42" s="463"/>
      <c r="H42" s="264"/>
      <c r="I42" s="376"/>
      <c r="J42" s="459"/>
      <c r="K42" s="460"/>
      <c r="Q42" s="461"/>
      <c r="S42" s="263"/>
      <c r="T42" s="462"/>
    </row>
    <row r="43" customFormat="false" ht="17.25" hidden="false" customHeight="true" outlineLevel="0" collapsed="false">
      <c r="C43" s="463"/>
      <c r="H43" s="264"/>
      <c r="I43" s="376"/>
      <c r="J43" s="459"/>
      <c r="K43" s="460"/>
      <c r="Q43" s="461"/>
      <c r="S43" s="464"/>
      <c r="T43" s="462"/>
    </row>
    <row r="44" customFormat="false" ht="26.25" hidden="false" customHeight="false" outlineLevel="0" collapsed="false">
      <c r="C44" s="380" t="s">
        <v>434</v>
      </c>
      <c r="D44" s="309"/>
      <c r="E44" s="309"/>
      <c r="F44" s="309"/>
      <c r="G44" s="309"/>
      <c r="H44" s="310"/>
      <c r="I44" s="309"/>
      <c r="J44" s="309"/>
      <c r="K44" s="285"/>
    </row>
    <row r="45" customFormat="false" ht="17.25" hidden="false" customHeight="true" outlineLevel="0" collapsed="false">
      <c r="C45" s="465"/>
      <c r="D45" s="466"/>
      <c r="E45" s="466"/>
      <c r="F45" s="467"/>
      <c r="G45" s="425"/>
      <c r="H45" s="425"/>
      <c r="I45" s="426"/>
      <c r="J45" s="426"/>
    </row>
    <row r="46" customFormat="false" ht="46.5" hidden="false" customHeight="true" outlineLevel="0" collapsed="false">
      <c r="C46" s="179" t="s">
        <v>1</v>
      </c>
      <c r="D46" s="180" t="s">
        <v>3</v>
      </c>
      <c r="E46" s="180" t="s">
        <v>4</v>
      </c>
      <c r="F46" s="180" t="s">
        <v>435</v>
      </c>
      <c r="G46" s="269" t="str">
        <f aca="false">H8</f>
        <v>Average
Historical Cost</v>
      </c>
      <c r="H46" s="269" t="s">
        <v>436</v>
      </c>
      <c r="I46" s="269" t="s">
        <v>437</v>
      </c>
      <c r="J46" s="269" t="s">
        <v>438</v>
      </c>
      <c r="W46" s="417"/>
      <c r="X46" s="417"/>
    </row>
    <row r="47" customFormat="false" ht="17.25" hidden="false" customHeight="true" outlineLevel="0" collapsed="false">
      <c r="C47" s="468"/>
      <c r="D47" s="432"/>
      <c r="E47" s="432"/>
      <c r="F47" s="469" t="str">
        <f aca="false">IF(SUMIFS($I$134:$I$172,$C$134:$C$172,C47)=0,"",SUMIFS($I$134:$I$172,$C$134:$C$172,C47))</f>
        <v/>
      </c>
      <c r="G47" s="469" t="str">
        <f aca="false">IF(F47="","",H10)</f>
        <v/>
      </c>
      <c r="H47" s="469" t="str">
        <f aca="false">IF(C9="","",VLOOKUP(C9,'Portfolio Bucket'!$N$3:$T$69,7,0))</f>
        <v/>
      </c>
      <c r="I47" s="469" t="str">
        <f aca="false">IF(G47="","",(H47-G47)*F47)</f>
        <v/>
      </c>
      <c r="J47" s="469" t="str">
        <f aca="false">IF(G47="","",I47/(G47*F47))</f>
        <v/>
      </c>
      <c r="W47" s="417"/>
      <c r="X47" s="417"/>
    </row>
    <row r="48" customFormat="false" ht="17.25" hidden="false" customHeight="true" outlineLevel="0" collapsed="false">
      <c r="C48" s="470" t="str">
        <f aca="false">IF(C10="","",C10)</f>
        <v>BIV</v>
      </c>
      <c r="D48" s="282" t="str">
        <f aca="false">IF(C10="","",VLOOKUP(C10,'ETF List'!$C$1:$J$200,3,0))</f>
        <v>Vanguard Intermediate-Term Bond</v>
      </c>
      <c r="E48" s="282" t="str">
        <f aca="false">IF(C48="","",VLOOKUP(C48,'ETF List'!$C$1:$J$200,4,0))</f>
        <v>Bonds</v>
      </c>
      <c r="F48" s="471" t="str">
        <f aca="false">IF(C48="","",IF(SUMIFS($I$134:$I$172,$C$134:$C$172,C48)=0,"",SUMIFS($I$134:$I$172,$C$134:$C$172,C48)))</f>
        <v/>
      </c>
      <c r="G48" s="440" t="str">
        <f aca="false">IF(F48="","",H10)</f>
        <v/>
      </c>
      <c r="H48" s="440" t="str">
        <f aca="false">IF(C10="","",VLOOKUP(C10,'Portfolio Bucket'!$N$3:$T$69,7,0))</f>
        <v/>
      </c>
      <c r="I48" s="442" t="str">
        <f aca="false">IF(G48="","",(H48-G48)*F48)</f>
        <v/>
      </c>
      <c r="J48" s="443" t="str">
        <f aca="false">IF(G48="","",I48/(G48*F48))</f>
        <v/>
      </c>
      <c r="Q48" s="461"/>
      <c r="S48" s="464"/>
      <c r="T48" s="462"/>
    </row>
    <row r="49" customFormat="false" ht="17.25" hidden="false" customHeight="true" outlineLevel="0" collapsed="false">
      <c r="C49" s="472" t="str">
        <f aca="false">IF(C11="","",C11)</f>
        <v>EEM</v>
      </c>
      <c r="D49" s="263" t="str">
        <f aca="false">IF(C11="","",VLOOKUP(C11,'ETF List'!$C$1:$J$200,3,0))</f>
        <v>iShares Emerging Mrkt</v>
      </c>
      <c r="E49" s="263" t="str">
        <f aca="false">IF(C49="","",VLOOKUP(C49,'ETF List'!$C$1:$J$200,4,0))</f>
        <v>Intl Equity</v>
      </c>
      <c r="F49" s="473" t="str">
        <f aca="false">IF(C49="","",IF(SUMIFS($I$134:$I$172,$C$134:$C$172,C49)=0,"",SUMIFS($I$134:$I$172,$C$134:$C$172,C49)))</f>
        <v/>
      </c>
      <c r="G49" s="474" t="str">
        <f aca="false">IF(F49="","",H11)</f>
        <v/>
      </c>
      <c r="H49" s="474" t="str">
        <f aca="false">IF(C11="","",VLOOKUP(C11,'Portfolio Bucket'!$N$3:$T$69,7,0))</f>
        <v/>
      </c>
      <c r="I49" s="442" t="str">
        <f aca="false">IF(G49="","",(H49-G49)*F49)</f>
        <v/>
      </c>
      <c r="J49" s="449" t="str">
        <f aca="false">IF(G49="","",I49/(G49*F49))</f>
        <v/>
      </c>
      <c r="Q49" s="461"/>
      <c r="S49" s="464"/>
      <c r="T49" s="462"/>
    </row>
    <row r="50" customFormat="false" ht="17.25" hidden="false" customHeight="true" outlineLevel="0" collapsed="false">
      <c r="C50" s="472" t="str">
        <f aca="false">IF(C12="","",C12)</f>
        <v>EFA</v>
      </c>
      <c r="D50" s="263" t="str">
        <f aca="false">IF(C12="","",VLOOKUP(C12,'ETF List'!$C$1:$J$200,3,0))</f>
        <v>iShares EAFE</v>
      </c>
      <c r="E50" s="263" t="str">
        <f aca="false">IF(C50="","",VLOOKUP(C50,'ETF List'!$C$1:$J$200,4,0))</f>
        <v>Intl Equity</v>
      </c>
      <c r="F50" s="473" t="n">
        <f aca="false">IF(C50="","",IF(SUMIFS($I$134:$I$172,$C$134:$C$172,C50)=0,"",SUMIFS($I$134:$I$172,$C$134:$C$172,C50)))</f>
        <v>1414</v>
      </c>
      <c r="G50" s="474" t="n">
        <f aca="false">IF(F50="","",H12)</f>
        <v>70.41</v>
      </c>
      <c r="H50" s="474" t="n">
        <f aca="false">IF(C12="","",VLOOKUP(C12,'Portfolio Bucket'!$N$3:$T$69,7,0))</f>
        <v>70</v>
      </c>
      <c r="I50" s="442" t="n">
        <f aca="false">IF(G50="","",(H50-G50)*F50)</f>
        <v>-579.739999999995</v>
      </c>
      <c r="J50" s="449" t="n">
        <f aca="false">IF(G50="","",I50/(G50*F50))</f>
        <v>-0.00582303650049704</v>
      </c>
      <c r="Q50" s="461"/>
      <c r="S50" s="464"/>
      <c r="T50" s="462"/>
    </row>
    <row r="51" customFormat="false" ht="17.25" hidden="false" customHeight="true" outlineLevel="0" collapsed="false">
      <c r="C51" s="472" t="str">
        <f aca="false">IF(C13="","",C13)</f>
        <v>HYG</v>
      </c>
      <c r="D51" s="263" t="str">
        <f aca="false">IF(C13="","",VLOOKUP(C13,'ETF List'!$C$1:$J$200,3,0))</f>
        <v>iShares High Yield Bonds</v>
      </c>
      <c r="E51" s="263" t="str">
        <f aca="false">IF(C51="","",VLOOKUP(C51,'ETF List'!$C$1:$J$200,4,0))</f>
        <v>Bonds</v>
      </c>
      <c r="F51" s="473" t="str">
        <f aca="false">IF(C51="","",IF(SUMIFS($I$134:$I$172,$C$134:$C$172,C51)=0,"",SUMIFS($I$134:$I$172,$C$134:$C$172,C51)))</f>
        <v/>
      </c>
      <c r="G51" s="474" t="str">
        <f aca="false">IF(F51="","",H13)</f>
        <v/>
      </c>
      <c r="H51" s="474" t="str">
        <f aca="false">IF(C13="","",VLOOKUP(C13,'Portfolio Bucket'!$N$3:$T$69,7,0))</f>
        <v/>
      </c>
      <c r="I51" s="442" t="str">
        <f aca="false">IF(G51="","",(H51-G51)*F51)</f>
        <v/>
      </c>
      <c r="J51" s="449" t="str">
        <f aca="false">IF(G51="","",I51/(G51*F51))</f>
        <v/>
      </c>
      <c r="Q51" s="461"/>
      <c r="S51" s="464"/>
      <c r="T51" s="462"/>
    </row>
    <row r="52" customFormat="false" ht="17.25" hidden="false" customHeight="true" outlineLevel="0" collapsed="false">
      <c r="C52" s="472" t="str">
        <f aca="false">IF(C14="","",C14)</f>
        <v>IEF</v>
      </c>
      <c r="D52" s="263" t="str">
        <f aca="false">IF(C14="","",VLOOKUP(C14,'ETF List'!$C$1:$J$200,3,0))</f>
        <v>iShares 7-10 Yr Treasury</v>
      </c>
      <c r="E52" s="263" t="str">
        <f aca="false">IF(C52="","",VLOOKUP(C52,'ETF List'!$C$1:$J$200,4,0))</f>
        <v>Bonds</v>
      </c>
      <c r="F52" s="473" t="str">
        <f aca="false">IF(C52="","",IF(SUMIFS($I$134:$I$172,$C$134:$C$172,C52)=0,"",SUMIFS($I$134:$I$172,$C$134:$C$172,C52)))</f>
        <v/>
      </c>
      <c r="G52" s="474" t="str">
        <f aca="false">IF(F52="","",H14)</f>
        <v/>
      </c>
      <c r="H52" s="474" t="str">
        <f aca="false">IF(C14="","",VLOOKUP(C14,'Portfolio Bucket'!$N$3:$T$69,7,0))</f>
        <v/>
      </c>
      <c r="I52" s="442" t="str">
        <f aca="false">IF(G52="","",(H52-G52)*F52)</f>
        <v/>
      </c>
      <c r="J52" s="449" t="str">
        <f aca="false">IF(G52="","",I52/(G52*F52))</f>
        <v/>
      </c>
      <c r="Q52" s="461"/>
      <c r="S52" s="464"/>
      <c r="T52" s="462"/>
    </row>
    <row r="53" customFormat="false" ht="17.25" hidden="false" customHeight="true" outlineLevel="0" collapsed="false">
      <c r="C53" s="472" t="str">
        <f aca="false">IF(C15="","",C15)</f>
        <v>IYR</v>
      </c>
      <c r="D53" s="263" t="str">
        <f aca="false">IF(C15="","",VLOOKUP(C15,'ETF List'!$C$1:$J$200,3,0))</f>
        <v>iShares US Real Estate</v>
      </c>
      <c r="E53" s="263" t="str">
        <f aca="false">IF(C53="","",VLOOKUP(C53,'ETF List'!$C$1:$J$200,4,0))</f>
        <v>Alternatives</v>
      </c>
      <c r="F53" s="473" t="str">
        <f aca="false">IF(C53="","",IF(SUMIFS($I$134:$I$172,$C$134:$C$172,C53)=0,"",SUMIFS($I$134:$I$172,$C$134:$C$172,C53)))</f>
        <v/>
      </c>
      <c r="G53" s="474" t="str">
        <f aca="false">IF(F53="","",H15)</f>
        <v/>
      </c>
      <c r="H53" s="474" t="str">
        <f aca="false">IF(C15="","",VLOOKUP(C15,'Portfolio Bucket'!$N$3:$T$69,7,0))</f>
        <v/>
      </c>
      <c r="I53" s="442" t="str">
        <f aca="false">IF(G53="","",(H53-G53)*F53)</f>
        <v/>
      </c>
      <c r="J53" s="449" t="str">
        <f aca="false">IF(G53="","",I53/(G53*F53))</f>
        <v/>
      </c>
      <c r="Q53" s="461"/>
      <c r="S53" s="464"/>
      <c r="T53" s="462"/>
    </row>
    <row r="54" customFormat="false" ht="17.25" hidden="false" customHeight="true" outlineLevel="0" collapsed="false">
      <c r="C54" s="472" t="str">
        <f aca="false">IF(C16="","",C16)</f>
        <v>VTI</v>
      </c>
      <c r="D54" s="263" t="str">
        <f aca="false">IF(C16="","",VLOOKUP(C16,'ETF List'!$C$1:$J$200,3,0))</f>
        <v>Vanguard Total Stock Mrkt</v>
      </c>
      <c r="E54" s="263" t="str">
        <f aca="false">IF(C54="","",VLOOKUP(C54,'ETF List'!$C$1:$J$200,4,0))</f>
        <v>US Equity</v>
      </c>
      <c r="F54" s="473" t="str">
        <f aca="false">IF(C54="","",IF(SUMIFS($I$134:$I$172,$C$134:$C$172,C54)=0,"",SUMIFS($I$134:$I$172,$C$134:$C$172,C54)))</f>
        <v/>
      </c>
      <c r="G54" s="474" t="str">
        <f aca="false">IF(F54="","",H16)</f>
        <v/>
      </c>
      <c r="H54" s="474" t="str">
        <f aca="false">IF(C16="","",VLOOKUP(C16,'Portfolio Bucket'!$N$3:$T$69,7,0))</f>
        <v/>
      </c>
      <c r="I54" s="442" t="str">
        <f aca="false">IF(G54="","",(H54-G54)*F54)</f>
        <v/>
      </c>
      <c r="J54" s="449" t="str">
        <f aca="false">IF(G54="","",I54/(G54*F54))</f>
        <v/>
      </c>
      <c r="Q54" s="461"/>
      <c r="S54" s="464"/>
      <c r="T54" s="462"/>
    </row>
    <row r="55" customFormat="false" ht="17.25" hidden="false" customHeight="true" outlineLevel="0" collapsed="false">
      <c r="C55" s="472" t="str">
        <f aca="false">IF(C17="","",C17)</f>
        <v/>
      </c>
      <c r="D55" s="263" t="str">
        <f aca="false">IF(C17="","",VLOOKUP(C17,'ETF List'!$C$1:$J$200,3,0))</f>
        <v/>
      </c>
      <c r="E55" s="263" t="str">
        <f aca="false">IF(C55="","",VLOOKUP(C55,'ETF List'!$C$1:$J$200,4,0))</f>
        <v/>
      </c>
      <c r="F55" s="473" t="str">
        <f aca="false">IF(C55="","",IF(SUMIFS($I$134:$I$172,$C$134:$C$172,C55)=0,"",SUMIFS($I$134:$I$172,$C$134:$C$172,C55)))</f>
        <v/>
      </c>
      <c r="G55" s="474" t="str">
        <f aca="false">IF(F55="","",H17)</f>
        <v/>
      </c>
      <c r="H55" s="474" t="str">
        <f aca="false">IF(C17="","",VLOOKUP(C17,'Portfolio Bucket'!$N$3:$T$69,7,0))</f>
        <v/>
      </c>
      <c r="I55" s="442" t="str">
        <f aca="false">IF(G55="","",(H55-G55)*F55)</f>
        <v/>
      </c>
      <c r="J55" s="449" t="str">
        <f aca="false">IF(G55="","",I55/(G55*F55))</f>
        <v/>
      </c>
      <c r="Q55" s="461"/>
      <c r="S55" s="464"/>
      <c r="T55" s="462"/>
    </row>
    <row r="56" customFormat="false" ht="17.25" hidden="false" customHeight="true" outlineLevel="0" collapsed="false">
      <c r="C56" s="472" t="str">
        <f aca="false">IF(C18="","",C18)</f>
        <v/>
      </c>
      <c r="D56" s="263" t="str">
        <f aca="false">IF(C18="","",VLOOKUP(C18,'ETF List'!$C$1:$J$200,3,0))</f>
        <v/>
      </c>
      <c r="E56" s="263" t="str">
        <f aca="false">IF(C56="","",VLOOKUP(C56,'ETF List'!$C$1:$J$200,4,0))</f>
        <v/>
      </c>
      <c r="F56" s="473" t="str">
        <f aca="false">IF(C56="","",IF(SUMIFS($I$134:$I$172,$C$134:$C$172,C56)=0,"",SUMIFS($I$134:$I$172,$C$134:$C$172,C56)))</f>
        <v/>
      </c>
      <c r="G56" s="474" t="str">
        <f aca="false">IF(F56="","",H18)</f>
        <v/>
      </c>
      <c r="H56" s="474" t="str">
        <f aca="false">IF(C18="","",VLOOKUP(C18,'Portfolio Bucket'!$N$3:$T$69,7,0))</f>
        <v/>
      </c>
      <c r="I56" s="442" t="str">
        <f aca="false">IF(G56="","",(H56-G56)*F56)</f>
        <v/>
      </c>
      <c r="J56" s="449" t="str">
        <f aca="false">IF(G56="","",I56/(G56*F56))</f>
        <v/>
      </c>
      <c r="Q56" s="461"/>
      <c r="S56" s="464"/>
      <c r="T56" s="462"/>
    </row>
    <row r="57" customFormat="false" ht="17.25" hidden="false" customHeight="true" outlineLevel="0" collapsed="false">
      <c r="C57" s="472" t="str">
        <f aca="false">IF(C19="","",C19)</f>
        <v/>
      </c>
      <c r="D57" s="263" t="str">
        <f aca="false">IF(C19="","",VLOOKUP(C19,'ETF List'!$C$1:$J$200,3,0))</f>
        <v/>
      </c>
      <c r="E57" s="263" t="str">
        <f aca="false">IF(C57="","",VLOOKUP(C57,'ETF List'!$C$1:$J$200,4,0))</f>
        <v/>
      </c>
      <c r="F57" s="473" t="str">
        <f aca="false">IF(C57="","",IF(SUMIFS($I$134:$I$172,$C$134:$C$172,C57)=0,"",SUMIFS($I$134:$I$172,$C$134:$C$172,C57)))</f>
        <v/>
      </c>
      <c r="G57" s="474" t="str">
        <f aca="false">IF(F57="","",H19)</f>
        <v/>
      </c>
      <c r="H57" s="474" t="str">
        <f aca="false">IF(C19="","",VLOOKUP(C19,'Portfolio Bucket'!$N$3:$T$69,7,0))</f>
        <v/>
      </c>
      <c r="I57" s="442" t="str">
        <f aca="false">IF(G57="","",(H57-G57)*F57)</f>
        <v/>
      </c>
      <c r="J57" s="449" t="str">
        <f aca="false">IF(G57="","",I57/(G57*F57))</f>
        <v/>
      </c>
      <c r="Q57" s="461"/>
      <c r="S57" s="464"/>
      <c r="T57" s="462"/>
    </row>
    <row r="58" customFormat="false" ht="17.25" hidden="false" customHeight="true" outlineLevel="0" collapsed="false">
      <c r="C58" s="472" t="str">
        <f aca="false">IF(C20="","",C20)</f>
        <v/>
      </c>
      <c r="D58" s="263" t="str">
        <f aca="false">IF(C20="","",VLOOKUP(C20,'ETF List'!$C$1:$J$200,3,0))</f>
        <v/>
      </c>
      <c r="E58" s="263" t="str">
        <f aca="false">IF(C58="","",VLOOKUP(C58,'ETF List'!$C$1:$J$200,4,0))</f>
        <v/>
      </c>
      <c r="F58" s="473" t="str">
        <f aca="false">IF(C58="","",IF(SUMIFS($I$134:$I$172,$C$134:$C$172,C58)=0,"",SUMIFS($I$134:$I$172,$C$134:$C$172,C58)))</f>
        <v/>
      </c>
      <c r="G58" s="474" t="str">
        <f aca="false">IF(F58="","",H20)</f>
        <v/>
      </c>
      <c r="H58" s="474" t="str">
        <f aca="false">IF(C20="","",VLOOKUP(C20,'Portfolio Bucket'!$N$3:$T$69,7,0))</f>
        <v/>
      </c>
      <c r="I58" s="442" t="str">
        <f aca="false">IF(G58="","",(H58-G58)*F58)</f>
        <v/>
      </c>
      <c r="J58" s="449" t="str">
        <f aca="false">IF(G58="","",I58/(G58*F58))</f>
        <v/>
      </c>
      <c r="Q58" s="461"/>
      <c r="S58" s="464"/>
      <c r="T58" s="462"/>
    </row>
    <row r="59" customFormat="false" ht="17.25" hidden="false" customHeight="true" outlineLevel="0" collapsed="false">
      <c r="C59" s="472" t="str">
        <f aca="false">IF(C21="","",C21)</f>
        <v/>
      </c>
      <c r="D59" s="263" t="str">
        <f aca="false">IF(C21="","",VLOOKUP(C21,'ETF List'!$C$1:$J$200,3,0))</f>
        <v/>
      </c>
      <c r="E59" s="263" t="str">
        <f aca="false">IF(C59="","",VLOOKUP(C59,'ETF List'!$C$1:$J$200,4,0))</f>
        <v/>
      </c>
      <c r="F59" s="473" t="str">
        <f aca="false">IF(C59="","",IF(SUMIFS($I$134:$I$172,$C$134:$C$172,C59)=0,"",SUMIFS($I$134:$I$172,$C$134:$C$172,C59)))</f>
        <v/>
      </c>
      <c r="G59" s="474" t="str">
        <f aca="false">IF(F59="","",H21)</f>
        <v/>
      </c>
      <c r="H59" s="474" t="str">
        <f aca="false">IF(C21="","",VLOOKUP(C21,'Portfolio Bucket'!$N$3:$T$69,7,0))</f>
        <v/>
      </c>
      <c r="I59" s="442" t="str">
        <f aca="false">IF(G59="","",(H59-G59)*F59)</f>
        <v/>
      </c>
      <c r="J59" s="449" t="str">
        <f aca="false">IF(G59="","",I59/(G59*F59))</f>
        <v/>
      </c>
      <c r="Q59" s="461"/>
      <c r="S59" s="464"/>
      <c r="T59" s="462"/>
    </row>
    <row r="60" customFormat="false" ht="17.25" hidden="false" customHeight="true" outlineLevel="0" collapsed="false">
      <c r="C60" s="472" t="str">
        <f aca="false">IF(C22="","",C22)</f>
        <v/>
      </c>
      <c r="D60" s="263" t="str">
        <f aca="false">IF(C22="","",VLOOKUP(C22,'ETF List'!$C$1:$J$200,3,0))</f>
        <v/>
      </c>
      <c r="E60" s="263" t="str">
        <f aca="false">IF(C60="","",VLOOKUP(C60,'ETF List'!$C$1:$J$200,4,0))</f>
        <v/>
      </c>
      <c r="F60" s="473" t="str">
        <f aca="false">IF(C60="","",IF(SUMIFS($I$134:$I$172,$C$134:$C$172,C60)=0,"",SUMIFS($I$134:$I$172,$C$134:$C$172,C60)))</f>
        <v/>
      </c>
      <c r="G60" s="474" t="str">
        <f aca="false">IF(F60="","",H22)</f>
        <v/>
      </c>
      <c r="H60" s="474" t="str">
        <f aca="false">IF(C22="","",VLOOKUP(C22,'Portfolio Bucket'!$N$3:$T$69,7,0))</f>
        <v/>
      </c>
      <c r="I60" s="442" t="str">
        <f aca="false">IF(G60="","",(H60-G60)*F60)</f>
        <v/>
      </c>
      <c r="J60" s="449" t="str">
        <f aca="false">IF(G60="","",I60/(G60*F60))</f>
        <v/>
      </c>
      <c r="Q60" s="461"/>
      <c r="S60" s="464"/>
      <c r="T60" s="462"/>
    </row>
    <row r="61" customFormat="false" ht="17.25" hidden="false" customHeight="true" outlineLevel="0" collapsed="false">
      <c r="C61" s="472" t="str">
        <f aca="false">IF(C23="","",C23)</f>
        <v/>
      </c>
      <c r="D61" s="263" t="str">
        <f aca="false">IF(C23="","",VLOOKUP(C23,'ETF List'!$C$1:$J$200,3,0))</f>
        <v/>
      </c>
      <c r="E61" s="263" t="str">
        <f aca="false">IF(C61="","",VLOOKUP(C61,'ETF List'!$C$1:$J$200,4,0))</f>
        <v/>
      </c>
      <c r="F61" s="473" t="str">
        <f aca="false">IF(C61="","",IF(SUMIFS($I$134:$I$172,$C$134:$C$172,C61)=0,"",SUMIFS($I$134:$I$172,$C$134:$C$172,C61)))</f>
        <v/>
      </c>
      <c r="G61" s="474" t="str">
        <f aca="false">IF(F61="","",H23)</f>
        <v/>
      </c>
      <c r="H61" s="474" t="str">
        <f aca="false">IF(C23="","",VLOOKUP(C23,'Portfolio Bucket'!$N$3:$T$69,7,0))</f>
        <v/>
      </c>
      <c r="I61" s="442" t="str">
        <f aca="false">IF(G61="","",(H61-G61)*F61)</f>
        <v/>
      </c>
      <c r="J61" s="449" t="str">
        <f aca="false">IF(G61="","",I61/(G61*F61))</f>
        <v/>
      </c>
      <c r="Q61" s="461"/>
      <c r="S61" s="464"/>
      <c r="T61" s="462"/>
    </row>
    <row r="62" customFormat="false" ht="17.25" hidden="false" customHeight="true" outlineLevel="0" collapsed="false">
      <c r="C62" s="472" t="str">
        <f aca="false">IF(C24="","",C24)</f>
        <v/>
      </c>
      <c r="D62" s="263" t="str">
        <f aca="false">IF(C24="","",VLOOKUP(C24,'ETF List'!$C$1:$J$200,3,0))</f>
        <v/>
      </c>
      <c r="E62" s="263" t="str">
        <f aca="false">IF(C62="","",VLOOKUP(C62,'ETF List'!$C$1:$J$200,4,0))</f>
        <v/>
      </c>
      <c r="F62" s="473" t="str">
        <f aca="false">IF(C62="","",IF(SUMIFS($I$134:$I$172,$C$134:$C$172,C62)=0,"",SUMIFS($I$134:$I$172,$C$134:$C$172,C62)))</f>
        <v/>
      </c>
      <c r="G62" s="474" t="str">
        <f aca="false">IF(F62="","",H24)</f>
        <v/>
      </c>
      <c r="H62" s="474" t="str">
        <f aca="false">IF(C24="","",VLOOKUP(C24,'Portfolio Bucket'!$N$3:$T$69,7,0))</f>
        <v/>
      </c>
      <c r="I62" s="442" t="str">
        <f aca="false">IF(G62="","",(H62-G62)*F62)</f>
        <v/>
      </c>
      <c r="J62" s="449" t="str">
        <f aca="false">IF(G62="","",I62/(G62*F62))</f>
        <v/>
      </c>
      <c r="Q62" s="461"/>
      <c r="S62" s="464"/>
      <c r="T62" s="462"/>
    </row>
    <row r="63" customFormat="false" ht="17.25" hidden="false" customHeight="true" outlineLevel="0" collapsed="false">
      <c r="C63" s="472" t="str">
        <f aca="false">IF(C25="","",C25)</f>
        <v/>
      </c>
      <c r="D63" s="263" t="str">
        <f aca="false">IF(C25="","",VLOOKUP(C25,'ETF List'!$C$1:$J$200,3,0))</f>
        <v/>
      </c>
      <c r="E63" s="263" t="str">
        <f aca="false">IF(C63="","",VLOOKUP(C63,'ETF List'!$C$1:$J$200,4,0))</f>
        <v/>
      </c>
      <c r="F63" s="473" t="str">
        <f aca="false">IF(C63="","",IF(SUMIFS($I$134:$I$172,$C$134:$C$172,C63)=0,"",SUMIFS($I$134:$I$172,$C$134:$C$172,C63)))</f>
        <v/>
      </c>
      <c r="G63" s="474" t="str">
        <f aca="false">IF(F63="","",H25)</f>
        <v/>
      </c>
      <c r="H63" s="474" t="str">
        <f aca="false">IF(C25="","",VLOOKUP(C25,'Portfolio Bucket'!$N$3:$T$69,7,0))</f>
        <v/>
      </c>
      <c r="I63" s="442" t="str">
        <f aca="false">IF(G63="","",(H63-G63)*F63)</f>
        <v/>
      </c>
      <c r="J63" s="449" t="str">
        <f aca="false">IF(G63="","",I63/(G63*F63))</f>
        <v/>
      </c>
      <c r="Q63" s="461"/>
      <c r="S63" s="464"/>
      <c r="T63" s="462"/>
    </row>
    <row r="64" customFormat="false" ht="17.25" hidden="false" customHeight="true" outlineLevel="0" collapsed="false">
      <c r="C64" s="472" t="str">
        <f aca="false">IF(C26="","",C26)</f>
        <v/>
      </c>
      <c r="D64" s="263" t="str">
        <f aca="false">IF(C26="","",VLOOKUP(C26,'ETF List'!$C$1:$J$200,3,0))</f>
        <v/>
      </c>
      <c r="E64" s="263" t="str">
        <f aca="false">IF(C64="","",VLOOKUP(C64,'ETF List'!$C$1:$J$200,4,0))</f>
        <v/>
      </c>
      <c r="F64" s="473" t="str">
        <f aca="false">IF(C64="","",IF(SUMIFS($I$134:$I$172,$C$134:$C$172,C64)=0,"",SUMIFS($I$134:$I$172,$C$134:$C$172,C64)))</f>
        <v/>
      </c>
      <c r="G64" s="474" t="str">
        <f aca="false">IF(F64="","",H26)</f>
        <v/>
      </c>
      <c r="H64" s="474" t="str">
        <f aca="false">IF(C26="","",VLOOKUP(C26,'Portfolio Bucket'!$N$3:$T$69,7,0))</f>
        <v/>
      </c>
      <c r="I64" s="442" t="str">
        <f aca="false">IF(G64="","",(H64-G64)*F64)</f>
        <v/>
      </c>
      <c r="J64" s="449" t="str">
        <f aca="false">IF(G64="","",I64/(G64*F64))</f>
        <v/>
      </c>
      <c r="Q64" s="461"/>
      <c r="S64" s="464"/>
      <c r="T64" s="462"/>
    </row>
    <row r="65" customFormat="false" ht="17.25" hidden="false" customHeight="true" outlineLevel="0" collapsed="false">
      <c r="C65" s="472" t="str">
        <f aca="false">IF(C27="","",C27)</f>
        <v/>
      </c>
      <c r="D65" s="263" t="str">
        <f aca="false">IF(C27="","",VLOOKUP(C27,'ETF List'!$C$1:$J$200,3,0))</f>
        <v/>
      </c>
      <c r="E65" s="263" t="str">
        <f aca="false">IF(C65="","",VLOOKUP(C65,'ETF List'!$C$1:$J$200,4,0))</f>
        <v/>
      </c>
      <c r="F65" s="473" t="str">
        <f aca="false">IF(C65="","",IF(SUMIFS($I$134:$I$172,$C$134:$C$172,C65)=0,"",SUMIFS($I$134:$I$172,$C$134:$C$172,C65)))</f>
        <v/>
      </c>
      <c r="G65" s="474" t="str">
        <f aca="false">IF(F65="","",H27)</f>
        <v/>
      </c>
      <c r="H65" s="474" t="str">
        <f aca="false">IF(C27="","",VLOOKUP(C27,'Portfolio Bucket'!$N$3:$T$69,7,0))</f>
        <v/>
      </c>
      <c r="I65" s="442" t="str">
        <f aca="false">IF(G65="","",(H65-G65)*F65)</f>
        <v/>
      </c>
      <c r="J65" s="449" t="str">
        <f aca="false">IF(G65="","",I65/(G65*F65))</f>
        <v/>
      </c>
      <c r="Q65" s="461"/>
      <c r="S65" s="464"/>
      <c r="T65" s="462"/>
    </row>
    <row r="66" customFormat="false" ht="17.25" hidden="false" customHeight="true" outlineLevel="0" collapsed="false">
      <c r="C66" s="472" t="str">
        <f aca="false">IF(C28="","",C28)</f>
        <v/>
      </c>
      <c r="D66" s="263" t="str">
        <f aca="false">IF(C28="","",VLOOKUP(C28,'ETF List'!$C$1:$J$200,3,0))</f>
        <v/>
      </c>
      <c r="E66" s="263" t="str">
        <f aca="false">IF(C66="","",VLOOKUP(C66,'ETF List'!$C$1:$J$200,4,0))</f>
        <v/>
      </c>
      <c r="F66" s="473" t="str">
        <f aca="false">IF(C66="","",IF(SUMIFS($I$134:$I$172,$C$134:$C$172,C66)=0,"",SUMIFS($I$134:$I$172,$C$134:$C$172,C66)))</f>
        <v/>
      </c>
      <c r="G66" s="474" t="str">
        <f aca="false">IF(F66="","",H28)</f>
        <v/>
      </c>
      <c r="H66" s="474" t="str">
        <f aca="false">IF(C28="","",VLOOKUP(C28,'Portfolio Bucket'!$N$3:$T$69,7,0))</f>
        <v/>
      </c>
      <c r="I66" s="442" t="str">
        <f aca="false">IF(G66="","",(H66-G66)*F66)</f>
        <v/>
      </c>
      <c r="J66" s="449" t="str">
        <f aca="false">IF(G66="","",I66/(G66*F66))</f>
        <v/>
      </c>
      <c r="Q66" s="461"/>
      <c r="S66" s="464"/>
      <c r="T66" s="462"/>
    </row>
    <row r="67" customFormat="false" ht="17.25" hidden="false" customHeight="true" outlineLevel="0" collapsed="false">
      <c r="C67" s="472" t="str">
        <f aca="false">IF(C29="","",C29)</f>
        <v/>
      </c>
      <c r="D67" s="263" t="str">
        <f aca="false">IF(C29="","",VLOOKUP(C29,'ETF List'!$C$1:$J$200,3,0))</f>
        <v/>
      </c>
      <c r="E67" s="263" t="str">
        <f aca="false">IF(C67="","",VLOOKUP(C67,'ETF List'!$C$1:$J$200,4,0))</f>
        <v/>
      </c>
      <c r="F67" s="473" t="str">
        <f aca="false">IF(C67="","",IF(SUMIFS($I$134:$I$172,$C$134:$C$172,C67)=0,"",SUMIFS($I$134:$I$172,$C$134:$C$172,C67)))</f>
        <v/>
      </c>
      <c r="G67" s="474" t="str">
        <f aca="false">IF(F67="","",H29)</f>
        <v/>
      </c>
      <c r="H67" s="474" t="str">
        <f aca="false">IF(C29="","",VLOOKUP(C29,'Portfolio Bucket'!$N$3:$T$69,7,0))</f>
        <v/>
      </c>
      <c r="I67" s="442" t="str">
        <f aca="false">IF(G67="","",(H67-G67)*F67)</f>
        <v/>
      </c>
      <c r="J67" s="449" t="str">
        <f aca="false">IF(G67="","",I67/(G67*F67))</f>
        <v/>
      </c>
      <c r="Q67" s="461"/>
      <c r="S67" s="464"/>
      <c r="T67" s="462"/>
    </row>
    <row r="68" customFormat="false" ht="17.25" hidden="false" customHeight="true" outlineLevel="0" collapsed="false">
      <c r="C68" s="472" t="str">
        <f aca="false">IF(C30="","",C30)</f>
        <v/>
      </c>
      <c r="D68" s="263" t="str">
        <f aca="false">IF(C30="","",VLOOKUP(C30,'ETF List'!$C$1:$J$200,3,0))</f>
        <v/>
      </c>
      <c r="E68" s="263" t="str">
        <f aca="false">IF(C68="","",VLOOKUP(C68,'ETF List'!$C$1:$J$200,4,0))</f>
        <v/>
      </c>
      <c r="F68" s="473" t="str">
        <f aca="false">IF(C68="","",IF(SUMIFS($I$134:$I$172,$C$134:$C$172,C68)=0,"",SUMIFS($I$134:$I$172,$C$134:$C$172,C68)))</f>
        <v/>
      </c>
      <c r="G68" s="474" t="str">
        <f aca="false">IF(F68="","",H30)</f>
        <v/>
      </c>
      <c r="H68" s="474" t="str">
        <f aca="false">IF(C30="","",VLOOKUP(C30,'Portfolio Bucket'!$N$3:$T$69,7,0))</f>
        <v/>
      </c>
      <c r="I68" s="442" t="str">
        <f aca="false">IF(G68="","",(H68-G68)*F68)</f>
        <v/>
      </c>
      <c r="J68" s="449" t="str">
        <f aca="false">IF(G68="","",I68/(G68*F68))</f>
        <v/>
      </c>
      <c r="Q68" s="461"/>
      <c r="S68" s="464"/>
      <c r="T68" s="462"/>
    </row>
    <row r="69" customFormat="false" ht="17.25" hidden="false" customHeight="true" outlineLevel="0" collapsed="false">
      <c r="C69" s="472" t="str">
        <f aca="false">IF(C31="","",C31)</f>
        <v/>
      </c>
      <c r="D69" s="263" t="str">
        <f aca="false">IF(C31="","",VLOOKUP(C31,'ETF List'!$C$1:$J$200,3,0))</f>
        <v/>
      </c>
      <c r="E69" s="263" t="str">
        <f aca="false">IF(C69="","",VLOOKUP(C69,'ETF List'!$C$1:$J$200,4,0))</f>
        <v/>
      </c>
      <c r="F69" s="473" t="str">
        <f aca="false">IF(C69="","",IF(SUMIFS($I$134:$I$172,$C$134:$C$172,C69)=0,"",SUMIFS($I$134:$I$172,$C$134:$C$172,C69)))</f>
        <v/>
      </c>
      <c r="G69" s="474" t="str">
        <f aca="false">IF(F69="","",H31)</f>
        <v/>
      </c>
      <c r="H69" s="474" t="str">
        <f aca="false">IF(C31="","",VLOOKUP(C31,'Portfolio Bucket'!$N$3:$T$69,7,0))</f>
        <v/>
      </c>
      <c r="I69" s="442" t="str">
        <f aca="false">IF(G69="","",(H69-G69)*F69)</f>
        <v/>
      </c>
      <c r="J69" s="449" t="str">
        <f aca="false">IF(G69="","",I69/(G69*F69))</f>
        <v/>
      </c>
      <c r="Q69" s="461"/>
      <c r="S69" s="464"/>
      <c r="T69" s="462"/>
    </row>
    <row r="70" customFormat="false" ht="17.25" hidden="false" customHeight="true" outlineLevel="0" collapsed="false">
      <c r="C70" s="472" t="str">
        <f aca="false">IF(C32="","",C32)</f>
        <v/>
      </c>
      <c r="D70" s="263" t="str">
        <f aca="false">IF(C32="","",VLOOKUP(C32,'ETF List'!$C$1:$J$200,3,0))</f>
        <v/>
      </c>
      <c r="E70" s="263" t="str">
        <f aca="false">IF(C70="","",VLOOKUP(C70,'ETF List'!$C$1:$J$200,4,0))</f>
        <v/>
      </c>
      <c r="F70" s="473" t="str">
        <f aca="false">IF(C70="","",IF(SUMIFS($I$134:$I$172,$C$134:$C$172,C70)=0,"",SUMIFS($I$134:$I$172,$C$134:$C$172,C70)))</f>
        <v/>
      </c>
      <c r="G70" s="474" t="str">
        <f aca="false">IF(F70="","",H32)</f>
        <v/>
      </c>
      <c r="H70" s="474" t="str">
        <f aca="false">IF(C32="","",VLOOKUP(C32,'Portfolio Bucket'!$N$3:$T$69,7,0))</f>
        <v/>
      </c>
      <c r="I70" s="442" t="str">
        <f aca="false">IF(G70="","",(H70-G70)*F70)</f>
        <v/>
      </c>
      <c r="J70" s="449" t="str">
        <f aca="false">IF(G70="","",I70/(G70*F70))</f>
        <v/>
      </c>
      <c r="Q70" s="461"/>
      <c r="S70" s="464"/>
      <c r="T70" s="462"/>
    </row>
    <row r="71" customFormat="false" ht="17.25" hidden="false" customHeight="true" outlineLevel="0" collapsed="false">
      <c r="C71" s="472" t="str">
        <f aca="false">IF(C33="","",C33)</f>
        <v/>
      </c>
      <c r="D71" s="263" t="str">
        <f aca="false">IF(C33="","",VLOOKUP(C33,'ETF List'!$C$1:$J$200,3,0))</f>
        <v/>
      </c>
      <c r="E71" s="263" t="str">
        <f aca="false">IF(C71="","",VLOOKUP(C71,'ETF List'!$C$1:$J$200,4,0))</f>
        <v/>
      </c>
      <c r="F71" s="473" t="str">
        <f aca="false">IF(C71="","",IF(SUMIFS($I$134:$I$172,$C$134:$C$172,C71)=0,"",SUMIFS($I$134:$I$172,$C$134:$C$172,C71)))</f>
        <v/>
      </c>
      <c r="G71" s="474" t="str">
        <f aca="false">IF(F71="","",H33)</f>
        <v/>
      </c>
      <c r="H71" s="474" t="str">
        <f aca="false">IF(C33="","",VLOOKUP(C33,'Portfolio Bucket'!$N$3:$T$69,7,0))</f>
        <v/>
      </c>
      <c r="I71" s="442" t="str">
        <f aca="false">IF(G71="","",(H71-G71)*F71)</f>
        <v/>
      </c>
      <c r="J71" s="449" t="str">
        <f aca="false">IF(G71="","",I71/(G71*F71))</f>
        <v/>
      </c>
      <c r="Q71" s="461"/>
      <c r="S71" s="464"/>
      <c r="T71" s="462"/>
    </row>
    <row r="72" customFormat="false" ht="17.25" hidden="false" customHeight="true" outlineLevel="0" collapsed="false">
      <c r="C72" s="472" t="str">
        <f aca="false">IF(C34="","",C34)</f>
        <v/>
      </c>
      <c r="D72" s="263" t="str">
        <f aca="false">IF(C34="","",VLOOKUP(C34,'ETF List'!$C$1:$J$200,3,0))</f>
        <v/>
      </c>
      <c r="E72" s="263" t="str">
        <f aca="false">IF(C72="","",VLOOKUP(C72,'ETF List'!$C$1:$J$200,4,0))</f>
        <v/>
      </c>
      <c r="F72" s="473" t="str">
        <f aca="false">IF(C72="","",IF(SUMIFS($I$134:$I$172,$C$134:$C$172,C72)=0,"",SUMIFS($I$134:$I$172,$C$134:$C$172,C72)))</f>
        <v/>
      </c>
      <c r="G72" s="474" t="str">
        <f aca="false">IF(F72="","",H34)</f>
        <v/>
      </c>
      <c r="H72" s="474" t="str">
        <f aca="false">IF(C34="","",VLOOKUP(C34,'Portfolio Bucket'!$N$3:$T$69,7,0))</f>
        <v/>
      </c>
      <c r="I72" s="442" t="str">
        <f aca="false">IF(G72="","",(H72-G72)*F72)</f>
        <v/>
      </c>
      <c r="J72" s="449" t="str">
        <f aca="false">IF(G72="","",I72/(G72*F72))</f>
        <v/>
      </c>
      <c r="Q72" s="461"/>
      <c r="S72" s="464"/>
      <c r="T72" s="462"/>
    </row>
    <row r="73" customFormat="false" ht="17.25" hidden="false" customHeight="true" outlineLevel="0" collapsed="false">
      <c r="C73" s="472" t="str">
        <f aca="false">IF(C35="","",C35)</f>
        <v/>
      </c>
      <c r="D73" s="263" t="str">
        <f aca="false">IF(C35="","",VLOOKUP(C35,'ETF List'!$C$1:$J$200,3,0))</f>
        <v/>
      </c>
      <c r="E73" s="263" t="str">
        <f aca="false">IF(C73="","",VLOOKUP(C73,'ETF List'!$C$1:$J$200,4,0))</f>
        <v/>
      </c>
      <c r="F73" s="473" t="str">
        <f aca="false">IF(C73="","",IF(SUMIFS($I$134:$I$172,$C$134:$C$172,C73)=0,"",SUMIFS($I$134:$I$172,$C$134:$C$172,C73)))</f>
        <v/>
      </c>
      <c r="G73" s="474" t="str">
        <f aca="false">IF(F73="","",H35)</f>
        <v/>
      </c>
      <c r="H73" s="474" t="str">
        <f aca="false">IF(C35="","",VLOOKUP(C35,'Portfolio Bucket'!$N$3:$T$69,7,0))</f>
        <v/>
      </c>
      <c r="I73" s="442" t="str">
        <f aca="false">IF(G73="","",(H73-G73)*F73)</f>
        <v/>
      </c>
      <c r="J73" s="449" t="str">
        <f aca="false">IF(G73="","",I73/(G73*F73))</f>
        <v/>
      </c>
      <c r="Q73" s="461"/>
      <c r="S73" s="464"/>
      <c r="T73" s="462"/>
    </row>
    <row r="74" customFormat="false" ht="17.25" hidden="false" customHeight="true" outlineLevel="0" collapsed="false">
      <c r="C74" s="472" t="str">
        <f aca="false">IF(C36="","",C36)</f>
        <v/>
      </c>
      <c r="D74" s="263" t="str">
        <f aca="false">IF(C36="","",VLOOKUP(C36,'ETF List'!$C$1:$J$200,3,0))</f>
        <v/>
      </c>
      <c r="E74" s="263" t="str">
        <f aca="false">IF(C74="","",VLOOKUP(C74,'ETF List'!$C$1:$J$200,4,0))</f>
        <v/>
      </c>
      <c r="F74" s="473" t="str">
        <f aca="false">IF(C74="","",IF(SUMIFS($I$134:$I$172,$C$134:$C$172,C74)=0,"",SUMIFS($I$134:$I$172,$C$134:$C$172,C74)))</f>
        <v/>
      </c>
      <c r="G74" s="474" t="str">
        <f aca="false">IF(F74="","",H36)</f>
        <v/>
      </c>
      <c r="H74" s="474" t="str">
        <f aca="false">IF(C36="","",VLOOKUP(C36,'Portfolio Bucket'!$N$3:$T$69,7,0))</f>
        <v/>
      </c>
      <c r="I74" s="442" t="str">
        <f aca="false">IF(G74="","",(H74-G74)*F74)</f>
        <v/>
      </c>
      <c r="J74" s="449" t="str">
        <f aca="false">IF(G74="","",I74/(G74*F74))</f>
        <v/>
      </c>
      <c r="Q74" s="461"/>
      <c r="S74" s="464"/>
      <c r="T74" s="462"/>
    </row>
    <row r="75" customFormat="false" ht="17.25" hidden="false" customHeight="true" outlineLevel="0" collapsed="false">
      <c r="C75" s="472" t="str">
        <f aca="false">IF(C37="","",C37)</f>
        <v/>
      </c>
      <c r="D75" s="263" t="str">
        <f aca="false">IF(C37="","",VLOOKUP(C37,'ETF List'!$C$1:$J$200,3,0))</f>
        <v/>
      </c>
      <c r="E75" s="263" t="str">
        <f aca="false">IF(C75="","",VLOOKUP(C75,'ETF List'!$C$1:$J$200,4,0))</f>
        <v/>
      </c>
      <c r="F75" s="473" t="str">
        <f aca="false">IF(C75="","",IF(SUMIFS($I$134:$I$172,$C$134:$C$172,C75)=0,"",SUMIFS($I$134:$I$172,$C$134:$C$172,C75)))</f>
        <v/>
      </c>
      <c r="G75" s="474" t="str">
        <f aca="false">IF(F75="","",H37)</f>
        <v/>
      </c>
      <c r="H75" s="474" t="str">
        <f aca="false">IF(C37="","",VLOOKUP(C37,'Portfolio Bucket'!$N$3:$T$69,7,0))</f>
        <v/>
      </c>
      <c r="I75" s="442" t="str">
        <f aca="false">IF(G75="","",(H75-G75)*F75)</f>
        <v/>
      </c>
      <c r="J75" s="449" t="str">
        <f aca="false">IF(G75="","",I75/(G75*F75))</f>
        <v/>
      </c>
      <c r="Q75" s="461"/>
      <c r="S75" s="464"/>
      <c r="T75" s="462"/>
    </row>
    <row r="76" customFormat="false" ht="17.25" hidden="false" customHeight="true" outlineLevel="0" collapsed="false">
      <c r="C76" s="472" t="str">
        <f aca="false">IF(C38="","",C38)</f>
        <v/>
      </c>
      <c r="D76" s="263" t="str">
        <f aca="false">IF(C38="","",VLOOKUP(C38,'ETF List'!$C$1:$J$200,3,0))</f>
        <v/>
      </c>
      <c r="E76" s="263" t="str">
        <f aca="false">IF(C76="","",VLOOKUP(C76,'ETF List'!$C$1:$J$200,4,0))</f>
        <v/>
      </c>
      <c r="F76" s="473" t="str">
        <f aca="false">IF(C76="","",IF(SUMIFS($I$134:$I$172,$C$134:$C$172,C76)=0,"",SUMIFS($I$134:$I$172,$C$134:$C$172,C76)))</f>
        <v/>
      </c>
      <c r="G76" s="474" t="str">
        <f aca="false">IF(F76="","",H38)</f>
        <v/>
      </c>
      <c r="H76" s="474" t="str">
        <f aca="false">IF(C38="","",VLOOKUP(C38,'Portfolio Bucket'!$N$3:$T$69,7,0))</f>
        <v/>
      </c>
      <c r="I76" s="442" t="str">
        <f aca="false">IF(G76="","",(H76-G76)*F76)</f>
        <v/>
      </c>
      <c r="J76" s="449" t="str">
        <f aca="false">IF(G76="","",I76/(G76*F76))</f>
        <v/>
      </c>
      <c r="Q76" s="461"/>
      <c r="S76" s="464"/>
      <c r="T76" s="462"/>
    </row>
    <row r="77" customFormat="false" ht="17.25" hidden="false" customHeight="true" outlineLevel="0" collapsed="false">
      <c r="C77" s="475" t="str">
        <f aca="false">IF(C39="","",C39)</f>
        <v/>
      </c>
      <c r="D77" s="298" t="str">
        <f aca="false">IF(C39="","",VLOOKUP(C39,'ETF List'!$C$1:$J$200,3,0))</f>
        <v/>
      </c>
      <c r="E77" s="298" t="str">
        <f aca="false">IF(C77="","",VLOOKUP(C77,'ETF List'!$C$1:$J$200,4,0))</f>
        <v/>
      </c>
      <c r="F77" s="476" t="str">
        <f aca="false">IF(C77="","",IF(SUMIFS($I$134:$I$172,$C$134:$C$172,C77)=0,"",SUMIFS($I$134:$I$172,$C$134:$C$172,C77)))</f>
        <v/>
      </c>
      <c r="G77" s="477" t="str">
        <f aca="false">IF(F77="","",H39)</f>
        <v/>
      </c>
      <c r="H77" s="477" t="str">
        <f aca="false">IF(C39="","",VLOOKUP(C39,'Portfolio Bucket'!$N$3:$T$69,7,0))</f>
        <v/>
      </c>
      <c r="I77" s="456" t="str">
        <f aca="false">IF(G77="","",(H77-G77)*F77)</f>
        <v/>
      </c>
      <c r="J77" s="457" t="str">
        <f aca="false">IF(G77="","",I77/(G77*F77))</f>
        <v/>
      </c>
      <c r="Q77" s="461"/>
      <c r="S77" s="464"/>
      <c r="T77" s="462"/>
    </row>
    <row r="78" customFormat="false" ht="17.25" hidden="false" customHeight="true" outlineLevel="0" collapsed="false">
      <c r="C78" s="463"/>
      <c r="Q78" s="461"/>
      <c r="S78" s="464"/>
      <c r="T78" s="462"/>
    </row>
    <row r="79" customFormat="false" ht="17.25" hidden="false" customHeight="true" outlineLevel="0" collapsed="false">
      <c r="C79" s="463"/>
      <c r="H79" s="264"/>
      <c r="I79" s="376"/>
      <c r="J79" s="459"/>
      <c r="K79" s="460"/>
      <c r="Q79" s="461"/>
      <c r="S79" s="464"/>
      <c r="T79" s="462"/>
    </row>
    <row r="80" customFormat="false" ht="17.25" hidden="false" customHeight="true" outlineLevel="0" collapsed="false">
      <c r="C80" s="463"/>
      <c r="H80" s="264"/>
      <c r="I80" s="376"/>
      <c r="J80" s="459"/>
      <c r="K80" s="460"/>
      <c r="Q80" s="461"/>
      <c r="S80" s="464"/>
      <c r="T80" s="462"/>
    </row>
    <row r="81" customFormat="false" ht="17.25" hidden="false" customHeight="true" outlineLevel="0" collapsed="false">
      <c r="C81" s="463"/>
      <c r="H81" s="264"/>
      <c r="I81" s="376"/>
      <c r="J81" s="459"/>
      <c r="K81" s="460"/>
      <c r="Q81" s="461"/>
      <c r="S81" s="464"/>
      <c r="T81" s="462"/>
    </row>
    <row r="82" customFormat="false" ht="17.25" hidden="false" customHeight="true" outlineLevel="0" collapsed="false">
      <c r="C82" s="463"/>
      <c r="H82" s="264"/>
      <c r="I82" s="376"/>
      <c r="J82" s="459"/>
      <c r="K82" s="460"/>
      <c r="Q82" s="461"/>
      <c r="S82" s="464"/>
      <c r="T82" s="462"/>
    </row>
    <row r="83" customFormat="false" ht="17.25" hidden="false" customHeight="true" outlineLevel="0" collapsed="false">
      <c r="C83" s="463"/>
      <c r="H83" s="264"/>
      <c r="I83" s="376"/>
      <c r="J83" s="459"/>
      <c r="K83" s="460"/>
      <c r="Q83" s="461"/>
      <c r="S83" s="464"/>
      <c r="T83" s="462"/>
    </row>
    <row r="84" customFormat="false" ht="17.25" hidden="false" customHeight="true" outlineLevel="0" collapsed="false">
      <c r="C84" s="463"/>
      <c r="H84" s="264"/>
      <c r="I84" s="376"/>
      <c r="J84" s="459"/>
      <c r="K84" s="460"/>
      <c r="Q84" s="461"/>
      <c r="S84" s="464"/>
      <c r="T84" s="462"/>
    </row>
    <row r="85" customFormat="false" ht="17.25" hidden="false" customHeight="true" outlineLevel="0" collapsed="false">
      <c r="C85" s="463"/>
      <c r="H85" s="264"/>
      <c r="I85" s="376"/>
      <c r="J85" s="459"/>
      <c r="K85" s="460"/>
      <c r="Q85" s="461"/>
      <c r="S85" s="464"/>
      <c r="T85" s="462"/>
    </row>
    <row r="86" customFormat="false" ht="17.25" hidden="false" customHeight="true" outlineLevel="0" collapsed="false">
      <c r="C86" s="463"/>
      <c r="H86" s="264"/>
      <c r="I86" s="376"/>
      <c r="J86" s="459"/>
      <c r="K86" s="460"/>
      <c r="Q86" s="461"/>
      <c r="S86" s="464"/>
      <c r="T86" s="462"/>
    </row>
    <row r="87" customFormat="false" ht="17.25" hidden="false" customHeight="true" outlineLevel="0" collapsed="false">
      <c r="C87" s="463"/>
      <c r="H87" s="264"/>
      <c r="I87" s="376"/>
      <c r="J87" s="459"/>
      <c r="K87" s="460"/>
      <c r="Q87" s="461"/>
      <c r="S87" s="464"/>
      <c r="T87" s="462"/>
    </row>
    <row r="88" customFormat="false" ht="17.25" hidden="false" customHeight="true" outlineLevel="0" collapsed="false">
      <c r="C88" s="463"/>
      <c r="H88" s="264"/>
      <c r="I88" s="376"/>
      <c r="J88" s="459"/>
      <c r="K88" s="460"/>
      <c r="Q88" s="461"/>
      <c r="S88" s="464"/>
      <c r="T88" s="462"/>
    </row>
    <row r="89" customFormat="false" ht="17.25" hidden="false" customHeight="true" outlineLevel="0" collapsed="false">
      <c r="C89" s="463"/>
      <c r="H89" s="264"/>
      <c r="I89" s="376"/>
      <c r="J89" s="459"/>
      <c r="K89" s="460"/>
      <c r="Q89" s="461"/>
      <c r="S89" s="464"/>
      <c r="T89" s="462"/>
    </row>
    <row r="90" customFormat="false" ht="17.25" hidden="false" customHeight="true" outlineLevel="0" collapsed="false">
      <c r="C90" s="463"/>
      <c r="H90" s="264"/>
      <c r="I90" s="376"/>
      <c r="J90" s="459"/>
      <c r="K90" s="460"/>
      <c r="Q90" s="461"/>
      <c r="S90" s="464"/>
      <c r="T90" s="462"/>
    </row>
    <row r="91" customFormat="false" ht="17.25" hidden="false" customHeight="true" outlineLevel="0" collapsed="false">
      <c r="C91" s="463"/>
      <c r="H91" s="264"/>
      <c r="I91" s="376"/>
      <c r="J91" s="459"/>
      <c r="K91" s="460"/>
      <c r="Q91" s="461"/>
      <c r="S91" s="464"/>
      <c r="T91" s="462"/>
    </row>
    <row r="92" customFormat="false" ht="17.25" hidden="false" customHeight="true" outlineLevel="0" collapsed="false">
      <c r="C92" s="463"/>
      <c r="H92" s="264"/>
      <c r="I92" s="376"/>
      <c r="J92" s="459"/>
      <c r="K92" s="460"/>
      <c r="Q92" s="461"/>
      <c r="S92" s="464"/>
      <c r="T92" s="462"/>
    </row>
    <row r="93" customFormat="false" ht="17.25" hidden="false" customHeight="true" outlineLevel="0" collapsed="false">
      <c r="C93" s="463"/>
      <c r="H93" s="264"/>
      <c r="I93" s="376"/>
      <c r="J93" s="459"/>
      <c r="K93" s="460"/>
      <c r="Q93" s="461"/>
      <c r="S93" s="464"/>
      <c r="T93" s="462"/>
    </row>
    <row r="94" customFormat="false" ht="17.25" hidden="false" customHeight="true" outlineLevel="0" collapsed="false">
      <c r="C94" s="463"/>
      <c r="H94" s="264"/>
      <c r="I94" s="376"/>
      <c r="J94" s="459"/>
      <c r="K94" s="460"/>
      <c r="Q94" s="461"/>
      <c r="S94" s="464"/>
      <c r="T94" s="462"/>
    </row>
    <row r="95" customFormat="false" ht="17.25" hidden="false" customHeight="true" outlineLevel="0" collapsed="false">
      <c r="C95" s="463"/>
      <c r="H95" s="264"/>
      <c r="I95" s="376"/>
      <c r="J95" s="459"/>
      <c r="K95" s="460"/>
      <c r="Q95" s="461"/>
      <c r="S95" s="464"/>
      <c r="T95" s="462"/>
    </row>
    <row r="96" customFormat="false" ht="17.25" hidden="false" customHeight="true" outlineLevel="0" collapsed="false">
      <c r="C96" s="463"/>
      <c r="H96" s="264"/>
      <c r="I96" s="376"/>
      <c r="J96" s="459"/>
      <c r="K96" s="460"/>
      <c r="Q96" s="461"/>
      <c r="S96" s="464"/>
      <c r="T96" s="462"/>
    </row>
    <row r="97" customFormat="false" ht="17.25" hidden="false" customHeight="true" outlineLevel="0" collapsed="false">
      <c r="C97" s="463"/>
      <c r="H97" s="264"/>
      <c r="I97" s="376"/>
      <c r="J97" s="459"/>
      <c r="K97" s="460"/>
      <c r="Q97" s="461"/>
      <c r="S97" s="464"/>
      <c r="T97" s="462"/>
    </row>
    <row r="98" customFormat="false" ht="17.25" hidden="false" customHeight="true" outlineLevel="0" collapsed="false">
      <c r="C98" s="463"/>
      <c r="H98" s="264"/>
      <c r="I98" s="376"/>
      <c r="J98" s="459"/>
      <c r="K98" s="460"/>
      <c r="Q98" s="461"/>
      <c r="S98" s="464"/>
      <c r="T98" s="462"/>
    </row>
    <row r="99" customFormat="false" ht="17.25" hidden="false" customHeight="true" outlineLevel="0" collapsed="false">
      <c r="C99" s="463"/>
      <c r="H99" s="264"/>
      <c r="I99" s="376"/>
      <c r="J99" s="459"/>
      <c r="K99" s="460"/>
      <c r="Q99" s="461"/>
      <c r="S99" s="464"/>
      <c r="T99" s="462"/>
    </row>
    <row r="100" customFormat="false" ht="17.25" hidden="false" customHeight="true" outlineLevel="0" collapsed="false">
      <c r="C100" s="463"/>
      <c r="H100" s="264"/>
      <c r="I100" s="376"/>
      <c r="J100" s="459"/>
      <c r="K100" s="460"/>
      <c r="Q100" s="461"/>
      <c r="S100" s="464"/>
      <c r="T100" s="462"/>
    </row>
    <row r="101" customFormat="false" ht="17.25" hidden="false" customHeight="true" outlineLevel="0" collapsed="false">
      <c r="C101" s="463"/>
      <c r="H101" s="264"/>
      <c r="I101" s="376"/>
      <c r="J101" s="459"/>
      <c r="K101" s="460"/>
      <c r="Q101" s="461"/>
      <c r="S101" s="464"/>
      <c r="T101" s="462"/>
    </row>
    <row r="102" customFormat="false" ht="17.25" hidden="false" customHeight="true" outlineLevel="0" collapsed="false">
      <c r="C102" s="463"/>
      <c r="H102" s="264"/>
      <c r="I102" s="376"/>
      <c r="J102" s="459"/>
      <c r="K102" s="460"/>
      <c r="Q102" s="461"/>
      <c r="S102" s="464"/>
      <c r="T102" s="462"/>
    </row>
    <row r="103" customFormat="false" ht="17.25" hidden="false" customHeight="true" outlineLevel="0" collapsed="false">
      <c r="C103" s="463"/>
      <c r="H103" s="264"/>
      <c r="I103" s="376"/>
      <c r="J103" s="459"/>
      <c r="K103" s="460"/>
      <c r="Q103" s="461"/>
      <c r="S103" s="464"/>
      <c r="T103" s="462"/>
    </row>
    <row r="104" customFormat="false" ht="17.25" hidden="false" customHeight="true" outlineLevel="0" collapsed="false">
      <c r="C104" s="463"/>
      <c r="H104" s="264"/>
      <c r="I104" s="376"/>
      <c r="J104" s="459"/>
      <c r="K104" s="460"/>
      <c r="Q104" s="461"/>
      <c r="S104" s="464"/>
      <c r="T104" s="462"/>
    </row>
    <row r="105" customFormat="false" ht="17.25" hidden="false" customHeight="true" outlineLevel="0" collapsed="false">
      <c r="C105" s="463"/>
      <c r="H105" s="264"/>
      <c r="I105" s="376"/>
      <c r="J105" s="459"/>
      <c r="K105" s="460"/>
      <c r="Q105" s="461"/>
      <c r="S105" s="464"/>
      <c r="T105" s="462"/>
    </row>
    <row r="106" customFormat="false" ht="17.25" hidden="false" customHeight="true" outlineLevel="0" collapsed="false">
      <c r="C106" s="463"/>
      <c r="H106" s="264"/>
      <c r="I106" s="376"/>
      <c r="J106" s="459"/>
      <c r="K106" s="460"/>
      <c r="Q106" s="461"/>
      <c r="S106" s="464"/>
      <c r="T106" s="462"/>
    </row>
    <row r="107" customFormat="false" ht="17.25" hidden="false" customHeight="true" outlineLevel="0" collapsed="false">
      <c r="C107" s="463"/>
      <c r="H107" s="264"/>
      <c r="I107" s="376"/>
      <c r="J107" s="459"/>
      <c r="K107" s="460"/>
      <c r="Q107" s="461"/>
      <c r="S107" s="464"/>
      <c r="T107" s="462"/>
    </row>
    <row r="108" customFormat="false" ht="17.25" hidden="false" customHeight="true" outlineLevel="0" collapsed="false">
      <c r="C108" s="463"/>
      <c r="H108" s="264"/>
      <c r="I108" s="376"/>
      <c r="J108" s="459"/>
      <c r="K108" s="460"/>
      <c r="Q108" s="461"/>
      <c r="S108" s="464"/>
      <c r="T108" s="462"/>
    </row>
    <row r="109" customFormat="false" ht="17.25" hidden="false" customHeight="true" outlineLevel="0" collapsed="false">
      <c r="C109" s="463"/>
      <c r="H109" s="264"/>
      <c r="I109" s="376"/>
      <c r="J109" s="459"/>
      <c r="K109" s="460"/>
      <c r="Q109" s="461"/>
      <c r="S109" s="464"/>
      <c r="T109" s="462"/>
    </row>
    <row r="110" customFormat="false" ht="17.25" hidden="false" customHeight="true" outlineLevel="0" collapsed="false">
      <c r="C110" s="463"/>
      <c r="D110" s="263" t="s">
        <v>439</v>
      </c>
      <c r="H110" s="264"/>
      <c r="I110" s="376"/>
      <c r="J110" s="459"/>
      <c r="K110" s="460"/>
      <c r="Q110" s="461"/>
      <c r="S110" s="464"/>
      <c r="T110" s="462"/>
    </row>
    <row r="111" s="291" customFormat="true" ht="4.9" hidden="false" customHeight="true" outlineLevel="0" collapsed="false">
      <c r="C111" s="478"/>
      <c r="H111" s="305"/>
      <c r="I111" s="479"/>
      <c r="J111" s="480"/>
      <c r="K111" s="481"/>
      <c r="Q111" s="482"/>
      <c r="S111" s="483"/>
      <c r="T111" s="484"/>
      <c r="U111" s="485"/>
      <c r="V111" s="485"/>
    </row>
    <row r="112" customFormat="false" ht="17.25" hidden="false" customHeight="true" outlineLevel="0" collapsed="false">
      <c r="C112" s="463"/>
      <c r="H112" s="264"/>
      <c r="I112" s="376"/>
      <c r="J112" s="459"/>
      <c r="K112" s="460"/>
      <c r="Q112" s="461"/>
      <c r="S112" s="464"/>
      <c r="T112" s="462"/>
    </row>
    <row r="113" customFormat="false" ht="17.25" hidden="false" customHeight="true" outlineLevel="0" collapsed="false">
      <c r="C113" s="463"/>
      <c r="H113" s="264"/>
      <c r="I113" s="376"/>
      <c r="J113" s="459"/>
      <c r="K113" s="460"/>
      <c r="Q113" s="461"/>
      <c r="S113" s="464"/>
      <c r="T113" s="462"/>
    </row>
    <row r="114" customFormat="false" ht="17.25" hidden="false" customHeight="true" outlineLevel="0" collapsed="false">
      <c r="C114" s="463"/>
      <c r="H114" s="264"/>
      <c r="I114" s="376"/>
      <c r="J114" s="459"/>
      <c r="K114" s="460"/>
      <c r="Q114" s="461"/>
      <c r="S114" s="464"/>
      <c r="T114" s="462"/>
    </row>
    <row r="115" customFormat="false" ht="17.25" hidden="false" customHeight="true" outlineLevel="0" collapsed="false">
      <c r="C115" s="463"/>
      <c r="H115" s="264"/>
      <c r="I115" s="376"/>
      <c r="J115" s="459"/>
      <c r="K115" s="460"/>
      <c r="Q115" s="461"/>
      <c r="S115" s="464"/>
      <c r="T115" s="462"/>
    </row>
    <row r="116" customFormat="false" ht="17.25" hidden="false" customHeight="true" outlineLevel="0" collapsed="false">
      <c r="C116" s="463"/>
      <c r="H116" s="264"/>
      <c r="I116" s="376"/>
      <c r="J116" s="459"/>
      <c r="K116" s="460"/>
      <c r="Q116" s="461"/>
      <c r="S116" s="464"/>
      <c r="T116" s="462"/>
    </row>
    <row r="117" customFormat="false" ht="17.25" hidden="false" customHeight="true" outlineLevel="0" collapsed="false">
      <c r="C117" s="463"/>
      <c r="H117" s="264"/>
      <c r="I117" s="376"/>
      <c r="J117" s="459"/>
      <c r="K117" s="460"/>
      <c r="Q117" s="461"/>
      <c r="S117" s="464"/>
      <c r="T117" s="462"/>
    </row>
    <row r="118" customFormat="false" ht="17.25" hidden="false" customHeight="true" outlineLevel="0" collapsed="false">
      <c r="C118" s="463"/>
      <c r="H118" s="264"/>
      <c r="I118" s="376"/>
      <c r="J118" s="459"/>
      <c r="K118" s="460"/>
      <c r="Q118" s="461"/>
      <c r="S118" s="464"/>
      <c r="T118" s="462"/>
    </row>
    <row r="119" customFormat="false" ht="17.25" hidden="false" customHeight="true" outlineLevel="0" collapsed="false">
      <c r="C119" s="463"/>
      <c r="H119" s="264"/>
      <c r="I119" s="376"/>
      <c r="J119" s="459"/>
      <c r="K119" s="460"/>
      <c r="Q119" s="461"/>
      <c r="S119" s="464"/>
      <c r="T119" s="462"/>
    </row>
    <row r="120" customFormat="false" ht="17.25" hidden="false" customHeight="true" outlineLevel="0" collapsed="false">
      <c r="C120" s="463"/>
      <c r="H120" s="264"/>
      <c r="I120" s="376"/>
      <c r="J120" s="459"/>
      <c r="K120" s="460"/>
      <c r="Q120" s="461"/>
      <c r="S120" s="464"/>
      <c r="T120" s="462"/>
    </row>
    <row r="121" customFormat="false" ht="17.25" hidden="false" customHeight="true" outlineLevel="0" collapsed="false">
      <c r="C121" s="463"/>
      <c r="H121" s="264"/>
      <c r="I121" s="376"/>
      <c r="J121" s="459"/>
      <c r="K121" s="460"/>
      <c r="Q121" s="461"/>
      <c r="S121" s="464"/>
      <c r="T121" s="462"/>
    </row>
    <row r="122" customFormat="false" ht="17.25" hidden="false" customHeight="true" outlineLevel="0" collapsed="false">
      <c r="C122" s="463"/>
      <c r="H122" s="264"/>
      <c r="I122" s="376"/>
      <c r="J122" s="459"/>
      <c r="K122" s="460"/>
      <c r="Q122" s="461"/>
      <c r="S122" s="464"/>
      <c r="T122" s="462"/>
    </row>
    <row r="123" customFormat="false" ht="17.25" hidden="false" customHeight="true" outlineLevel="0" collapsed="false">
      <c r="C123" s="463"/>
      <c r="H123" s="264"/>
      <c r="I123" s="376"/>
      <c r="J123" s="459"/>
      <c r="K123" s="460"/>
      <c r="Q123" s="461"/>
      <c r="S123" s="464"/>
      <c r="T123" s="462"/>
    </row>
    <row r="124" customFormat="false" ht="17.25" hidden="false" customHeight="true" outlineLevel="0" collapsed="false">
      <c r="C124" s="463"/>
      <c r="H124" s="264"/>
      <c r="I124" s="376"/>
      <c r="J124" s="459"/>
      <c r="K124" s="460"/>
      <c r="Q124" s="461"/>
      <c r="S124" s="464"/>
      <c r="T124" s="462"/>
    </row>
    <row r="125" customFormat="false" ht="17.25" hidden="false" customHeight="true" outlineLevel="0" collapsed="false">
      <c r="C125" s="463"/>
      <c r="H125" s="264"/>
      <c r="I125" s="376"/>
      <c r="J125" s="459"/>
      <c r="K125" s="460"/>
      <c r="Q125" s="461"/>
      <c r="S125" s="464"/>
      <c r="T125" s="462"/>
    </row>
    <row r="126" customFormat="false" ht="17.25" hidden="false" customHeight="true" outlineLevel="0" collapsed="false">
      <c r="A126" s="287"/>
      <c r="B126" s="287"/>
      <c r="C126" s="486"/>
      <c r="H126" s="264"/>
      <c r="I126" s="376"/>
      <c r="J126" s="459"/>
      <c r="K126" s="460"/>
      <c r="Q126" s="461"/>
      <c r="S126" s="464"/>
      <c r="T126" s="462"/>
    </row>
    <row r="127" s="263" customFormat="true" ht="17.25" hidden="false" customHeight="true" outlineLevel="0" collapsed="false">
      <c r="A127" s="287"/>
      <c r="B127" s="287"/>
      <c r="C127" s="486"/>
      <c r="I127" s="376"/>
      <c r="J127" s="459"/>
      <c r="K127" s="460"/>
      <c r="Q127" s="461"/>
      <c r="S127" s="459"/>
      <c r="T127" s="487"/>
    </row>
    <row r="128" s="263" customFormat="true" ht="17.25" hidden="false" customHeight="true" outlineLevel="0" collapsed="false">
      <c r="A128" s="287"/>
      <c r="B128" s="287"/>
      <c r="C128" s="486"/>
      <c r="I128" s="376"/>
      <c r="J128" s="459"/>
      <c r="K128" s="460"/>
      <c r="Q128" s="461"/>
      <c r="S128" s="459"/>
      <c r="T128" s="487"/>
    </row>
    <row r="129" s="263" customFormat="true" ht="17.25" hidden="false" customHeight="true" outlineLevel="0" collapsed="false">
      <c r="A129" s="287"/>
      <c r="B129" s="287"/>
      <c r="C129" s="287"/>
      <c r="Q129" s="314"/>
      <c r="S129" s="314"/>
    </row>
    <row r="130" customFormat="false" ht="21" hidden="false" customHeight="false" outlineLevel="0" collapsed="false">
      <c r="A130" s="287"/>
      <c r="B130" s="287"/>
      <c r="C130" s="488" t="s">
        <v>440</v>
      </c>
      <c r="D130" s="489"/>
      <c r="E130" s="309"/>
      <c r="F130" s="490"/>
      <c r="G130" s="309"/>
      <c r="H130" s="310"/>
      <c r="I130" s="310"/>
      <c r="J130" s="309"/>
      <c r="K130" s="309"/>
      <c r="L130" s="309"/>
      <c r="M130" s="309"/>
      <c r="N130" s="309"/>
      <c r="O130" s="310"/>
      <c r="P130" s="309"/>
      <c r="Q130" s="310"/>
      <c r="R130" s="310"/>
      <c r="S130" s="310"/>
      <c r="T130" s="491"/>
      <c r="U130" s="492"/>
      <c r="V130" s="309"/>
    </row>
    <row r="131" customFormat="false" ht="30" hidden="false" customHeight="false" outlineLevel="0" collapsed="false">
      <c r="A131" s="287"/>
      <c r="B131" s="287"/>
      <c r="C131" s="493" t="s">
        <v>1</v>
      </c>
      <c r="D131" s="309" t="s">
        <v>3</v>
      </c>
      <c r="E131" s="310" t="s">
        <v>441</v>
      </c>
      <c r="F131" s="310" t="s">
        <v>396</v>
      </c>
      <c r="G131" s="310" t="s">
        <v>395</v>
      </c>
      <c r="H131" s="310" t="s">
        <v>442</v>
      </c>
      <c r="I131" s="310" t="s">
        <v>443</v>
      </c>
      <c r="J131" s="310" t="s">
        <v>397</v>
      </c>
      <c r="K131" s="310" t="s">
        <v>398</v>
      </c>
      <c r="L131" s="310" t="s">
        <v>444</v>
      </c>
      <c r="M131" s="310" t="s">
        <v>445</v>
      </c>
      <c r="N131" s="310" t="s">
        <v>446</v>
      </c>
      <c r="O131" s="310" t="s">
        <v>447</v>
      </c>
      <c r="P131" s="310" t="s">
        <v>448</v>
      </c>
      <c r="Q131" s="310" t="s">
        <v>449</v>
      </c>
      <c r="R131" s="310" t="s">
        <v>450</v>
      </c>
      <c r="S131" s="310" t="s">
        <v>431</v>
      </c>
      <c r="T131" s="310" t="s">
        <v>451</v>
      </c>
      <c r="U131" s="309" t="s">
        <v>4</v>
      </c>
      <c r="V131" s="310" t="s">
        <v>452</v>
      </c>
    </row>
    <row r="132" customFormat="false" ht="18.75" hidden="false" customHeight="false" outlineLevel="0" collapsed="false">
      <c r="A132" s="287"/>
      <c r="B132" s="287"/>
      <c r="C132" s="493"/>
      <c r="D132" s="309"/>
      <c r="E132" s="310"/>
      <c r="F132" s="310"/>
      <c r="G132" s="310"/>
      <c r="H132" s="310"/>
      <c r="I132" s="310"/>
      <c r="J132" s="310"/>
      <c r="K132" s="310"/>
      <c r="L132" s="494"/>
      <c r="M132" s="494"/>
      <c r="N132" s="494"/>
      <c r="O132" s="495"/>
      <c r="P132" s="496"/>
      <c r="Q132" s="497"/>
      <c r="R132" s="496"/>
      <c r="S132" s="498"/>
      <c r="T132" s="310"/>
      <c r="U132" s="309"/>
      <c r="V132" s="310"/>
    </row>
    <row r="133" s="263" customFormat="true" ht="17.25" hidden="false" customHeight="true" outlineLevel="0" collapsed="false">
      <c r="A133" s="287"/>
      <c r="B133" s="287"/>
      <c r="C133" s="287"/>
      <c r="D133" s="265" t="s">
        <v>273</v>
      </c>
      <c r="O133" s="459" t="n">
        <f aca="false">HLOOKUP(E2,'Weekly  Sum'!C3:X20,6,0)</f>
        <v>10071.98</v>
      </c>
      <c r="Q133" s="499"/>
      <c r="R133" s="459"/>
      <c r="S133" s="500"/>
      <c r="T133" s="501"/>
      <c r="U133" s="263" t="s">
        <v>273</v>
      </c>
    </row>
    <row r="134" customFormat="false" ht="17.25" hidden="false" customHeight="true" outlineLevel="0" collapsed="false">
      <c r="B134" s="263" t="n">
        <v>1</v>
      </c>
      <c r="C134" s="264" t="str">
        <f aca="false">IF(ISERROR(VLOOKUP(B134,Trades!$B$9:$C$59,2,0)),"",VLOOKUP(B134,Trades!$B$9:$C$59,2,0))</f>
        <v>BIV</v>
      </c>
      <c r="D134" s="264" t="str">
        <f aca="false">IF(C134="","",VLOOKUP(C134,'ETF List'!$C$2:$E$90,3,0))</f>
        <v>Vanguard Intermediate-Term Bond</v>
      </c>
      <c r="E134" s="264" t="n">
        <f aca="false">IF(VLOOKUP($B134,Trades!$B$9:$O$59,6,0)="Buy",VLOOKUP($B134,Trades!$B$9:$O$59,8,0),"")</f>
        <v>1239</v>
      </c>
      <c r="F134" s="290" t="n">
        <f aca="false">IF(VLOOKUP($B134,Trades!$B$9:$O$59,6,0)="Buy",VLOOKUP($B134,Trades!$B$9:$O$59,10,0),"")</f>
        <v>43259</v>
      </c>
      <c r="G134" s="330" t="n">
        <f aca="false">IF(VLOOKUP($B134,Trades!$B$9:$O$59,6,0)="Buy",VLOOKUP($B134,Trades!$B$9:$O$59,9,0),"")</f>
        <v>80.68</v>
      </c>
      <c r="H134" s="330" t="n">
        <f aca="false">IF(C134="","",INDEX('Price Inputs'!$C$5:$J$49,MATCH(C134,'Price Inputs'!$C$5:$C$49,0),MATCH($E$2,'Price Inputs'!$C$5:$J$5,0)))</f>
        <v>80.61</v>
      </c>
      <c r="I134" s="264" t="n">
        <f aca="false">IF(VLOOKUP($B134,Trades!$B$9:$O$59,6,0)="Sell",VLOOKUP($B134,Trades!$B$9:$O$59,8,0),0)</f>
        <v>0</v>
      </c>
      <c r="J134" s="290" t="str">
        <f aca="false">IF(VLOOKUP($B134,Trades!$B$9:$O$59,6,0)="Sell",VLOOKUP($B134,Trades!$B$9:$O$59,12,0),"")</f>
        <v/>
      </c>
      <c r="K134" s="330" t="str">
        <f aca="false">IF(VLOOKUP($B134,Trades!$B$9:$O$59,6,0)="Sell",VLOOKUP($B134,Trades!$B$9:$O$59,13,0),"")</f>
        <v/>
      </c>
      <c r="L134" s="502" t="n">
        <f aca="false">IF(E134="","",E134*G134)</f>
        <v>99962.52</v>
      </c>
      <c r="M134" s="502" t="n">
        <f aca="false">VLOOKUP(C134,'Portfolio Bucket'!$N$3:$Q$69,4,0)</f>
        <v>80.68</v>
      </c>
      <c r="N134" s="502" t="n">
        <f aca="false">IF(C134="","",VLOOKUP(C134,'Portfolio Bucket'!$N$2:$Q$69,4,0)*I134)</f>
        <v>0</v>
      </c>
      <c r="O134" s="502" t="n">
        <f aca="false">IF(ISNUMBER(H134),T134," ")</f>
        <v>99875.79</v>
      </c>
      <c r="P134" s="464" t="str">
        <f aca="false">IF(K134="","",I134*K134-N134)</f>
        <v/>
      </c>
      <c r="Q134" s="503" t="str">
        <f aca="false">IF($P134="","",K134*I134/N134-1)</f>
        <v/>
      </c>
      <c r="R134" s="464" t="n">
        <f aca="false">IF(J134="",O134-L134,0)</f>
        <v>-86.7300000000105</v>
      </c>
      <c r="S134" s="462" t="n">
        <f aca="false">(H134*E134)/(G134*E134)-1</f>
        <v>-0.000867625185919763</v>
      </c>
      <c r="T134" s="504" t="n">
        <f aca="false">IF(E134="","",IF(ISNUMBER(K134),0,E134*H134))</f>
        <v>99875.79</v>
      </c>
      <c r="U134" s="417" t="str">
        <f aca="false">IF(Trades!E32="","",Trades!E32)</f>
        <v>Bonds</v>
      </c>
      <c r="V134" s="417" t="str">
        <f aca="false">IF(Trades!F32="","",Trades!F32)</f>
        <v>US Government</v>
      </c>
    </row>
    <row r="135" customFormat="false" ht="17.25" hidden="false" customHeight="true" outlineLevel="0" collapsed="false">
      <c r="B135" s="263" t="n">
        <v>2</v>
      </c>
      <c r="C135" s="264" t="str">
        <f aca="false">IF(ISERROR(VLOOKUP(B135,Trades!$B$9:$C$59,2,0)),"",VLOOKUP(B135,Trades!$B$9:$C$59,2,0))</f>
        <v>IEF</v>
      </c>
      <c r="D135" s="264" t="str">
        <f aca="false">IF(C135="","",VLOOKUP(C135,'ETF List'!$C$2:$E$90,3,0))</f>
        <v>iShares 7-10 Yr Treasury</v>
      </c>
      <c r="E135" s="264" t="n">
        <f aca="false">IF(VLOOKUP(B135,Trades!$B$9:$O$59,6,0)="Buy",VLOOKUP(B135,Trades!$B$9:$O$59,8,0),"")</f>
        <v>737</v>
      </c>
      <c r="F135" s="290" t="n">
        <f aca="false">IF(VLOOKUP($B135,Trades!$B$9:$O$59,6,0)="Buy",VLOOKUP($B135,Trades!$B$9:$O$59,10,0),"")</f>
        <v>43259</v>
      </c>
      <c r="G135" s="330" t="n">
        <f aca="false">IF(VLOOKUP($B135,Trades!$B$9:$O$59,6,0)="Buy",VLOOKUP($B135,Trades!$B$9:$O$59,9,0),"")</f>
        <v>101.71</v>
      </c>
      <c r="H135" s="330" t="n">
        <f aca="false">IF(C135="","",INDEX('Price Inputs'!$C$5:$J$49,MATCH(C135,'Price Inputs'!$C$5:$C$49,0),MATCH($E$2,'Price Inputs'!$C$5:$J$5,0)))</f>
        <v>101.83</v>
      </c>
      <c r="I135" s="264" t="n">
        <f aca="false">IF(VLOOKUP($B135,Trades!$B$9:$O$59,6,0)="Sell",VLOOKUP($B135,Trades!$B$9:$O$59,8,0),0)</f>
        <v>0</v>
      </c>
      <c r="J135" s="290" t="str">
        <f aca="false">IF(VLOOKUP($B135,Trades!$B$9:$O$59,6,0)="Sell",VLOOKUP($B135,Trades!$B$9:$O$59,12,0),"")</f>
        <v/>
      </c>
      <c r="K135" s="330" t="str">
        <f aca="false">IF(VLOOKUP($B135,Trades!$B$9:$O$59,6,0)="Sell",VLOOKUP($B135,Trades!$B$9:$O$59,13,0),"")</f>
        <v/>
      </c>
      <c r="L135" s="502" t="n">
        <f aca="false">IF(E135="","",E135*G135)</f>
        <v>74960.27</v>
      </c>
      <c r="M135" s="502" t="n">
        <f aca="false">VLOOKUP(C135,'Portfolio Bucket'!$N$3:$Q$69,4,0)</f>
        <v>101.778250438853</v>
      </c>
      <c r="N135" s="502" t="n">
        <f aca="false">IF(C135="","",VLOOKUP(C135,'Portfolio Bucket'!$N$2:$Q$69,4,0)*I135)</f>
        <v>0</v>
      </c>
      <c r="O135" s="502" t="n">
        <f aca="false">IF(ISNUMBER(H135),T135," ")</f>
        <v>75048.71</v>
      </c>
      <c r="P135" s="464" t="str">
        <f aca="false">IF(K135="","",I135*K135-N135)</f>
        <v/>
      </c>
      <c r="Q135" s="503" t="str">
        <f aca="false">IF($P135="","",K135*I135/N135-1)</f>
        <v/>
      </c>
      <c r="R135" s="464" t="n">
        <f aca="false">IF(J135="",O135-L135,0)</f>
        <v>88.4399999999878</v>
      </c>
      <c r="S135" s="462" t="n">
        <f aca="false">IF($R135="","",$R135/$L135)</f>
        <v>0.00117982499262593</v>
      </c>
      <c r="T135" s="504" t="n">
        <f aca="false">IF(E135="","",IF(ISNUMBER(K135),0,E135*H135))</f>
        <v>75048.71</v>
      </c>
      <c r="U135" s="417" t="str">
        <f aca="false">IF(Trades!E33="","",Trades!E33)</f>
        <v>Intl Equity</v>
      </c>
      <c r="V135" s="417" t="str">
        <f aca="false">IF(Trades!F33="","",Trades!F33)</f>
        <v>Developed Mrkts</v>
      </c>
    </row>
    <row r="136" customFormat="false" ht="17.25" hidden="false" customHeight="true" outlineLevel="0" collapsed="false">
      <c r="B136" s="263" t="n">
        <v>3</v>
      </c>
      <c r="C136" s="264" t="str">
        <f aca="false">IF(ISERROR(VLOOKUP(B136,Trades!$B$9:$C$59,2,0)),"",VLOOKUP(B136,Trades!$B$9:$C$59,2,0))</f>
        <v>HYG</v>
      </c>
      <c r="D136" s="264" t="str">
        <f aca="false">IF(C136="","",VLOOKUP(C136,'ETF List'!$C$2:$E$90,3,0))</f>
        <v>iShares High Yield Bonds</v>
      </c>
      <c r="E136" s="264" t="n">
        <f aca="false">IF(VLOOKUP(B136,Trades!$B$9:$O$59,6,0)="Buy",VLOOKUP(B136,Trades!$B$9:$O$59,8,0),"")</f>
        <v>2043</v>
      </c>
      <c r="F136" s="290" t="n">
        <f aca="false">IF(VLOOKUP($B136,Trades!$B$9:$O$59,6,0)="Buy",VLOOKUP($B136,Trades!$B$9:$O$59,10,0),"")</f>
        <v>43259</v>
      </c>
      <c r="G136" s="330" t="n">
        <f aca="false">IF(VLOOKUP($B136,Trades!$B$9:$O$59,6,0)="Buy",VLOOKUP($B136,Trades!$B$9:$O$59,9,0),"")</f>
        <v>85.66</v>
      </c>
      <c r="H136" s="330" t="n">
        <f aca="false">IF(C136="","",INDEX('Price Inputs'!$C$5:$J$49,MATCH(C136,'Price Inputs'!$C$5:$C$49,0),MATCH($E$2,'Price Inputs'!$C$5:$J$5,0)))</f>
        <v>86.12</v>
      </c>
      <c r="I136" s="264" t="n">
        <f aca="false">IF(VLOOKUP($B136,Trades!$B$9:$O$59,6,0)="Sell",VLOOKUP($B136,Trades!$B$9:$O$59,8,0),0)</f>
        <v>0</v>
      </c>
      <c r="J136" s="290" t="str">
        <f aca="false">IF(VLOOKUP($B136,Trades!$B$9:$O$59,6,0)="Sell",VLOOKUP($B136,Trades!$B$9:$O$59,12,0),"")</f>
        <v/>
      </c>
      <c r="K136" s="330" t="str">
        <f aca="false">IF(VLOOKUP($B136,Trades!$B$9:$O$59,6,0)="Sell",VLOOKUP($B136,Trades!$B$9:$O$59,13,0),"")</f>
        <v/>
      </c>
      <c r="L136" s="502" t="n">
        <f aca="false">IF(E136="","",E136*G136)</f>
        <v>175003.38</v>
      </c>
      <c r="M136" s="502" t="n">
        <f aca="false">VLOOKUP(C136,'Portfolio Bucket'!$N$3:$Q$69,4,0)</f>
        <v>85.66</v>
      </c>
      <c r="N136" s="502" t="n">
        <f aca="false">IF(C136="","",VLOOKUP(C136,'Portfolio Bucket'!$N$2:$Q$69,4,0)*I136)</f>
        <v>0</v>
      </c>
      <c r="O136" s="502" t="n">
        <f aca="false">IF(ISNUMBER(H136),T136," ")</f>
        <v>175943.16</v>
      </c>
      <c r="P136" s="464" t="str">
        <f aca="false">IF(K136="","",I136*K136-N136)</f>
        <v/>
      </c>
      <c r="Q136" s="503" t="str">
        <f aca="false">IF($P136="","",K136*I136/N136-1)</f>
        <v/>
      </c>
      <c r="R136" s="464" t="n">
        <f aca="false">IF(J136="",O136-L136,0)</f>
        <v>939.779999999999</v>
      </c>
      <c r="S136" s="462" t="n">
        <f aca="false">IF($R136="","",$R136/$L136)</f>
        <v>0.00537006770954937</v>
      </c>
      <c r="T136" s="504" t="n">
        <f aca="false">IF(E136="","",IF(ISNUMBER(K136),0,E136*H136))</f>
        <v>175943.16</v>
      </c>
      <c r="U136" s="417" t="str">
        <f aca="false">IF(Trades!E34="","",Trades!E34)</f>
        <v/>
      </c>
      <c r="V136" s="417" t="str">
        <f aca="false">IF(Trades!F34="","",Trades!F34)</f>
        <v/>
      </c>
    </row>
    <row r="137" customFormat="false" ht="17.25" hidden="false" customHeight="true" outlineLevel="0" collapsed="false">
      <c r="B137" s="263" t="n">
        <v>4</v>
      </c>
      <c r="C137" s="264" t="str">
        <f aca="false">IF(ISERROR(VLOOKUP(B137,Trades!$B$9:$C$59,2,0)),"",VLOOKUP(B137,Trades!$B$9:$C$59,2,0))</f>
        <v>IYR</v>
      </c>
      <c r="D137" s="264" t="str">
        <f aca="false">IF(C137="","",VLOOKUP(C137,'ETF List'!$C$2:$E$90,3,0))</f>
        <v>iShares US Real Estate</v>
      </c>
      <c r="E137" s="264" t="n">
        <f aca="false">IF(VLOOKUP(B137,Trades!$B$9:$O$59,6,0)="Buy",VLOOKUP(B137,Trades!$B$9:$O$59,8,0),"")</f>
        <v>630</v>
      </c>
      <c r="F137" s="290" t="n">
        <f aca="false">IF(VLOOKUP($B137,Trades!$B$9:$O$59,6,0)="Buy",VLOOKUP($B137,Trades!$B$9:$O$59,10,0),"")</f>
        <v>43259</v>
      </c>
      <c r="G137" s="330" t="n">
        <f aca="false">IF(VLOOKUP($B137,Trades!$B$9:$O$59,6,0)="Buy",VLOOKUP($B137,Trades!$B$9:$O$59,9,0),"")</f>
        <v>79.42</v>
      </c>
      <c r="H137" s="330" t="n">
        <f aca="false">IF(C137="","",INDEX('Price Inputs'!$C$5:$J$49,MATCH(C137,'Price Inputs'!$C$5:$C$49,0),MATCH($E$2,'Price Inputs'!$C$5:$J$5,0)))</f>
        <v>78.96</v>
      </c>
      <c r="I137" s="264" t="n">
        <f aca="false">IF(VLOOKUP($B137,Trades!$B$9:$O$59,6,0)="Sell",VLOOKUP($B137,Trades!$B$9:$O$59,8,0),0)</f>
        <v>0</v>
      </c>
      <c r="J137" s="290" t="str">
        <f aca="false">IF(VLOOKUP($B137,Trades!$B$9:$O$59,6,0)="Sell",VLOOKUP($B137,Trades!$B$9:$O$59,12,0),"")</f>
        <v/>
      </c>
      <c r="K137" s="330" t="str">
        <f aca="false">IF(VLOOKUP($B137,Trades!$B$9:$O$59,6,0)="Sell",VLOOKUP($B137,Trades!$B$9:$O$59,13,0),"")</f>
        <v/>
      </c>
      <c r="L137" s="502" t="n">
        <f aca="false">IF(E137="","",E137*G137)</f>
        <v>50034.6</v>
      </c>
      <c r="M137" s="502" t="n">
        <f aca="false">VLOOKUP(C137,'Portfolio Bucket'!$N$3:$Q$69,4,0)</f>
        <v>79.42</v>
      </c>
      <c r="N137" s="502" t="n">
        <f aca="false">IF(C137="","",VLOOKUP(C137,'Portfolio Bucket'!$N$2:$Q$69,4,0)*I137)</f>
        <v>0</v>
      </c>
      <c r="O137" s="502" t="n">
        <f aca="false">IF(ISNUMBER(H137),T137," ")</f>
        <v>49744.8</v>
      </c>
      <c r="P137" s="464" t="str">
        <f aca="false">IF(K137="","",I137*K137-N137)</f>
        <v/>
      </c>
      <c r="Q137" s="503" t="str">
        <f aca="false">IF($P137="","",K137*I137/N137-1)</f>
        <v/>
      </c>
      <c r="R137" s="464" t="n">
        <f aca="false">IF(J137="",O137-L137,0)</f>
        <v>-289.800000000003</v>
      </c>
      <c r="S137" s="462" t="n">
        <f aca="false">IF($R137="","",$R137/$L137)</f>
        <v>-0.00579199194157649</v>
      </c>
      <c r="T137" s="504" t="n">
        <f aca="false">IF(E137="","",IF(ISNUMBER(K137),0,E137*H137))</f>
        <v>49744.8</v>
      </c>
      <c r="U137" s="417" t="str">
        <f aca="false">IF(Trades!E35="","",Trades!E35)</f>
        <v/>
      </c>
      <c r="V137" s="417" t="str">
        <f aca="false">IF(Trades!F35="","",Trades!F35)</f>
        <v/>
      </c>
    </row>
    <row r="138" customFormat="false" ht="17.25" hidden="false" customHeight="true" outlineLevel="0" collapsed="false">
      <c r="B138" s="263" t="n">
        <v>5</v>
      </c>
      <c r="C138" s="264" t="str">
        <f aca="false">IF(ISERROR(VLOOKUP(B138,Trades!$B$9:$C$59,2,0)),"",VLOOKUP(B138,Trades!$B$9:$C$59,2,0))</f>
        <v>VTI</v>
      </c>
      <c r="D138" s="264" t="str">
        <f aca="false">IF(C138="","",VLOOKUP(C138,'ETF List'!$C$2:$E$90,3,0))</f>
        <v>Vanguard Total Stock Mrkt</v>
      </c>
      <c r="E138" s="264" t="n">
        <f aca="false">IF(VLOOKUP(B138,Trades!$B$9:$O$59,6,0)="Buy",VLOOKUP(B138,Trades!$B$9:$O$59,8,0),"")</f>
        <v>2015</v>
      </c>
      <c r="F138" s="290" t="n">
        <f aca="false">IF(VLOOKUP($B138,Trades!$B$9:$O$59,6,0)="Buy",VLOOKUP($B138,Trades!$B$9:$O$59,10,0),"")</f>
        <v>43259</v>
      </c>
      <c r="G138" s="330" t="n">
        <f aca="false">IF(VLOOKUP($B138,Trades!$B$9:$O$59,6,0)="Buy",VLOOKUP($B138,Trades!$B$9:$O$59,9,0),"")</f>
        <v>143.91</v>
      </c>
      <c r="H138" s="330" t="n">
        <f aca="false">IF(C138="","",INDEX('Price Inputs'!$C$5:$J$49,MATCH(C138,'Price Inputs'!$C$5:$C$49,0),MATCH($E$2,'Price Inputs'!$C$5:$J$5,0)))</f>
        <v>144.16</v>
      </c>
      <c r="I138" s="264" t="n">
        <f aca="false">IF(VLOOKUP($B138,Trades!$B$9:$O$59,6,0)="Sell",VLOOKUP($B138,Trades!$B$9:$O$59,8,0),0)</f>
        <v>0</v>
      </c>
      <c r="J138" s="290" t="str">
        <f aca="false">IF(VLOOKUP($B138,Trades!$B$9:$O$59,6,0)="Sell",VLOOKUP($B138,Trades!$B$9:$O$59,12,0),"")</f>
        <v/>
      </c>
      <c r="K138" s="330" t="str">
        <f aca="false">IF(VLOOKUP($B138,Trades!$B$9:$O$59,6,0)="Sell",VLOOKUP($B138,Trades!$B$9:$O$59,13,0),"")</f>
        <v/>
      </c>
      <c r="L138" s="502" t="n">
        <f aca="false">IF(E138="","",E138*G138)</f>
        <v>289978.65</v>
      </c>
      <c r="M138" s="502" t="n">
        <f aca="false">VLOOKUP(C138,'Portfolio Bucket'!$N$3:$Q$69,4,0)</f>
        <v>143.91</v>
      </c>
      <c r="N138" s="502" t="n">
        <f aca="false">IF(C138="","",VLOOKUP(C138,'Portfolio Bucket'!$N$2:$Q$69,4,0)*I138)</f>
        <v>0</v>
      </c>
      <c r="O138" s="502" t="n">
        <f aca="false">IF(ISNUMBER(H138),T138," ")</f>
        <v>290482.4</v>
      </c>
      <c r="P138" s="464" t="str">
        <f aca="false">IF(K138="","",I138*K138-N138)</f>
        <v/>
      </c>
      <c r="Q138" s="503" t="str">
        <f aca="false">IF($P138="","",K138*I138/N138-1)</f>
        <v/>
      </c>
      <c r="R138" s="464" t="n">
        <f aca="false">IF(J138="",O138-L138,0)</f>
        <v>503.749999999942</v>
      </c>
      <c r="S138" s="462" t="n">
        <f aca="false">IF($R138="","",$R138/$L138)</f>
        <v>0.00173719685914788</v>
      </c>
      <c r="T138" s="504" t="n">
        <f aca="false">IF(E138="","",IF(ISNUMBER(K138),0,E138*H138))</f>
        <v>290482.4</v>
      </c>
      <c r="U138" s="417" t="str">
        <f aca="false">IF(Trades!E36="","",Trades!E36)</f>
        <v/>
      </c>
      <c r="V138" s="417" t="str">
        <f aca="false">IF(Trades!F36="","",Trades!F36)</f>
        <v/>
      </c>
    </row>
    <row r="139" customFormat="false" ht="17.25" hidden="false" customHeight="true" outlineLevel="0" collapsed="false">
      <c r="B139" s="263" t="n">
        <v>6</v>
      </c>
      <c r="C139" s="264" t="str">
        <f aca="false">IF(ISERROR(VLOOKUP(B139,Trades!$B$9:$C$59,2,0)),"",VLOOKUP(B139,Trades!$B$9:$C$59,2,0))</f>
        <v>EFA</v>
      </c>
      <c r="D139" s="264" t="str">
        <f aca="false">IF(C139="","",VLOOKUP(C139,'ETF List'!$C$2:$E$90,3,0))</f>
        <v>iShares EAFE</v>
      </c>
      <c r="E139" s="264" t="n">
        <f aca="false">IF(VLOOKUP(B139,Trades!$B$9:$O$59,6,0)="Buy",VLOOKUP(B139,Trades!$B$9:$O$59,8,0),"")</f>
        <v>2130</v>
      </c>
      <c r="F139" s="290" t="n">
        <f aca="false">IF(VLOOKUP($B139,Trades!$B$9:$O$59,6,0)="Buy",VLOOKUP($B139,Trades!$B$9:$O$59,10,0),"")</f>
        <v>43259</v>
      </c>
      <c r="G139" s="330" t="n">
        <f aca="false">IF(VLOOKUP($B139,Trades!$B$9:$O$59,6,0)="Buy",VLOOKUP($B139,Trades!$B$9:$O$59,9,0),"")</f>
        <v>70.41</v>
      </c>
      <c r="H139" s="330" t="n">
        <f aca="false">IF(C139="","",INDEX('Price Inputs'!$C$5:$J$49,MATCH(C139,'Price Inputs'!$C$5:$C$49,0),MATCH($E$2,'Price Inputs'!$C$5:$J$5,0)))</f>
        <v>70</v>
      </c>
      <c r="I139" s="264" t="n">
        <f aca="false">IF(VLOOKUP($B139,Trades!$B$9:$O$59,6,0)="Sell",VLOOKUP($B139,Trades!$B$9:$O$59,8,0),0)</f>
        <v>0</v>
      </c>
      <c r="J139" s="290" t="str">
        <f aca="false">IF(VLOOKUP($B139,Trades!$B$9:$O$59,6,0)="Sell",VLOOKUP($B139,Trades!$B$9:$O$59,12,0),"")</f>
        <v/>
      </c>
      <c r="K139" s="330" t="str">
        <f aca="false">IF(VLOOKUP($B139,Trades!$B$9:$O$59,6,0)="Sell",VLOOKUP($B139,Trades!$B$9:$O$59,13,0),"")</f>
        <v/>
      </c>
      <c r="L139" s="502" t="n">
        <f aca="false">IF(E139="","",E139*G139)</f>
        <v>149973.3</v>
      </c>
      <c r="M139" s="502" t="n">
        <f aca="false">VLOOKUP(C139,'Portfolio Bucket'!$N$3:$Q$69,4,0)</f>
        <v>70.41</v>
      </c>
      <c r="N139" s="502" t="n">
        <f aca="false">IF(C139="","",VLOOKUP(C139,'Portfolio Bucket'!$N$2:$Q$69,4,0)*I139)</f>
        <v>0</v>
      </c>
      <c r="O139" s="502" t="n">
        <f aca="false">IF(ISNUMBER(H139),T139," ")</f>
        <v>149100</v>
      </c>
      <c r="P139" s="464" t="str">
        <f aca="false">IF(K139="","",I139*K139-N139)</f>
        <v/>
      </c>
      <c r="Q139" s="503" t="str">
        <f aca="false">IF($P139="","",K139*I139/N139-1)</f>
        <v/>
      </c>
      <c r="R139" s="464" t="n">
        <f aca="false">IF(J139="",O139-L139,0)</f>
        <v>-873.299999999988</v>
      </c>
      <c r="S139" s="462" t="n">
        <f aca="false">IF($R139="","",$R139/$L139)</f>
        <v>-0.00582303650049701</v>
      </c>
      <c r="T139" s="504" t="n">
        <f aca="false">IF(E139="","",IF(ISNUMBER(K139),0,E139*H139))</f>
        <v>149100</v>
      </c>
      <c r="U139" s="417" t="str">
        <f aca="false">IF(Trades!E37="","",Trades!E37)</f>
        <v/>
      </c>
      <c r="V139" s="417" t="str">
        <f aca="false">IF(Trades!F37="","",Trades!F37)</f>
        <v/>
      </c>
    </row>
    <row r="140" customFormat="false" ht="17.25" hidden="false" customHeight="true" outlineLevel="0" collapsed="false">
      <c r="B140" s="263" t="n">
        <v>7</v>
      </c>
      <c r="C140" s="264" t="str">
        <f aca="false">IF(ISERROR(VLOOKUP(B140,Trades!$B$9:$C$59,2,0)),"",VLOOKUP(B140,Trades!$B$9:$C$59,2,0))</f>
        <v>EEM</v>
      </c>
      <c r="D140" s="264" t="str">
        <f aca="false">IF(C140="","",VLOOKUP(C140,'ETF List'!$C$2:$E$90,3,0))</f>
        <v>iShares Emerging Mrkt</v>
      </c>
      <c r="E140" s="264" t="n">
        <f aca="false">IF(VLOOKUP(B140,Trades!$B$9:$O$59,6,0)="Buy",VLOOKUP(B140,Trades!$B$9:$O$59,8,0),"")</f>
        <v>3238</v>
      </c>
      <c r="F140" s="290" t="n">
        <f aca="false">IF(VLOOKUP($B140,Trades!$B$9:$O$59,6,0)="Buy",VLOOKUP($B140,Trades!$B$9:$O$59,10,0),"")</f>
        <v>43259</v>
      </c>
      <c r="G140" s="330" t="n">
        <f aca="false">IF(VLOOKUP($B140,Trades!$B$9:$O$59,6,0)="Buy",VLOOKUP($B140,Trades!$B$9:$O$59,9,0),"")</f>
        <v>46.33</v>
      </c>
      <c r="H140" s="330" t="n">
        <f aca="false">IF(C140="","",INDEX('Price Inputs'!$C$5:$J$49,MATCH(C140,'Price Inputs'!$C$5:$C$49,0),MATCH($E$2,'Price Inputs'!$C$5:$J$5,0)))</f>
        <v>45.25</v>
      </c>
      <c r="I140" s="264" t="n">
        <f aca="false">IF(VLOOKUP($B140,Trades!$B$9:$O$59,6,0)="Sell",VLOOKUP($B140,Trades!$B$9:$O$59,8,0),0)</f>
        <v>0</v>
      </c>
      <c r="J140" s="290" t="str">
        <f aca="false">IF(VLOOKUP($B140,Trades!$B$9:$O$59,6,0)="Sell",VLOOKUP($B140,Trades!$B$9:$O$59,12,0),"")</f>
        <v/>
      </c>
      <c r="K140" s="330" t="str">
        <f aca="false">IF(VLOOKUP($B140,Trades!$B$9:$O$59,6,0)="Sell",VLOOKUP($B140,Trades!$B$9:$O$59,13,0),"")</f>
        <v/>
      </c>
      <c r="L140" s="502" t="n">
        <f aca="false">IF(E140="","",E140*G140)</f>
        <v>150016.54</v>
      </c>
      <c r="M140" s="502" t="n">
        <f aca="false">VLOOKUP(C140,'Portfolio Bucket'!$N$3:$Q$69,4,0)</f>
        <v>46.33</v>
      </c>
      <c r="N140" s="502" t="n">
        <f aca="false">IF(C140="","",VLOOKUP(C140,'Portfolio Bucket'!$N$2:$Q$69,4,0)*I140)</f>
        <v>0</v>
      </c>
      <c r="O140" s="502" t="n">
        <f aca="false">IF(ISNUMBER(H140),T140," ")</f>
        <v>146519.5</v>
      </c>
      <c r="P140" s="464" t="str">
        <f aca="false">IF(K140="","",I140*K140-N140)</f>
        <v/>
      </c>
      <c r="Q140" s="503" t="str">
        <f aca="false">IF($P140="","",K140*I140/N140-1)</f>
        <v/>
      </c>
      <c r="R140" s="464" t="n">
        <f aca="false">IF(J140="",O140-L140,0)</f>
        <v>-3497.04000000001</v>
      </c>
      <c r="S140" s="462" t="n">
        <f aca="false">IF($R140="","",$R140/$L140)</f>
        <v>-0.0233110295704727</v>
      </c>
      <c r="T140" s="504" t="n">
        <f aca="false">IF(E140="","",IF(ISNUMBER(K140),0,E140*H140))</f>
        <v>146519.5</v>
      </c>
      <c r="U140" s="417" t="str">
        <f aca="false">IF(Trades!E38="","",Trades!E38)</f>
        <v/>
      </c>
      <c r="V140" s="417" t="str">
        <f aca="false">IF(Trades!F38="","",Trades!F38)</f>
        <v/>
      </c>
    </row>
    <row r="141" customFormat="false" ht="17.25" hidden="false" customHeight="true" outlineLevel="0" collapsed="false">
      <c r="B141" s="263" t="n">
        <v>8</v>
      </c>
      <c r="C141" s="264" t="str">
        <f aca="false">IF(ISERROR(VLOOKUP(B141,Trades!$B$9:$C$59,2,0)),"",VLOOKUP(B141,Trades!$B$9:$C$59,2,0))</f>
        <v>IEF</v>
      </c>
      <c r="D141" s="264" t="str">
        <f aca="false">IF(C141="","",VLOOKUP(C141,'ETF List'!$C$2:$E$90,3,0))</f>
        <v>iShares 7-10 Yr Treasury</v>
      </c>
      <c r="E141" s="264" t="n">
        <f aca="false">IF(VLOOKUP(B141,Trades!$B$9:$O$59,6,0)="Buy",VLOOKUP(B141,Trades!$B$9:$O$59,8,0),"")</f>
        <v>972</v>
      </c>
      <c r="F141" s="290" t="n">
        <f aca="false">IF(VLOOKUP($B141,Trades!$B$9:$O$59,6,0)="Buy",VLOOKUP($B141,Trades!$B$9:$O$59,10,0),"")</f>
        <v>43266</v>
      </c>
      <c r="G141" s="330" t="n">
        <f aca="false">IF(VLOOKUP($B141,Trades!$B$9:$O$59,6,0)="Buy",VLOOKUP($B141,Trades!$B$9:$O$59,9,0),"")</f>
        <v>101.83</v>
      </c>
      <c r="H141" s="330" t="n">
        <f aca="false">IF(C141="","",INDEX('Price Inputs'!$C$5:$J$49,MATCH(C141,'Price Inputs'!$C$5:$C$49,0),MATCH($E$2,'Price Inputs'!$C$5:$J$5,0)))</f>
        <v>101.83</v>
      </c>
      <c r="I141" s="264" t="n">
        <f aca="false">IF(VLOOKUP($B141,Trades!$B$9:$O$59,6,0)="Sell",VLOOKUP($B141,Trades!$B$9:$O$59,8,0),0)</f>
        <v>0</v>
      </c>
      <c r="J141" s="290" t="str">
        <f aca="false">IF(VLOOKUP($B141,Trades!$B$9:$O$59,6,0)="Sell",VLOOKUP($B141,Trades!$B$9:$O$59,12,0),"")</f>
        <v/>
      </c>
      <c r="K141" s="330" t="str">
        <f aca="false">IF(VLOOKUP($B141,Trades!$B$9:$O$59,6,0)="Sell",VLOOKUP($B141,Trades!$B$9:$O$59,13,0),"")</f>
        <v/>
      </c>
      <c r="L141" s="502" t="n">
        <f aca="false">IF(E141="","",E141*G141)</f>
        <v>98978.76</v>
      </c>
      <c r="M141" s="502" t="n">
        <f aca="false">VLOOKUP(C141,'Portfolio Bucket'!$N$3:$Q$69,4,0)</f>
        <v>101.778250438853</v>
      </c>
      <c r="N141" s="502" t="n">
        <f aca="false">IF(C141="","",VLOOKUP(C141,'Portfolio Bucket'!$N$2:$Q$69,4,0)*I141)</f>
        <v>0</v>
      </c>
      <c r="O141" s="502" t="n">
        <f aca="false">IF(ISNUMBER(H141),T141," ")</f>
        <v>98978.76</v>
      </c>
      <c r="P141" s="464" t="str">
        <f aca="false">IF(K141="","",I141*K141-N141)</f>
        <v/>
      </c>
      <c r="Q141" s="503" t="str">
        <f aca="false">IF($P141="","",K141*I141/N141-1)</f>
        <v/>
      </c>
      <c r="R141" s="464" t="n">
        <f aca="false">IF(J141="",O141-L141,0)</f>
        <v>0</v>
      </c>
      <c r="S141" s="462" t="n">
        <f aca="false">IF($R141="","",$R141/$L141)</f>
        <v>0</v>
      </c>
      <c r="T141" s="504" t="n">
        <f aca="false">IF(E141="","",IF(ISNUMBER(K141),0,E141*H141))</f>
        <v>98978.76</v>
      </c>
      <c r="U141" s="417" t="str">
        <f aca="false">IF(Trades!E40="","",Trades!E40)</f>
        <v/>
      </c>
      <c r="V141" s="417" t="str">
        <f aca="false">IF(Trades!F40="","",Trades!F40)</f>
        <v/>
      </c>
    </row>
    <row r="142" customFormat="false" ht="17.25" hidden="false" customHeight="true" outlineLevel="0" collapsed="false">
      <c r="B142" s="263" t="n">
        <v>9</v>
      </c>
      <c r="C142" s="264" t="str">
        <f aca="false">IF(ISERROR(VLOOKUP(B142,Trades!$B$9:$C$59,2,0)),"",VLOOKUP(B142,Trades!$B$9:$C$59,2,0))</f>
        <v>EFA</v>
      </c>
      <c r="D142" s="264" t="str">
        <f aca="false">IF(C142="","",VLOOKUP(C142,'ETF List'!$C$2:$E$90,3,0))</f>
        <v>iShares EAFE</v>
      </c>
      <c r="E142" s="264" t="str">
        <f aca="false">IF(VLOOKUP(B142,Trades!$B$9:$O$59,6,0)="Buy",VLOOKUP(B142,Trades!$B$9:$O$59,8,0),"")</f>
        <v/>
      </c>
      <c r="F142" s="290" t="str">
        <f aca="false">IF(VLOOKUP($B142,Trades!$B$9:$O$59,6,0)="Buy",VLOOKUP($B142,Trades!$B$9:$O$59,10,0),"")</f>
        <v/>
      </c>
      <c r="G142" s="330" t="str">
        <f aca="false">IF(VLOOKUP($B142,Trades!$B$9:$O$59,6,0)="Buy",VLOOKUP($B142,Trades!$B$9:$O$59,9,0),"")</f>
        <v/>
      </c>
      <c r="H142" s="330" t="n">
        <f aca="false">IF(C142="","",INDEX('Price Inputs'!$C$5:$J$49,MATCH(C142,'Price Inputs'!$C$5:$C$49,0),MATCH($E$2,'Price Inputs'!$C$5:$J$5,0)))</f>
        <v>70</v>
      </c>
      <c r="I142" s="264" t="n">
        <f aca="false">IF(VLOOKUP($B142,Trades!$B$9:$O$59,6,0)="Sell",VLOOKUP($B142,Trades!$B$9:$O$59,8,0),0)</f>
        <v>1414</v>
      </c>
      <c r="J142" s="290" t="n">
        <f aca="false">IF(VLOOKUP($B142,Trades!$B$9:$O$59,6,0)="Sell",VLOOKUP($B142,Trades!$B$9:$O$59,12,0),"")</f>
        <v>43266</v>
      </c>
      <c r="K142" s="330" t="n">
        <f aca="false">IF(VLOOKUP($B142,Trades!$B$9:$O$59,6,0)="Sell",VLOOKUP($B142,Trades!$B$9:$O$59,13,0),"")</f>
        <v>70</v>
      </c>
      <c r="L142" s="502" t="str">
        <f aca="false">IF(E142="","",E142*G142)</f>
        <v/>
      </c>
      <c r="M142" s="502" t="n">
        <f aca="false">VLOOKUP(C142,'Portfolio Bucket'!$N$3:$Q$69,4,0)</f>
        <v>70.41</v>
      </c>
      <c r="N142" s="502" t="n">
        <f aca="false">IF(C142="","",VLOOKUP(C142,'Portfolio Bucket'!$N$2:$Q$69,4,0)*I142)</f>
        <v>99559.74</v>
      </c>
      <c r="O142" s="502" t="str">
        <f aca="false">IF(ISNUMBER(H142),T142," ")</f>
        <v/>
      </c>
      <c r="P142" s="464" t="n">
        <f aca="false">IF(K142="","",I142*K142-N142)</f>
        <v>-579.739999999991</v>
      </c>
      <c r="Q142" s="503" t="n">
        <f aca="false">IF($P142="","",K142*I142/N142-1)</f>
        <v>-0.00582303650049698</v>
      </c>
      <c r="R142" s="464" t="n">
        <f aca="false">IF(J142="",O142-L142,0)</f>
        <v>0</v>
      </c>
      <c r="S142" s="462" t="e">
        <f aca="false">IF($R142="","",$R142/$L142)</f>
        <v>#VALUE!</v>
      </c>
      <c r="T142" s="504" t="str">
        <f aca="false">IF(E142="","",IF(ISNUMBER(K142),0,E142*H142))</f>
        <v/>
      </c>
      <c r="U142" s="417" t="str">
        <f aca="false">IF(Trades!E40="","",Trades!E40)</f>
        <v/>
      </c>
      <c r="V142" s="417" t="str">
        <f aca="false">IF(Trades!F40="","",Trades!F40)</f>
        <v/>
      </c>
    </row>
    <row r="143" customFormat="false" ht="17.25" hidden="false" customHeight="true" outlineLevel="0" collapsed="false">
      <c r="B143" s="263" t="n">
        <v>10</v>
      </c>
      <c r="C143" s="264" t="n">
        <f aca="false">IF(ISERROR(VLOOKUP(B143,Trades!$B$9:$C$59,2,0)),"",VLOOKUP(B143,Trades!$B$9:$C$59,2,0))</f>
        <v>0</v>
      </c>
      <c r="D143" s="264" t="e">
        <f aca="false">IF(C143="","",VLOOKUP(C143,'ETF List'!$C$2:$E$90,3,0))</f>
        <v>#N/A</v>
      </c>
      <c r="E143" s="264" t="str">
        <f aca="false">IF(VLOOKUP(B143,Trades!$B$9:$O$59,6,0)="Buy",VLOOKUP(B143,Trades!$B$9:$O$59,8,0),"")</f>
        <v/>
      </c>
      <c r="F143" s="290" t="str">
        <f aca="false">IF(VLOOKUP($B143,Trades!$B$9:$O$59,6,0)="Buy",VLOOKUP($B143,Trades!$B$9:$O$59,10,0),"")</f>
        <v/>
      </c>
      <c r="G143" s="330" t="str">
        <f aca="false">IF(VLOOKUP($B143,Trades!$B$9:$O$59,6,0)="Buy",VLOOKUP($B143,Trades!$B$9:$O$59,9,0),"")</f>
        <v/>
      </c>
      <c r="H143" s="330" t="e">
        <f aca="false">IF(C143="","",INDEX('Price Inputs'!$C$5:$J$49,MATCH(C143,'Price Inputs'!$C$5:$C$49,0),MATCH($E$2,'Price Inputs'!$C$5:$J$5,0)))</f>
        <v>#N/A</v>
      </c>
      <c r="I143" s="264" t="n">
        <f aca="false">IF(VLOOKUP($B143,Trades!$B$9:$O$59,6,0)="Sell",VLOOKUP($B143,Trades!$B$9:$O$59,8,0),0)</f>
        <v>0</v>
      </c>
      <c r="J143" s="290" t="str">
        <f aca="false">IF(VLOOKUP($B143,Trades!$B$9:$O$59,6,0)="Sell",VLOOKUP($B143,Trades!$B$9:$O$59,12,0),"")</f>
        <v/>
      </c>
      <c r="K143" s="330" t="str">
        <f aca="false">IF(VLOOKUP($B143,Trades!$B$9:$O$59,6,0)="Sell",VLOOKUP($B143,Trades!$B$9:$O$59,13,0),"")</f>
        <v/>
      </c>
      <c r="L143" s="502" t="str">
        <f aca="false">IF(E143="","",E143*G143)</f>
        <v/>
      </c>
      <c r="M143" s="502" t="e">
        <f aca="false">VLOOKUP(C143,'Portfolio Bucket'!$N$3:$Q$69,4,0)</f>
        <v>#N/A</v>
      </c>
      <c r="N143" s="502" t="e">
        <f aca="false">IF(C143="","",VLOOKUP(C143,'Portfolio Bucket'!$N$2:$Q$69,4,0)*I143)</f>
        <v>#N/A</v>
      </c>
      <c r="O143" s="502" t="str">
        <f aca="false">IF(ISNUMBER(H143),T143," ")</f>
        <v> </v>
      </c>
      <c r="P143" s="464" t="str">
        <f aca="false">IF(K143="","",I143*K143-N143)</f>
        <v/>
      </c>
      <c r="Q143" s="503" t="str">
        <f aca="false">IF($P143="","",K143*I143/N143-1)</f>
        <v/>
      </c>
      <c r="R143" s="464" t="e">
        <f aca="false">IF(J143="",O143-L143,0)</f>
        <v>#VALUE!</v>
      </c>
      <c r="S143" s="462" t="e">
        <f aca="false">IF($R143="","",$R143/$L143)</f>
        <v>#VALUE!</v>
      </c>
      <c r="T143" s="504" t="str">
        <f aca="false">IF(E143="","",IF(ISNUMBER(K143),0,E143*H143))</f>
        <v/>
      </c>
      <c r="U143" s="417" t="str">
        <f aca="false">IF(Trades!E41="","",Trades!E41)</f>
        <v/>
      </c>
      <c r="V143" s="417" t="str">
        <f aca="false">IF(Trades!F41="","",Trades!F41)</f>
        <v/>
      </c>
    </row>
    <row r="144" customFormat="false" ht="17.25" hidden="false" customHeight="true" outlineLevel="0" collapsed="false">
      <c r="B144" s="263" t="n">
        <v>11</v>
      </c>
      <c r="C144" s="264" t="n">
        <f aca="false">IF(ISERROR(VLOOKUP(B144,Trades!$B$9:$C$59,2,0)),"",VLOOKUP(B144,Trades!$B$9:$C$59,2,0))</f>
        <v>0</v>
      </c>
      <c r="D144" s="264" t="e">
        <f aca="false">IF(C144="","",VLOOKUP(C144,'ETF List'!$C$2:$E$90,3,0))</f>
        <v>#N/A</v>
      </c>
      <c r="E144" s="264" t="str">
        <f aca="false">IF(VLOOKUP(B144,Trades!$B$9:$O$59,6,0)="Buy",VLOOKUP(B144,Trades!$B$9:$O$59,8,0),"")</f>
        <v/>
      </c>
      <c r="F144" s="290" t="str">
        <f aca="false">IF(VLOOKUP($B144,Trades!$B$9:$O$59,6,0)="Buy",VLOOKUP($B144,Trades!$B$9:$O$59,10,0),"")</f>
        <v/>
      </c>
      <c r="G144" s="330" t="str">
        <f aca="false">IF(VLOOKUP($B144,Trades!$B$9:$O$59,6,0)="Buy",VLOOKUP($B144,Trades!$B$9:$O$59,9,0),"")</f>
        <v/>
      </c>
      <c r="H144" s="330" t="e">
        <f aca="false">IF(C144="","",INDEX('Price Inputs'!$C$5:$J$49,MATCH(C144,'Price Inputs'!$C$5:$C$49,0),MATCH($E$2,'Price Inputs'!$C$5:$J$5,0)))</f>
        <v>#N/A</v>
      </c>
      <c r="I144" s="264" t="n">
        <f aca="false">IF(VLOOKUP($B144,Trades!$B$9:$O$59,6,0)="Sell",VLOOKUP($B144,Trades!$B$9:$O$59,8,0),0)</f>
        <v>0</v>
      </c>
      <c r="J144" s="290" t="str">
        <f aca="false">IF(VLOOKUP($B144,Trades!$B$9:$O$59,6,0)="Sell",VLOOKUP($B144,Trades!$B$9:$O$59,12,0),"")</f>
        <v/>
      </c>
      <c r="K144" s="330" t="str">
        <f aca="false">IF(VLOOKUP($B144,Trades!$B$9:$O$59,6,0)="Sell",VLOOKUP($B144,Trades!$B$9:$O$59,13,0),"")</f>
        <v/>
      </c>
      <c r="L144" s="502" t="str">
        <f aca="false">IF(E144="","",E144*G144)</f>
        <v/>
      </c>
      <c r="M144" s="502" t="e">
        <f aca="false">VLOOKUP(C144,'Portfolio Bucket'!$N$3:$Q$69,4,0)</f>
        <v>#N/A</v>
      </c>
      <c r="N144" s="502" t="e">
        <f aca="false">IF(C144="","",VLOOKUP(C144,'Portfolio Bucket'!$N$2:$Q$69,4,0)*I144)</f>
        <v>#N/A</v>
      </c>
      <c r="O144" s="502" t="str">
        <f aca="false">IF(ISNUMBER(H144),T144," ")</f>
        <v> </v>
      </c>
      <c r="P144" s="464" t="str">
        <f aca="false">IF(K144="","",I144*K144-N144)</f>
        <v/>
      </c>
      <c r="Q144" s="503" t="str">
        <f aca="false">IF($P144="","",K144*I144/N144-1)</f>
        <v/>
      </c>
      <c r="R144" s="464" t="e">
        <f aca="false">IF(J144="",O144-L144,0)</f>
        <v>#VALUE!</v>
      </c>
      <c r="S144" s="462" t="e">
        <f aca="false">IF($R144="","",$R144/$L144)</f>
        <v>#VALUE!</v>
      </c>
      <c r="T144" s="504" t="str">
        <f aca="false">IF(E144="","",IF(ISNUMBER(K144),0,E144*H144))</f>
        <v/>
      </c>
      <c r="U144" s="417" t="str">
        <f aca="false">IF(Trades!E42="","",Trades!E42)</f>
        <v/>
      </c>
      <c r="V144" s="417" t="str">
        <f aca="false">IF(Trades!F42="","",Trades!F42)</f>
        <v/>
      </c>
    </row>
    <row r="145" customFormat="false" ht="17.25" hidden="false" customHeight="true" outlineLevel="0" collapsed="false">
      <c r="B145" s="263" t="n">
        <v>12</v>
      </c>
      <c r="C145" s="264" t="n">
        <f aca="false">IF(ISERROR(VLOOKUP(B145,Trades!$B$9:$C$59,2,0)),"",VLOOKUP(B145,Trades!$B$9:$C$59,2,0))</f>
        <v>0</v>
      </c>
      <c r="D145" s="264" t="e">
        <f aca="false">IF(C145="","",VLOOKUP(C145,'ETF List'!$C$2:$E$90,3,0))</f>
        <v>#N/A</v>
      </c>
      <c r="E145" s="264" t="str">
        <f aca="false">IF(VLOOKUP(B145,Trades!$B$9:$O$59,6,0)="Buy",VLOOKUP(B145,Trades!$B$9:$O$59,8,0),"")</f>
        <v/>
      </c>
      <c r="F145" s="290" t="str">
        <f aca="false">IF(VLOOKUP($B145,Trades!$B$9:$O$59,6,0)="Buy",VLOOKUP($B145,Trades!$B$9:$O$59,10,0),"")</f>
        <v/>
      </c>
      <c r="G145" s="330" t="str">
        <f aca="false">IF(VLOOKUP($B145,Trades!$B$9:$O$59,6,0)="Buy",VLOOKUP($B145,Trades!$B$9:$O$59,9,0),"")</f>
        <v/>
      </c>
      <c r="H145" s="330" t="e">
        <f aca="false">IF(C145="","",INDEX('Price Inputs'!$C$5:$J$49,MATCH(C145,'Price Inputs'!$C$5:$C$49,0),MATCH($E$2,'Price Inputs'!$C$5:$J$5,0)))</f>
        <v>#N/A</v>
      </c>
      <c r="I145" s="264" t="n">
        <f aca="false">IF(VLOOKUP($B145,Trades!$B$9:$O$59,6,0)="Sell",VLOOKUP($B145,Trades!$B$9:$O$59,8,0),0)</f>
        <v>0</v>
      </c>
      <c r="J145" s="290" t="str">
        <f aca="false">IF(VLOOKUP($B145,Trades!$B$9:$O$59,6,0)="Sell",VLOOKUP($B145,Trades!$B$9:$O$59,12,0),"")</f>
        <v/>
      </c>
      <c r="K145" s="330" t="str">
        <f aca="false">IF(VLOOKUP($B145,Trades!$B$9:$O$59,6,0)="Sell",VLOOKUP($B145,Trades!$B$9:$O$59,13,0),"")</f>
        <v/>
      </c>
      <c r="L145" s="502" t="str">
        <f aca="false">IF(E145="","",E145*G145)</f>
        <v/>
      </c>
      <c r="M145" s="502" t="e">
        <f aca="false">VLOOKUP(C145,'Portfolio Bucket'!$N$3:$Q$69,4,0)</f>
        <v>#N/A</v>
      </c>
      <c r="N145" s="502" t="e">
        <f aca="false">IF(C145="","",VLOOKUP(C145,'Portfolio Bucket'!$N$2:$Q$69,4,0)*I145)</f>
        <v>#N/A</v>
      </c>
      <c r="O145" s="502" t="str">
        <f aca="false">IF(ISNUMBER(H145),T145," ")</f>
        <v> </v>
      </c>
      <c r="P145" s="464" t="str">
        <f aca="false">IF(K145="","",I145*K145-N145)</f>
        <v/>
      </c>
      <c r="Q145" s="503" t="str">
        <f aca="false">IF($P145="","",K145*I145/N145-1)</f>
        <v/>
      </c>
      <c r="R145" s="464" t="e">
        <f aca="false">IF(J145="",O145-L145,0)</f>
        <v>#VALUE!</v>
      </c>
      <c r="S145" s="462" t="e">
        <f aca="false">IF($R145="","",$R145/$L145)</f>
        <v>#VALUE!</v>
      </c>
      <c r="T145" s="504" t="str">
        <f aca="false">IF(E145="","",IF(ISNUMBER(K145),0,E145*H145))</f>
        <v/>
      </c>
      <c r="U145" s="417" t="str">
        <f aca="false">IF(Trades!E43="","",Trades!E43)</f>
        <v/>
      </c>
      <c r="V145" s="417" t="str">
        <f aca="false">IF(Trades!F43="","",Trades!F43)</f>
        <v/>
      </c>
    </row>
    <row r="146" customFormat="false" ht="17.25" hidden="false" customHeight="true" outlineLevel="0" collapsed="false">
      <c r="B146" s="263" t="n">
        <v>13</v>
      </c>
      <c r="C146" s="264" t="n">
        <f aca="false">IF(ISERROR(VLOOKUP(B146,Trades!$B$9:$C$59,2,0)),"",VLOOKUP(B146,Trades!$B$9:$C$59,2,0))</f>
        <v>0</v>
      </c>
      <c r="D146" s="264" t="e">
        <f aca="false">IF(C146="","",VLOOKUP(C146,'ETF List'!$C$2:$E$90,3,0))</f>
        <v>#N/A</v>
      </c>
      <c r="E146" s="264" t="str">
        <f aca="false">IF(VLOOKUP(B146,Trades!$B$9:$O$59,6,0)="Buy",VLOOKUP(B146,Trades!$B$9:$O$59,8,0),"")</f>
        <v/>
      </c>
      <c r="F146" s="290" t="str">
        <f aca="false">IF(VLOOKUP($B146,Trades!$B$9:$O$59,6,0)="Buy",VLOOKUP($B146,Trades!$B$9:$O$59,10,0),"")</f>
        <v/>
      </c>
      <c r="G146" s="330" t="str">
        <f aca="false">IF(VLOOKUP($B146,Trades!$B$9:$O$59,6,0)="Buy",VLOOKUP($B146,Trades!$B$9:$O$59,9,0),"")</f>
        <v/>
      </c>
      <c r="H146" s="330" t="e">
        <f aca="false">IF(C146="","",INDEX('Price Inputs'!$C$5:$J$49,MATCH(C146,'Price Inputs'!$C$5:$C$49,0),MATCH($E$2,'Price Inputs'!$C$5:$J$5,0)))</f>
        <v>#N/A</v>
      </c>
      <c r="I146" s="264" t="n">
        <f aca="false">IF(VLOOKUP($B146,Trades!$B$9:$O$59,6,0)="Sell",VLOOKUP($B146,Trades!$B$9:$O$59,8,0),0)</f>
        <v>0</v>
      </c>
      <c r="J146" s="290" t="str">
        <f aca="false">IF(VLOOKUP($B146,Trades!$B$9:$O$59,6,0)="Sell",VLOOKUP($B146,Trades!$B$9:$O$59,12,0),"")</f>
        <v/>
      </c>
      <c r="K146" s="330" t="str">
        <f aca="false">IF(VLOOKUP($B146,Trades!$B$9:$O$59,6,0)="Sell",VLOOKUP($B146,Trades!$B$9:$O$59,13,0),"")</f>
        <v/>
      </c>
      <c r="L146" s="502" t="str">
        <f aca="false">IF(E146="","",E146*G146)</f>
        <v/>
      </c>
      <c r="M146" s="502" t="e">
        <f aca="false">VLOOKUP(C146,'Portfolio Bucket'!$N$3:$Q$69,4,0)</f>
        <v>#N/A</v>
      </c>
      <c r="N146" s="502" t="e">
        <f aca="false">IF(C146="","",VLOOKUP(C146,'Portfolio Bucket'!$N$2:$Q$69,4,0)*I146)</f>
        <v>#N/A</v>
      </c>
      <c r="O146" s="502" t="str">
        <f aca="false">IF(ISNUMBER(H146),T146," ")</f>
        <v> </v>
      </c>
      <c r="P146" s="464" t="str">
        <f aca="false">IF(K146="","",I146*K146-N146)</f>
        <v/>
      </c>
      <c r="Q146" s="503" t="str">
        <f aca="false">IF($P146="","",K146*I146/N146-1)</f>
        <v/>
      </c>
      <c r="R146" s="464" t="e">
        <f aca="false">IF(J146="",O146-L146,0)</f>
        <v>#VALUE!</v>
      </c>
      <c r="S146" s="462" t="e">
        <f aca="false">IF($R146="","",$R146/$L146)</f>
        <v>#VALUE!</v>
      </c>
      <c r="T146" s="504" t="str">
        <f aca="false">IF(E146="","",IF(ISNUMBER(K146),0,E146*H146))</f>
        <v/>
      </c>
      <c r="U146" s="417" t="str">
        <f aca="false">IF(Trades!E44="","",Trades!E44)</f>
        <v/>
      </c>
      <c r="V146" s="417" t="str">
        <f aca="false">IF(Trades!F44="","",Trades!F44)</f>
        <v/>
      </c>
    </row>
    <row r="147" customFormat="false" ht="17.25" hidden="false" customHeight="true" outlineLevel="0" collapsed="false">
      <c r="B147" s="263" t="n">
        <v>14</v>
      </c>
      <c r="C147" s="264" t="n">
        <f aca="false">IF(ISERROR(VLOOKUP(B147,Trades!$B$9:$C$59,2,0)),"",VLOOKUP(B147,Trades!$B$9:$C$59,2,0))</f>
        <v>0</v>
      </c>
      <c r="D147" s="264" t="e">
        <f aca="false">IF(C147="","",VLOOKUP(C147,'ETF List'!$C$2:$E$90,3,0))</f>
        <v>#N/A</v>
      </c>
      <c r="E147" s="264" t="str">
        <f aca="false">IF(VLOOKUP(B147,Trades!$B$9:$O$59,6,0)="Buy",VLOOKUP(B147,Trades!$B$9:$O$59,8,0),"")</f>
        <v/>
      </c>
      <c r="F147" s="290" t="str">
        <f aca="false">IF(VLOOKUP($B147,Trades!$B$9:$O$59,6,0)="Buy",VLOOKUP($B147,Trades!$B$9:$O$59,10,0),"")</f>
        <v/>
      </c>
      <c r="G147" s="330" t="str">
        <f aca="false">IF(VLOOKUP($B147,Trades!$B$9:$O$59,6,0)="Buy",VLOOKUP($B147,Trades!$B$9:$O$59,9,0),"")</f>
        <v/>
      </c>
      <c r="H147" s="330" t="e">
        <f aca="false">IF(C147="","",INDEX('Price Inputs'!$C$5:$J$49,MATCH(C147,'Price Inputs'!$C$5:$C$49,0),MATCH($E$2,'Price Inputs'!$C$5:$J$5,0)))</f>
        <v>#N/A</v>
      </c>
      <c r="I147" s="264" t="n">
        <f aca="false">IF(VLOOKUP($B147,Trades!$B$9:$O$59,6,0)="Sell",VLOOKUP($B147,Trades!$B$9:$O$59,8,0),0)</f>
        <v>0</v>
      </c>
      <c r="J147" s="290" t="str">
        <f aca="false">IF(VLOOKUP($B147,Trades!$B$9:$O$59,6,0)="Sell",VLOOKUP($B147,Trades!$B$9:$O$59,12,0),"")</f>
        <v/>
      </c>
      <c r="K147" s="330" t="str">
        <f aca="false">IF(VLOOKUP($B147,Trades!$B$9:$O$59,6,0)="Sell",VLOOKUP($B147,Trades!$B$9:$O$59,13,0),"")</f>
        <v/>
      </c>
      <c r="L147" s="502" t="str">
        <f aca="false">IF(E147="","",E147*G147)</f>
        <v/>
      </c>
      <c r="M147" s="502" t="e">
        <f aca="false">VLOOKUP(C147,'Portfolio Bucket'!$N$3:$Q$69,4,0)</f>
        <v>#N/A</v>
      </c>
      <c r="N147" s="502" t="e">
        <f aca="false">IF(C147="","",VLOOKUP(C147,'Portfolio Bucket'!$N$2:$Q$69,4,0)*I147)</f>
        <v>#N/A</v>
      </c>
      <c r="O147" s="502" t="str">
        <f aca="false">IF(ISNUMBER(H147),T147," ")</f>
        <v> </v>
      </c>
      <c r="P147" s="464" t="str">
        <f aca="false">IF(K147="","",I147*K147-N147)</f>
        <v/>
      </c>
      <c r="Q147" s="503" t="str">
        <f aca="false">IF($P147="","",K147*I147/N147-1)</f>
        <v/>
      </c>
      <c r="R147" s="464" t="e">
        <f aca="false">IF(J147="",O147-L147,0)</f>
        <v>#VALUE!</v>
      </c>
      <c r="S147" s="462" t="e">
        <f aca="false">IF($R147="","",$R147/$L147)</f>
        <v>#VALUE!</v>
      </c>
      <c r="T147" s="504" t="str">
        <f aca="false">IF(E147="","",IF(ISNUMBER(K147),0,E147*H147))</f>
        <v/>
      </c>
      <c r="U147" s="417" t="str">
        <f aca="false">IF(Trades!E45="","",Trades!E45)</f>
        <v/>
      </c>
      <c r="V147" s="417" t="str">
        <f aca="false">IF(Trades!F45="","",Trades!F45)</f>
        <v/>
      </c>
    </row>
    <row r="148" customFormat="false" ht="17.25" hidden="false" customHeight="true" outlineLevel="0" collapsed="false">
      <c r="B148" s="263" t="n">
        <v>15</v>
      </c>
      <c r="C148" s="264" t="n">
        <f aca="false">IF(ISERROR(VLOOKUP(B148,Trades!$B$9:$C$59,2,0)),"",VLOOKUP(B148,Trades!$B$9:$C$59,2,0))</f>
        <v>0</v>
      </c>
      <c r="D148" s="264" t="e">
        <f aca="false">IF(C148="","",VLOOKUP(C148,'ETF List'!$C$2:$E$90,3,0))</f>
        <v>#N/A</v>
      </c>
      <c r="E148" s="264" t="str">
        <f aca="false">IF(VLOOKUP(B148,Trades!$B$9:$O$59,6,0)="Buy",VLOOKUP(B148,Trades!$B$9:$O$59,8,0),"")</f>
        <v/>
      </c>
      <c r="F148" s="290" t="str">
        <f aca="false">IF(VLOOKUP($B148,Trades!$B$9:$O$59,6,0)="Buy",VLOOKUP($B148,Trades!$B$9:$O$59,10,0),"")</f>
        <v/>
      </c>
      <c r="G148" s="330" t="str">
        <f aca="false">IF(VLOOKUP($B148,Trades!$B$9:$O$59,6,0)="Buy",VLOOKUP($B148,Trades!$B$9:$O$59,9,0),"")</f>
        <v/>
      </c>
      <c r="H148" s="330" t="e">
        <f aca="false">IF(C148="","",INDEX('Price Inputs'!$C$5:$J$49,MATCH(C148,'Price Inputs'!$C$5:$C$49,0),MATCH($E$2,'Price Inputs'!$C$5:$J$5,0)))</f>
        <v>#N/A</v>
      </c>
      <c r="I148" s="264" t="n">
        <f aca="false">IF(VLOOKUP($B148,Trades!$B$9:$O$59,6,0)="Sell",VLOOKUP($B148,Trades!$B$9:$O$59,8,0),0)</f>
        <v>0</v>
      </c>
      <c r="J148" s="290" t="str">
        <f aca="false">IF(VLOOKUP($B148,Trades!$B$9:$O$59,6,0)="Sell",VLOOKUP($B148,Trades!$B$9:$O$59,12,0),"")</f>
        <v/>
      </c>
      <c r="K148" s="330" t="str">
        <f aca="false">IF(VLOOKUP($B148,Trades!$B$9:$O$59,6,0)="Sell",VLOOKUP($B148,Trades!$B$9:$O$59,13,0),"")</f>
        <v/>
      </c>
      <c r="L148" s="502" t="str">
        <f aca="false">IF(E148="","",E148*G148)</f>
        <v/>
      </c>
      <c r="M148" s="502" t="e">
        <f aca="false">VLOOKUP(C148,'Portfolio Bucket'!$N$3:$Q$69,4,0)</f>
        <v>#N/A</v>
      </c>
      <c r="N148" s="502" t="e">
        <f aca="false">IF(C148="","",VLOOKUP(C148,'Portfolio Bucket'!$N$2:$Q$69,4,0)*I148)</f>
        <v>#N/A</v>
      </c>
      <c r="O148" s="502" t="str">
        <f aca="false">IF(ISNUMBER(H148),T148," ")</f>
        <v> </v>
      </c>
      <c r="P148" s="464" t="str">
        <f aca="false">IF(K148="","",I148*K148-N148)</f>
        <v/>
      </c>
      <c r="Q148" s="503" t="str">
        <f aca="false">IF($P148="","",K148*I148/N148-1)</f>
        <v/>
      </c>
      <c r="R148" s="464" t="e">
        <f aca="false">IF(J148="",O148-L148,0)</f>
        <v>#VALUE!</v>
      </c>
      <c r="S148" s="462" t="e">
        <f aca="false">IF($R148="","",$R148/$L148)</f>
        <v>#VALUE!</v>
      </c>
      <c r="T148" s="504" t="str">
        <f aca="false">IF(E148="","",IF(ISNUMBER(K148),0,E148*H148))</f>
        <v/>
      </c>
      <c r="U148" s="417" t="str">
        <f aca="false">IF(Trades!E46="","",Trades!E46)</f>
        <v/>
      </c>
      <c r="V148" s="417" t="str">
        <f aca="false">IF(Trades!F46="","",Trades!F46)</f>
        <v/>
      </c>
    </row>
    <row r="149" customFormat="false" ht="17.25" hidden="false" customHeight="true" outlineLevel="0" collapsed="false">
      <c r="B149" s="263" t="n">
        <v>16</v>
      </c>
      <c r="C149" s="264" t="n">
        <f aca="false">IF(ISERROR(VLOOKUP(B149,Trades!$B$9:$C$59,2,0)),"",VLOOKUP(B149,Trades!$B$9:$C$59,2,0))</f>
        <v>0</v>
      </c>
      <c r="D149" s="264" t="e">
        <f aca="false">IF(C149="","",VLOOKUP(C149,'ETF List'!$C$2:$E$90,3,0))</f>
        <v>#N/A</v>
      </c>
      <c r="E149" s="264" t="str">
        <f aca="false">IF(VLOOKUP(B149,Trades!$B$9:$O$59,6,0)="Buy",VLOOKUP(B149,Trades!$B$9:$O$59,8,0),"")</f>
        <v/>
      </c>
      <c r="F149" s="290" t="str">
        <f aca="false">IF(VLOOKUP($B149,Trades!$B$9:$O$59,6,0)="Buy",VLOOKUP($B149,Trades!$B$9:$O$59,10,0),"")</f>
        <v/>
      </c>
      <c r="G149" s="330" t="str">
        <f aca="false">IF(VLOOKUP($B149,Trades!$B$9:$O$59,6,0)="Buy",VLOOKUP($B149,Trades!$B$9:$O$59,9,0),"")</f>
        <v/>
      </c>
      <c r="H149" s="330" t="e">
        <f aca="false">IF(C149="","",INDEX('Price Inputs'!$C$5:$J$49,MATCH(C149,'Price Inputs'!$C$5:$C$49,0),MATCH($E$2,'Price Inputs'!$C$5:$J$5,0)))</f>
        <v>#N/A</v>
      </c>
      <c r="I149" s="264" t="n">
        <f aca="false">IF(VLOOKUP($B149,Trades!$B$9:$O$59,6,0)="Sell",VLOOKUP($B149,Trades!$B$9:$O$59,8,0),0)</f>
        <v>0</v>
      </c>
      <c r="J149" s="290" t="str">
        <f aca="false">IF(VLOOKUP($B149,Trades!$B$9:$O$59,6,0)="Sell",VLOOKUP($B149,Trades!$B$9:$O$59,12,0),"")</f>
        <v/>
      </c>
      <c r="K149" s="330" t="str">
        <f aca="false">IF(VLOOKUP($B149,Trades!$B$9:$O$59,6,0)="Sell",VLOOKUP($B149,Trades!$B$9:$O$59,13,0),"")</f>
        <v/>
      </c>
      <c r="L149" s="502" t="str">
        <f aca="false">IF(E149="","",E149*G149)</f>
        <v/>
      </c>
      <c r="M149" s="502" t="e">
        <f aca="false">VLOOKUP(C149,'Portfolio Bucket'!$N$3:$Q$69,4,0)</f>
        <v>#N/A</v>
      </c>
      <c r="N149" s="502" t="e">
        <f aca="false">IF(C149="","",VLOOKUP(C149,'Portfolio Bucket'!$N$2:$Q$69,4,0)*I149)</f>
        <v>#N/A</v>
      </c>
      <c r="O149" s="502" t="str">
        <f aca="false">IF(ISNUMBER(H149),T149," ")</f>
        <v> </v>
      </c>
      <c r="P149" s="464" t="str">
        <f aca="false">IF(K149="","",I149*K149-N149)</f>
        <v/>
      </c>
      <c r="Q149" s="503" t="str">
        <f aca="false">IF($P149="","",K149*I149/N149-1)</f>
        <v/>
      </c>
      <c r="R149" s="464" t="e">
        <f aca="false">IF(J149="",O149-L149,0)</f>
        <v>#VALUE!</v>
      </c>
      <c r="S149" s="462" t="e">
        <f aca="false">IF($R149="","",$R149/$L149)</f>
        <v>#VALUE!</v>
      </c>
      <c r="T149" s="504" t="str">
        <f aca="false">IF(E149="","",IF(ISNUMBER(K149),0,E149*H149))</f>
        <v/>
      </c>
      <c r="U149" s="417" t="str">
        <f aca="false">IF(Trades!E47="","",Trades!E47)</f>
        <v/>
      </c>
      <c r="V149" s="417" t="str">
        <f aca="false">IF(Trades!F47="","",Trades!F47)</f>
        <v/>
      </c>
    </row>
    <row r="150" customFormat="false" ht="17.25" hidden="false" customHeight="true" outlineLevel="0" collapsed="false">
      <c r="B150" s="263" t="n">
        <v>17</v>
      </c>
      <c r="C150" s="264" t="n">
        <f aca="false">IF(ISERROR(VLOOKUP(B150,Trades!$B$9:$C$59,2,0)),"",VLOOKUP(B150,Trades!$B$9:$C$59,2,0))</f>
        <v>0</v>
      </c>
      <c r="D150" s="264" t="e">
        <f aca="false">IF(C150="","",VLOOKUP(C150,'ETF List'!$C$2:$E$90,3,0))</f>
        <v>#N/A</v>
      </c>
      <c r="E150" s="264" t="str">
        <f aca="false">IF(VLOOKUP(B150,Trades!$B$9:$O$59,6,0)="Buy",VLOOKUP(B150,Trades!$B$9:$O$59,8,0),"")</f>
        <v/>
      </c>
      <c r="F150" s="290" t="str">
        <f aca="false">IF(VLOOKUP($B150,Trades!$B$9:$O$59,6,0)="Buy",VLOOKUP($B150,Trades!$B$9:$O$59,10,0),"")</f>
        <v/>
      </c>
      <c r="G150" s="330" t="str">
        <f aca="false">IF(VLOOKUP($B150,Trades!$B$9:$O$59,6,0)="Buy",VLOOKUP($B150,Trades!$B$9:$O$59,9,0),"")</f>
        <v/>
      </c>
      <c r="H150" s="330" t="e">
        <f aca="false">IF(C150="","",INDEX('Price Inputs'!$C$5:$J$49,MATCH(C150,'Price Inputs'!$C$5:$C$49,0),MATCH($E$2,'Price Inputs'!$C$5:$J$5,0)))</f>
        <v>#N/A</v>
      </c>
      <c r="I150" s="264" t="n">
        <f aca="false">IF(VLOOKUP($B150,Trades!$B$9:$O$59,6,0)="Sell",VLOOKUP($B150,Trades!$B$9:$O$59,8,0),0)</f>
        <v>0</v>
      </c>
      <c r="J150" s="290" t="str">
        <f aca="false">IF(VLOOKUP($B150,Trades!$B$9:$O$59,6,0)="Sell",VLOOKUP($B150,Trades!$B$9:$O$59,12,0),"")</f>
        <v/>
      </c>
      <c r="K150" s="330" t="str">
        <f aca="false">IF(VLOOKUP($B150,Trades!$B$9:$O$59,6,0)="Sell",VLOOKUP($B150,Trades!$B$9:$O$59,13,0),"")</f>
        <v/>
      </c>
      <c r="L150" s="502" t="str">
        <f aca="false">IF(E150="","",E150*G150)</f>
        <v/>
      </c>
      <c r="M150" s="502" t="e">
        <f aca="false">VLOOKUP(C150,'Portfolio Bucket'!$N$3:$Q$69,4,0)</f>
        <v>#N/A</v>
      </c>
      <c r="N150" s="502" t="e">
        <f aca="false">IF(C150="","",VLOOKUP(C150,'Portfolio Bucket'!$N$2:$Q$69,4,0)*I150)</f>
        <v>#N/A</v>
      </c>
      <c r="O150" s="502" t="str">
        <f aca="false">IF(ISNUMBER(H150),T150," ")</f>
        <v> </v>
      </c>
      <c r="P150" s="464" t="str">
        <f aca="false">IF(K150="","",I150*K150-N150)</f>
        <v/>
      </c>
      <c r="Q150" s="503" t="str">
        <f aca="false">IF($P150="","",K150*I150/N150-1)</f>
        <v/>
      </c>
      <c r="R150" s="464" t="e">
        <f aca="false">IF(J150="",O150-L150,0)</f>
        <v>#VALUE!</v>
      </c>
      <c r="S150" s="462" t="e">
        <f aca="false">IF($R150="","",$R150/$L150)</f>
        <v>#VALUE!</v>
      </c>
      <c r="T150" s="504" t="str">
        <f aca="false">IF(E150="","",IF(ISNUMBER(K150),0,E150*H150))</f>
        <v/>
      </c>
      <c r="U150" s="417" t="str">
        <f aca="false">IF(Trades!E48="","",Trades!E48)</f>
        <v/>
      </c>
      <c r="V150" s="417" t="str">
        <f aca="false">IF(Trades!F48="","",Trades!F48)</f>
        <v/>
      </c>
    </row>
    <row r="151" customFormat="false" ht="17.25" hidden="false" customHeight="true" outlineLevel="0" collapsed="false">
      <c r="B151" s="263" t="n">
        <v>18</v>
      </c>
      <c r="C151" s="264" t="n">
        <f aca="false">IF(ISERROR(VLOOKUP(B151,Trades!$B$9:$C$59,2,0)),"",VLOOKUP(B151,Trades!$B$9:$C$59,2,0))</f>
        <v>0</v>
      </c>
      <c r="D151" s="264" t="e">
        <f aca="false">IF(C151="","",VLOOKUP(C151,'ETF List'!$C$2:$E$90,3,0))</f>
        <v>#N/A</v>
      </c>
      <c r="E151" s="264" t="str">
        <f aca="false">IF(VLOOKUP(B151,Trades!$B$9:$O$59,6,0)="Buy",VLOOKUP(B151,Trades!$B$9:$O$59,8,0),"")</f>
        <v/>
      </c>
      <c r="F151" s="290" t="str">
        <f aca="false">IF(VLOOKUP($B151,Trades!$B$9:$O$59,6,0)="Buy",VLOOKUP($B151,Trades!$B$9:$O$59,10,0),"")</f>
        <v/>
      </c>
      <c r="G151" s="330" t="str">
        <f aca="false">IF(VLOOKUP($B151,Trades!$B$9:$O$59,6,0)="Buy",VLOOKUP($B151,Trades!$B$9:$O$59,9,0),"")</f>
        <v/>
      </c>
      <c r="H151" s="330" t="e">
        <f aca="false">IF(C151="","",INDEX('Price Inputs'!$C$5:$J$49,MATCH(C151,'Price Inputs'!$C$5:$C$49,0),MATCH($E$2,'Price Inputs'!$C$5:$J$5,0)))</f>
        <v>#N/A</v>
      </c>
      <c r="I151" s="264" t="n">
        <f aca="false">IF(VLOOKUP($B151,Trades!$B$9:$O$59,6,0)="Sell",VLOOKUP($B151,Trades!$B$9:$O$59,8,0),0)</f>
        <v>0</v>
      </c>
      <c r="J151" s="290" t="str">
        <f aca="false">IF(VLOOKUP($B151,Trades!$B$9:$O$59,6,0)="Sell",VLOOKUP($B151,Trades!$B$9:$O$59,12,0),"")</f>
        <v/>
      </c>
      <c r="K151" s="330" t="str">
        <f aca="false">IF(VLOOKUP($B151,Trades!$B$9:$O$59,6,0)="Sell",VLOOKUP($B151,Trades!$B$9:$O$59,13,0),"")</f>
        <v/>
      </c>
      <c r="L151" s="502" t="str">
        <f aca="false">IF(E151="","",E151*G151)</f>
        <v/>
      </c>
      <c r="M151" s="502" t="e">
        <f aca="false">VLOOKUP(C151,'Portfolio Bucket'!$N$3:$Q$69,4,0)</f>
        <v>#N/A</v>
      </c>
      <c r="N151" s="502" t="e">
        <f aca="false">IF(C151="","",VLOOKUP(C151,'Portfolio Bucket'!$N$2:$Q$69,4,0)*I151)</f>
        <v>#N/A</v>
      </c>
      <c r="O151" s="502" t="str">
        <f aca="false">IF(ISNUMBER(H151),T151," ")</f>
        <v> </v>
      </c>
      <c r="P151" s="464" t="str">
        <f aca="false">IF(K151="","",I151*K151-N151)</f>
        <v/>
      </c>
      <c r="Q151" s="503" t="str">
        <f aca="false">IF($P151="","",K151*I151/N151-1)</f>
        <v/>
      </c>
      <c r="R151" s="464" t="e">
        <f aca="false">IF(J151="",O151-L151,0)</f>
        <v>#VALUE!</v>
      </c>
      <c r="S151" s="462" t="e">
        <f aca="false">IF($R151="","",$R151/$L151)</f>
        <v>#VALUE!</v>
      </c>
      <c r="T151" s="504" t="str">
        <f aca="false">IF(E151="","",IF(ISNUMBER(K151),0,E151*H151))</f>
        <v/>
      </c>
      <c r="U151" s="417" t="str">
        <f aca="false">IF(Trades!E49="","",Trades!E49)</f>
        <v/>
      </c>
      <c r="V151" s="417" t="str">
        <f aca="false">IF(Trades!F49="","",Trades!F49)</f>
        <v/>
      </c>
    </row>
    <row r="152" customFormat="false" ht="17.25" hidden="false" customHeight="true" outlineLevel="0" collapsed="false">
      <c r="B152" s="263" t="n">
        <v>19</v>
      </c>
      <c r="C152" s="264" t="n">
        <f aca="false">IF(ISERROR(VLOOKUP(B152,Trades!$B$9:$C$59,2,0)),"",VLOOKUP(B152,Trades!$B$9:$C$59,2,0))</f>
        <v>0</v>
      </c>
      <c r="D152" s="264" t="e">
        <f aca="false">IF(C152="","",VLOOKUP(C152,'ETF List'!$C$2:$E$90,3,0))</f>
        <v>#N/A</v>
      </c>
      <c r="E152" s="264" t="str">
        <f aca="false">IF(VLOOKUP(B152,Trades!$B$9:$O$59,6,0)="Buy",VLOOKUP(B152,Trades!$B$9:$O$59,8,0),"")</f>
        <v/>
      </c>
      <c r="F152" s="290" t="str">
        <f aca="false">IF(VLOOKUP($B152,Trades!$B$9:$O$59,6,0)="Buy",VLOOKUP($B152,Trades!$B$9:$O$59,10,0),"")</f>
        <v/>
      </c>
      <c r="G152" s="330" t="str">
        <f aca="false">IF(VLOOKUP($B152,Trades!$B$9:$O$59,6,0)="Buy",VLOOKUP($B152,Trades!$B$9:$O$59,9,0),"")</f>
        <v/>
      </c>
      <c r="H152" s="330" t="e">
        <f aca="false">IF(C152="","",INDEX('Price Inputs'!$C$5:$J$49,MATCH(C152,'Price Inputs'!$C$5:$C$49,0),MATCH($E$2,'Price Inputs'!$C$5:$J$5,0)))</f>
        <v>#N/A</v>
      </c>
      <c r="I152" s="264" t="n">
        <f aca="false">IF(VLOOKUP($B152,Trades!$B$9:$O$59,6,0)="Sell",VLOOKUP($B152,Trades!$B$9:$O$59,8,0),0)</f>
        <v>0</v>
      </c>
      <c r="J152" s="290" t="str">
        <f aca="false">IF(VLOOKUP($B152,Trades!$B$9:$O$59,6,0)="Sell",VLOOKUP($B152,Trades!$B$9:$O$59,12,0),"")</f>
        <v/>
      </c>
      <c r="K152" s="330" t="str">
        <f aca="false">IF(VLOOKUP($B152,Trades!$B$9:$O$59,6,0)="Sell",VLOOKUP($B152,Trades!$B$9:$O$59,13,0),"")</f>
        <v/>
      </c>
      <c r="L152" s="502" t="str">
        <f aca="false">IF(E152="","",E152*G152)</f>
        <v/>
      </c>
      <c r="M152" s="502" t="e">
        <f aca="false">VLOOKUP(C152,'Portfolio Bucket'!$N$3:$Q$69,4,0)</f>
        <v>#N/A</v>
      </c>
      <c r="N152" s="502" t="e">
        <f aca="false">IF(C152="","",VLOOKUP(C152,'Portfolio Bucket'!$N$2:$Q$69,4,0)*I152)</f>
        <v>#N/A</v>
      </c>
      <c r="O152" s="502" t="str">
        <f aca="false">IF(ISNUMBER(H152),T152," ")</f>
        <v> </v>
      </c>
      <c r="P152" s="464" t="str">
        <f aca="false">IF(K152="","",I152*K152-N152)</f>
        <v/>
      </c>
      <c r="Q152" s="503" t="str">
        <f aca="false">IF($P152="","",K152*I152/N152-1)</f>
        <v/>
      </c>
      <c r="R152" s="464" t="e">
        <f aca="false">IF(J152="",O152-L152,0)</f>
        <v>#VALUE!</v>
      </c>
      <c r="S152" s="462" t="e">
        <f aca="false">IF($R152="","",$R152/$L152)</f>
        <v>#VALUE!</v>
      </c>
      <c r="T152" s="504" t="str">
        <f aca="false">IF(E152="","",IF(ISNUMBER(K152),0,E152*H152))</f>
        <v/>
      </c>
      <c r="U152" s="417" t="str">
        <f aca="false">IF(Trades!E50="","",Trades!E50)</f>
        <v/>
      </c>
      <c r="V152" s="417" t="str">
        <f aca="false">IF(Trades!F50="","",Trades!F50)</f>
        <v/>
      </c>
    </row>
    <row r="153" customFormat="false" ht="17.25" hidden="false" customHeight="true" outlineLevel="0" collapsed="false">
      <c r="B153" s="263" t="n">
        <v>20</v>
      </c>
      <c r="C153" s="264" t="n">
        <f aca="false">IF(ISERROR(VLOOKUP(B153,Trades!$B$9:$C$59,2,0)),"",VLOOKUP(B153,Trades!$B$9:$C$59,2,0))</f>
        <v>0</v>
      </c>
      <c r="D153" s="264" t="e">
        <f aca="false">IF(C153="","",VLOOKUP(C153,'ETF List'!$C$2:$E$90,3,0))</f>
        <v>#N/A</v>
      </c>
      <c r="E153" s="264" t="str">
        <f aca="false">IF(VLOOKUP(B153,Trades!$B$9:$O$59,6,0)="Buy",VLOOKUP(B153,Trades!$B$9:$O$59,8,0),"")</f>
        <v/>
      </c>
      <c r="F153" s="290" t="str">
        <f aca="false">IF(VLOOKUP($B153,Trades!$B$9:$O$59,6,0)="Buy",VLOOKUP($B153,Trades!$B$9:$O$59,10,0),"")</f>
        <v/>
      </c>
      <c r="G153" s="330" t="str">
        <f aca="false">IF(VLOOKUP($B153,Trades!$B$9:$O$59,6,0)="Buy",VLOOKUP($B153,Trades!$B$9:$O$59,9,0),"")</f>
        <v/>
      </c>
      <c r="H153" s="330" t="e">
        <f aca="false">IF(C153="","",INDEX('Price Inputs'!$C$5:$J$49,MATCH(C153,'Price Inputs'!$C$5:$C$49,0),MATCH($E$2,'Price Inputs'!$C$5:$J$5,0)))</f>
        <v>#N/A</v>
      </c>
      <c r="I153" s="264" t="n">
        <f aca="false">IF(VLOOKUP($B153,Trades!$B$9:$O$59,6,0)="Sell",VLOOKUP($B153,Trades!$B$9:$O$59,8,0),0)</f>
        <v>0</v>
      </c>
      <c r="J153" s="290" t="str">
        <f aca="false">IF(VLOOKUP($B153,Trades!$B$9:$O$59,6,0)="Sell",VLOOKUP($B153,Trades!$B$9:$O$59,12,0),"")</f>
        <v/>
      </c>
      <c r="K153" s="330" t="str">
        <f aca="false">IF(VLOOKUP($B153,Trades!$B$9:$O$59,6,0)="Sell",VLOOKUP($B153,Trades!$B$9:$O$59,13,0),"")</f>
        <v/>
      </c>
      <c r="L153" s="502" t="str">
        <f aca="false">IF(E153="","",E153*G153)</f>
        <v/>
      </c>
      <c r="M153" s="502" t="e">
        <f aca="false">VLOOKUP(C153,'Portfolio Bucket'!$N$3:$Q$69,4,0)</f>
        <v>#N/A</v>
      </c>
      <c r="N153" s="502" t="e">
        <f aca="false">IF(C153="","",VLOOKUP(C153,'Portfolio Bucket'!$N$2:$Q$69,4,0)*I153)</f>
        <v>#N/A</v>
      </c>
      <c r="O153" s="502" t="str">
        <f aca="false">IF(ISNUMBER(H153),T153," ")</f>
        <v> </v>
      </c>
      <c r="P153" s="464" t="str">
        <f aca="false">IF(K153="","",I153*K153-N153)</f>
        <v/>
      </c>
      <c r="Q153" s="503" t="str">
        <f aca="false">IF($P153="","",K153*I153/N153-1)</f>
        <v/>
      </c>
      <c r="R153" s="464" t="e">
        <f aca="false">IF(J153="",O153-L153,0)</f>
        <v>#VALUE!</v>
      </c>
      <c r="S153" s="462" t="e">
        <f aca="false">IF($R153="","",$R153/$L153)</f>
        <v>#VALUE!</v>
      </c>
      <c r="T153" s="504" t="str">
        <f aca="false">IF(E153="","",IF(ISNUMBER(K153),0,E153*H153))</f>
        <v/>
      </c>
      <c r="U153" s="417" t="str">
        <f aca="false">IF(Trades!E51="","",Trades!E51)</f>
        <v/>
      </c>
      <c r="V153" s="417" t="str">
        <f aca="false">IF(Trades!F51="","",Trades!F51)</f>
        <v/>
      </c>
    </row>
    <row r="154" customFormat="false" ht="17.25" hidden="false" customHeight="true" outlineLevel="0" collapsed="false">
      <c r="B154" s="263" t="n">
        <v>21</v>
      </c>
      <c r="C154" s="264" t="n">
        <f aca="false">IF(ISERROR(VLOOKUP(B154,Trades!$B$9:$C$59,2,0)),"",VLOOKUP(B154,Trades!$B$9:$C$59,2,0))</f>
        <v>0</v>
      </c>
      <c r="D154" s="264" t="e">
        <f aca="false">IF(C154="","",VLOOKUP(C154,'ETF List'!$C$2:$E$90,3,0))</f>
        <v>#N/A</v>
      </c>
      <c r="E154" s="264" t="str">
        <f aca="false">IF(VLOOKUP(B154,Trades!$B$9:$O$59,6,0)="Buy",VLOOKUP(B154,Trades!$B$9:$O$59,8,0),"")</f>
        <v/>
      </c>
      <c r="F154" s="290" t="str">
        <f aca="false">IF(VLOOKUP($B154,Trades!$B$9:$O$59,6,0)="Buy",VLOOKUP($B154,Trades!$B$9:$O$59,10,0),"")</f>
        <v/>
      </c>
      <c r="G154" s="330" t="str">
        <f aca="false">IF(VLOOKUP($B154,Trades!$B$9:$O$59,6,0)="Buy",VLOOKUP($B154,Trades!$B$9:$O$59,9,0),"")</f>
        <v/>
      </c>
      <c r="H154" s="330" t="e">
        <f aca="false">IF(C154="","",INDEX('Price Inputs'!$C$5:$J$49,MATCH(C154,'Price Inputs'!$C$5:$C$49,0),MATCH($E$2,'Price Inputs'!$C$5:$J$5,0)))</f>
        <v>#N/A</v>
      </c>
      <c r="I154" s="264" t="n">
        <f aca="false">IF(VLOOKUP($B154,Trades!$B$9:$O$59,6,0)="Sell",VLOOKUP($B154,Trades!$B$9:$O$59,8,0),0)</f>
        <v>0</v>
      </c>
      <c r="J154" s="290" t="str">
        <f aca="false">IF(VLOOKUP($B154,Trades!$B$9:$O$59,6,0)="Sell",VLOOKUP($B154,Trades!$B$9:$O$59,12,0),"")</f>
        <v/>
      </c>
      <c r="K154" s="330" t="str">
        <f aca="false">IF(VLOOKUP($B154,Trades!$B$9:$O$59,6,0)="Sell",VLOOKUP($B154,Trades!$B$9:$O$59,13,0),"")</f>
        <v/>
      </c>
      <c r="L154" s="502" t="str">
        <f aca="false">IF(E154="","",E154*G154)</f>
        <v/>
      </c>
      <c r="M154" s="502" t="e">
        <f aca="false">VLOOKUP(C154,'Portfolio Bucket'!$N$3:$Q$69,4,0)</f>
        <v>#N/A</v>
      </c>
      <c r="N154" s="502" t="e">
        <f aca="false">IF(C154="","",VLOOKUP(C154,'Portfolio Bucket'!$N$2:$Q$69,4,0)*I154)</f>
        <v>#N/A</v>
      </c>
      <c r="O154" s="502" t="str">
        <f aca="false">IF(ISNUMBER(H154),T154," ")</f>
        <v> </v>
      </c>
      <c r="P154" s="464" t="str">
        <f aca="false">IF(K154="","",I154*K154-N154)</f>
        <v/>
      </c>
      <c r="Q154" s="503" t="str">
        <f aca="false">IF($P154="","",K154*I154/N154-1)</f>
        <v/>
      </c>
      <c r="R154" s="464" t="e">
        <f aca="false">IF(J154="",O154-L154,0)</f>
        <v>#VALUE!</v>
      </c>
      <c r="S154" s="462" t="e">
        <f aca="false">IF($R154="","",$R154/$L154)</f>
        <v>#VALUE!</v>
      </c>
      <c r="T154" s="504" t="str">
        <f aca="false">IF(E154="","",IF(ISNUMBER(K154),0,E154*H154))</f>
        <v/>
      </c>
      <c r="U154" s="417" t="str">
        <f aca="false">IF(Trades!E52="","",Trades!E52)</f>
        <v/>
      </c>
      <c r="V154" s="417" t="str">
        <f aca="false">IF(Trades!F52="","",Trades!F52)</f>
        <v/>
      </c>
    </row>
    <row r="155" customFormat="false" ht="17.25" hidden="false" customHeight="true" outlineLevel="0" collapsed="false">
      <c r="B155" s="263" t="n">
        <v>22</v>
      </c>
      <c r="C155" s="264" t="n">
        <f aca="false">IF(ISERROR(VLOOKUP(B155,Trades!$B$9:$C$59,2,0)),"",VLOOKUP(B155,Trades!$B$9:$C$59,2,0))</f>
        <v>0</v>
      </c>
      <c r="D155" s="264" t="e">
        <f aca="false">IF(C155="","",VLOOKUP(C155,'ETF List'!$C$2:$E$90,3,0))</f>
        <v>#N/A</v>
      </c>
      <c r="E155" s="264" t="str">
        <f aca="false">IF(VLOOKUP(B155,Trades!$B$9:$O$59,6,0)="Buy",VLOOKUP(B155,Trades!$B$9:$O$59,8,0),"")</f>
        <v/>
      </c>
      <c r="F155" s="290" t="str">
        <f aca="false">IF(VLOOKUP($B155,Trades!$B$9:$O$59,6,0)="Buy",VLOOKUP($B155,Trades!$B$9:$O$59,10,0),"")</f>
        <v/>
      </c>
      <c r="G155" s="330" t="str">
        <f aca="false">IF(VLOOKUP($B155,Trades!$B$9:$O$59,6,0)="Buy",VLOOKUP($B155,Trades!$B$9:$O$59,9,0),"")</f>
        <v/>
      </c>
      <c r="H155" s="330" t="e">
        <f aca="false">IF(C155="","",INDEX('Price Inputs'!$C$5:$J$49,MATCH(C155,'Price Inputs'!$C$5:$C$49,0),MATCH($E$2,'Price Inputs'!$C$5:$J$5,0)))</f>
        <v>#N/A</v>
      </c>
      <c r="I155" s="264" t="n">
        <f aca="false">IF(VLOOKUP($B155,Trades!$B$9:$O$59,6,0)="Sell",VLOOKUP($B155,Trades!$B$9:$O$59,8,0),0)</f>
        <v>0</v>
      </c>
      <c r="J155" s="290" t="str">
        <f aca="false">IF(VLOOKUP($B155,Trades!$B$9:$O$59,6,0)="Sell",VLOOKUP($B155,Trades!$B$9:$O$59,12,0),"")</f>
        <v/>
      </c>
      <c r="K155" s="330" t="str">
        <f aca="false">IF(VLOOKUP($B155,Trades!$B$9:$O$59,6,0)="Sell",VLOOKUP($B155,Trades!$B$9:$O$59,13,0),"")</f>
        <v/>
      </c>
      <c r="L155" s="502" t="str">
        <f aca="false">IF(E155="","",E155*G155)</f>
        <v/>
      </c>
      <c r="M155" s="502" t="e">
        <f aca="false">VLOOKUP(C155,'Portfolio Bucket'!$N$3:$Q$69,4,0)</f>
        <v>#N/A</v>
      </c>
      <c r="N155" s="502" t="e">
        <f aca="false">IF(C155="","",VLOOKUP(C155,'Portfolio Bucket'!$N$2:$Q$69,4,0)*I155)</f>
        <v>#N/A</v>
      </c>
      <c r="O155" s="502" t="str">
        <f aca="false">IF(ISNUMBER(H155),T155," ")</f>
        <v> </v>
      </c>
      <c r="P155" s="464" t="str">
        <f aca="false">IF(K155="","",I155*K155-N155)</f>
        <v/>
      </c>
      <c r="Q155" s="503" t="str">
        <f aca="false">IF($P155="","",K155*I155/N155-1)</f>
        <v/>
      </c>
      <c r="R155" s="464" t="e">
        <f aca="false">IF(J155="",O155-L155,0)</f>
        <v>#VALUE!</v>
      </c>
      <c r="S155" s="462" t="e">
        <f aca="false">IF($R155="","",$R155/$L155)</f>
        <v>#VALUE!</v>
      </c>
      <c r="T155" s="504" t="str">
        <f aca="false">IF(E155="","",IF(ISNUMBER(K155),0,E155*H155))</f>
        <v/>
      </c>
      <c r="U155" s="417" t="str">
        <f aca="false">IF(Trades!E53="","",Trades!E53)</f>
        <v/>
      </c>
      <c r="V155" s="417" t="str">
        <f aca="false">IF(Trades!F53="","",Trades!F53)</f>
        <v/>
      </c>
    </row>
    <row r="156" customFormat="false" ht="17.25" hidden="false" customHeight="true" outlineLevel="0" collapsed="false">
      <c r="B156" s="263" t="n">
        <v>23</v>
      </c>
      <c r="C156" s="264" t="n">
        <f aca="false">IF(ISERROR(VLOOKUP(B156,Trades!$B$9:$C$59,2,0)),"",VLOOKUP(B156,Trades!$B$9:$C$59,2,0))</f>
        <v>0</v>
      </c>
      <c r="D156" s="264" t="e">
        <f aca="false">IF(C156="","",VLOOKUP(C156,'ETF List'!$C$2:$E$90,3,0))</f>
        <v>#N/A</v>
      </c>
      <c r="E156" s="264" t="str">
        <f aca="false">IF(VLOOKUP(B156,Trades!$B$9:$O$59,6,0)="Buy",VLOOKUP(B156,Trades!$B$9:$O$59,8,0),"")</f>
        <v/>
      </c>
      <c r="F156" s="290" t="str">
        <f aca="false">IF(VLOOKUP($B156,Trades!$B$9:$O$59,6,0)="Buy",VLOOKUP($B156,Trades!$B$9:$O$59,10,0),"")</f>
        <v/>
      </c>
      <c r="G156" s="330" t="str">
        <f aca="false">IF(VLOOKUP($B156,Trades!$B$9:$O$59,6,0)="Buy",VLOOKUP($B156,Trades!$B$9:$O$59,9,0),"")</f>
        <v/>
      </c>
      <c r="H156" s="330" t="e">
        <f aca="false">IF(C156="","",INDEX('Price Inputs'!$C$5:$J$49,MATCH(C156,'Price Inputs'!$C$5:$C$49,0),MATCH($E$2,'Price Inputs'!$C$5:$J$5,0)))</f>
        <v>#N/A</v>
      </c>
      <c r="I156" s="264" t="n">
        <f aca="false">IF(VLOOKUP($B156,Trades!$B$9:$O$59,6,0)="Sell",VLOOKUP($B156,Trades!$B$9:$O$59,8,0),0)</f>
        <v>0</v>
      </c>
      <c r="J156" s="290" t="str">
        <f aca="false">IF(VLOOKUP($B156,Trades!$B$9:$O$59,6,0)="Sell",VLOOKUP($B156,Trades!$B$9:$O$59,12,0),"")</f>
        <v/>
      </c>
      <c r="K156" s="330" t="str">
        <f aca="false">IF(VLOOKUP($B156,Trades!$B$9:$O$59,6,0)="Sell",VLOOKUP($B156,Trades!$B$9:$O$59,13,0),"")</f>
        <v/>
      </c>
      <c r="L156" s="502" t="str">
        <f aca="false">IF(E156="","",E156*G156)</f>
        <v/>
      </c>
      <c r="M156" s="502" t="e">
        <f aca="false">VLOOKUP(C156,'Portfolio Bucket'!$N$3:$Q$69,4,0)</f>
        <v>#N/A</v>
      </c>
      <c r="N156" s="502" t="e">
        <f aca="false">IF(C156="","",VLOOKUP(C156,'Portfolio Bucket'!$N$2:$Q$69,4,0)*I156)</f>
        <v>#N/A</v>
      </c>
      <c r="O156" s="502" t="str">
        <f aca="false">IF(ISNUMBER(H156),T156," ")</f>
        <v> </v>
      </c>
      <c r="P156" s="464" t="str">
        <f aca="false">IF(K156="","",I156*K156-N156)</f>
        <v/>
      </c>
      <c r="Q156" s="503" t="str">
        <f aca="false">IF($P156="","",K156*I156/N156-1)</f>
        <v/>
      </c>
      <c r="R156" s="464" t="e">
        <f aca="false">IF(J156="",O156-L156,0)</f>
        <v>#VALUE!</v>
      </c>
      <c r="S156" s="462" t="e">
        <f aca="false">IF($R156="","",$R156/$L156)</f>
        <v>#VALUE!</v>
      </c>
      <c r="T156" s="504" t="str">
        <f aca="false">IF(E156="","",IF(ISNUMBER(K156),0,E156*H156))</f>
        <v/>
      </c>
      <c r="U156" s="417" t="str">
        <f aca="false">IF(Trades!E54="","",Trades!E54)</f>
        <v/>
      </c>
      <c r="V156" s="417" t="str">
        <f aca="false">IF(Trades!F54="","",Trades!F54)</f>
        <v/>
      </c>
    </row>
    <row r="157" customFormat="false" ht="17.25" hidden="false" customHeight="true" outlineLevel="0" collapsed="false">
      <c r="B157" s="263" t="n">
        <v>24</v>
      </c>
      <c r="C157" s="264" t="n">
        <f aca="false">IF(ISERROR(VLOOKUP(B157,Trades!$B$9:$C$59,2,0)),"",VLOOKUP(B157,Trades!$B$9:$C$59,2,0))</f>
        <v>0</v>
      </c>
      <c r="D157" s="264" t="e">
        <f aca="false">IF(C157="","",VLOOKUP(C157,'ETF List'!$C$2:$E$90,3,0))</f>
        <v>#N/A</v>
      </c>
      <c r="E157" s="264" t="str">
        <f aca="false">IF(VLOOKUP(B157,Trades!$B$9:$O$59,6,0)="Buy",VLOOKUP(B157,Trades!$B$9:$O$59,8,0),"")</f>
        <v/>
      </c>
      <c r="F157" s="290" t="str">
        <f aca="false">IF(VLOOKUP($B157,Trades!$B$9:$O$59,6,0)="Buy",VLOOKUP($B157,Trades!$B$9:$O$59,10,0),"")</f>
        <v/>
      </c>
      <c r="G157" s="330" t="str">
        <f aca="false">IF(VLOOKUP($B157,Trades!$B$9:$O$59,6,0)="Buy",VLOOKUP($B157,Trades!$B$9:$O$59,9,0),"")</f>
        <v/>
      </c>
      <c r="H157" s="330" t="e">
        <f aca="false">IF(C157="","",INDEX('Price Inputs'!$C$5:$J$49,MATCH(C157,'Price Inputs'!$C$5:$C$49,0),MATCH($E$2,'Price Inputs'!$C$5:$J$5,0)))</f>
        <v>#N/A</v>
      </c>
      <c r="I157" s="264" t="n">
        <f aca="false">IF(VLOOKUP($B157,Trades!$B$9:$O$59,6,0)="Sell",VLOOKUP($B157,Trades!$B$9:$O$59,8,0),0)</f>
        <v>0</v>
      </c>
      <c r="J157" s="290" t="str">
        <f aca="false">IF(VLOOKUP($B157,Trades!$B$9:$O$59,6,0)="Sell",VLOOKUP($B157,Trades!$B$9:$O$59,12,0),"")</f>
        <v/>
      </c>
      <c r="K157" s="330" t="str">
        <f aca="false">IF(VLOOKUP($B157,Trades!$B$9:$O$59,6,0)="Sell",VLOOKUP($B157,Trades!$B$9:$O$59,13,0),"")</f>
        <v/>
      </c>
      <c r="L157" s="502" t="str">
        <f aca="false">IF(E157="","",E157*G157)</f>
        <v/>
      </c>
      <c r="M157" s="502" t="e">
        <f aca="false">VLOOKUP(C157,'Portfolio Bucket'!$N$3:$Q$69,4,0)</f>
        <v>#N/A</v>
      </c>
      <c r="N157" s="502" t="e">
        <f aca="false">IF(C157="","",VLOOKUP(C157,'Portfolio Bucket'!$N$2:$Q$69,4,0)*I157)</f>
        <v>#N/A</v>
      </c>
      <c r="O157" s="502" t="str">
        <f aca="false">IF(ISNUMBER(H157),T157," ")</f>
        <v> </v>
      </c>
      <c r="P157" s="464" t="str">
        <f aca="false">IF(K157="","",I157*K157-N157)</f>
        <v/>
      </c>
      <c r="Q157" s="503" t="str">
        <f aca="false">IF($P157="","",K157*I157/N157-1)</f>
        <v/>
      </c>
      <c r="R157" s="464" t="e">
        <f aca="false">IF(J157="",O157-L157,0)</f>
        <v>#VALUE!</v>
      </c>
      <c r="S157" s="462" t="e">
        <f aca="false">IF($R157="","",$R157/$L157)</f>
        <v>#VALUE!</v>
      </c>
      <c r="T157" s="504" t="str">
        <f aca="false">IF(E157="","",IF(ISNUMBER(K157),0,E157*H157))</f>
        <v/>
      </c>
      <c r="U157" s="417" t="str">
        <f aca="false">IF(Trades!E55="","",Trades!E55)</f>
        <v/>
      </c>
      <c r="V157" s="417" t="str">
        <f aca="false">IF(Trades!F55="","",Trades!F55)</f>
        <v/>
      </c>
    </row>
    <row r="158" customFormat="false" ht="17.25" hidden="false" customHeight="true" outlineLevel="0" collapsed="false">
      <c r="B158" s="263" t="n">
        <v>25</v>
      </c>
      <c r="C158" s="264" t="n">
        <f aca="false">IF(ISERROR(VLOOKUP(B158,Trades!$B$9:$C$59,2,0)),"",VLOOKUP(B158,Trades!$B$9:$C$59,2,0))</f>
        <v>0</v>
      </c>
      <c r="D158" s="264" t="e">
        <f aca="false">IF(C158="","",VLOOKUP(C158,'ETF List'!$C$2:$E$90,3,0))</f>
        <v>#N/A</v>
      </c>
      <c r="E158" s="264" t="str">
        <f aca="false">IF(VLOOKUP(B158,Trades!$B$9:$O$59,6,0)="Buy",VLOOKUP(B158,Trades!$B$9:$O$59,8,0),"")</f>
        <v/>
      </c>
      <c r="F158" s="290" t="str">
        <f aca="false">IF(VLOOKUP($B158,Trades!$B$9:$O$59,6,0)="Buy",VLOOKUP($B158,Trades!$B$9:$O$59,10,0),"")</f>
        <v/>
      </c>
      <c r="G158" s="330" t="str">
        <f aca="false">IF(VLOOKUP($B158,Trades!$B$9:$O$59,6,0)="Buy",VLOOKUP($B158,Trades!$B$9:$O$59,9,0),"")</f>
        <v/>
      </c>
      <c r="H158" s="330" t="e">
        <f aca="false">IF(C158="","",INDEX('Price Inputs'!$C$5:$J$49,MATCH(C158,'Price Inputs'!$C$5:$C$49,0),MATCH($E$2,'Price Inputs'!$C$5:$J$5,0)))</f>
        <v>#N/A</v>
      </c>
      <c r="I158" s="264" t="n">
        <f aca="false">IF(VLOOKUP($B158,Trades!$B$9:$O$59,6,0)="Sell",VLOOKUP($B158,Trades!$B$9:$O$59,8,0),0)</f>
        <v>0</v>
      </c>
      <c r="J158" s="290" t="str">
        <f aca="false">IF(VLOOKUP($B158,Trades!$B$9:$O$59,6,0)="Sell",VLOOKUP($B158,Trades!$B$9:$O$59,12,0),"")</f>
        <v/>
      </c>
      <c r="K158" s="330" t="str">
        <f aca="false">IF(VLOOKUP($B158,Trades!$B$9:$O$59,6,0)="Sell",VLOOKUP($B158,Trades!$B$9:$O$59,13,0),"")</f>
        <v/>
      </c>
      <c r="L158" s="502" t="str">
        <f aca="false">IF(E158="","",E158*G158)</f>
        <v/>
      </c>
      <c r="M158" s="502" t="e">
        <f aca="false">VLOOKUP(C158,'Portfolio Bucket'!$N$3:$Q$69,4,0)</f>
        <v>#N/A</v>
      </c>
      <c r="N158" s="502" t="e">
        <f aca="false">IF(C158="","",VLOOKUP(C158,'Portfolio Bucket'!$N$2:$Q$69,4,0)*I158)</f>
        <v>#N/A</v>
      </c>
      <c r="O158" s="502" t="str">
        <f aca="false">IF(ISNUMBER(H158),T158," ")</f>
        <v> </v>
      </c>
      <c r="P158" s="464" t="str">
        <f aca="false">IF(K158="","",I158*K158-N158)</f>
        <v/>
      </c>
      <c r="Q158" s="503" t="str">
        <f aca="false">IF($P158="","",K158*I158/N158-1)</f>
        <v/>
      </c>
      <c r="R158" s="464" t="e">
        <f aca="false">IF(J158="",O158-L158,0)</f>
        <v>#VALUE!</v>
      </c>
      <c r="S158" s="462" t="e">
        <f aca="false">IF($R158="","",$R158/$L158)</f>
        <v>#VALUE!</v>
      </c>
      <c r="T158" s="504" t="str">
        <f aca="false">IF(E158="","",IF(ISNUMBER(K158),0,E158*H158))</f>
        <v/>
      </c>
      <c r="U158" s="417" t="str">
        <f aca="false">IF(Trades!E56="","",Trades!E56)</f>
        <v/>
      </c>
      <c r="V158" s="417" t="str">
        <f aca="false">IF(Trades!F56="","",Trades!F56)</f>
        <v/>
      </c>
    </row>
    <row r="159" customFormat="false" ht="17.25" hidden="false" customHeight="true" outlineLevel="0" collapsed="false">
      <c r="B159" s="263" t="n">
        <v>26</v>
      </c>
      <c r="C159" s="264" t="n">
        <f aca="false">IF(ISERROR(VLOOKUP(B159,Trades!$B$9:$C$59,2,0)),"",VLOOKUP(B159,Trades!$B$9:$C$59,2,0))</f>
        <v>0</v>
      </c>
      <c r="D159" s="264" t="e">
        <f aca="false">IF(C159="","",VLOOKUP(C159,'ETF List'!$C$2:$E$90,3,0))</f>
        <v>#N/A</v>
      </c>
      <c r="E159" s="264" t="str">
        <f aca="false">IF(VLOOKUP(B159,Trades!$B$9:$O$59,6,0)="Buy",VLOOKUP(B159,Trades!$B$9:$O$59,8,0),"")</f>
        <v/>
      </c>
      <c r="F159" s="290" t="str">
        <f aca="false">IF(VLOOKUP($B159,Trades!$B$9:$O$59,6,0)="Buy",VLOOKUP($B159,Trades!$B$9:$O$59,10,0),"")</f>
        <v/>
      </c>
      <c r="G159" s="330" t="str">
        <f aca="false">IF(VLOOKUP($B159,Trades!$B$9:$O$59,6,0)="Buy",VLOOKUP($B159,Trades!$B$9:$O$59,9,0),"")</f>
        <v/>
      </c>
      <c r="H159" s="330" t="e">
        <f aca="false">IF(C159="","",INDEX('Price Inputs'!$C$5:$J$49,MATCH(C159,'Price Inputs'!$C$5:$C$49,0),MATCH($E$2,'Price Inputs'!$C$5:$J$5,0)))</f>
        <v>#N/A</v>
      </c>
      <c r="I159" s="264" t="n">
        <f aca="false">IF(VLOOKUP($B159,Trades!$B$9:$O$59,6,0)="Sell",VLOOKUP($B159,Trades!$B$9:$O$59,8,0),0)</f>
        <v>0</v>
      </c>
      <c r="J159" s="290" t="str">
        <f aca="false">IF(VLOOKUP($B159,Trades!$B$9:$O$59,6,0)="Sell",VLOOKUP($B159,Trades!$B$9:$O$59,12,0),"")</f>
        <v/>
      </c>
      <c r="K159" s="330" t="str">
        <f aca="false">IF(VLOOKUP($B159,Trades!$B$9:$O$59,6,0)="Sell",VLOOKUP($B159,Trades!$B$9:$O$59,13,0),"")</f>
        <v/>
      </c>
      <c r="L159" s="502" t="str">
        <f aca="false">IF(E159="","",E159*G159)</f>
        <v/>
      </c>
      <c r="M159" s="502" t="e">
        <f aca="false">VLOOKUP(C159,'Portfolio Bucket'!$N$3:$Q$69,4,0)</f>
        <v>#N/A</v>
      </c>
      <c r="N159" s="502" t="e">
        <f aca="false">IF(C159="","",VLOOKUP(C159,'Portfolio Bucket'!$N$2:$Q$69,4,0)*I159)</f>
        <v>#N/A</v>
      </c>
      <c r="O159" s="502" t="str">
        <f aca="false">IF(ISNUMBER(H159),T159," ")</f>
        <v> </v>
      </c>
      <c r="P159" s="464" t="str">
        <f aca="false">IF(K159="","",I159*K159-N159)</f>
        <v/>
      </c>
      <c r="Q159" s="503" t="str">
        <f aca="false">IF($P159="","",K159*I159/N159-1)</f>
        <v/>
      </c>
      <c r="R159" s="464" t="e">
        <f aca="false">IF(J159="",O159-L159,0)</f>
        <v>#VALUE!</v>
      </c>
      <c r="S159" s="462" t="e">
        <f aca="false">IF($R159="","",$R159/$L159)</f>
        <v>#VALUE!</v>
      </c>
      <c r="T159" s="504" t="str">
        <f aca="false">IF(E159="","",IF(ISNUMBER(K159),0,E159*H159))</f>
        <v/>
      </c>
      <c r="U159" s="417" t="str">
        <f aca="false">IF(Trades!E57="","",Trades!E57)</f>
        <v/>
      </c>
      <c r="V159" s="417" t="str">
        <f aca="false">IF(Trades!F57="","",Trades!F57)</f>
        <v/>
      </c>
    </row>
    <row r="160" customFormat="false" ht="17.25" hidden="false" customHeight="true" outlineLevel="0" collapsed="false">
      <c r="B160" s="263" t="n">
        <v>27</v>
      </c>
      <c r="C160" s="264" t="n">
        <f aca="false">IF(ISERROR(VLOOKUP(B160,Trades!$B$9:$C$59,2,0)),"",VLOOKUP(B160,Trades!$B$9:$C$59,2,0))</f>
        <v>0</v>
      </c>
      <c r="D160" s="264" t="e">
        <f aca="false">IF(C160="","",VLOOKUP(C160,'ETF List'!$C$2:$E$90,3,0))</f>
        <v>#N/A</v>
      </c>
      <c r="E160" s="264" t="str">
        <f aca="false">IF(VLOOKUP(B160,Trades!$B$9:$O$59,6,0)="Buy",VLOOKUP(B160,Trades!$B$9:$O$59,8,0),"")</f>
        <v/>
      </c>
      <c r="F160" s="290" t="str">
        <f aca="false">IF(VLOOKUP($B160,Trades!$B$9:$O$59,6,0)="Buy",VLOOKUP($B160,Trades!$B$9:$O$59,10,0),"")</f>
        <v/>
      </c>
      <c r="G160" s="330" t="str">
        <f aca="false">IF(VLOOKUP($B160,Trades!$B$9:$O$59,6,0)="Buy",VLOOKUP($B160,Trades!$B$9:$O$59,9,0),"")</f>
        <v/>
      </c>
      <c r="H160" s="330" t="e">
        <f aca="false">IF(C160="","",INDEX('Price Inputs'!$C$5:$J$49,MATCH(C160,'Price Inputs'!$C$5:$C$49,0),MATCH($E$2,'Price Inputs'!$C$5:$J$5,0)))</f>
        <v>#N/A</v>
      </c>
      <c r="I160" s="264" t="n">
        <f aca="false">IF(VLOOKUP($B160,Trades!$B$9:$O$59,6,0)="Sell",VLOOKUP($B160,Trades!$B$9:$O$59,8,0),0)</f>
        <v>0</v>
      </c>
      <c r="J160" s="290" t="str">
        <f aca="false">IF(VLOOKUP($B160,Trades!$B$9:$O$59,6,0)="Sell",VLOOKUP($B160,Trades!$B$9:$O$59,12,0),"")</f>
        <v/>
      </c>
      <c r="K160" s="330" t="str">
        <f aca="false">IF(VLOOKUP($B160,Trades!$B$9:$O$59,6,0)="Sell",VLOOKUP($B160,Trades!$B$9:$O$59,13,0),"")</f>
        <v/>
      </c>
      <c r="L160" s="502" t="str">
        <f aca="false">IF(E160="","",E160*G160)</f>
        <v/>
      </c>
      <c r="M160" s="502" t="e">
        <f aca="false">VLOOKUP(C160,'Portfolio Bucket'!$N$3:$Q$69,4,0)</f>
        <v>#N/A</v>
      </c>
      <c r="N160" s="502" t="e">
        <f aca="false">IF(C160="","",VLOOKUP(C160,'Portfolio Bucket'!$N$2:$Q$69,4,0)*I160)</f>
        <v>#N/A</v>
      </c>
      <c r="O160" s="502" t="str">
        <f aca="false">IF(ISNUMBER(H160),T160," ")</f>
        <v> </v>
      </c>
      <c r="P160" s="464" t="str">
        <f aca="false">IF(K160="","",I160*K160-N160)</f>
        <v/>
      </c>
      <c r="Q160" s="503" t="str">
        <f aca="false">IF($P160="","",K160*I160/N160-1)</f>
        <v/>
      </c>
      <c r="R160" s="464" t="e">
        <f aca="false">IF(J160="",O160-L160,0)</f>
        <v>#VALUE!</v>
      </c>
      <c r="S160" s="462" t="e">
        <f aca="false">IF($R160="","",$R160/$L160)</f>
        <v>#VALUE!</v>
      </c>
      <c r="T160" s="504" t="str">
        <f aca="false">IF(E160="","",IF(ISNUMBER(K160),0,E160*H160))</f>
        <v/>
      </c>
      <c r="U160" s="417" t="str">
        <f aca="false">IF(Trades!E58="","",Trades!E58)</f>
        <v/>
      </c>
      <c r="V160" s="417" t="str">
        <f aca="false">IF(Trades!F58="","",Trades!F58)</f>
        <v/>
      </c>
    </row>
    <row r="161" customFormat="false" ht="17.25" hidden="false" customHeight="true" outlineLevel="0" collapsed="false">
      <c r="B161" s="263" t="n">
        <v>28</v>
      </c>
      <c r="C161" s="264" t="n">
        <f aca="false">IF(ISERROR(VLOOKUP(B161,Trades!$B$9:$C$59,2,0)),"",VLOOKUP(B161,Trades!$B$9:$C$59,2,0))</f>
        <v>0</v>
      </c>
      <c r="D161" s="264" t="e">
        <f aca="false">IF(C161="","",VLOOKUP(C161,'ETF List'!$C$2:$E$90,3,0))</f>
        <v>#N/A</v>
      </c>
      <c r="E161" s="264" t="str">
        <f aca="false">IF(VLOOKUP(B161,Trades!$B$9:$O$59,6,0)="Buy",VLOOKUP(B161,Trades!$B$9:$O$59,8,0),"")</f>
        <v/>
      </c>
      <c r="F161" s="290" t="str">
        <f aca="false">IF(VLOOKUP($B161,Trades!$B$9:$O$59,6,0)="Buy",VLOOKUP($B161,Trades!$B$9:$O$59,10,0),"")</f>
        <v/>
      </c>
      <c r="G161" s="330" t="str">
        <f aca="false">IF(VLOOKUP($B161,Trades!$B$9:$O$59,6,0)="Buy",VLOOKUP($B161,Trades!$B$9:$O$59,9,0),"")</f>
        <v/>
      </c>
      <c r="H161" s="330" t="e">
        <f aca="false">IF(C161="","",INDEX('Price Inputs'!$C$5:$J$49,MATCH(C161,'Price Inputs'!$C$5:$C$49,0),MATCH($E$2,'Price Inputs'!$C$5:$J$5,0)))</f>
        <v>#N/A</v>
      </c>
      <c r="I161" s="264" t="n">
        <f aca="false">IF(VLOOKUP($B161,Trades!$B$9:$O$59,6,0)="Sell",VLOOKUP($B161,Trades!$B$9:$O$59,8,0),0)</f>
        <v>0</v>
      </c>
      <c r="J161" s="290" t="str">
        <f aca="false">IF(VLOOKUP($B161,Trades!$B$9:$O$59,6,0)="Sell",VLOOKUP($B161,Trades!$B$9:$O$59,12,0),"")</f>
        <v/>
      </c>
      <c r="K161" s="330" t="str">
        <f aca="false">IF(VLOOKUP($B161,Trades!$B$9:$O$59,6,0)="Sell",VLOOKUP($B161,Trades!$B$9:$O$59,13,0),"")</f>
        <v/>
      </c>
      <c r="L161" s="502" t="str">
        <f aca="false">IF(E161="","",E161*G161)</f>
        <v/>
      </c>
      <c r="M161" s="502" t="e">
        <f aca="false">VLOOKUP(C161,'Portfolio Bucket'!$N$3:$Q$69,4,0)</f>
        <v>#N/A</v>
      </c>
      <c r="N161" s="502" t="e">
        <f aca="false">IF(C161="","",VLOOKUP(C161,'Portfolio Bucket'!$N$2:$Q$69,4,0)*I161)</f>
        <v>#N/A</v>
      </c>
      <c r="O161" s="502" t="str">
        <f aca="false">IF(ISNUMBER(H161),T161," ")</f>
        <v> </v>
      </c>
      <c r="P161" s="464" t="str">
        <f aca="false">IF(K161="","",I161*K161-N161)</f>
        <v/>
      </c>
      <c r="Q161" s="503" t="str">
        <f aca="false">IF($P161="","",K161*I161/N161-1)</f>
        <v/>
      </c>
      <c r="R161" s="464" t="e">
        <f aca="false">IF(J161="",O161-L161,0)</f>
        <v>#VALUE!</v>
      </c>
      <c r="S161" s="462" t="e">
        <f aca="false">IF($R161="","",$R161/$L161)</f>
        <v>#VALUE!</v>
      </c>
      <c r="T161" s="504" t="str">
        <f aca="false">IF(E161="","",IF(ISNUMBER(K161),0,E161*H161))</f>
        <v/>
      </c>
      <c r="U161" s="417" t="str">
        <f aca="false">IF(Trades!E59="","",Trades!E59)</f>
        <v/>
      </c>
      <c r="V161" s="417" t="str">
        <f aca="false">IF(Trades!F59="","",Trades!F59)</f>
        <v/>
      </c>
    </row>
    <row r="162" customFormat="false" ht="17.25" hidden="false" customHeight="true" outlineLevel="0" collapsed="false">
      <c r="B162" s="263" t="n">
        <v>29</v>
      </c>
      <c r="C162" s="264" t="n">
        <f aca="false">IF(ISERROR(VLOOKUP(B163,Trades!$B$9:$C$59,2,0)),"",VLOOKUP(B163,Trades!$B$9:$C$59,2,0))</f>
        <v>0</v>
      </c>
      <c r="D162" s="264" t="e">
        <f aca="false">IF(C163="","",VLOOKUP(C163,'ETF List'!$C$2:$E$90,3,0))</f>
        <v>#N/A</v>
      </c>
      <c r="E162" s="264" t="str">
        <f aca="false">IF(VLOOKUP(B163,Trades!$B$9:$O$59,6,0)="Buy",VLOOKUP(B163,Trades!$B$9:$O$59,8,0),"")</f>
        <v/>
      </c>
      <c r="F162" s="290" t="str">
        <f aca="false">IF(VLOOKUP($B163,Trades!$B$9:$O$59,6,0)="Buy",VLOOKUP($B163,Trades!$B$9:$O$59,10,0),"")</f>
        <v/>
      </c>
      <c r="G162" s="330" t="str">
        <f aca="false">IF(VLOOKUP($B163,Trades!$B$9:$O$59,6,0)="Buy",VLOOKUP($B163,Trades!$B$9:$O$59,9,0),"")</f>
        <v/>
      </c>
      <c r="H162" s="330" t="e">
        <f aca="false">IF(C163="","",INDEX('Price Inputs'!$C$5:$J$49,MATCH(C163,'Price Inputs'!$C$5:$C$49,0),MATCH($E$2,'Price Inputs'!$C$5:$J$5,0)))</f>
        <v>#N/A</v>
      </c>
      <c r="I162" s="264" t="n">
        <f aca="false">IF(VLOOKUP($B163,Trades!$B$9:$O$59,6,0)="Sell",VLOOKUP($B163,Trades!$B$9:$O$59,8,0),0)</f>
        <v>0</v>
      </c>
      <c r="J162" s="290" t="str">
        <f aca="false">IF(VLOOKUP($B163,Trades!$B$9:$O$59,6,0)="Sell",VLOOKUP($B163,Trades!$B$9:$O$59,12,0),"")</f>
        <v/>
      </c>
      <c r="K162" s="330" t="str">
        <f aca="false">IF(VLOOKUP($B163,Trades!$B$9:$O$59,6,0)="Sell",VLOOKUP($B163,Trades!$B$9:$O$59,13,0),"")</f>
        <v/>
      </c>
      <c r="L162" s="502" t="str">
        <f aca="false">IF(E162="","",E162*G162)</f>
        <v/>
      </c>
      <c r="M162" s="502" t="e">
        <f aca="false">VLOOKUP(C162,'Portfolio Bucket'!$N$3:$Q$69,4,0)</f>
        <v>#N/A</v>
      </c>
      <c r="N162" s="502" t="e">
        <f aca="false">IF(C163="","",VLOOKUP(C163,'Portfolio Bucket'!$N$2:$Q$69,4,0)*I163)</f>
        <v>#N/A</v>
      </c>
      <c r="O162" s="502" t="str">
        <f aca="false">IF(ISNUMBER(H163),T163," ")</f>
        <v> </v>
      </c>
      <c r="P162" s="464" t="str">
        <f aca="false">IF(K163="","",I163*K163-N163)</f>
        <v/>
      </c>
      <c r="Q162" s="503" t="str">
        <f aca="false">IF($P163="","",K163*I163/N163-1)</f>
        <v/>
      </c>
      <c r="R162" s="464" t="e">
        <f aca="false">IF(J162="",O162-L162,0)</f>
        <v>#VALUE!</v>
      </c>
      <c r="S162" s="462" t="e">
        <f aca="false">IF($R163="","",$R163/$L163)</f>
        <v>#VALUE!</v>
      </c>
      <c r="T162" s="504" t="str">
        <f aca="false">IF(E162="","",IF(ISNUMBER(K162),0,E162*H162))</f>
        <v/>
      </c>
      <c r="U162" s="417" t="str">
        <f aca="false">IF(Trades!E60="","",Trades!E60)</f>
        <v/>
      </c>
      <c r="V162" s="417" t="str">
        <f aca="false">IF(Trades!F60="","",Trades!F60)</f>
        <v/>
      </c>
    </row>
    <row r="163" customFormat="false" ht="17.25" hidden="false" customHeight="true" outlineLevel="0" collapsed="false">
      <c r="B163" s="263" t="n">
        <v>30</v>
      </c>
      <c r="C163" s="264" t="n">
        <f aca="false">IF(ISERROR(VLOOKUP(B163,Trades!$B$9:$C$59,2,0)),"",VLOOKUP(B163,Trades!$B$9:$C$59,2,0))</f>
        <v>0</v>
      </c>
      <c r="D163" s="264" t="e">
        <f aca="false">IF(C163="","",VLOOKUP(C163,'ETF List'!$C$2:$E$90,3,0))</f>
        <v>#N/A</v>
      </c>
      <c r="E163" s="264" t="str">
        <f aca="false">IF(VLOOKUP(B163,Trades!$B$9:$O$59,6,0)="Buy",VLOOKUP(B163,Trades!$B$9:$O$59,8,0),"")</f>
        <v/>
      </c>
      <c r="F163" s="290" t="str">
        <f aca="false">IF(VLOOKUP($B163,Trades!$B$9:$O$59,6,0)="Buy",VLOOKUP($B163,Trades!$B$9:$O$59,10,0),"")</f>
        <v/>
      </c>
      <c r="G163" s="330" t="str">
        <f aca="false">IF(VLOOKUP($B163,Trades!$B$9:$O$59,6,0)="Buy",VLOOKUP($B163,Trades!$B$9:$O$59,9,0),"")</f>
        <v/>
      </c>
      <c r="H163" s="330" t="e">
        <f aca="false">IF(C163="","",INDEX('Price Inputs'!$C$5:$J$49,MATCH(C163,'Price Inputs'!$C$5:$C$49,0),MATCH($E$2,'Price Inputs'!$C$5:$J$5,0)))</f>
        <v>#N/A</v>
      </c>
      <c r="I163" s="264" t="n">
        <f aca="false">IF(VLOOKUP($B163,Trades!$B$9:$O$59,6,0)="Sell",VLOOKUP($B163,Trades!$B$9:$O$59,8,0),0)</f>
        <v>0</v>
      </c>
      <c r="J163" s="290" t="str">
        <f aca="false">IF(VLOOKUP($B163,Trades!$B$9:$O$59,6,0)="Sell",VLOOKUP($B163,Trades!$B$9:$O$59,12,0),"")</f>
        <v/>
      </c>
      <c r="K163" s="330" t="str">
        <f aca="false">IF(VLOOKUP($B163,Trades!$B$9:$O$59,6,0)="Sell",VLOOKUP($B163,Trades!$B$9:$O$59,13,0),"")</f>
        <v/>
      </c>
      <c r="L163" s="502" t="str">
        <f aca="false">IF(E163="","",E163*G163)</f>
        <v/>
      </c>
      <c r="M163" s="502" t="e">
        <f aca="false">VLOOKUP(C163,'Portfolio Bucket'!$N$3:$Q$69,4,0)</f>
        <v>#N/A</v>
      </c>
      <c r="N163" s="502" t="e">
        <f aca="false">IF(C163="","",VLOOKUP(C163,'Portfolio Bucket'!$N$2:$Q$69,4,0)*I163)</f>
        <v>#N/A</v>
      </c>
      <c r="P163" s="464" t="str">
        <f aca="false">IF(K163="","",I163*K163-N163)</f>
        <v/>
      </c>
      <c r="Q163" s="503" t="str">
        <f aca="false">IF($P163="","",K163*I163/N163-1)</f>
        <v/>
      </c>
      <c r="R163" s="464" t="e">
        <f aca="false">IF(J163="",O163-L163,0)</f>
        <v>#VALUE!</v>
      </c>
      <c r="S163" s="462" t="e">
        <f aca="false">IF($R164="","",$R164/$L164)</f>
        <v>#VALUE!</v>
      </c>
      <c r="T163" s="504" t="str">
        <f aca="false">IF(E163="","",IF(ISNUMBER(K163),0,E163*H163))</f>
        <v/>
      </c>
      <c r="U163" s="417" t="str">
        <f aca="false">IF(Trades!E61="","",Trades!E61)</f>
        <v/>
      </c>
      <c r="V163" s="417" t="str">
        <f aca="false">IF(Trades!F61="","",Trades!F61)</f>
        <v/>
      </c>
    </row>
    <row r="164" customFormat="false" ht="17.25" hidden="false" customHeight="true" outlineLevel="0" collapsed="false">
      <c r="B164" s="263" t="n">
        <v>31</v>
      </c>
      <c r="C164" s="264" t="n">
        <f aca="false">IF(ISERROR(VLOOKUP(B164,Trades!$B$9:$C$59,2,0)),"",VLOOKUP(B164,Trades!$B$9:$C$59,2,0))</f>
        <v>0</v>
      </c>
      <c r="D164" s="264" t="e">
        <f aca="false">IF(C164="","",VLOOKUP(C164,'ETF List'!$C$2:$E$90,3,0))</f>
        <v>#N/A</v>
      </c>
      <c r="E164" s="264" t="str">
        <f aca="false">IF(VLOOKUP(B164,Trades!$B$9:$O$59,6,0)="Buy",VLOOKUP(B164,Trades!$B$9:$O$59,8,0),"")</f>
        <v/>
      </c>
      <c r="F164" s="290" t="str">
        <f aca="false">IF(VLOOKUP($B164,Trades!$B$9:$O$59,6,0)="Buy",VLOOKUP($B164,Trades!$B$9:$O$59,10,0),"")</f>
        <v/>
      </c>
      <c r="G164" s="330" t="str">
        <f aca="false">IF(VLOOKUP($B164,Trades!$B$9:$O$59,6,0)="Buy",VLOOKUP($B164,Trades!$B$9:$O$59,9,0),"")</f>
        <v/>
      </c>
      <c r="H164" s="330" t="e">
        <f aca="false">IF(C164="","",INDEX('Price Inputs'!$C$5:$J$49,MATCH(C164,'Price Inputs'!$C$5:$C$49,0),MATCH($E$2,'Price Inputs'!$C$5:$J$5,0)))</f>
        <v>#N/A</v>
      </c>
      <c r="I164" s="264" t="n">
        <f aca="false">IF(VLOOKUP($B164,Trades!$B$9:$O$59,6,0)="Sell",VLOOKUP($B164,Trades!$B$9:$O$59,8,0),0)</f>
        <v>0</v>
      </c>
      <c r="J164" s="290" t="str">
        <f aca="false">IF(VLOOKUP($B164,Trades!$B$9:$O$59,6,0)="Sell",VLOOKUP($B164,Trades!$B$9:$O$59,12,0),"")</f>
        <v/>
      </c>
      <c r="K164" s="330" t="str">
        <f aca="false">IF(VLOOKUP($B164,Trades!$B$9:$O$59,6,0)="Sell",VLOOKUP($B164,Trades!$B$9:$O$59,13,0),"")</f>
        <v/>
      </c>
      <c r="L164" s="502" t="str">
        <f aca="false">IF(E164="","",E164*G164)</f>
        <v/>
      </c>
      <c r="M164" s="502" t="e">
        <f aca="false">VLOOKUP(C164,'Portfolio Bucket'!$N$3:$Q$69,4,0)</f>
        <v>#N/A</v>
      </c>
      <c r="N164" s="502" t="e">
        <f aca="false">IF(C164="","",VLOOKUP(C164,'Portfolio Bucket'!$N$2:$Q$69,4,0)*I164)</f>
        <v>#N/A</v>
      </c>
      <c r="O164" s="502"/>
      <c r="P164" s="464" t="str">
        <f aca="false">IF(K164="","",I164*K164-N164)</f>
        <v/>
      </c>
      <c r="Q164" s="503" t="str">
        <f aca="false">IF($P164="","",K164*I164/N164-1)</f>
        <v/>
      </c>
      <c r="R164" s="464" t="e">
        <f aca="false">IF(J164="",O164-L164,0)</f>
        <v>#VALUE!</v>
      </c>
      <c r="S164" s="462" t="e">
        <f aca="false">IF($R165="","",$R165/$L165)</f>
        <v>#VALUE!</v>
      </c>
      <c r="T164" s="504" t="str">
        <f aca="false">IF(E164="","",IF(ISNUMBER(K164),0,E164*H164))</f>
        <v/>
      </c>
      <c r="U164" s="417" t="str">
        <f aca="false">IF(Trades!E62="","",Trades!E62)</f>
        <v/>
      </c>
      <c r="V164" s="417" t="str">
        <f aca="false">IF(Trades!F62="","",Trades!F62)</f>
        <v/>
      </c>
    </row>
    <row r="165" customFormat="false" ht="17.25" hidden="false" customHeight="true" outlineLevel="0" collapsed="false">
      <c r="B165" s="263" t="n">
        <v>32</v>
      </c>
      <c r="C165" s="264" t="n">
        <f aca="false">IF(ISERROR(VLOOKUP(B165,Trades!$B$9:$C$59,2,0)),"",VLOOKUP(B165,Trades!$B$9:$C$59,2,0))</f>
        <v>0</v>
      </c>
      <c r="D165" s="264" t="e">
        <f aca="false">IF(C165="","",VLOOKUP(C165,'ETF List'!$C$2:$E$90,3,0))</f>
        <v>#N/A</v>
      </c>
      <c r="E165" s="264" t="str">
        <f aca="false">IF(VLOOKUP(B165,Trades!$B$9:$O$59,6,0)="Buy",VLOOKUP(B165,Trades!$B$9:$O$59,8,0),"")</f>
        <v/>
      </c>
      <c r="F165" s="290" t="str">
        <f aca="false">IF(VLOOKUP($B165,Trades!$B$9:$O$59,6,0)="Buy",VLOOKUP($B165,Trades!$B$9:$O$59,10,0),"")</f>
        <v/>
      </c>
      <c r="G165" s="330" t="str">
        <f aca="false">IF(VLOOKUP($B165,Trades!$B$9:$O$59,6,0)="Buy",VLOOKUP($B165,Trades!$B$9:$O$59,9,0),"")</f>
        <v/>
      </c>
      <c r="H165" s="330" t="e">
        <f aca="false">IF(C165="","",INDEX('Price Inputs'!$C$5:$J$49,MATCH(C165,'Price Inputs'!$C$5:$C$49,0),MATCH($E$2,'Price Inputs'!$C$5:$J$5,0)))</f>
        <v>#N/A</v>
      </c>
      <c r="I165" s="264" t="n">
        <f aca="false">IF(VLOOKUP($B165,Trades!$B$9:$O$59,6,0)="Sell",VLOOKUP($B165,Trades!$B$9:$O$59,8,0),0)</f>
        <v>0</v>
      </c>
      <c r="J165" s="290" t="str">
        <f aca="false">IF(VLOOKUP($B165,Trades!$B$9:$O$59,6,0)="Sell",VLOOKUP($B165,Trades!$B$9:$O$59,12,0),"")</f>
        <v/>
      </c>
      <c r="K165" s="330" t="str">
        <f aca="false">IF(VLOOKUP($B165,Trades!$B$9:$O$59,6,0)="Sell",VLOOKUP($B165,Trades!$B$9:$O$59,13,0),"")</f>
        <v/>
      </c>
      <c r="L165" s="502" t="str">
        <f aca="false">IF(E165="","",E165*G165)</f>
        <v/>
      </c>
      <c r="M165" s="502" t="e">
        <f aca="false">VLOOKUP(C165,'Portfolio Bucket'!$N$3:$Q$69,4,0)</f>
        <v>#N/A</v>
      </c>
      <c r="N165" s="502" t="e">
        <f aca="false">IF(C165="","",VLOOKUP(C165,'Portfolio Bucket'!$N$2:$Q$69,4,0)*I165)</f>
        <v>#N/A</v>
      </c>
      <c r="P165" s="464" t="str">
        <f aca="false">IF(K165="","",I165*K165-N165)</f>
        <v/>
      </c>
      <c r="Q165" s="503" t="str">
        <f aca="false">IF($P165="","",K165*I165/N165-1)</f>
        <v/>
      </c>
      <c r="R165" s="464" t="e">
        <f aca="false">IF(J165="",O165-L165,0)</f>
        <v>#VALUE!</v>
      </c>
      <c r="S165" s="462" t="e">
        <f aca="false">IF($R166="","",$R166/$L166)</f>
        <v>#VALUE!</v>
      </c>
      <c r="T165" s="504" t="str">
        <f aca="false">IF(E165="","",IF(ISNUMBER(K165),0,E165*H165))</f>
        <v/>
      </c>
      <c r="U165" s="417" t="str">
        <f aca="false">IF(Trades!E63="","",Trades!E63)</f>
        <v/>
      </c>
      <c r="V165" s="417" t="str">
        <f aca="false">IF(Trades!F63="","",Trades!F63)</f>
        <v/>
      </c>
    </row>
    <row r="166" customFormat="false" ht="17.25" hidden="false" customHeight="true" outlineLevel="0" collapsed="false">
      <c r="B166" s="263" t="n">
        <v>33</v>
      </c>
      <c r="C166" s="264" t="n">
        <f aca="false">IF(ISERROR(VLOOKUP(B166,Trades!$B$9:$C$59,2,0)),"",VLOOKUP(B166,Trades!$B$9:$C$59,2,0))</f>
        <v>0</v>
      </c>
      <c r="D166" s="264" t="e">
        <f aca="false">IF(C166="","",VLOOKUP(C166,'ETF List'!$C$2:$E$90,3,0))</f>
        <v>#N/A</v>
      </c>
      <c r="E166" s="264" t="str">
        <f aca="false">IF(VLOOKUP(B166,Trades!$B$9:$O$59,6,0)="Buy",VLOOKUP(B166,Trades!$B$9:$O$59,8,0),"")</f>
        <v/>
      </c>
      <c r="F166" s="290" t="str">
        <f aca="false">IF(VLOOKUP($B166,Trades!$B$9:$O$59,6,0)="Buy",VLOOKUP($B166,Trades!$B$9:$O$59,10,0),"")</f>
        <v/>
      </c>
      <c r="G166" s="330" t="str">
        <f aca="false">IF(VLOOKUP($B166,Trades!$B$9:$O$59,6,0)="Buy",VLOOKUP($B166,Trades!$B$9:$O$59,9,0),"")</f>
        <v/>
      </c>
      <c r="H166" s="330" t="e">
        <f aca="false">IF(C166="","",INDEX('Price Inputs'!$C$5:$J$49,MATCH(C166,'Price Inputs'!$C$5:$C$49,0),MATCH($E$2,'Price Inputs'!$C$5:$J$5,0)))</f>
        <v>#N/A</v>
      </c>
      <c r="I166" s="264" t="n">
        <f aca="false">IF(VLOOKUP($B166,Trades!$B$9:$O$59,6,0)="Sell",VLOOKUP($B166,Trades!$B$9:$O$59,8,0),0)</f>
        <v>0</v>
      </c>
      <c r="J166" s="290" t="str">
        <f aca="false">IF(VLOOKUP($B166,Trades!$B$9:$O$59,6,0)="Sell",VLOOKUP($B166,Trades!$B$9:$O$59,12,0),"")</f>
        <v/>
      </c>
      <c r="K166" s="330" t="str">
        <f aca="false">IF(VLOOKUP($B166,Trades!$B$9:$O$59,6,0)="Sell",VLOOKUP($B166,Trades!$B$9:$O$59,13,0),"")</f>
        <v/>
      </c>
      <c r="L166" s="502" t="str">
        <f aca="false">IF(E166="","",E166*G166)</f>
        <v/>
      </c>
      <c r="M166" s="502" t="e">
        <f aca="false">VLOOKUP(C166,'Portfolio Bucket'!$N$3:$Q$69,4,0)</f>
        <v>#N/A</v>
      </c>
      <c r="N166" s="502" t="e">
        <f aca="false">IF(C166="","",VLOOKUP(C166,'Portfolio Bucket'!$N$2:$Q$69,4,0)*I166)</f>
        <v>#N/A</v>
      </c>
      <c r="O166" s="502"/>
      <c r="P166" s="464" t="str">
        <f aca="false">IF(K166="","",I166*K166-N166)</f>
        <v/>
      </c>
      <c r="Q166" s="503" t="str">
        <f aca="false">IF($P166="","",K166*I166/N166-1)</f>
        <v/>
      </c>
      <c r="R166" s="464" t="e">
        <f aca="false">IF(J166="",O166-L166,0)</f>
        <v>#VALUE!</v>
      </c>
      <c r="S166" s="462" t="e">
        <f aca="false">IF($R167="","",$R167/$L167)</f>
        <v>#VALUE!</v>
      </c>
      <c r="T166" s="504" t="str">
        <f aca="false">IF(E166="","",IF(ISNUMBER(K166),0,E166*H166))</f>
        <v/>
      </c>
      <c r="U166" s="417" t="str">
        <f aca="false">IF(Trades!E64="","",Trades!E64)</f>
        <v/>
      </c>
      <c r="V166" s="417" t="str">
        <f aca="false">IF(Trades!F64="","",Trades!F64)</f>
        <v/>
      </c>
    </row>
    <row r="167" customFormat="false" ht="17.25" hidden="false" customHeight="true" outlineLevel="0" collapsed="false">
      <c r="B167" s="263" t="n">
        <v>34</v>
      </c>
      <c r="C167" s="264" t="n">
        <f aca="false">IF(ISERROR(VLOOKUP(B167,Trades!$B$9:$C$59,2,0)),"",VLOOKUP(B167,Trades!$B$9:$C$59,2,0))</f>
        <v>0</v>
      </c>
      <c r="D167" s="264" t="e">
        <f aca="false">IF(C167="","",VLOOKUP(C167,'ETF List'!$C$2:$E$90,3,0))</f>
        <v>#N/A</v>
      </c>
      <c r="E167" s="264" t="str">
        <f aca="false">IF(VLOOKUP(B167,Trades!$B$9:$O$59,6,0)="Buy",VLOOKUP(B167,Trades!$B$9:$O$59,8,0),"")</f>
        <v/>
      </c>
      <c r="F167" s="290" t="str">
        <f aca="false">IF(VLOOKUP($B167,Trades!$B$9:$O$59,6,0)="Buy",VLOOKUP($B167,Trades!$B$9:$O$59,10,0),"")</f>
        <v/>
      </c>
      <c r="G167" s="330" t="str">
        <f aca="false">IF(VLOOKUP($B167,Trades!$B$9:$O$59,6,0)="Buy",VLOOKUP($B167,Trades!$B$9:$O$59,9,0),"")</f>
        <v/>
      </c>
      <c r="H167" s="330" t="e">
        <f aca="false">IF(C167="","",INDEX('Price Inputs'!$C$5:$J$49,MATCH(C167,'Price Inputs'!$C$5:$C$49,0),MATCH($E$2,'Price Inputs'!$C$5:$J$5,0)))</f>
        <v>#N/A</v>
      </c>
      <c r="I167" s="264" t="n">
        <f aca="false">IF(VLOOKUP($B167,Trades!$B$9:$O$59,6,0)="Sell",VLOOKUP($B167,Trades!$B$9:$O$59,8,0),0)</f>
        <v>0</v>
      </c>
      <c r="J167" s="290" t="str">
        <f aca="false">IF(VLOOKUP($B167,Trades!$B$9:$O$59,6,0)="Sell",VLOOKUP($B167,Trades!$B$9:$O$59,12,0),"")</f>
        <v/>
      </c>
      <c r="K167" s="330" t="str">
        <f aca="false">IF(VLOOKUP($B167,Trades!$B$9:$O$59,6,0)="Sell",VLOOKUP($B167,Trades!$B$9:$O$59,13,0),"")</f>
        <v/>
      </c>
      <c r="L167" s="502" t="str">
        <f aca="false">IF(E167="","",E167*G167)</f>
        <v/>
      </c>
      <c r="M167" s="502" t="e">
        <f aca="false">VLOOKUP(C167,'Portfolio Bucket'!$N$3:$Q$69,4,0)</f>
        <v>#N/A</v>
      </c>
      <c r="N167" s="502" t="e">
        <f aca="false">IF(C167="","",VLOOKUP(C167,'Portfolio Bucket'!$N$2:$Q$69,4,0)*I167)</f>
        <v>#N/A</v>
      </c>
      <c r="P167" s="464" t="str">
        <f aca="false">IF(K167="","",I167*K167-N167)</f>
        <v/>
      </c>
      <c r="Q167" s="503" t="str">
        <f aca="false">IF($P167="","",K167*I167/N167-1)</f>
        <v/>
      </c>
      <c r="R167" s="464" t="e">
        <f aca="false">IF(J167="",O167-L167,0)</f>
        <v>#VALUE!</v>
      </c>
      <c r="S167" s="462" t="e">
        <f aca="false">IF($R168="","",$R168/$L168)</f>
        <v>#VALUE!</v>
      </c>
      <c r="T167" s="504" t="str">
        <f aca="false">IF(E167="","",IF(ISNUMBER(K167),0,E167*H167))</f>
        <v/>
      </c>
      <c r="U167" s="417" t="str">
        <f aca="false">IF(Trades!E65="","",Trades!E65)</f>
        <v/>
      </c>
      <c r="V167" s="417" t="str">
        <f aca="false">IF(Trades!F65="","",Trades!F65)</f>
        <v/>
      </c>
    </row>
    <row r="168" customFormat="false" ht="17.25" hidden="false" customHeight="true" outlineLevel="0" collapsed="false">
      <c r="B168" s="263" t="n">
        <v>35</v>
      </c>
      <c r="C168" s="264" t="n">
        <f aca="false">IF(ISERROR(VLOOKUP(B168,Trades!$B$9:$C$59,2,0)),"",VLOOKUP(B168,Trades!$B$9:$C$59,2,0))</f>
        <v>0</v>
      </c>
      <c r="D168" s="264" t="e">
        <f aca="false">IF(C168="","",VLOOKUP(C168,'ETF List'!$C$2:$E$90,3,0))</f>
        <v>#N/A</v>
      </c>
      <c r="E168" s="264" t="str">
        <f aca="false">IF(VLOOKUP(B168,Trades!$B$9:$O$59,6,0)="Buy",VLOOKUP(B168,Trades!$B$9:$O$59,8,0),"")</f>
        <v/>
      </c>
      <c r="F168" s="290" t="str">
        <f aca="false">IF(VLOOKUP($B168,Trades!$B$9:$O$59,6,0)="Buy",VLOOKUP($B168,Trades!$B$9:$O$59,10,0),"")</f>
        <v/>
      </c>
      <c r="G168" s="330" t="str">
        <f aca="false">IF(VLOOKUP($B168,Trades!$B$9:$O$59,6,0)="Buy",VLOOKUP($B168,Trades!$B$9:$O$59,9,0),"")</f>
        <v/>
      </c>
      <c r="H168" s="330" t="e">
        <f aca="false">IF(C168="","",INDEX('Price Inputs'!$C$5:$J$49,MATCH(C168,'Price Inputs'!$C$5:$C$49,0),MATCH($E$2,'Price Inputs'!$C$5:$J$5,0)))</f>
        <v>#N/A</v>
      </c>
      <c r="I168" s="264" t="n">
        <f aca="false">IF(VLOOKUP($B168,Trades!$B$9:$O$59,6,0)="Sell",VLOOKUP($B168,Trades!$B$9:$O$59,8,0),0)</f>
        <v>0</v>
      </c>
      <c r="J168" s="290" t="str">
        <f aca="false">IF(VLOOKUP($B168,Trades!$B$9:$O$59,6,0)="Sell",VLOOKUP($B168,Trades!$B$9:$O$59,12,0),"")</f>
        <v/>
      </c>
      <c r="K168" s="330" t="str">
        <f aca="false">IF(VLOOKUP($B168,Trades!$B$9:$O$59,6,0)="Sell",VLOOKUP($B168,Trades!$B$9:$O$59,13,0),"")</f>
        <v/>
      </c>
      <c r="L168" s="502" t="str">
        <f aca="false">IF(E168="","",E168*G168)</f>
        <v/>
      </c>
      <c r="M168" s="502" t="e">
        <f aca="false">VLOOKUP(C168,'Portfolio Bucket'!$N$3:$Q$69,4,0)</f>
        <v>#N/A</v>
      </c>
      <c r="N168" s="502" t="e">
        <f aca="false">IF(C168="","",VLOOKUP(C168,'Portfolio Bucket'!$N$2:$Q$69,4,0)*I168)</f>
        <v>#N/A</v>
      </c>
      <c r="P168" s="464" t="str">
        <f aca="false">IF(K168="","",I168*K168-N168)</f>
        <v/>
      </c>
      <c r="Q168" s="503" t="str">
        <f aca="false">IF($P168="","",K168*I168/N168-1)</f>
        <v/>
      </c>
      <c r="R168" s="464" t="e">
        <f aca="false">IF(J168="",O168-L168,0)</f>
        <v>#VALUE!</v>
      </c>
      <c r="S168" s="462" t="e">
        <f aca="false">IF($R169="","",$R169/$L169)</f>
        <v>#N/A</v>
      </c>
      <c r="T168" s="504" t="str">
        <f aca="false">IF(E168="","",IF(ISNUMBER(K168),0,E168*H168))</f>
        <v/>
      </c>
      <c r="U168" s="417" t="str">
        <f aca="false">IF(Trades!E66="","",Trades!E66)</f>
        <v/>
      </c>
      <c r="V168" s="417" t="str">
        <f aca="false">IF(Trades!F66="","",Trades!F66)</f>
        <v/>
      </c>
    </row>
    <row r="169" customFormat="false" ht="17.25" hidden="false" customHeight="true" outlineLevel="0" collapsed="false">
      <c r="B169" s="263" t="n">
        <v>36</v>
      </c>
      <c r="C169" s="264" t="str">
        <f aca="false">IF(ISERROR(VLOOKUP(B169,Trades!$B$9:$C$59,2,0)),"",VLOOKUP(B169,Trades!$B$9:$C$59,2,0))</f>
        <v/>
      </c>
      <c r="D169" s="264" t="str">
        <f aca="false">IF(C169="","",VLOOKUP(C169,'ETF List'!$C$2:$E$90,3,0))</f>
        <v/>
      </c>
      <c r="E169" s="264" t="e">
        <f aca="false">IF(VLOOKUP(B169,Trades!$B$9:$O$59,6,0)="Buy",VLOOKUP(B169,Trades!$B$9:$O$59,8,0),"")</f>
        <v>#N/A</v>
      </c>
      <c r="F169" s="290" t="e">
        <f aca="false">IF(VLOOKUP($B169,Trades!$B$9:$O$59,6,0)="Buy",VLOOKUP($B169,Trades!$B$9:$O$59,10,0),"")</f>
        <v>#N/A</v>
      </c>
      <c r="G169" s="330" t="e">
        <f aca="false">IF(VLOOKUP($B169,Trades!$B$9:$O$59,6,0)="Buy",VLOOKUP($B169,Trades!$B$9:$O$59,9,0),"")</f>
        <v>#N/A</v>
      </c>
      <c r="H169" s="330" t="str">
        <f aca="false">IF(C169="","",INDEX('Price Inputs'!$C$5:$J$49,MATCH(C169,'Price Inputs'!$C$5:$C$49,0),MATCH($E$2,'Price Inputs'!$C$5:$J$5,0)))</f>
        <v/>
      </c>
      <c r="I169" s="264" t="e">
        <f aca="false">IF(VLOOKUP($B169,Trades!$B$9:$O$59,6,0)="Sell",VLOOKUP($B169,Trades!$B$9:$O$59,8,0),0)</f>
        <v>#N/A</v>
      </c>
      <c r="J169" s="290" t="e">
        <f aca="false">IF(VLOOKUP($B169,Trades!$B$9:$O$59,6,0)="Sell",VLOOKUP($B169,Trades!$B$9:$O$59,12,0),"")</f>
        <v>#N/A</v>
      </c>
      <c r="K169" s="330" t="e">
        <f aca="false">IF(VLOOKUP($B169,Trades!$B$9:$O$59,6,0)="Sell",VLOOKUP($B169,Trades!$B$9:$O$59,13,0),"")</f>
        <v>#N/A</v>
      </c>
      <c r="L169" s="502" t="e">
        <f aca="false">IF(E169="","",E169*G169)</f>
        <v>#N/A</v>
      </c>
      <c r="M169" s="502" t="e">
        <f aca="false">VLOOKUP(C169,'Portfolio Bucket'!$N$3:$Q$69,4,0)</f>
        <v>#N/A</v>
      </c>
      <c r="N169" s="502" t="str">
        <f aca="false">IF(C169="","",VLOOKUP(C169,'Portfolio Bucket'!$N$2:$Q$69,4,0)*I169)</f>
        <v/>
      </c>
      <c r="P169" s="464" t="e">
        <f aca="false">IF(K169="","",I169*K169-N169)</f>
        <v>#N/A</v>
      </c>
      <c r="Q169" s="503" t="e">
        <f aca="false">IF($P169="","",K169*I169/N169-1)</f>
        <v>#N/A</v>
      </c>
      <c r="R169" s="464" t="e">
        <f aca="false">IF(J169="",O169-L169,0)</f>
        <v>#N/A</v>
      </c>
      <c r="S169" s="462" t="e">
        <f aca="false">IF($R170="","",$R170/$L170)</f>
        <v>#N/A</v>
      </c>
      <c r="T169" s="504" t="e">
        <f aca="false">IF(E169="","",IF(ISNUMBER(K169),0,E169*H169))</f>
        <v>#N/A</v>
      </c>
      <c r="U169" s="417" t="str">
        <f aca="false">IF(Trades!E67="","",Trades!E67)</f>
        <v/>
      </c>
      <c r="V169" s="417" t="str">
        <f aca="false">IF(Trades!F67="","",Trades!F67)</f>
        <v/>
      </c>
    </row>
    <row r="170" customFormat="false" ht="17.25" hidden="false" customHeight="true" outlineLevel="0" collapsed="false">
      <c r="B170" s="263" t="n">
        <v>37</v>
      </c>
      <c r="C170" s="264" t="str">
        <f aca="false">IF(ISERROR(VLOOKUP(B170,Trades!$B$9:$C$59,2,0)),"",VLOOKUP(B170,Trades!$B$9:$C$59,2,0))</f>
        <v/>
      </c>
      <c r="D170" s="264" t="str">
        <f aca="false">IF(C170="","",VLOOKUP(C170,'ETF List'!$C$2:$E$90,3,0))</f>
        <v/>
      </c>
      <c r="E170" s="264" t="e">
        <f aca="false">IF(VLOOKUP(B170,Trades!$B$9:$O$59,6,0)="Buy",VLOOKUP(B170,Trades!$B$9:$O$59,8,0),"")</f>
        <v>#N/A</v>
      </c>
      <c r="F170" s="290" t="e">
        <f aca="false">IF(VLOOKUP($B170,Trades!$B$9:$O$59,6,0)="Buy",VLOOKUP($B170,Trades!$B$9:$O$59,10,0),"")</f>
        <v>#N/A</v>
      </c>
      <c r="G170" s="330" t="e">
        <f aca="false">IF(VLOOKUP($B170,Trades!$B$9:$O$59,6,0)="Buy",VLOOKUP($B170,Trades!$B$9:$O$59,9,0),"")</f>
        <v>#N/A</v>
      </c>
      <c r="H170" s="330" t="str">
        <f aca="false">IF(C170="","",INDEX('Price Inputs'!$C$5:$J$49,MATCH(C170,'Price Inputs'!$C$5:$C$49,0),MATCH($E$2,'Price Inputs'!$C$5:$J$5,0)))</f>
        <v/>
      </c>
      <c r="I170" s="264" t="e">
        <f aca="false">IF(VLOOKUP($B170,Trades!$B$9:$O$59,6,0)="Sell",VLOOKUP($B170,Trades!$B$9:$O$59,8,0),0)</f>
        <v>#N/A</v>
      </c>
      <c r="J170" s="290" t="e">
        <f aca="false">IF(VLOOKUP($B170,Trades!$B$9:$O$59,6,0)="Sell",VLOOKUP($B170,Trades!$B$9:$O$59,12,0),"")</f>
        <v>#N/A</v>
      </c>
      <c r="K170" s="330" t="e">
        <f aca="false">IF(VLOOKUP($B170,Trades!$B$9:$O$59,6,0)="Sell",VLOOKUP($B170,Trades!$B$9:$O$59,13,0),"")</f>
        <v>#N/A</v>
      </c>
      <c r="L170" s="502" t="e">
        <f aca="false">IF(E170="","",E170*G170)</f>
        <v>#N/A</v>
      </c>
      <c r="M170" s="502" t="e">
        <f aca="false">VLOOKUP(C170,'Portfolio Bucket'!$N$3:$Q$69,4,0)</f>
        <v>#N/A</v>
      </c>
      <c r="N170" s="502" t="str">
        <f aca="false">IF(C170="","",VLOOKUP(C170,'Portfolio Bucket'!$N$2:$Q$69,4,0)*I170)</f>
        <v/>
      </c>
      <c r="P170" s="464" t="e">
        <f aca="false">IF(K170="","",I170*K170-N170)</f>
        <v>#N/A</v>
      </c>
      <c r="Q170" s="503" t="e">
        <f aca="false">IF($P170="","",K170*I170/N170-1)</f>
        <v>#N/A</v>
      </c>
      <c r="R170" s="464" t="e">
        <f aca="false">IF(J170="",O170-L170,0)</f>
        <v>#N/A</v>
      </c>
      <c r="S170" s="462" t="e">
        <f aca="false">IF($R171="","",$R171/$L171)</f>
        <v>#N/A</v>
      </c>
      <c r="T170" s="504" t="e">
        <f aca="false">IF(E170="","",IF(ISNUMBER(K170),0,E170*H170))</f>
        <v>#N/A</v>
      </c>
      <c r="U170" s="417" t="str">
        <f aca="false">IF(Trades!E68="","",Trades!E68)</f>
        <v/>
      </c>
      <c r="V170" s="417" t="str">
        <f aca="false">IF(Trades!F68="","",Trades!F68)</f>
        <v/>
      </c>
    </row>
    <row r="171" customFormat="false" ht="17.25" hidden="false" customHeight="true" outlineLevel="0" collapsed="false">
      <c r="B171" s="263" t="n">
        <v>38</v>
      </c>
      <c r="C171" s="264" t="str">
        <f aca="false">IF(ISERROR(VLOOKUP(B171,Trades!$B$9:$C$59,2,0)),"",VLOOKUP(B171,Trades!$B$9:$C$59,2,0))</f>
        <v/>
      </c>
      <c r="D171" s="264" t="str">
        <f aca="false">IF(C171="","",VLOOKUP(C171,'ETF List'!$C$2:$E$90,3,0))</f>
        <v/>
      </c>
      <c r="E171" s="264" t="e">
        <f aca="false">IF(VLOOKUP(B171,Trades!$B$9:$O$59,6,0)="Buy",VLOOKUP(B171,Trades!$B$9:$O$59,8,0),"")</f>
        <v>#N/A</v>
      </c>
      <c r="F171" s="290" t="e">
        <f aca="false">IF(VLOOKUP($B171,Trades!$B$9:$O$59,6,0)="Buy",VLOOKUP($B171,Trades!$B$9:$O$59,10,0),"")</f>
        <v>#N/A</v>
      </c>
      <c r="G171" s="330" t="e">
        <f aca="false">IF(VLOOKUP($B171,Trades!$B$9:$O$59,6,0)="Buy",VLOOKUP($B171,Trades!$B$9:$O$59,9,0),"")</f>
        <v>#N/A</v>
      </c>
      <c r="H171" s="330" t="str">
        <f aca="false">IF(C171="","",INDEX('Price Inputs'!$C$5:$J$49,MATCH(C171,'Price Inputs'!$C$5:$C$49,0),MATCH($E$2,'Price Inputs'!$C$5:$J$5,0)))</f>
        <v/>
      </c>
      <c r="I171" s="264" t="e">
        <f aca="false">IF(VLOOKUP($B171,Trades!$B$9:$O$59,6,0)="Sell",VLOOKUP($B171,Trades!$B$9:$O$59,8,0),0)</f>
        <v>#N/A</v>
      </c>
      <c r="J171" s="290" t="e">
        <f aca="false">IF(VLOOKUP($B171,Trades!$B$9:$O$59,6,0)="Sell",VLOOKUP($B171,Trades!$B$9:$O$59,12,0),"")</f>
        <v>#N/A</v>
      </c>
      <c r="K171" s="330" t="e">
        <f aca="false">IF(VLOOKUP($B171,Trades!$B$9:$O$59,6,0)="Sell",VLOOKUP($B171,Trades!$B$9:$O$59,13,0),"")</f>
        <v>#N/A</v>
      </c>
      <c r="L171" s="502" t="e">
        <f aca="false">IF(E171="","",E171*G171)</f>
        <v>#N/A</v>
      </c>
      <c r="M171" s="502" t="e">
        <f aca="false">VLOOKUP(C171,'Portfolio Bucket'!$N$3:$Q$69,4,0)</f>
        <v>#N/A</v>
      </c>
      <c r="N171" s="502" t="str">
        <f aca="false">IF(C171="","",VLOOKUP(C171,'Portfolio Bucket'!$N$2:$Q$69,4,0)*I171)</f>
        <v/>
      </c>
      <c r="P171" s="464" t="e">
        <f aca="false">IF(K171="","",I171*K171-N171)</f>
        <v>#N/A</v>
      </c>
      <c r="Q171" s="503" t="e">
        <f aca="false">IF($P171="","",K171*I171/N171-1)</f>
        <v>#N/A</v>
      </c>
      <c r="R171" s="464" t="e">
        <f aca="false">IF(J171="",O171-L171,0)</f>
        <v>#N/A</v>
      </c>
      <c r="S171" s="462" t="e">
        <f aca="false">IF($R172="","",$R172/$L172)</f>
        <v>#N/A</v>
      </c>
      <c r="T171" s="504" t="e">
        <f aca="false">IF(E171="","",IF(ISNUMBER(K171),0,E171*H171))</f>
        <v>#N/A</v>
      </c>
      <c r="U171" s="417" t="str">
        <f aca="false">IF(Trades!E69="","",Trades!E69)</f>
        <v/>
      </c>
      <c r="V171" s="417" t="str">
        <f aca="false">IF(Trades!F69="","",Trades!F69)</f>
        <v/>
      </c>
    </row>
    <row r="172" customFormat="false" ht="17.25" hidden="false" customHeight="true" outlineLevel="0" collapsed="false">
      <c r="B172" s="263" t="n">
        <v>39</v>
      </c>
      <c r="C172" s="264" t="str">
        <f aca="false">IF(ISERROR(VLOOKUP(B172,Trades!$B$9:$C$59,2,0)),"",VLOOKUP(B172,Trades!$B$9:$C$59,2,0))</f>
        <v/>
      </c>
      <c r="D172" s="264" t="str">
        <f aca="false">IF(C172="","",VLOOKUP(C172,'ETF List'!$C$2:$E$90,3,0))</f>
        <v/>
      </c>
      <c r="E172" s="264" t="e">
        <f aca="false">IF(VLOOKUP(B172,Trades!$B$9:$O$59,6,0)="Buy",VLOOKUP(B172,Trades!$B$9:$O$59,8,0),"")</f>
        <v>#N/A</v>
      </c>
      <c r="F172" s="290" t="e">
        <f aca="false">IF(VLOOKUP($B172,Trades!$B$9:$O$59,6,0)="Buy",VLOOKUP($B172,Trades!$B$9:$O$59,10,0),"")</f>
        <v>#N/A</v>
      </c>
      <c r="G172" s="330" t="e">
        <f aca="false">IF(VLOOKUP($B172,Trades!$B$9:$O$59,6,0)="Buy",VLOOKUP($B172,Trades!$B$9:$O$59,9,0),"")</f>
        <v>#N/A</v>
      </c>
      <c r="H172" s="330" t="str">
        <f aca="false">IF(C172="","",INDEX('Price Inputs'!$C$5:$J$49,MATCH(C172,'Price Inputs'!$C$5:$C$49,0),MATCH($E$2,'Price Inputs'!$C$5:$J$5,0)))</f>
        <v/>
      </c>
      <c r="I172" s="264" t="e">
        <f aca="false">IF(VLOOKUP($B172,Trades!$B$9:$O$59,6,0)="Sell",VLOOKUP($B172,Trades!$B$9:$O$59,8,0),0)</f>
        <v>#N/A</v>
      </c>
      <c r="J172" s="290" t="e">
        <f aca="false">IF(VLOOKUP($B172,Trades!$B$9:$O$59,6,0)="Sell",VLOOKUP($B172,Trades!$B$9:$O$59,12,0),"")</f>
        <v>#N/A</v>
      </c>
      <c r="K172" s="330" t="e">
        <f aca="false">IF(VLOOKUP($B172,Trades!$B$9:$O$59,6,0)="Sell",VLOOKUP($B172,Trades!$B$9:$O$59,13,0),"")</f>
        <v>#N/A</v>
      </c>
      <c r="L172" s="502" t="e">
        <f aca="false">IF(E172="","",E172*G172)</f>
        <v>#N/A</v>
      </c>
      <c r="M172" s="502" t="e">
        <f aca="false">VLOOKUP(C172,'Portfolio Bucket'!$N$3:$Q$69,4,0)</f>
        <v>#N/A</v>
      </c>
      <c r="N172" s="502" t="str">
        <f aca="false">IF(C172="","",VLOOKUP(C172,'Portfolio Bucket'!$N$2:$Q$69,4,0)*I172)</f>
        <v/>
      </c>
      <c r="P172" s="464" t="e">
        <f aca="false">IF(K172="","",I172*K172-N172)</f>
        <v>#N/A</v>
      </c>
      <c r="Q172" s="503" t="e">
        <f aca="false">IF($P172="","",K172*I172/N172-1)</f>
        <v>#N/A</v>
      </c>
      <c r="R172" s="464" t="e">
        <f aca="false">IF(J172="",O172-L172,0)</f>
        <v>#N/A</v>
      </c>
      <c r="S172" s="462" t="str">
        <f aca="false">IF($R173="","",$R173/$L173)</f>
        <v/>
      </c>
      <c r="T172" s="504" t="e">
        <f aca="false">IF(E172="","",IF(ISNUMBER(K172),0,E172*H172))</f>
        <v>#N/A</v>
      </c>
      <c r="U172" s="417" t="str">
        <f aca="false">IF(Trades!E70="","",Trades!E70)</f>
        <v/>
      </c>
      <c r="V172" s="417" t="str">
        <f aca="false">IF(Trades!F70="","",Trades!F70)</f>
        <v/>
      </c>
    </row>
    <row r="176" customFormat="false" ht="17.25" hidden="false" customHeight="true" outlineLevel="0" collapsed="false">
      <c r="C176" s="314" t="s">
        <v>1</v>
      </c>
      <c r="D176" s="314" t="s">
        <v>453</v>
      </c>
      <c r="E176" s="314" t="s">
        <v>454</v>
      </c>
      <c r="F176" s="314" t="s">
        <v>455</v>
      </c>
      <c r="G176" s="314" t="s">
        <v>456</v>
      </c>
      <c r="H176" s="314" t="s">
        <v>457</v>
      </c>
      <c r="I176" s="263" t="s">
        <v>458</v>
      </c>
    </row>
    <row r="177" customFormat="false" ht="17.25" hidden="false" customHeight="true" outlineLevel="0" collapsed="false">
      <c r="C177" s="314" t="str">
        <f aca="false" t="array" ref="C177:C206">Tickers</f>
        <v>BIV</v>
      </c>
      <c r="D177" s="505" t="n">
        <f aca="false">SUMIFS($L$134:$L$172,$C$134:$C$172,$C177)</f>
        <v>99962.52</v>
      </c>
      <c r="E177" s="505" t="n">
        <f aca="false">SUMIFS('Weekly  Sum'!$Y$8:$Y$38,'Weekly  Sum'!$B$8:$B$38,$C177)</f>
        <v>0</v>
      </c>
      <c r="F177" s="505" t="n">
        <f aca="false">E177-D177</f>
        <v>-99962.52</v>
      </c>
      <c r="G177" s="505" t="n">
        <f aca="false">IF(ISERROR(VLOOKUP(C177,$C$48:$J$77,4,0)*VLOOKUP(C177,$C$48:$J$77,6,0)),0,VLOOKUP(C177,$C$48:$J$77,4,0)*VLOOKUP(C177,$C$48:$J$77,6,0))</f>
        <v>0</v>
      </c>
      <c r="H177" s="506" t="n">
        <f aca="false">SUM(F177:G177)</f>
        <v>-99962.52</v>
      </c>
      <c r="I177" s="507" t="n">
        <f aca="false">H177/D177</f>
        <v>-1</v>
      </c>
    </row>
    <row r="178" customFormat="false" ht="17.25" hidden="false" customHeight="true" outlineLevel="0" collapsed="false">
      <c r="C178" s="314" t="str">
        <v>EEM</v>
      </c>
      <c r="D178" s="505" t="n">
        <f aca="false">SUMIFS($L$134:$L$172,$C$134:$C$172,$C178)</f>
        <v>150016.54</v>
      </c>
      <c r="E178" s="505" t="n">
        <f aca="false">SUMIFS('Weekly  Sum'!$Y$8:$Y$38,'Weekly  Sum'!$B$8:$B$38,$C178)</f>
        <v>0</v>
      </c>
      <c r="F178" s="505" t="n">
        <f aca="false">E178-D178</f>
        <v>-150016.54</v>
      </c>
      <c r="G178" s="505" t="n">
        <f aca="false">IF(ISERROR(VLOOKUP(C178,$C$48:$J$77,4,0)*VLOOKUP(C178,$C$48:$J$77,6,0)),0,VLOOKUP(C178,$C$48:$J$77,4,0)*VLOOKUP(C178,$C$48:$J$77,6,0))</f>
        <v>0</v>
      </c>
      <c r="H178" s="506" t="n">
        <f aca="false">SUM(F178:G178)</f>
        <v>-150016.54</v>
      </c>
      <c r="I178" s="507" t="n">
        <f aca="false">H178/D178</f>
        <v>-1</v>
      </c>
    </row>
    <row r="179" customFormat="false" ht="17.25" hidden="false" customHeight="true" outlineLevel="0" collapsed="false">
      <c r="C179" s="314" t="str">
        <v>EFA</v>
      </c>
      <c r="D179" s="505" t="n">
        <f aca="false">SUMIFS($L$134:$L$172,$C$134:$C$172,$C179)</f>
        <v>149973.3</v>
      </c>
      <c r="E179" s="505" t="n">
        <f aca="false">SUMIFS('Weekly  Sum'!$Y$8:$Y$38,'Weekly  Sum'!$B$8:$B$38,$C179)</f>
        <v>0</v>
      </c>
      <c r="F179" s="505" t="n">
        <f aca="false">E179-D179</f>
        <v>-149973.3</v>
      </c>
      <c r="G179" s="505" t="n">
        <f aca="false">IF(ISERROR(VLOOKUP(C179,$C$48:$J$77,4,0)*VLOOKUP(C179,$C$48:$J$77,6,0)),0,VLOOKUP(C179,$C$48:$J$77,4,0)*VLOOKUP(C179,$C$48:$J$77,6,0))</f>
        <v>98980</v>
      </c>
      <c r="H179" s="506" t="n">
        <f aca="false">SUM(F179:G179)</f>
        <v>-50993.3</v>
      </c>
      <c r="I179" s="507" t="n">
        <f aca="false">H179/D179</f>
        <v>-0.340015856155729</v>
      </c>
    </row>
    <row r="180" customFormat="false" ht="17.25" hidden="false" customHeight="true" outlineLevel="0" collapsed="false">
      <c r="C180" s="314" t="str">
        <v>HYG</v>
      </c>
      <c r="D180" s="505" t="n">
        <f aca="false">SUMIFS($L$134:$L$172,$C$134:$C$172,$C180)</f>
        <v>175003.38</v>
      </c>
      <c r="E180" s="505" t="n">
        <f aca="false">SUMIFS('Weekly  Sum'!$Y$8:$Y$38,'Weekly  Sum'!$B$8:$B$38,$C180)</f>
        <v>0</v>
      </c>
      <c r="F180" s="505" t="n">
        <f aca="false">E180-D180</f>
        <v>-175003.38</v>
      </c>
      <c r="G180" s="505" t="n">
        <f aca="false">IF(ISERROR(VLOOKUP(C180,$C$48:$J$77,4,0)*VLOOKUP(C180,$C$48:$J$77,6,0)),0,VLOOKUP(C180,$C$48:$J$77,4,0)*VLOOKUP(C180,$C$48:$J$77,6,0))</f>
        <v>0</v>
      </c>
      <c r="H180" s="506" t="n">
        <f aca="false">SUM(F180:G180)</f>
        <v>-175003.38</v>
      </c>
      <c r="I180" s="507" t="n">
        <f aca="false">H180/D180</f>
        <v>-1</v>
      </c>
    </row>
    <row r="181" customFormat="false" ht="17.25" hidden="false" customHeight="true" outlineLevel="0" collapsed="false">
      <c r="C181" s="314" t="str">
        <v>IEF</v>
      </c>
      <c r="D181" s="505" t="n">
        <f aca="false">SUMIFS($L$134:$L$172,$C$134:$C$172,$C181)</f>
        <v>173939.03</v>
      </c>
      <c r="E181" s="505" t="n">
        <f aca="false">SUMIFS('Weekly  Sum'!$Y$8:$Y$38,'Weekly  Sum'!$B$8:$B$38,$C181)</f>
        <v>0</v>
      </c>
      <c r="F181" s="505" t="n">
        <f aca="false">E181-D181</f>
        <v>-173939.03</v>
      </c>
      <c r="G181" s="505" t="n">
        <f aca="false">IF(ISERROR(VLOOKUP(C181,$C$48:$J$77,4,0)*VLOOKUP(C181,$C$48:$J$77,6,0)),0,VLOOKUP(C181,$C$48:$J$77,4,0)*VLOOKUP(C181,$C$48:$J$77,6,0))</f>
        <v>0</v>
      </c>
      <c r="H181" s="506" t="n">
        <f aca="false">SUM(F181:G181)</f>
        <v>-173939.03</v>
      </c>
      <c r="I181" s="507" t="n">
        <f aca="false">H181/D181</f>
        <v>-1</v>
      </c>
    </row>
    <row r="182" customFormat="false" ht="17.25" hidden="false" customHeight="true" outlineLevel="0" collapsed="false">
      <c r="C182" s="314" t="str">
        <v>IYR</v>
      </c>
      <c r="D182" s="505" t="n">
        <f aca="false">SUMIFS($L$134:$L$172,$C$134:$C$172,$C182)</f>
        <v>50034.6</v>
      </c>
      <c r="E182" s="505" t="n">
        <f aca="false">SUMIFS('Weekly  Sum'!$Y$8:$Y$38,'Weekly  Sum'!$B$8:$B$38,$C182)</f>
        <v>0</v>
      </c>
      <c r="F182" s="505" t="n">
        <f aca="false">E182-D182</f>
        <v>-50034.6</v>
      </c>
      <c r="G182" s="505" t="n">
        <f aca="false">IF(ISERROR(VLOOKUP(C182,$C$48:$J$77,4,0)*VLOOKUP(C182,$C$48:$J$77,6,0)),0,VLOOKUP(C182,$C$48:$J$77,4,0)*VLOOKUP(C182,$C$48:$J$77,6,0))</f>
        <v>0</v>
      </c>
      <c r="H182" s="506" t="n">
        <f aca="false">SUM(F182:G182)</f>
        <v>-50034.6</v>
      </c>
      <c r="I182" s="507" t="n">
        <f aca="false">H182/D182</f>
        <v>-1</v>
      </c>
    </row>
    <row r="183" customFormat="false" ht="17.25" hidden="false" customHeight="true" outlineLevel="0" collapsed="false">
      <c r="C183" s="314" t="str">
        <v>VTI</v>
      </c>
      <c r="D183" s="505" t="n">
        <f aca="false">SUMIFS($L$134:$L$172,$C$134:$C$172,$C183)</f>
        <v>289978.65</v>
      </c>
      <c r="E183" s="505" t="n">
        <f aca="false">SUMIFS('Weekly  Sum'!$Y$8:$Y$38,'Weekly  Sum'!$B$8:$B$38,$C183)</f>
        <v>0</v>
      </c>
      <c r="F183" s="505" t="n">
        <f aca="false">E183-D183</f>
        <v>-289978.65</v>
      </c>
      <c r="G183" s="505" t="n">
        <f aca="false">IF(ISERROR(VLOOKUP(C183,$C$48:$J$77,4,0)*VLOOKUP(C183,$C$48:$J$77,6,0)),0,VLOOKUP(C183,$C$48:$J$77,4,0)*VLOOKUP(C183,$C$48:$J$77,6,0))</f>
        <v>0</v>
      </c>
      <c r="H183" s="506" t="n">
        <f aca="false">SUM(F183:G183)</f>
        <v>-289978.65</v>
      </c>
      <c r="I183" s="507" t="n">
        <f aca="false">H183/D183</f>
        <v>-1</v>
      </c>
    </row>
    <row r="184" customFormat="false" ht="17.25" hidden="false" customHeight="true" outlineLevel="0" collapsed="false">
      <c r="C184" s="314" t="str">
        <v/>
      </c>
      <c r="D184" s="505" t="e">
        <f aca="false">SUMIFS($L$134:$L$172,$C$134:$C$172,$C184)</f>
        <v>#N/A</v>
      </c>
      <c r="E184" s="505" t="n">
        <f aca="false">SUMIFS('Weekly  Sum'!$Y$8:$Y$38,'Weekly  Sum'!$B$8:$B$38,$C184)</f>
        <v>0</v>
      </c>
      <c r="F184" s="505" t="e">
        <f aca="false">E184-D184</f>
        <v>#N/A</v>
      </c>
      <c r="G184" s="505" t="n">
        <f aca="false">IF(ISERROR(VLOOKUP(C184,$C$48:$J$77,4,0)*VLOOKUP(C184,$C$48:$J$77,6,0)),0,VLOOKUP(C184,$C$48:$J$77,4,0)*VLOOKUP(C184,$C$48:$J$77,6,0))</f>
        <v>0</v>
      </c>
      <c r="H184" s="506" t="e">
        <f aca="false">SUM(F184:G184)</f>
        <v>#N/A</v>
      </c>
      <c r="I184" s="507" t="e">
        <f aca="false">H184/D184</f>
        <v>#N/A</v>
      </c>
    </row>
    <row r="185" customFormat="false" ht="17.25" hidden="false" customHeight="true" outlineLevel="0" collapsed="false">
      <c r="C185" s="314" t="str">
        <v/>
      </c>
      <c r="D185" s="505" t="e">
        <f aca="false">SUMIFS($L$134:$L$172,$C$134:$C$172,$C185)</f>
        <v>#N/A</v>
      </c>
      <c r="E185" s="505" t="n">
        <f aca="false">SUMIFS('Weekly  Sum'!$Y$8:$Y$38,'Weekly  Sum'!$B$8:$B$38,$C185)</f>
        <v>0</v>
      </c>
      <c r="F185" s="505" t="e">
        <f aca="false">E185-D185</f>
        <v>#N/A</v>
      </c>
      <c r="G185" s="505" t="n">
        <f aca="false">IF(ISERROR(VLOOKUP(C185,$C$48:$J$77,4,0)*VLOOKUP(C185,$C$48:$J$77,6,0)),0,VLOOKUP(C185,$C$48:$J$77,4,0)*VLOOKUP(C185,$C$48:$J$77,6,0))</f>
        <v>0</v>
      </c>
      <c r="H185" s="506" t="e">
        <f aca="false">SUM(F185:G185)</f>
        <v>#N/A</v>
      </c>
      <c r="I185" s="507" t="e">
        <f aca="false">H185/D185</f>
        <v>#N/A</v>
      </c>
    </row>
    <row r="186" customFormat="false" ht="17.25" hidden="false" customHeight="true" outlineLevel="0" collapsed="false">
      <c r="C186" s="314" t="str">
        <v/>
      </c>
      <c r="D186" s="505" t="e">
        <f aca="false">SUMIFS($L$134:$L$172,$C$134:$C$172,$C186)</f>
        <v>#N/A</v>
      </c>
      <c r="E186" s="505" t="n">
        <f aca="false">SUMIFS('Weekly  Sum'!$Y$8:$Y$38,'Weekly  Sum'!$B$8:$B$38,$C186)</f>
        <v>0</v>
      </c>
      <c r="F186" s="505" t="e">
        <f aca="false">E186-D186</f>
        <v>#N/A</v>
      </c>
      <c r="G186" s="505" t="n">
        <f aca="false">IF(ISERROR(VLOOKUP(C186,$C$48:$J$77,4,0)*VLOOKUP(C186,$C$48:$J$77,6,0)),0,VLOOKUP(C186,$C$48:$J$77,4,0)*VLOOKUP(C186,$C$48:$J$77,6,0))</f>
        <v>0</v>
      </c>
      <c r="H186" s="506" t="e">
        <f aca="false">SUM(F186:G186)</f>
        <v>#N/A</v>
      </c>
      <c r="I186" s="507" t="e">
        <f aca="false">H186/D186</f>
        <v>#N/A</v>
      </c>
    </row>
    <row r="187" customFormat="false" ht="17.25" hidden="false" customHeight="true" outlineLevel="0" collapsed="false">
      <c r="C187" s="314" t="str">
        <v/>
      </c>
      <c r="D187" s="505" t="e">
        <f aca="false">SUMIFS($L$134:$L$172,$C$134:$C$172,$C187)</f>
        <v>#N/A</v>
      </c>
      <c r="E187" s="505" t="n">
        <f aca="false">SUMIFS('Weekly  Sum'!$Y$8:$Y$38,'Weekly  Sum'!$B$8:$B$38,$C187)</f>
        <v>0</v>
      </c>
      <c r="F187" s="505" t="e">
        <f aca="false">E187-D187</f>
        <v>#N/A</v>
      </c>
      <c r="G187" s="505" t="n">
        <f aca="false">IF(ISERROR(VLOOKUP(C187,$C$48:$J$77,4,0)*VLOOKUP(C187,$C$48:$J$77,6,0)),0,VLOOKUP(C187,$C$48:$J$77,4,0)*VLOOKUP(C187,$C$48:$J$77,6,0))</f>
        <v>0</v>
      </c>
      <c r="H187" s="506" t="e">
        <f aca="false">SUM(F187:G187)</f>
        <v>#N/A</v>
      </c>
      <c r="I187" s="507" t="e">
        <f aca="false">H187/D187</f>
        <v>#N/A</v>
      </c>
    </row>
    <row r="188" customFormat="false" ht="17.25" hidden="false" customHeight="true" outlineLevel="0" collapsed="false">
      <c r="C188" s="314" t="str">
        <v/>
      </c>
      <c r="D188" s="505" t="e">
        <f aca="false">SUMIFS($L$134:$L$172,$C$134:$C$172,$C188)</f>
        <v>#N/A</v>
      </c>
      <c r="E188" s="505" t="n">
        <f aca="false">SUMIFS('Weekly  Sum'!$Y$8:$Y$38,'Weekly  Sum'!$B$8:$B$38,$C188)</f>
        <v>0</v>
      </c>
      <c r="F188" s="505" t="e">
        <f aca="false">E188-D188</f>
        <v>#N/A</v>
      </c>
      <c r="G188" s="505" t="n">
        <f aca="false">IF(ISERROR(VLOOKUP(C188,$C$48:$J$77,4,0)*VLOOKUP(C188,$C$48:$J$77,6,0)),0,VLOOKUP(C188,$C$48:$J$77,4,0)*VLOOKUP(C188,$C$48:$J$77,6,0))</f>
        <v>0</v>
      </c>
      <c r="H188" s="506" t="e">
        <f aca="false">SUM(F188:G188)</f>
        <v>#N/A</v>
      </c>
      <c r="I188" s="507" t="e">
        <f aca="false">H188/D188</f>
        <v>#N/A</v>
      </c>
    </row>
    <row r="189" customFormat="false" ht="17.25" hidden="false" customHeight="true" outlineLevel="0" collapsed="false">
      <c r="C189" s="314" t="str">
        <v/>
      </c>
      <c r="D189" s="505" t="e">
        <f aca="false">SUMIFS($L$134:$L$172,$C$134:$C$172,$C189)</f>
        <v>#N/A</v>
      </c>
      <c r="E189" s="505" t="n">
        <f aca="false">SUMIFS('Weekly  Sum'!$Y$8:$Y$38,'Weekly  Sum'!$B$8:$B$38,$C189)</f>
        <v>0</v>
      </c>
      <c r="F189" s="505" t="e">
        <f aca="false">E189-D189</f>
        <v>#N/A</v>
      </c>
      <c r="G189" s="505" t="n">
        <f aca="false">IF(ISERROR(VLOOKUP(C189,$C$48:$J$77,4,0)*VLOOKUP(C189,$C$48:$J$77,6,0)),0,VLOOKUP(C189,$C$48:$J$77,4,0)*VLOOKUP(C189,$C$48:$J$77,6,0))</f>
        <v>0</v>
      </c>
      <c r="H189" s="506" t="e">
        <f aca="false">SUM(F189:G189)</f>
        <v>#N/A</v>
      </c>
      <c r="I189" s="507" t="e">
        <f aca="false">H189/D189</f>
        <v>#N/A</v>
      </c>
    </row>
    <row r="190" customFormat="false" ht="17.25" hidden="false" customHeight="true" outlineLevel="0" collapsed="false">
      <c r="C190" s="314" t="str">
        <v/>
      </c>
      <c r="D190" s="505" t="e">
        <f aca="false">SUMIFS($L$134:$L$172,$C$134:$C$172,$C190)</f>
        <v>#N/A</v>
      </c>
      <c r="E190" s="505" t="n">
        <f aca="false">SUMIFS('Weekly  Sum'!$Y$8:$Y$38,'Weekly  Sum'!$B$8:$B$38,$C190)</f>
        <v>0</v>
      </c>
      <c r="F190" s="505" t="e">
        <f aca="false">E190-D190</f>
        <v>#N/A</v>
      </c>
      <c r="G190" s="505" t="n">
        <f aca="false">IF(ISERROR(VLOOKUP(C190,$C$48:$J$77,4,0)*VLOOKUP(C190,$C$48:$J$77,6,0)),0,VLOOKUP(C190,$C$48:$J$77,4,0)*VLOOKUP(C190,$C$48:$J$77,6,0))</f>
        <v>0</v>
      </c>
      <c r="H190" s="506" t="e">
        <f aca="false">SUM(F190:G190)</f>
        <v>#N/A</v>
      </c>
      <c r="I190" s="507" t="e">
        <f aca="false">H190/D190</f>
        <v>#N/A</v>
      </c>
    </row>
    <row r="191" customFormat="false" ht="17.25" hidden="false" customHeight="true" outlineLevel="0" collapsed="false">
      <c r="C191" s="314" t="str">
        <v/>
      </c>
      <c r="D191" s="505" t="e">
        <f aca="false">SUMIFS($L$134:$L$172,$C$134:$C$172,$C191)</f>
        <v>#N/A</v>
      </c>
      <c r="E191" s="505" t="n">
        <f aca="false">SUMIFS('Weekly  Sum'!$Y$8:$Y$38,'Weekly  Sum'!$B$8:$B$38,$C191)</f>
        <v>0</v>
      </c>
      <c r="F191" s="505" t="e">
        <f aca="false">E191-D191</f>
        <v>#N/A</v>
      </c>
      <c r="G191" s="505" t="n">
        <f aca="false">IF(ISERROR(VLOOKUP(C191,$C$48:$J$77,4,0)*VLOOKUP(C191,$C$48:$J$77,6,0)),0,VLOOKUP(C191,$C$48:$J$77,4,0)*VLOOKUP(C191,$C$48:$J$77,6,0))</f>
        <v>0</v>
      </c>
      <c r="H191" s="506" t="e">
        <f aca="false">SUM(F191:G191)</f>
        <v>#N/A</v>
      </c>
      <c r="I191" s="507" t="e">
        <f aca="false">H191/D191</f>
        <v>#N/A</v>
      </c>
    </row>
    <row r="192" customFormat="false" ht="17.25" hidden="false" customHeight="true" outlineLevel="0" collapsed="false">
      <c r="C192" s="314" t="str">
        <v/>
      </c>
      <c r="D192" s="505" t="e">
        <f aca="false">SUMIFS($L$134:$L$172,$C$134:$C$172,$C192)</f>
        <v>#N/A</v>
      </c>
      <c r="E192" s="505" t="n">
        <f aca="false">SUMIFS('Weekly  Sum'!$Y$8:$Y$38,'Weekly  Sum'!$B$8:$B$38,$C192)</f>
        <v>0</v>
      </c>
      <c r="F192" s="505" t="e">
        <f aca="false">E192-D192</f>
        <v>#N/A</v>
      </c>
      <c r="G192" s="505" t="n">
        <f aca="false">IF(ISERROR(VLOOKUP(C192,$C$48:$J$77,4,0)*VLOOKUP(C192,$C$48:$J$77,6,0)),0,VLOOKUP(C192,$C$48:$J$77,4,0)*VLOOKUP(C192,$C$48:$J$77,6,0))</f>
        <v>0</v>
      </c>
      <c r="H192" s="506" t="e">
        <f aca="false">SUM(F192:G192)</f>
        <v>#N/A</v>
      </c>
      <c r="I192" s="507" t="e">
        <f aca="false">H192/D192</f>
        <v>#N/A</v>
      </c>
    </row>
    <row r="193" customFormat="false" ht="17.25" hidden="false" customHeight="true" outlineLevel="0" collapsed="false">
      <c r="C193" s="314" t="str">
        <v/>
      </c>
      <c r="D193" s="505" t="e">
        <f aca="false">SUMIFS($L$134:$L$172,$C$134:$C$172,$C193)</f>
        <v>#N/A</v>
      </c>
      <c r="E193" s="505" t="n">
        <f aca="false">SUMIFS('Weekly  Sum'!$Y$8:$Y$38,'Weekly  Sum'!$B$8:$B$38,$C193)</f>
        <v>0</v>
      </c>
      <c r="F193" s="505" t="e">
        <f aca="false">E193-D193</f>
        <v>#N/A</v>
      </c>
      <c r="G193" s="505" t="n">
        <f aca="false">IF(ISERROR(VLOOKUP(C193,$C$48:$J$77,4,0)*VLOOKUP(C193,$C$48:$J$77,6,0)),0,VLOOKUP(C193,$C$48:$J$77,4,0)*VLOOKUP(C193,$C$48:$J$77,6,0))</f>
        <v>0</v>
      </c>
      <c r="H193" s="506" t="e">
        <f aca="false">SUM(F193:G193)</f>
        <v>#N/A</v>
      </c>
      <c r="I193" s="507" t="e">
        <f aca="false">H193/D193</f>
        <v>#N/A</v>
      </c>
    </row>
    <row r="194" customFormat="false" ht="17.25" hidden="false" customHeight="true" outlineLevel="0" collapsed="false">
      <c r="C194" s="314" t="str">
        <v/>
      </c>
      <c r="D194" s="505" t="e">
        <f aca="false">SUMIFS($L$134:$L$172,$C$134:$C$172,$C194)</f>
        <v>#N/A</v>
      </c>
      <c r="E194" s="505" t="n">
        <f aca="false">SUMIFS('Weekly  Sum'!$Y$8:$Y$38,'Weekly  Sum'!$B$8:$B$38,$C194)</f>
        <v>0</v>
      </c>
      <c r="F194" s="505" t="e">
        <f aca="false">E194-D194</f>
        <v>#N/A</v>
      </c>
      <c r="G194" s="505" t="n">
        <f aca="false">IF(ISERROR(VLOOKUP(C194,$C$48:$J$77,4,0)*VLOOKUP(C194,$C$48:$J$77,6,0)),0,VLOOKUP(C194,$C$48:$J$77,4,0)*VLOOKUP(C194,$C$48:$J$77,6,0))</f>
        <v>0</v>
      </c>
      <c r="H194" s="506" t="e">
        <f aca="false">SUM(F194:G194)</f>
        <v>#N/A</v>
      </c>
      <c r="I194" s="507" t="e">
        <f aca="false">H194/D194</f>
        <v>#N/A</v>
      </c>
    </row>
    <row r="195" customFormat="false" ht="17.25" hidden="false" customHeight="true" outlineLevel="0" collapsed="false">
      <c r="C195" s="314" t="str">
        <v/>
      </c>
      <c r="D195" s="505" t="e">
        <f aca="false">SUMIFS($L$134:$L$172,$C$134:$C$172,$C195)</f>
        <v>#N/A</v>
      </c>
      <c r="E195" s="505" t="n">
        <f aca="false">SUMIFS('Weekly  Sum'!$Y$8:$Y$38,'Weekly  Sum'!$B$8:$B$38,$C195)</f>
        <v>0</v>
      </c>
      <c r="F195" s="505" t="e">
        <f aca="false">E195-D195</f>
        <v>#N/A</v>
      </c>
      <c r="G195" s="505" t="n">
        <f aca="false">IF(ISERROR(VLOOKUP(C195,$C$48:$J$77,4,0)*VLOOKUP(C195,$C$48:$J$77,6,0)),0,VLOOKUP(C195,$C$48:$J$77,4,0)*VLOOKUP(C195,$C$48:$J$77,6,0))</f>
        <v>0</v>
      </c>
      <c r="H195" s="506" t="e">
        <f aca="false">SUM(F195:G195)</f>
        <v>#N/A</v>
      </c>
      <c r="I195" s="507" t="e">
        <f aca="false">H195/D195</f>
        <v>#N/A</v>
      </c>
    </row>
    <row r="196" customFormat="false" ht="17.25" hidden="false" customHeight="true" outlineLevel="0" collapsed="false">
      <c r="C196" s="314" t="str">
        <v/>
      </c>
      <c r="D196" s="505" t="e">
        <f aca="false">SUMIFS($L$134:$L$172,$C$134:$C$172,$C196)</f>
        <v>#N/A</v>
      </c>
      <c r="E196" s="505" t="n">
        <f aca="false">SUMIFS('Weekly  Sum'!$Y$8:$Y$38,'Weekly  Sum'!$B$8:$B$38,$C196)</f>
        <v>0</v>
      </c>
      <c r="F196" s="505" t="e">
        <f aca="false">E196-D196</f>
        <v>#N/A</v>
      </c>
      <c r="G196" s="505" t="n">
        <f aca="false">IF(ISERROR(VLOOKUP(C196,$C$48:$J$77,4,0)*VLOOKUP(C196,$C$48:$J$77,6,0)),0,VLOOKUP(C196,$C$48:$J$77,4,0)*VLOOKUP(C196,$C$48:$J$77,6,0))</f>
        <v>0</v>
      </c>
      <c r="H196" s="506" t="e">
        <f aca="false">SUM(F196:G196)</f>
        <v>#N/A</v>
      </c>
      <c r="I196" s="507" t="e">
        <f aca="false">H196/D196</f>
        <v>#N/A</v>
      </c>
    </row>
    <row r="197" customFormat="false" ht="17.25" hidden="false" customHeight="true" outlineLevel="0" collapsed="false">
      <c r="C197" s="314" t="str">
        <v/>
      </c>
      <c r="D197" s="505" t="e">
        <f aca="false">SUMIFS($L$134:$L$172,$C$134:$C$172,$C197)</f>
        <v>#N/A</v>
      </c>
      <c r="E197" s="505" t="n">
        <f aca="false">SUMIFS('Weekly  Sum'!$Y$8:$Y$38,'Weekly  Sum'!$B$8:$B$38,$C197)</f>
        <v>0</v>
      </c>
      <c r="F197" s="505" t="e">
        <f aca="false">E197-D197</f>
        <v>#N/A</v>
      </c>
      <c r="G197" s="505" t="n">
        <f aca="false">IF(ISERROR(VLOOKUP(C197,$C$48:$J$77,4,0)*VLOOKUP(C197,$C$48:$J$77,6,0)),0,VLOOKUP(C197,$C$48:$J$77,4,0)*VLOOKUP(C197,$C$48:$J$77,6,0))</f>
        <v>0</v>
      </c>
      <c r="H197" s="506" t="e">
        <f aca="false">SUM(F197:G197)</f>
        <v>#N/A</v>
      </c>
      <c r="I197" s="507" t="e">
        <f aca="false">H197/D197</f>
        <v>#N/A</v>
      </c>
    </row>
    <row r="198" customFormat="false" ht="17.25" hidden="false" customHeight="true" outlineLevel="0" collapsed="false">
      <c r="C198" s="314" t="str">
        <v/>
      </c>
      <c r="D198" s="505" t="e">
        <f aca="false">SUMIFS($L$134:$L$172,$C$134:$C$172,$C198)</f>
        <v>#N/A</v>
      </c>
      <c r="E198" s="505" t="n">
        <f aca="false">SUMIFS('Weekly  Sum'!$Y$8:$Y$38,'Weekly  Sum'!$B$8:$B$38,$C198)</f>
        <v>0</v>
      </c>
      <c r="F198" s="505" t="e">
        <f aca="false">E198-D198</f>
        <v>#N/A</v>
      </c>
      <c r="G198" s="505" t="n">
        <f aca="false">IF(ISERROR(VLOOKUP(C198,$C$48:$J$77,4,0)*VLOOKUP(C198,$C$48:$J$77,6,0)),0,VLOOKUP(C198,$C$48:$J$77,4,0)*VLOOKUP(C198,$C$48:$J$77,6,0))</f>
        <v>0</v>
      </c>
      <c r="H198" s="506" t="e">
        <f aca="false">SUM(F198:G198)</f>
        <v>#N/A</v>
      </c>
      <c r="I198" s="507" t="e">
        <f aca="false">H198/D198</f>
        <v>#N/A</v>
      </c>
    </row>
    <row r="199" customFormat="false" ht="17.25" hidden="false" customHeight="true" outlineLevel="0" collapsed="false">
      <c r="C199" s="314" t="str">
        <v/>
      </c>
      <c r="D199" s="505" t="e">
        <f aca="false">SUMIFS($L$134:$L$172,$C$134:$C$172,$C199)</f>
        <v>#N/A</v>
      </c>
      <c r="E199" s="505" t="n">
        <f aca="false">SUMIFS('Weekly  Sum'!$Y$8:$Y$38,'Weekly  Sum'!$B$8:$B$38,$C199)</f>
        <v>0</v>
      </c>
      <c r="F199" s="505" t="e">
        <f aca="false">E199-D199</f>
        <v>#N/A</v>
      </c>
      <c r="G199" s="505" t="n">
        <f aca="false">IF(ISERROR(VLOOKUP(C199,$C$48:$J$77,4,0)*VLOOKUP(C199,$C$48:$J$77,6,0)),0,VLOOKUP(C199,$C$48:$J$77,4,0)*VLOOKUP(C199,$C$48:$J$77,6,0))</f>
        <v>0</v>
      </c>
      <c r="H199" s="506" t="e">
        <f aca="false">SUM(F199:G199)</f>
        <v>#N/A</v>
      </c>
      <c r="I199" s="507" t="e">
        <f aca="false">H199/D199</f>
        <v>#N/A</v>
      </c>
    </row>
    <row r="200" customFormat="false" ht="17.25" hidden="false" customHeight="true" outlineLevel="0" collapsed="false">
      <c r="C200" s="314" t="str">
        <v/>
      </c>
      <c r="D200" s="505" t="e">
        <f aca="false">SUMIFS($L$134:$L$172,$C$134:$C$172,$C200)</f>
        <v>#N/A</v>
      </c>
      <c r="E200" s="505" t="n">
        <f aca="false">SUMIFS('Weekly  Sum'!$Y$8:$Y$38,'Weekly  Sum'!$B$8:$B$38,$C200)</f>
        <v>0</v>
      </c>
      <c r="F200" s="505" t="e">
        <f aca="false">E200-D200</f>
        <v>#N/A</v>
      </c>
      <c r="G200" s="505" t="n">
        <f aca="false">IF(ISERROR(VLOOKUP(C200,$C$48:$J$77,4,0)*VLOOKUP(C200,$C$48:$J$77,6,0)),0,VLOOKUP(C200,$C$48:$J$77,4,0)*VLOOKUP(C200,$C$48:$J$77,6,0))</f>
        <v>0</v>
      </c>
      <c r="H200" s="506" t="e">
        <f aca="false">SUM(F200:G200)</f>
        <v>#N/A</v>
      </c>
      <c r="I200" s="507" t="e">
        <f aca="false">H200/D200</f>
        <v>#N/A</v>
      </c>
    </row>
    <row r="201" customFormat="false" ht="17.25" hidden="false" customHeight="true" outlineLevel="0" collapsed="false">
      <c r="C201" s="314" t="str">
        <v/>
      </c>
      <c r="D201" s="505" t="e">
        <f aca="false">SUMIFS($L$134:$L$172,$C$134:$C$172,$C201)</f>
        <v>#N/A</v>
      </c>
      <c r="E201" s="505" t="n">
        <f aca="false">SUMIFS('Weekly  Sum'!$Y$8:$Y$38,'Weekly  Sum'!$B$8:$B$38,$C201)</f>
        <v>0</v>
      </c>
      <c r="F201" s="505" t="e">
        <f aca="false">E201-D201</f>
        <v>#N/A</v>
      </c>
      <c r="G201" s="505" t="n">
        <f aca="false">IF(ISERROR(VLOOKUP(C201,$C$48:$J$77,4,0)*VLOOKUP(C201,$C$48:$J$77,6,0)),0,VLOOKUP(C201,$C$48:$J$77,4,0)*VLOOKUP(C201,$C$48:$J$77,6,0))</f>
        <v>0</v>
      </c>
      <c r="H201" s="506" t="e">
        <f aca="false">SUM(F201:G201)</f>
        <v>#N/A</v>
      </c>
      <c r="I201" s="507" t="e">
        <f aca="false">H201/D201</f>
        <v>#N/A</v>
      </c>
    </row>
    <row r="202" customFormat="false" ht="17.25" hidden="false" customHeight="true" outlineLevel="0" collapsed="false">
      <c r="C202" s="314" t="str">
        <v/>
      </c>
      <c r="D202" s="505" t="e">
        <f aca="false">SUMIFS($L$134:$L$172,$C$134:$C$172,$C202)</f>
        <v>#N/A</v>
      </c>
      <c r="E202" s="505" t="n">
        <f aca="false">SUMIFS('Weekly  Sum'!$Y$8:$Y$38,'Weekly  Sum'!$B$8:$B$38,$C202)</f>
        <v>0</v>
      </c>
      <c r="F202" s="505" t="e">
        <f aca="false">E202-D202</f>
        <v>#N/A</v>
      </c>
      <c r="G202" s="505" t="n">
        <f aca="false">IF(ISERROR(VLOOKUP(C202,$C$48:$J$77,4,0)*VLOOKUP(C202,$C$48:$J$77,6,0)),0,VLOOKUP(C202,$C$48:$J$77,4,0)*VLOOKUP(C202,$C$48:$J$77,6,0))</f>
        <v>0</v>
      </c>
      <c r="H202" s="506" t="e">
        <f aca="false">SUM(F202:G202)</f>
        <v>#N/A</v>
      </c>
      <c r="I202" s="507" t="e">
        <f aca="false">H202/D202</f>
        <v>#N/A</v>
      </c>
    </row>
    <row r="203" customFormat="false" ht="17.25" hidden="false" customHeight="true" outlineLevel="0" collapsed="false">
      <c r="C203" s="314" t="str">
        <v/>
      </c>
      <c r="D203" s="505" t="e">
        <f aca="false">SUMIFS($L$134:$L$172,$C$134:$C$172,$C203)</f>
        <v>#N/A</v>
      </c>
      <c r="E203" s="505" t="n">
        <f aca="false">SUMIFS('Weekly  Sum'!$Y$8:$Y$38,'Weekly  Sum'!$B$8:$B$38,$C203)</f>
        <v>0</v>
      </c>
      <c r="F203" s="505" t="e">
        <f aca="false">E203-D203</f>
        <v>#N/A</v>
      </c>
      <c r="G203" s="505" t="n">
        <f aca="false">IF(ISERROR(VLOOKUP(C203,$C$48:$J$77,4,0)*VLOOKUP(C203,$C$48:$J$77,6,0)),0,VLOOKUP(C203,$C$48:$J$77,4,0)*VLOOKUP(C203,$C$48:$J$77,6,0))</f>
        <v>0</v>
      </c>
      <c r="H203" s="506" t="e">
        <f aca="false">SUM(F203:G203)</f>
        <v>#N/A</v>
      </c>
      <c r="I203" s="507" t="e">
        <f aca="false">H203/D203</f>
        <v>#N/A</v>
      </c>
    </row>
    <row r="204" customFormat="false" ht="17.25" hidden="false" customHeight="true" outlineLevel="0" collapsed="false">
      <c r="C204" s="314" t="str">
        <v/>
      </c>
      <c r="D204" s="505" t="e">
        <f aca="false">SUMIFS($L$134:$L$172,$C$134:$C$172,$C204)</f>
        <v>#N/A</v>
      </c>
      <c r="E204" s="505" t="n">
        <f aca="false">SUMIFS('Weekly  Sum'!$Y$8:$Y$38,'Weekly  Sum'!$B$8:$B$38,$C204)</f>
        <v>0</v>
      </c>
      <c r="F204" s="505" t="e">
        <f aca="false">E204-D204</f>
        <v>#N/A</v>
      </c>
      <c r="G204" s="505" t="n">
        <f aca="false">IF(ISERROR(VLOOKUP(C204,$C$48:$J$77,4,0)*VLOOKUP(C204,$C$48:$J$77,6,0)),0,VLOOKUP(C204,$C$48:$J$77,4,0)*VLOOKUP(C204,$C$48:$J$77,6,0))</f>
        <v>0</v>
      </c>
      <c r="H204" s="506" t="e">
        <f aca="false">SUM(F204:G204)</f>
        <v>#N/A</v>
      </c>
      <c r="I204" s="507" t="e">
        <f aca="false">H204/D204</f>
        <v>#N/A</v>
      </c>
    </row>
    <row r="205" customFormat="false" ht="17.25" hidden="false" customHeight="true" outlineLevel="0" collapsed="false">
      <c r="C205" s="314" t="str">
        <v/>
      </c>
      <c r="D205" s="505" t="e">
        <f aca="false">SUMIFS($L$134:$L$172,$C$134:$C$172,$C205)</f>
        <v>#N/A</v>
      </c>
      <c r="E205" s="505" t="n">
        <f aca="false">SUMIFS('Weekly  Sum'!$Y$8:$Y$38,'Weekly  Sum'!$B$8:$B$38,$C205)</f>
        <v>0</v>
      </c>
      <c r="F205" s="505" t="e">
        <f aca="false">E205-D205</f>
        <v>#N/A</v>
      </c>
      <c r="G205" s="505" t="n">
        <f aca="false">IF(ISERROR(VLOOKUP(C205,$C$48:$J$77,4,0)*VLOOKUP(C205,$C$48:$J$77,6,0)),0,VLOOKUP(C205,$C$48:$J$77,4,0)*VLOOKUP(C205,$C$48:$J$77,6,0))</f>
        <v>0</v>
      </c>
      <c r="H205" s="506" t="e">
        <f aca="false">SUM(F205:G205)</f>
        <v>#N/A</v>
      </c>
      <c r="I205" s="507" t="e">
        <f aca="false">H205/D205</f>
        <v>#N/A</v>
      </c>
    </row>
    <row r="206" customFormat="false" ht="17.25" hidden="false" customHeight="true" outlineLevel="0" collapsed="false">
      <c r="C206" s="314" t="str">
        <v/>
      </c>
      <c r="D206" s="505" t="e">
        <f aca="false">SUMIFS($L$134:$L$172,$C$134:$C$172,$C206)</f>
        <v>#N/A</v>
      </c>
      <c r="E206" s="505" t="n">
        <f aca="false">SUMIFS('Weekly  Sum'!$Y$8:$Y$38,'Weekly  Sum'!$B$8:$B$38,$C206)</f>
        <v>0</v>
      </c>
      <c r="F206" s="505" t="e">
        <f aca="false">E206-D206</f>
        <v>#N/A</v>
      </c>
      <c r="G206" s="505" t="n">
        <f aca="false">IF(ISERROR(VLOOKUP(C206,$C$48:$J$77,4,0)*VLOOKUP(C206,$C$48:$J$77,6,0)),0,VLOOKUP(C206,$C$48:$J$77,4,0)*VLOOKUP(C206,$C$48:$J$77,6,0))</f>
        <v>0</v>
      </c>
      <c r="H206" s="506" t="e">
        <f aca="false">SUM(F206:G206)</f>
        <v>#N/A</v>
      </c>
      <c r="I206" s="507" t="e">
        <f aca="false">H206/D206</f>
        <v>#N/A</v>
      </c>
    </row>
  </sheetData>
  <sheetProtection sheet="true" scenarios="true" formatColumns="false"/>
  <conditionalFormatting sqref="P134:S134 P135:Q141 P134:P163 Q142:Q163 S135:S163 S43:T43 T40:T42 S48:T128 I48:J77 R135:R172">
    <cfRule type="cellIs" priority="2" operator="greaterThan" aboveAverage="0" equalAverage="0" bottom="0" percent="0" rank="0" text="" dxfId="0">
      <formula>0</formula>
    </cfRule>
    <cfRule type="cellIs" priority="3" operator="lessThan" aboveAverage="0" equalAverage="0" bottom="0" percent="0" rank="0" text="" dxfId="1">
      <formula>0</formula>
    </cfRule>
  </conditionalFormatting>
  <conditionalFormatting sqref="P164:Q172 S164:S172">
    <cfRule type="cellIs" priority="4" operator="greaterThan" aboveAverage="0" equalAverage="0" bottom="0" percent="0" rank="0" text="" dxfId="2">
      <formula>0</formula>
    </cfRule>
    <cfRule type="cellIs" priority="5" operator="lessThan" aboveAverage="0" equalAverage="0" bottom="0" percent="0" rank="0" text="" dxfId="3">
      <formula>0</formula>
    </cfRule>
  </conditionalFormatting>
  <conditionalFormatting sqref="L10:M39">
    <cfRule type="cellIs" priority="6" operator="greaterThan" aboveAverage="0" equalAverage="0" bottom="0" percent="0" rank="0" text="" dxfId="4">
      <formula>0</formula>
    </cfRule>
    <cfRule type="cellIs" priority="7" operator="lessThan" aboveAverage="0" equalAverage="0" bottom="0" percent="0" rank="0" text="" dxfId="5">
      <formula>0</formula>
    </cfRule>
  </conditionalFormatting>
  <dataValidations count="2">
    <dataValidation allowBlank="true" error="This cell needs to be greater than zero!" operator="between" prompt="Cash needs to be greater than $0." showDropDown="false" showErrorMessage="true" showInputMessage="true" sqref="K9" type="none">
      <formula1>0</formula1>
      <formula2>0</formula2>
    </dataValidation>
    <dataValidation allowBlank="true" operator="between" showDropDown="false" showErrorMessage="true" showInputMessage="true" sqref="E2" type="list">
      <formula1>'Price Inputs'!$E$19:$J$19</formula1>
      <formula2>0</formula2>
    </dataValidation>
  </dataValidations>
  <printOptions headings="false" gridLines="false" gridLinesSet="true" horizontalCentered="false" verticalCentered="false"/>
  <pageMargins left="0.25" right="0.25" top="0.5" bottom="0.5" header="0.511805555555555" footer="0.511805555555555"/>
  <pageSetup paperSize="1" scale="5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1" manualBreakCount="1">
    <brk id="42" man="true" max="16383" min="0"/>
  </rowBreaks>
  <colBreaks count="2" manualBreakCount="2">
    <brk id="14" man="true" max="65535" min="0"/>
    <brk id="19" man="true" max="65535" min="0"/>
  </colBreaks>
</worksheet>
</file>

<file path=xl/worksheets/sheet9.xml><?xml version="1.0" encoding="utf-8"?>
<worksheet xmlns="http://schemas.openxmlformats.org/spreadsheetml/2006/main" xmlns:r="http://schemas.openxmlformats.org/officeDocument/2006/relationships">
  <sheetPr filterMode="false">
    <tabColor rgb="FFFFFFFF"/>
    <pageSetUpPr fitToPage="false"/>
  </sheetPr>
  <dimension ref="A1:T69"/>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E22" activeCellId="0" sqref="E22"/>
    </sheetView>
  </sheetViews>
  <sheetFormatPr defaultRowHeight="15" zeroHeight="false" outlineLevelRow="0" outlineLevelCol="0"/>
  <cols>
    <col collapsed="false" customWidth="true" hidden="false" outlineLevel="0" max="1" min="1" style="134" width="35.29"/>
    <col collapsed="false" customWidth="true" hidden="false" outlineLevel="0" max="2" min="2" style="0" width="23.42"/>
    <col collapsed="false" customWidth="true" hidden="false" outlineLevel="0" max="3" min="3" style="133" width="23.42"/>
    <col collapsed="false" customWidth="true" hidden="false" outlineLevel="0" max="20" min="4" style="0" width="23.42"/>
    <col collapsed="false" customWidth="true" hidden="false" outlineLevel="0" max="1025" min="21" style="0" width="8.54"/>
  </cols>
  <sheetData>
    <row r="1" customFormat="false" ht="15" hidden="false" customHeight="false" outlineLevel="0" collapsed="false">
      <c r="D1" s="0" t="s">
        <v>410</v>
      </c>
      <c r="E1" s="0" t="s">
        <v>347</v>
      </c>
      <c r="F1" s="0" t="s">
        <v>348</v>
      </c>
      <c r="G1" s="0" t="s">
        <v>349</v>
      </c>
      <c r="H1" s="0" t="s">
        <v>350</v>
      </c>
      <c r="I1" s="0" t="s">
        <v>351</v>
      </c>
      <c r="N1" s="133"/>
    </row>
    <row r="2" customFormat="false" ht="15" hidden="false" customHeight="false" outlineLevel="0" collapsed="false">
      <c r="A2" s="134" t="s">
        <v>459</v>
      </c>
      <c r="B2" s="0" t="s">
        <v>460</v>
      </c>
      <c r="C2" s="133" t="s">
        <v>1</v>
      </c>
      <c r="D2" s="508" t="n">
        <f aca="false">'Price Inputs'!E4</f>
        <v>43259</v>
      </c>
      <c r="E2" s="508" t="n">
        <f aca="false">'Price Inputs'!F4</f>
        <v>43266</v>
      </c>
      <c r="F2" s="508" t="n">
        <f aca="false">'Price Inputs'!G4</f>
        <v>43273</v>
      </c>
      <c r="G2" s="508" t="n">
        <f aca="false">'Price Inputs'!H4</f>
        <v>43280</v>
      </c>
      <c r="H2" s="508" t="n">
        <f aca="false">'Price Inputs'!I4</f>
        <v>43287</v>
      </c>
      <c r="I2" s="508" t="n">
        <f aca="false">'Price Inputs'!J4</f>
        <v>43294</v>
      </c>
      <c r="M2" s="0" t="s">
        <v>460</v>
      </c>
      <c r="N2" s="133" t="s">
        <v>1</v>
      </c>
      <c r="O2" s="509" t="s">
        <v>453</v>
      </c>
      <c r="P2" s="133" t="s">
        <v>461</v>
      </c>
      <c r="Q2" s="133" t="s">
        <v>462</v>
      </c>
      <c r="R2" s="509" t="s">
        <v>463</v>
      </c>
      <c r="S2" s="133" t="s">
        <v>464</v>
      </c>
      <c r="T2" s="133" t="s">
        <v>465</v>
      </c>
    </row>
    <row r="3" customFormat="false" ht="15" hidden="false" customHeight="false" outlineLevel="0" collapsed="false">
      <c r="A3" s="134" t="str">
        <f aca="false">IF(B3="Yes",COUNTIF($B$3:B3,"Yes"),"")</f>
        <v/>
      </c>
      <c r="B3" s="0" t="str">
        <f aca="false">IF(SUM(D3:I3)&gt;0,"Yes","No")</f>
        <v>No</v>
      </c>
      <c r="C3" s="264" t="s">
        <v>128</v>
      </c>
      <c r="D3" s="0" t="n">
        <f aca="false">SUMIFS(Trades!$I$9:$I$59,Trades!$C$9:$C$59,$C3,Trades!$K$9:$K$59,"&lt;="&amp;D$2)-SUMIFS(Trades!$I$32:$I$59,Trades!$C$32:$C$59,$C3,Trades!$M$32:$M$59,"&lt;="&amp;D$2)</f>
        <v>0</v>
      </c>
      <c r="E3" s="0" t="n">
        <f aca="false">SUMIFS(Trades!$I$9:$I$59,Trades!$C$9:$C$59,$C3,Trades!$K$9:$K$59,"&lt;="&amp;E$2)-SUMIFS(Trades!$I$32:$I$59,Trades!$C$32:$C$59,$C3,Trades!$M$32:$M$59,"&lt;="&amp;E$2)</f>
        <v>0</v>
      </c>
      <c r="F3" s="0" t="n">
        <f aca="false">SUMIFS(Trades!$I$9:$I$59,Trades!$C$9:$C$59,$C3,Trades!$K$9:$K$59,"&lt;="&amp;F$2)-SUMIFS(Trades!$I$32:$I$59,Trades!$C$32:$C$59,$C3,Trades!$M$32:$M$59,"&lt;="&amp;F$2)</f>
        <v>0</v>
      </c>
      <c r="G3" s="0" t="n">
        <f aca="false">SUMIFS(Trades!$I$9:$I$59,Trades!$C$9:$C$59,$C3,Trades!$K$9:$K$59,"&lt;="&amp;G$2)-SUMIFS(Trades!$I$32:$I$59,Trades!$C$32:$C$59,$C3,Trades!$M$32:$M$59,"&lt;="&amp;G$2)</f>
        <v>0</v>
      </c>
      <c r="H3" s="0" t="n">
        <f aca="false">SUMIFS(Trades!$I$9:$I$59,Trades!$C$9:$C$59,$C3,Trades!$K$9:$K$59,"&lt;="&amp;H$2)-SUMIFS(Trades!$I$32:$I$59,Trades!$C$32:$C$59,$C3,Trades!$M$32:$M$59,"&lt;="&amp;H$2)</f>
        <v>0</v>
      </c>
      <c r="I3" s="0" t="n">
        <f aca="false">SUMIFS(Trades!$I$9:$I$59,Trades!$C$9:$C$59,$C3,Trades!$K$9:$K$59,"&lt;="&amp;I$2)-SUMIFS(Trades!$I$32:$I$59,Trades!$C$32:$C$59,$C3,Trades!$M$32:$M$59,"&lt;="&amp;I$2)</f>
        <v>0</v>
      </c>
      <c r="J3" s="510" t="s">
        <v>466</v>
      </c>
      <c r="M3" s="0" t="str">
        <f aca="false">IF(SUM(O3:O3)&gt;0,"Yes","No")</f>
        <v>No</v>
      </c>
      <c r="N3" s="264" t="s">
        <v>128</v>
      </c>
      <c r="O3" s="511" t="n">
        <f aca="false">SUMIFS(Trades!$O$9:$O$59,Trades!$C$9:$C$59,$C3,Trades!$G$9:$G$59,"Buy")</f>
        <v>0</v>
      </c>
      <c r="P3" s="511" t="n">
        <f aca="false">SUMIFS(Trades!$I$9:$I$59,Trades!$C$9:$C$59,$C3,Trades!$G$9:$G$59,"Buy")</f>
        <v>0</v>
      </c>
      <c r="Q3" s="330" t="str">
        <f aca="false">IF(ISERROR(O3/P3),"",-O3/P3)</f>
        <v/>
      </c>
      <c r="R3" s="0" t="n">
        <f aca="false">SUMIFS(Trades!$O$9:$O$59,Trades!$C$9:$C$59,$C3,Trades!$G$9:$G$59,"Sell")</f>
        <v>0</v>
      </c>
      <c r="S3" s="0" t="n">
        <f aca="false">SUMIFS(Trades!$I$9:$I$59,Trades!$C$9:$C$59,$C3,Trades!$G$9:$G$59,"Sell")</f>
        <v>0</v>
      </c>
      <c r="T3" s="0" t="str">
        <f aca="false">IF(S3=0,"",R3/S3)</f>
        <v/>
      </c>
    </row>
    <row r="4" customFormat="false" ht="15" hidden="false" customHeight="false" outlineLevel="0" collapsed="false">
      <c r="A4" s="134" t="str">
        <f aca="false">IF(B4="Yes",COUNTIF($B$3:B4,"Yes"),"")</f>
        <v/>
      </c>
      <c r="B4" s="0" t="str">
        <f aca="false">IF(SUM(D4:I4)&gt;0,"Yes","No")</f>
        <v>No</v>
      </c>
      <c r="C4" s="264" t="s">
        <v>221</v>
      </c>
      <c r="D4" s="0" t="n">
        <f aca="false">SUMIFS(Trades!$I$9:$I$59,Trades!$C$9:$C$59,$C4,Trades!$K$9:$K$59,"&lt;="&amp;D$2)-SUMIFS(Trades!$I$32:$I$59,Trades!$C$32:$C$59,$C4,Trades!$M$32:$M$59,"&lt;="&amp;D$2)</f>
        <v>0</v>
      </c>
      <c r="E4" s="0" t="n">
        <f aca="false">SUMIFS(Trades!$I$9:$I$59,Trades!$C$9:$C$59,$C4,Trades!$K$9:$K$59,"&lt;="&amp;E$2)-SUMIFS(Trades!$I$32:$I$59,Trades!$C$32:$C$59,$C4,Trades!$M$32:$M$59,"&lt;="&amp;E$2)</f>
        <v>0</v>
      </c>
      <c r="F4" s="0" t="n">
        <f aca="false">SUMIFS(Trades!$I$9:$I$59,Trades!$C$9:$C$59,$C4,Trades!$K$9:$K$59,"&lt;="&amp;F$2)-SUMIFS(Trades!$I$32:$I$59,Trades!$C$32:$C$59,$C4,Trades!$M$32:$M$59,"&lt;="&amp;F$2)</f>
        <v>0</v>
      </c>
      <c r="G4" s="0" t="n">
        <f aca="false">SUMIFS(Trades!$I$9:$I$59,Trades!$C$9:$C$59,$C4,Trades!$K$9:$K$59,"&lt;="&amp;G$2)-SUMIFS(Trades!$I$32:$I$59,Trades!$C$32:$C$59,$C4,Trades!$M$32:$M$59,"&lt;="&amp;G$2)</f>
        <v>0</v>
      </c>
      <c r="H4" s="0" t="n">
        <f aca="false">SUMIFS(Trades!$I$9:$I$59,Trades!$C$9:$C$59,$C4,Trades!$K$9:$K$59,"&lt;="&amp;H$2)-SUMIFS(Trades!$I$32:$I$59,Trades!$C$32:$C$59,$C4,Trades!$M$32:$M$59,"&lt;="&amp;H$2)</f>
        <v>0</v>
      </c>
      <c r="I4" s="0" t="n">
        <f aca="false">SUMIFS(Trades!$I$9:$I$59,Trades!$C$9:$C$59,$C4,Trades!$K$9:$K$59,"&lt;="&amp;I$2)-SUMIFS(Trades!$I$32:$I$59,Trades!$C$32:$C$59,$C4,Trades!$M$32:$M$59,"&lt;="&amp;I$2)</f>
        <v>0</v>
      </c>
      <c r="M4" s="0" t="str">
        <f aca="false">IF(SUM(O4:O4)&gt;0,"Yes","No")</f>
        <v>No</v>
      </c>
      <c r="N4" s="264" t="s">
        <v>221</v>
      </c>
      <c r="O4" s="511" t="n">
        <f aca="false">SUMIFS(Trades!$O$9:$O$59,Trades!$C$9:$C$59,C4,Trades!$G$9:$G$59,"Buy")</f>
        <v>0</v>
      </c>
      <c r="P4" s="511" t="n">
        <f aca="false">SUMIFS(Trades!$I$9:$I$59,Trades!$C$9:$C$59,$C4,Trades!$G$9:$G$59,"Buy")</f>
        <v>0</v>
      </c>
      <c r="Q4" s="330" t="str">
        <f aca="false">IF(ISERROR(O4/P4),"",-O4/P4)</f>
        <v/>
      </c>
      <c r="R4" s="0" t="n">
        <f aca="false">SUMIFS(Trades!$O$9:$O$59,Trades!$C$9:$C$59,$C4,Trades!$G$9:$G$59,"Sell")</f>
        <v>0</v>
      </c>
      <c r="S4" s="0" t="n">
        <f aca="false">SUMIFS(Trades!$I$9:$I$59,Trades!$C$9:$C$59,$C4,Trades!$G$9:$G$59,"Sell")</f>
        <v>0</v>
      </c>
      <c r="T4" s="0" t="str">
        <f aca="false">IF(S4=0,"",R4/S4)</f>
        <v/>
      </c>
    </row>
    <row r="5" customFormat="false" ht="15" hidden="false" customHeight="false" outlineLevel="0" collapsed="false">
      <c r="A5" s="134" t="n">
        <f aca="false">IF(B5="Yes",COUNTIF($B$3:B5,"Yes"),"")</f>
        <v>1</v>
      </c>
      <c r="B5" s="0" t="str">
        <f aca="false">IF(SUM(D5:I5)&gt;0,"Yes","No")</f>
        <v>Yes</v>
      </c>
      <c r="C5" s="264" t="s">
        <v>227</v>
      </c>
      <c r="D5" s="0" t="n">
        <f aca="false">SUMIFS(Trades!$I$9:$I$59,Trades!$C$9:$C$59,$C5,Trades!$K$9:$K$59,"&lt;="&amp;D$2)-SUMIFS(Trades!$I$32:$I$59,Trades!$C$32:$C$59,$C5,Trades!$M$32:$M$59,"&lt;="&amp;D$2)</f>
        <v>1239</v>
      </c>
      <c r="E5" s="0" t="n">
        <f aca="false">SUMIFS(Trades!$I$9:$I$59,Trades!$C$9:$C$59,$C5,Trades!$K$9:$K$59,"&lt;="&amp;E$2)-SUMIFS(Trades!$I$32:$I$59,Trades!$C$32:$C$59,$C5,Trades!$M$32:$M$59,"&lt;="&amp;E$2)</f>
        <v>1239</v>
      </c>
      <c r="F5" s="0" t="n">
        <f aca="false">SUMIFS(Trades!$I$9:$I$59,Trades!$C$9:$C$59,$C5,Trades!$K$9:$K$59,"&lt;="&amp;F$2)-SUMIFS(Trades!$I$32:$I$59,Trades!$C$32:$C$59,$C5,Trades!$M$32:$M$59,"&lt;="&amp;F$2)</f>
        <v>1239</v>
      </c>
      <c r="G5" s="0" t="n">
        <f aca="false">SUMIFS(Trades!$I$9:$I$59,Trades!$C$9:$C$59,$C5,Trades!$K$9:$K$59,"&lt;="&amp;G$2)-SUMIFS(Trades!$I$32:$I$59,Trades!$C$32:$C$59,$C5,Trades!$M$32:$M$59,"&lt;="&amp;G$2)</f>
        <v>1239</v>
      </c>
      <c r="H5" s="0" t="n">
        <f aca="false">SUMIFS(Trades!$I$9:$I$59,Trades!$C$9:$C$59,$C5,Trades!$K$9:$K$59,"&lt;="&amp;H$2)-SUMIFS(Trades!$I$32:$I$59,Trades!$C$32:$C$59,$C5,Trades!$M$32:$M$59,"&lt;="&amp;H$2)</f>
        <v>1239</v>
      </c>
      <c r="I5" s="0" t="n">
        <f aca="false">SUMIFS(Trades!$I$9:$I$59,Trades!$C$9:$C$59,$C5,Trades!$K$9:$K$59,"&lt;="&amp;I$2)-SUMIFS(Trades!$I$32:$I$59,Trades!$C$32:$C$59,$C5,Trades!$M$32:$M$59,"&lt;="&amp;I$2)</f>
        <v>1239</v>
      </c>
      <c r="M5" s="0" t="str">
        <f aca="false">IF(SUM(O5:O5)&gt;0,"Yes","No")</f>
        <v>No</v>
      </c>
      <c r="N5" s="264" t="s">
        <v>227</v>
      </c>
      <c r="O5" s="511" t="n">
        <f aca="false">SUMIFS(Trades!$O$9:$O$59,Trades!$C$9:$C$59,C5,Trades!$G$9:$G$59,"Buy")</f>
        <v>-99962.52</v>
      </c>
      <c r="P5" s="511" t="n">
        <f aca="false">SUMIFS(Trades!$I$9:$I$59,Trades!$C$9:$C$59,$C5,Trades!$G$9:$G$59,"Buy")</f>
        <v>1239</v>
      </c>
      <c r="Q5" s="330" t="n">
        <f aca="false">IF(ISERROR(O5/P5),"",-O5/P5)</f>
        <v>80.68</v>
      </c>
      <c r="R5" s="0" t="n">
        <f aca="false">SUMIFS(Trades!$O$9:$O$59,Trades!$C$9:$C$59,$C5,Trades!$G$9:$G$59,"Sell")</f>
        <v>0</v>
      </c>
      <c r="S5" s="0" t="n">
        <f aca="false">SUMIFS(Trades!$I$9:$I$59,Trades!$C$9:$C$59,$C5,Trades!$G$9:$G$59,"Sell")</f>
        <v>0</v>
      </c>
      <c r="T5" s="0" t="str">
        <f aca="false">IF(S5=0,"",R5/S5)</f>
        <v/>
      </c>
    </row>
    <row r="6" customFormat="false" ht="15" hidden="false" customHeight="false" outlineLevel="0" collapsed="false">
      <c r="A6" s="134" t="str">
        <f aca="false">IF(B6="Yes",COUNTIF($B$3:B6,"Yes"),"")</f>
        <v/>
      </c>
      <c r="B6" s="0" t="str">
        <f aca="false">IF(SUM(D6:I6)&gt;0,"Yes","No")</f>
        <v>No</v>
      </c>
      <c r="C6" s="264" t="s">
        <v>224</v>
      </c>
      <c r="D6" s="0" t="n">
        <f aca="false">SUMIFS(Trades!$I$9:$I$59,Trades!$C$9:$C$59,$C6,Trades!$K$9:$K$59,"&lt;="&amp;D$2)-SUMIFS(Trades!$I$32:$I$59,Trades!$C$32:$C$59,$C6,Trades!$M$32:$M$59,"&lt;="&amp;D$2)</f>
        <v>0</v>
      </c>
      <c r="E6" s="0" t="n">
        <f aca="false">SUMIFS(Trades!$I$9:$I$59,Trades!$C$9:$C$59,$C6,Trades!$K$9:$K$59,"&lt;="&amp;E$2)-SUMIFS(Trades!$I$32:$I$59,Trades!$C$32:$C$59,$C6,Trades!$M$32:$M$59,"&lt;="&amp;E$2)</f>
        <v>0</v>
      </c>
      <c r="F6" s="0" t="n">
        <f aca="false">SUMIFS(Trades!$I$9:$I$59,Trades!$C$9:$C$59,$C6,Trades!$K$9:$K$59,"&lt;="&amp;F$2)-SUMIFS(Trades!$I$32:$I$59,Trades!$C$32:$C$59,$C6,Trades!$M$32:$M$59,"&lt;="&amp;F$2)</f>
        <v>0</v>
      </c>
      <c r="G6" s="0" t="n">
        <f aca="false">SUMIFS(Trades!$I$9:$I$59,Trades!$C$9:$C$59,$C6,Trades!$K$9:$K$59,"&lt;="&amp;G$2)-SUMIFS(Trades!$I$32:$I$59,Trades!$C$32:$C$59,$C6,Trades!$M$32:$M$59,"&lt;="&amp;G$2)</f>
        <v>0</v>
      </c>
      <c r="H6" s="0" t="n">
        <f aca="false">SUMIFS(Trades!$I$9:$I$59,Trades!$C$9:$C$59,$C6,Trades!$K$9:$K$59,"&lt;="&amp;H$2)-SUMIFS(Trades!$I$32:$I$59,Trades!$C$32:$C$59,$C6,Trades!$M$32:$M$59,"&lt;="&amp;H$2)</f>
        <v>0</v>
      </c>
      <c r="I6" s="0" t="n">
        <f aca="false">SUMIFS(Trades!$I$9:$I$59,Trades!$C$9:$C$59,$C6,Trades!$K$9:$K$59,"&lt;="&amp;I$2)-SUMIFS(Trades!$I$32:$I$59,Trades!$C$32:$C$59,$C6,Trades!$M$32:$M$59,"&lt;="&amp;I$2)</f>
        <v>0</v>
      </c>
      <c r="M6" s="0" t="str">
        <f aca="false">IF(SUM(O6:O6)&gt;0,"Yes","No")</f>
        <v>No</v>
      </c>
      <c r="N6" s="264" t="s">
        <v>224</v>
      </c>
      <c r="O6" s="511" t="n">
        <f aca="false">SUMIFS(Trades!$O$9:$O$59,Trades!$C$9:$C$59,C6,Trades!$G$9:$G$59,"Buy")</f>
        <v>0</v>
      </c>
      <c r="P6" s="511" t="n">
        <f aca="false">SUMIFS(Trades!$I$9:$I$59,Trades!$C$9:$C$59,$C6,Trades!$G$9:$G$59,"Buy")</f>
        <v>0</v>
      </c>
      <c r="Q6" s="330" t="str">
        <f aca="false">IF(ISERROR(O6/P6),"",-O6/P6)</f>
        <v/>
      </c>
      <c r="R6" s="0" t="n">
        <f aca="false">SUMIFS(Trades!$O$9:$O$59,Trades!$C$9:$C$59,$C6,Trades!$G$9:$G$59,"Sell")</f>
        <v>0</v>
      </c>
      <c r="S6" s="0" t="n">
        <f aca="false">SUMIFS(Trades!$I$9:$I$59,Trades!$C$9:$C$59,$C6,Trades!$G$9:$G$59,"Sell")</f>
        <v>0</v>
      </c>
      <c r="T6" s="0" t="str">
        <f aca="false">IF(S6=0,"",R6/S6)</f>
        <v/>
      </c>
    </row>
    <row r="7" customFormat="false" ht="15" hidden="false" customHeight="false" outlineLevel="0" collapsed="false">
      <c r="A7" s="134" t="str">
        <f aca="false">IF(B7="Yes",COUNTIF($B$3:B7,"Yes"),"")</f>
        <v/>
      </c>
      <c r="B7" s="0" t="str">
        <f aca="false">IF(SUM(D7:I7)&gt;0,"Yes","No")</f>
        <v>No</v>
      </c>
      <c r="C7" s="264" t="s">
        <v>209</v>
      </c>
      <c r="D7" s="0" t="n">
        <f aca="false">SUMIFS(Trades!$I$9:$I$59,Trades!$C$9:$C$59,$C7,Trades!$K$9:$K$59,"&lt;="&amp;D$2)-SUMIFS(Trades!$I$32:$I$59,Trades!$C$32:$C$59,$C7,Trades!$M$32:$M$59,"&lt;="&amp;D$2)</f>
        <v>0</v>
      </c>
      <c r="E7" s="0" t="n">
        <f aca="false">SUMIFS(Trades!$I$9:$I$59,Trades!$C$9:$C$59,$C7,Trades!$K$9:$K$59,"&lt;="&amp;E$2)-SUMIFS(Trades!$I$32:$I$59,Trades!$C$32:$C$59,$C7,Trades!$M$32:$M$59,"&lt;="&amp;E$2)</f>
        <v>0</v>
      </c>
      <c r="F7" s="0" t="n">
        <f aca="false">SUMIFS(Trades!$I$9:$I$59,Trades!$C$9:$C$59,$C7,Trades!$K$9:$K$59,"&lt;="&amp;F$2)-SUMIFS(Trades!$I$32:$I$59,Trades!$C$32:$C$59,$C7,Trades!$M$32:$M$59,"&lt;="&amp;F$2)</f>
        <v>0</v>
      </c>
      <c r="G7" s="0" t="n">
        <f aca="false">SUMIFS(Trades!$I$9:$I$59,Trades!$C$9:$C$59,$C7,Trades!$K$9:$K$59,"&lt;="&amp;G$2)-SUMIFS(Trades!$I$32:$I$59,Trades!$C$32:$C$59,$C7,Trades!$M$32:$M$59,"&lt;="&amp;G$2)</f>
        <v>0</v>
      </c>
      <c r="H7" s="0" t="n">
        <f aca="false">SUMIFS(Trades!$I$9:$I$59,Trades!$C$9:$C$59,$C7,Trades!$K$9:$K$59,"&lt;="&amp;H$2)-SUMIFS(Trades!$I$32:$I$59,Trades!$C$32:$C$59,$C7,Trades!$M$32:$M$59,"&lt;="&amp;H$2)</f>
        <v>0</v>
      </c>
      <c r="I7" s="0" t="n">
        <f aca="false">SUMIFS(Trades!$I$9:$I$59,Trades!$C$9:$C$59,$C7,Trades!$K$9:$K$59,"&lt;="&amp;I$2)-SUMIFS(Trades!$I$32:$I$59,Trades!$C$32:$C$59,$C7,Trades!$M$32:$M$59,"&lt;="&amp;I$2)</f>
        <v>0</v>
      </c>
      <c r="M7" s="0" t="str">
        <f aca="false">IF(SUM(O7:O7)&gt;0,"Yes","No")</f>
        <v>No</v>
      </c>
      <c r="N7" s="264" t="s">
        <v>209</v>
      </c>
      <c r="O7" s="511" t="n">
        <f aca="false">SUMIFS(Trades!$O$9:$O$59,Trades!$C$9:$C$59,C7,Trades!$G$9:$G$59,"Buy")</f>
        <v>0</v>
      </c>
      <c r="P7" s="511" t="n">
        <f aca="false">SUMIFS(Trades!$I$9:$I$59,Trades!$C$9:$C$59,$C7,Trades!$G$9:$G$59,"Buy")</f>
        <v>0</v>
      </c>
      <c r="Q7" s="330" t="str">
        <f aca="false">IF(ISERROR(O7/P7),"",-O7/P7)</f>
        <v/>
      </c>
      <c r="R7" s="0" t="n">
        <f aca="false">SUMIFS(Trades!$O$9:$O$59,Trades!$C$9:$C$59,$C7,Trades!$G$9:$G$59,"Sell")</f>
        <v>0</v>
      </c>
      <c r="S7" s="0" t="n">
        <f aca="false">SUMIFS(Trades!$I$9:$I$59,Trades!$C$9:$C$59,$C7,Trades!$G$9:$G$59,"Sell")</f>
        <v>0</v>
      </c>
      <c r="T7" s="0" t="str">
        <f aca="false">IF(S7=0,"",R7/S7)</f>
        <v/>
      </c>
    </row>
    <row r="8" customFormat="false" ht="15" hidden="false" customHeight="false" outlineLevel="0" collapsed="false">
      <c r="A8" s="134" t="str">
        <f aca="false">IF(B8="Yes",COUNTIF($B$3:B8,"Yes"),"")</f>
        <v/>
      </c>
      <c r="B8" s="0" t="str">
        <f aca="false">IF(SUM(D8:I8)&gt;0,"Yes","No")</f>
        <v>No</v>
      </c>
      <c r="C8" s="264" t="s">
        <v>51</v>
      </c>
      <c r="D8" s="0" t="n">
        <f aca="false">SUMIFS(Trades!$I$9:$I$59,Trades!$C$9:$C$59,$C8,Trades!$K$9:$K$59,"&lt;="&amp;D$2)-SUMIFS(Trades!$I$32:$I$59,Trades!$C$32:$C$59,$C8,Trades!$M$32:$M$59,"&lt;="&amp;D$2)</f>
        <v>0</v>
      </c>
      <c r="E8" s="0" t="n">
        <f aca="false">SUMIFS(Trades!$I$9:$I$59,Trades!$C$9:$C$59,$C8,Trades!$K$9:$K$59,"&lt;="&amp;E$2)-SUMIFS(Trades!$I$32:$I$59,Trades!$C$32:$C$59,$C8,Trades!$M$32:$M$59,"&lt;="&amp;E$2)</f>
        <v>0</v>
      </c>
      <c r="F8" s="0" t="n">
        <f aca="false">SUMIFS(Trades!$I$9:$I$59,Trades!$C$9:$C$59,$C8,Trades!$K$9:$K$59,"&lt;="&amp;F$2)-SUMIFS(Trades!$I$32:$I$59,Trades!$C$32:$C$59,$C8,Trades!$M$32:$M$59,"&lt;="&amp;F$2)</f>
        <v>0</v>
      </c>
      <c r="G8" s="0" t="n">
        <f aca="false">SUMIFS(Trades!$I$9:$I$59,Trades!$C$9:$C$59,$C8,Trades!$K$9:$K$59,"&lt;="&amp;G$2)-SUMIFS(Trades!$I$32:$I$59,Trades!$C$32:$C$59,$C8,Trades!$M$32:$M$59,"&lt;="&amp;G$2)</f>
        <v>0</v>
      </c>
      <c r="H8" s="0" t="n">
        <f aca="false">SUMIFS(Trades!$I$9:$I$59,Trades!$C$9:$C$59,$C8,Trades!$K$9:$K$59,"&lt;="&amp;H$2)-SUMIFS(Trades!$I$32:$I$59,Trades!$C$32:$C$59,$C8,Trades!$M$32:$M$59,"&lt;="&amp;H$2)</f>
        <v>0</v>
      </c>
      <c r="I8" s="0" t="n">
        <f aca="false">SUMIFS(Trades!$I$9:$I$59,Trades!$C$9:$C$59,$C8,Trades!$K$9:$K$59,"&lt;="&amp;I$2)-SUMIFS(Trades!$I$32:$I$59,Trades!$C$32:$C$59,$C8,Trades!$M$32:$M$59,"&lt;="&amp;I$2)</f>
        <v>0</v>
      </c>
      <c r="M8" s="0" t="str">
        <f aca="false">IF(SUM(O8:O8)&gt;0,"Yes","No")</f>
        <v>No</v>
      </c>
      <c r="N8" s="264" t="s">
        <v>51</v>
      </c>
      <c r="O8" s="511" t="n">
        <f aca="false">SUMIFS(Trades!$O$9:$O$59,Trades!$C$9:$C$59,C8,Trades!$G$9:$G$59,"Buy")</f>
        <v>0</v>
      </c>
      <c r="P8" s="511" t="n">
        <f aca="false">SUMIFS(Trades!$I$9:$I$59,Trades!$C$9:$C$59,$C8,Trades!$G$9:$G$59,"Buy")</f>
        <v>0</v>
      </c>
      <c r="Q8" s="330" t="str">
        <f aca="false">IF(ISERROR(O8/P8),"",-O8/P8)</f>
        <v/>
      </c>
      <c r="R8" s="0" t="n">
        <f aca="false">SUMIFS(Trades!$O$9:$O$59,Trades!$C$9:$C$59,$C8,Trades!$G$9:$G$59,"Sell")</f>
        <v>0</v>
      </c>
      <c r="S8" s="0" t="n">
        <f aca="false">SUMIFS(Trades!$I$9:$I$59,Trades!$C$9:$C$59,$C8,Trades!$G$9:$G$59,"Sell")</f>
        <v>0</v>
      </c>
      <c r="T8" s="0" t="str">
        <f aca="false">IF(S8=0,"",R8/S8)</f>
        <v/>
      </c>
    </row>
    <row r="9" customFormat="false" ht="15" hidden="false" customHeight="false" outlineLevel="0" collapsed="false">
      <c r="A9" s="134" t="str">
        <f aca="false">IF(B9="Yes",COUNTIF($B$3:B9,"Yes"),"")</f>
        <v/>
      </c>
      <c r="B9" s="0" t="str">
        <f aca="false">IF(SUM(D9:I9)&gt;0,"Yes","No")</f>
        <v>No</v>
      </c>
      <c r="C9" s="264" t="s">
        <v>45</v>
      </c>
      <c r="D9" s="0" t="n">
        <f aca="false">SUMIFS(Trades!$I$9:$I$59,Trades!$C$9:$C$59,$C9,Trades!$K$9:$K$59,"&lt;="&amp;D$2)-SUMIFS(Trades!$I$32:$I$59,Trades!$C$32:$C$59,$C9,Trades!$M$32:$M$59,"&lt;="&amp;D$2)</f>
        <v>0</v>
      </c>
      <c r="E9" s="0" t="n">
        <f aca="false">SUMIFS(Trades!$I$9:$I$59,Trades!$C$9:$C$59,$C9,Trades!$K$9:$K$59,"&lt;="&amp;E$2)-SUMIFS(Trades!$I$32:$I$59,Trades!$C$32:$C$59,$C9,Trades!$M$32:$M$59,"&lt;="&amp;E$2)</f>
        <v>0</v>
      </c>
      <c r="F9" s="0" t="n">
        <f aca="false">SUMIFS(Trades!$I$9:$I$59,Trades!$C$9:$C$59,$C9,Trades!$K$9:$K$59,"&lt;="&amp;F$2)-SUMIFS(Trades!$I$32:$I$59,Trades!$C$32:$C$59,$C9,Trades!$M$32:$M$59,"&lt;="&amp;F$2)</f>
        <v>0</v>
      </c>
      <c r="G9" s="0" t="n">
        <f aca="false">SUMIFS(Trades!$I$9:$I$59,Trades!$C$9:$C$59,$C9,Trades!$K$9:$K$59,"&lt;="&amp;G$2)-SUMIFS(Trades!$I$32:$I$59,Trades!$C$32:$C$59,$C9,Trades!$M$32:$M$59,"&lt;="&amp;G$2)</f>
        <v>0</v>
      </c>
      <c r="H9" s="0" t="n">
        <f aca="false">SUMIFS(Trades!$I$9:$I$59,Trades!$C$9:$C$59,$C9,Trades!$K$9:$K$59,"&lt;="&amp;H$2)-SUMIFS(Trades!$I$32:$I$59,Trades!$C$32:$C$59,$C9,Trades!$M$32:$M$59,"&lt;="&amp;H$2)</f>
        <v>0</v>
      </c>
      <c r="I9" s="0" t="n">
        <f aca="false">SUMIFS(Trades!$I$9:$I$59,Trades!$C$9:$C$59,$C9,Trades!$K$9:$K$59,"&lt;="&amp;I$2)-SUMIFS(Trades!$I$32:$I$59,Trades!$C$32:$C$59,$C9,Trades!$M$32:$M$59,"&lt;="&amp;I$2)</f>
        <v>0</v>
      </c>
      <c r="M9" s="0" t="str">
        <f aca="false">IF(SUM(O9:O9)&gt;0,"Yes","No")</f>
        <v>No</v>
      </c>
      <c r="N9" s="264" t="s">
        <v>45</v>
      </c>
      <c r="O9" s="511" t="n">
        <f aca="false">SUMIFS(Trades!$O$9:$O$59,Trades!$C$9:$C$59,C9,Trades!$G$9:$G$59,"Buy")</f>
        <v>0</v>
      </c>
      <c r="P9" s="511" t="n">
        <f aca="false">SUMIFS(Trades!$I$9:$I$59,Trades!$C$9:$C$59,$C9,Trades!$G$9:$G$59,"Buy")</f>
        <v>0</v>
      </c>
      <c r="Q9" s="330" t="str">
        <f aca="false">IF(ISERROR(O9/P9),"",-O9/P9)</f>
        <v/>
      </c>
      <c r="R9" s="0" t="n">
        <f aca="false">SUMIFS(Trades!$O$9:$O$59,Trades!$C$9:$C$59,$C9,Trades!$G$9:$G$59,"Sell")</f>
        <v>0</v>
      </c>
      <c r="S9" s="0" t="n">
        <f aca="false">SUMIFS(Trades!$I$9:$I$59,Trades!$C$9:$C$59,$C9,Trades!$G$9:$G$59,"Sell")</f>
        <v>0</v>
      </c>
      <c r="T9" s="0" t="str">
        <f aca="false">IF(S9=0,"",R9/S9)</f>
        <v/>
      </c>
    </row>
    <row r="10" customFormat="false" ht="15" hidden="false" customHeight="false" outlineLevel="0" collapsed="false">
      <c r="A10" s="134" t="n">
        <f aca="false">IF(B10="Yes",COUNTIF($B$3:B10,"Yes"),"")</f>
        <v>2</v>
      </c>
      <c r="B10" s="0" t="str">
        <f aca="false">IF(SUM(D10:I10)&gt;0,"Yes","No")</f>
        <v>Yes</v>
      </c>
      <c r="C10" s="264" t="s">
        <v>172</v>
      </c>
      <c r="D10" s="0" t="n">
        <f aca="false">SUMIFS(Trades!$I$9:$I$59,Trades!$C$9:$C$59,$C10,Trades!$K$9:$K$59,"&lt;="&amp;D$2)-SUMIFS(Trades!$I$32:$I$59,Trades!$C$32:$C$59,$C10,Trades!$M$32:$M$59,"&lt;="&amp;D$2)</f>
        <v>3238</v>
      </c>
      <c r="E10" s="0" t="n">
        <f aca="false">SUMIFS(Trades!$I$9:$I$59,Trades!$C$9:$C$59,$C10,Trades!$K$9:$K$59,"&lt;="&amp;E$2)-SUMIFS(Trades!$I$32:$I$59,Trades!$C$32:$C$59,$C10,Trades!$M$32:$M$59,"&lt;="&amp;E$2)</f>
        <v>3238</v>
      </c>
      <c r="F10" s="0" t="n">
        <f aca="false">SUMIFS(Trades!$I$9:$I$59,Trades!$C$9:$C$59,$C10,Trades!$K$9:$K$59,"&lt;="&amp;F$2)-SUMIFS(Trades!$I$32:$I$59,Trades!$C$32:$C$59,$C10,Trades!$M$32:$M$59,"&lt;="&amp;F$2)</f>
        <v>3238</v>
      </c>
      <c r="G10" s="0" t="n">
        <f aca="false">SUMIFS(Trades!$I$9:$I$59,Trades!$C$9:$C$59,$C10,Trades!$K$9:$K$59,"&lt;="&amp;G$2)-SUMIFS(Trades!$I$32:$I$59,Trades!$C$32:$C$59,$C10,Trades!$M$32:$M$59,"&lt;="&amp;G$2)</f>
        <v>3238</v>
      </c>
      <c r="H10" s="0" t="n">
        <f aca="false">SUMIFS(Trades!$I$9:$I$59,Trades!$C$9:$C$59,$C10,Trades!$K$9:$K$59,"&lt;="&amp;H$2)-SUMIFS(Trades!$I$32:$I$59,Trades!$C$32:$C$59,$C10,Trades!$M$32:$M$59,"&lt;="&amp;H$2)</f>
        <v>3238</v>
      </c>
      <c r="I10" s="0" t="n">
        <f aca="false">SUMIFS(Trades!$I$9:$I$59,Trades!$C$9:$C$59,$C10,Trades!$K$9:$K$59,"&lt;="&amp;I$2)-SUMIFS(Trades!$I$32:$I$59,Trades!$C$32:$C$59,$C10,Trades!$M$32:$M$59,"&lt;="&amp;I$2)</f>
        <v>3238</v>
      </c>
      <c r="M10" s="0" t="str">
        <f aca="false">IF(SUM(O10:O10)&gt;0,"Yes","No")</f>
        <v>No</v>
      </c>
      <c r="N10" s="264" t="s">
        <v>172</v>
      </c>
      <c r="O10" s="511" t="n">
        <f aca="false">SUMIFS(Trades!$O$9:$O$59,Trades!$C$9:$C$59,C10,Trades!$G$9:$G$59,"Buy")</f>
        <v>-150016.54</v>
      </c>
      <c r="P10" s="511" t="n">
        <f aca="false">SUMIFS(Trades!$I$9:$I$59,Trades!$C$9:$C$59,$C10,Trades!$G$9:$G$59,"Buy")</f>
        <v>3238</v>
      </c>
      <c r="Q10" s="330" t="n">
        <f aca="false">IF(ISERROR(O10/P10),"",-O10/P10)</f>
        <v>46.33</v>
      </c>
      <c r="R10" s="0" t="n">
        <f aca="false">SUMIFS(Trades!$O$9:$O$59,Trades!$C$9:$C$59,$C10,Trades!$G$9:$G$59,"Sell")</f>
        <v>0</v>
      </c>
      <c r="S10" s="0" t="n">
        <f aca="false">SUMIFS(Trades!$I$9:$I$59,Trades!$C$9:$C$59,$C10,Trades!$G$9:$G$59,"Sell")</f>
        <v>0</v>
      </c>
      <c r="T10" s="0" t="str">
        <f aca="false">IF(S10=0,"",R10/S10)</f>
        <v/>
      </c>
    </row>
    <row r="11" customFormat="false" ht="15" hidden="false" customHeight="false" outlineLevel="0" collapsed="false">
      <c r="A11" s="134" t="n">
        <f aca="false">IF(B11="Yes",COUNTIF($B$3:B11,"Yes"),"")</f>
        <v>3</v>
      </c>
      <c r="B11" s="0" t="str">
        <f aca="false">IF(SUM(D11:I11)&gt;0,"Yes","No")</f>
        <v>Yes</v>
      </c>
      <c r="C11" s="264" t="s">
        <v>125</v>
      </c>
      <c r="D11" s="0" t="n">
        <f aca="false">SUMIFS(Trades!$I$9:$I$59,Trades!$C$9:$C$59,$C11,Trades!$K$9:$K$59,"&lt;="&amp;D$2)-SUMIFS(Trades!$I$32:$I$59,Trades!$C$32:$C$59,$C11,Trades!$M$32:$M$59,"&lt;="&amp;D$2)</f>
        <v>2130</v>
      </c>
      <c r="E11" s="0" t="n">
        <f aca="false">SUMIFS(Trades!$I$9:$I$59,Trades!$C$9:$C$59,$C11,Trades!$K$9:$K$59,"&lt;="&amp;E$2)-SUMIFS(Trades!$I$32:$I$59,Trades!$C$32:$C$59,$C11,Trades!$M$32:$M$59,"&lt;="&amp;E$2)</f>
        <v>716</v>
      </c>
      <c r="F11" s="0" t="n">
        <f aca="false">SUMIFS(Trades!$I$9:$I$59,Trades!$C$9:$C$59,$C11,Trades!$K$9:$K$59,"&lt;="&amp;F$2)-SUMIFS(Trades!$I$32:$I$59,Trades!$C$32:$C$59,$C11,Trades!$M$32:$M$59,"&lt;="&amp;F$2)</f>
        <v>716</v>
      </c>
      <c r="G11" s="0" t="n">
        <f aca="false">SUMIFS(Trades!$I$9:$I$59,Trades!$C$9:$C$59,$C11,Trades!$K$9:$K$59,"&lt;="&amp;G$2)-SUMIFS(Trades!$I$32:$I$59,Trades!$C$32:$C$59,$C11,Trades!$M$32:$M$59,"&lt;="&amp;G$2)</f>
        <v>716</v>
      </c>
      <c r="H11" s="0" t="n">
        <f aca="false">SUMIFS(Trades!$I$9:$I$59,Trades!$C$9:$C$59,$C11,Trades!$K$9:$K$59,"&lt;="&amp;H$2)-SUMIFS(Trades!$I$32:$I$59,Trades!$C$32:$C$59,$C11,Trades!$M$32:$M$59,"&lt;="&amp;H$2)</f>
        <v>716</v>
      </c>
      <c r="I11" s="0" t="n">
        <f aca="false">SUMIFS(Trades!$I$9:$I$59,Trades!$C$9:$C$59,$C11,Trades!$K$9:$K$59,"&lt;="&amp;I$2)-SUMIFS(Trades!$I$32:$I$59,Trades!$C$32:$C$59,$C11,Trades!$M$32:$M$59,"&lt;="&amp;I$2)</f>
        <v>716</v>
      </c>
      <c r="M11" s="0" t="str">
        <f aca="false">IF(SUM(O11:O11)&gt;0,"Yes","No")</f>
        <v>No</v>
      </c>
      <c r="N11" s="264" t="s">
        <v>125</v>
      </c>
      <c r="O11" s="511" t="n">
        <f aca="false">SUMIFS(Trades!$O$9:$O$59,Trades!$C$9:$C$59,C11,Trades!$G$9:$G$59,"Buy")</f>
        <v>-149973.3</v>
      </c>
      <c r="P11" s="511" t="n">
        <f aca="false">SUMIFS(Trades!$I$9:$I$59,Trades!$C$9:$C$59,$C11,Trades!$G$9:$G$59,"Buy")</f>
        <v>2130</v>
      </c>
      <c r="Q11" s="330" t="n">
        <f aca="false">IF(ISERROR(O11/P11),"",-O11/P11)</f>
        <v>70.41</v>
      </c>
      <c r="R11" s="0" t="n">
        <f aca="false">SUMIFS(Trades!$O$9:$O$59,Trades!$C$9:$C$59,$C11,Trades!$G$9:$G$59,"Sell")</f>
        <v>98980</v>
      </c>
      <c r="S11" s="0" t="n">
        <f aca="false">SUMIFS(Trades!$I$9:$I$59,Trades!$C$9:$C$59,$C11,Trades!$G$9:$G$59,"Sell")</f>
        <v>1414</v>
      </c>
      <c r="T11" s="0" t="n">
        <f aca="false">IF(S11=0,"",R11/S11)</f>
        <v>70</v>
      </c>
    </row>
    <row r="12" customFormat="false" ht="15" hidden="false" customHeight="false" outlineLevel="0" collapsed="false">
      <c r="A12" s="134" t="str">
        <f aca="false">IF(B12="Yes",COUNTIF($B$3:B12,"Yes"),"")</f>
        <v/>
      </c>
      <c r="B12" s="0" t="str">
        <f aca="false">IF(SUM(D12:I12)&gt;0,"Yes","No")</f>
        <v>No</v>
      </c>
      <c r="C12" s="264" t="s">
        <v>213</v>
      </c>
      <c r="D12" s="0" t="n">
        <f aca="false">SUMIFS(Trades!$I$9:$I$59,Trades!$C$9:$C$59,$C12,Trades!$K$9:$K$59,"&lt;="&amp;D$2)-SUMIFS(Trades!$I$32:$I$59,Trades!$C$32:$C$59,$C12,Trades!$M$32:$M$59,"&lt;="&amp;D$2)</f>
        <v>0</v>
      </c>
      <c r="E12" s="0" t="n">
        <f aca="false">SUMIFS(Trades!$I$9:$I$59,Trades!$C$9:$C$59,$C12,Trades!$K$9:$K$59,"&lt;="&amp;E$2)-SUMIFS(Trades!$I$32:$I$59,Trades!$C$32:$C$59,$C12,Trades!$M$32:$M$59,"&lt;="&amp;E$2)</f>
        <v>0</v>
      </c>
      <c r="F12" s="0" t="n">
        <f aca="false">SUMIFS(Trades!$I$9:$I$59,Trades!$C$9:$C$59,$C12,Trades!$K$9:$K$59,"&lt;="&amp;F$2)-SUMIFS(Trades!$I$32:$I$59,Trades!$C$32:$C$59,$C12,Trades!$M$32:$M$59,"&lt;="&amp;F$2)</f>
        <v>0</v>
      </c>
      <c r="G12" s="0" t="n">
        <f aca="false">SUMIFS(Trades!$I$9:$I$59,Trades!$C$9:$C$59,$C12,Trades!$K$9:$K$59,"&lt;="&amp;G$2)-SUMIFS(Trades!$I$32:$I$59,Trades!$C$32:$C$59,$C12,Trades!$M$32:$M$59,"&lt;="&amp;G$2)</f>
        <v>0</v>
      </c>
      <c r="H12" s="0" t="n">
        <f aca="false">SUMIFS(Trades!$I$9:$I$59,Trades!$C$9:$C$59,$C12,Trades!$K$9:$K$59,"&lt;="&amp;H$2)-SUMIFS(Trades!$I$32:$I$59,Trades!$C$32:$C$59,$C12,Trades!$M$32:$M$59,"&lt;="&amp;H$2)</f>
        <v>0</v>
      </c>
      <c r="I12" s="0" t="n">
        <f aca="false">SUMIFS(Trades!$I$9:$I$59,Trades!$C$9:$C$59,$C12,Trades!$K$9:$K$59,"&lt;="&amp;I$2)-SUMIFS(Trades!$I$32:$I$59,Trades!$C$32:$C$59,$C12,Trades!$M$32:$M$59,"&lt;="&amp;I$2)</f>
        <v>0</v>
      </c>
      <c r="M12" s="0" t="str">
        <f aca="false">IF(SUM(O12:O12)&gt;0,"Yes","No")</f>
        <v>No</v>
      </c>
      <c r="N12" s="264" t="s">
        <v>213</v>
      </c>
      <c r="O12" s="511" t="n">
        <f aca="false">SUMIFS(Trades!$O$9:$O$59,Trades!$C$9:$C$59,C12,Trades!$G$9:$G$59,"Buy")</f>
        <v>0</v>
      </c>
      <c r="P12" s="511" t="n">
        <f aca="false">SUMIFS(Trades!$I$9:$I$59,Trades!$C$9:$C$59,$C12,Trades!$G$9:$G$59,"Buy")</f>
        <v>0</v>
      </c>
      <c r="Q12" s="330" t="str">
        <f aca="false">IF(ISERROR(O12/P12),"",-O12/P12)</f>
        <v/>
      </c>
      <c r="R12" s="0" t="n">
        <f aca="false">SUMIFS(Trades!$O$9:$O$59,Trades!$C$9:$C$59,$C12,Trades!$G$9:$G$59,"Sell")</f>
        <v>0</v>
      </c>
      <c r="S12" s="0" t="n">
        <f aca="false">SUMIFS(Trades!$I$9:$I$59,Trades!$C$9:$C$59,$C12,Trades!$G$9:$G$59,"Sell")</f>
        <v>0</v>
      </c>
      <c r="T12" s="0" t="str">
        <f aca="false">IF(S12=0,"",R12/S12)</f>
        <v/>
      </c>
    </row>
    <row r="13" customFormat="false" ht="15" hidden="false" customHeight="false" outlineLevel="0" collapsed="false">
      <c r="A13" s="134" t="str">
        <f aca="false">IF(B13="Yes",COUNTIF($B$3:B13,"Yes"),"")</f>
        <v/>
      </c>
      <c r="B13" s="0" t="str">
        <f aca="false">IF(SUM(D13:I13)&gt;0,"Yes","No")</f>
        <v>No</v>
      </c>
      <c r="C13" s="264" t="s">
        <v>153</v>
      </c>
      <c r="D13" s="0" t="n">
        <f aca="false">SUMIFS(Trades!$I$9:$I$59,Trades!$C$9:$C$59,$C13,Trades!$K$9:$K$59,"&lt;="&amp;D$2)-SUMIFS(Trades!$I$32:$I$59,Trades!$C$32:$C$59,$C13,Trades!$M$32:$M$59,"&lt;="&amp;D$2)</f>
        <v>0</v>
      </c>
      <c r="E13" s="0" t="n">
        <f aca="false">SUMIFS(Trades!$I$9:$I$59,Trades!$C$9:$C$59,$C13,Trades!$K$9:$K$59,"&lt;="&amp;E$2)-SUMIFS(Trades!$I$32:$I$59,Trades!$C$32:$C$59,$C13,Trades!$M$32:$M$59,"&lt;="&amp;E$2)</f>
        <v>0</v>
      </c>
      <c r="F13" s="0" t="n">
        <f aca="false">SUMIFS(Trades!$I$9:$I$59,Trades!$C$9:$C$59,$C13,Trades!$K$9:$K$59,"&lt;="&amp;F$2)-SUMIFS(Trades!$I$32:$I$59,Trades!$C$32:$C$59,$C13,Trades!$M$32:$M$59,"&lt;="&amp;F$2)</f>
        <v>0</v>
      </c>
      <c r="G13" s="0" t="n">
        <f aca="false">SUMIFS(Trades!$I$9:$I$59,Trades!$C$9:$C$59,$C13,Trades!$K$9:$K$59,"&lt;="&amp;G$2)-SUMIFS(Trades!$I$32:$I$59,Trades!$C$32:$C$59,$C13,Trades!$M$32:$M$59,"&lt;="&amp;G$2)</f>
        <v>0</v>
      </c>
      <c r="H13" s="0" t="n">
        <f aca="false">SUMIFS(Trades!$I$9:$I$59,Trades!$C$9:$C$59,$C13,Trades!$K$9:$K$59,"&lt;="&amp;H$2)-SUMIFS(Trades!$I$32:$I$59,Trades!$C$32:$C$59,$C13,Trades!$M$32:$M$59,"&lt;="&amp;H$2)</f>
        <v>0</v>
      </c>
      <c r="I13" s="0" t="n">
        <f aca="false">SUMIFS(Trades!$I$9:$I$59,Trades!$C$9:$C$59,$C13,Trades!$K$9:$K$59,"&lt;="&amp;I$2)-SUMIFS(Trades!$I$32:$I$59,Trades!$C$32:$C$59,$C13,Trades!$M$32:$M$59,"&lt;="&amp;I$2)</f>
        <v>0</v>
      </c>
      <c r="M13" s="0" t="str">
        <f aca="false">IF(SUM(O13:O13)&gt;0,"Yes","No")</f>
        <v>No</v>
      </c>
      <c r="N13" s="264" t="s">
        <v>153</v>
      </c>
      <c r="O13" s="511" t="n">
        <f aca="false">SUMIFS(Trades!$O$9:$O$59,Trades!$C$9:$C$59,C13,Trades!$G$9:$G$59,"Buy")</f>
        <v>0</v>
      </c>
      <c r="P13" s="511" t="n">
        <f aca="false">SUMIFS(Trades!$I$9:$I$59,Trades!$C$9:$C$59,$C13,Trades!$G$9:$G$59,"Buy")</f>
        <v>0</v>
      </c>
      <c r="Q13" s="330" t="str">
        <f aca="false">IF(ISERROR(O13/P13),"",-O13/P13)</f>
        <v/>
      </c>
      <c r="R13" s="0" t="n">
        <f aca="false">SUMIFS(Trades!$O$9:$O$59,Trades!$C$9:$C$59,$C13,Trades!$G$9:$G$59,"Sell")</f>
        <v>0</v>
      </c>
      <c r="S13" s="0" t="n">
        <f aca="false">SUMIFS(Trades!$I$9:$I$59,Trades!$C$9:$C$59,$C13,Trades!$G$9:$G$59,"Sell")</f>
        <v>0</v>
      </c>
      <c r="T13" s="0" t="str">
        <f aca="false">IF(S13=0,"",R13/S13)</f>
        <v/>
      </c>
    </row>
    <row r="14" customFormat="false" ht="15" hidden="false" customHeight="false" outlineLevel="0" collapsed="false">
      <c r="A14" s="134" t="str">
        <f aca="false">IF(B14="Yes",COUNTIF($B$3:B14,"Yes"),"")</f>
        <v/>
      </c>
      <c r="B14" s="0" t="str">
        <f aca="false">IF(SUM(D14:I14)&gt;0,"Yes","No")</f>
        <v>No</v>
      </c>
      <c r="C14" s="264" t="s">
        <v>156</v>
      </c>
      <c r="D14" s="0" t="n">
        <f aca="false">SUMIFS(Trades!$I$9:$I$59,Trades!$C$9:$C$59,$C14,Trades!$K$9:$K$59,"&lt;="&amp;D$2)-SUMIFS(Trades!$I$32:$I$59,Trades!$C$32:$C$59,$C14,Trades!$M$32:$M$59,"&lt;="&amp;D$2)</f>
        <v>0</v>
      </c>
      <c r="E14" s="0" t="n">
        <f aca="false">SUMIFS(Trades!$I$9:$I$59,Trades!$C$9:$C$59,$C14,Trades!$K$9:$K$59,"&lt;="&amp;E$2)-SUMIFS(Trades!$I$32:$I$59,Trades!$C$32:$C$59,$C14,Trades!$M$32:$M$59,"&lt;="&amp;E$2)</f>
        <v>0</v>
      </c>
      <c r="F14" s="0" t="n">
        <f aca="false">SUMIFS(Trades!$I$9:$I$59,Trades!$C$9:$C$59,$C14,Trades!$K$9:$K$59,"&lt;="&amp;F$2)-SUMIFS(Trades!$I$32:$I$59,Trades!$C$32:$C$59,$C14,Trades!$M$32:$M$59,"&lt;="&amp;F$2)</f>
        <v>0</v>
      </c>
      <c r="G14" s="0" t="n">
        <f aca="false">SUMIFS(Trades!$I$9:$I$59,Trades!$C$9:$C$59,$C14,Trades!$K$9:$K$59,"&lt;="&amp;G$2)-SUMIFS(Trades!$I$32:$I$59,Trades!$C$32:$C$59,$C14,Trades!$M$32:$M$59,"&lt;="&amp;G$2)</f>
        <v>0</v>
      </c>
      <c r="H14" s="0" t="n">
        <f aca="false">SUMIFS(Trades!$I$9:$I$59,Trades!$C$9:$C$59,$C14,Trades!$K$9:$K$59,"&lt;="&amp;H$2)-SUMIFS(Trades!$I$32:$I$59,Trades!$C$32:$C$59,$C14,Trades!$M$32:$M$59,"&lt;="&amp;H$2)</f>
        <v>0</v>
      </c>
      <c r="I14" s="0" t="n">
        <f aca="false">SUMIFS(Trades!$I$9:$I$59,Trades!$C$9:$C$59,$C14,Trades!$K$9:$K$59,"&lt;="&amp;I$2)-SUMIFS(Trades!$I$32:$I$59,Trades!$C$32:$C$59,$C14,Trades!$M$32:$M$59,"&lt;="&amp;I$2)</f>
        <v>0</v>
      </c>
      <c r="M14" s="0" t="str">
        <f aca="false">IF(SUM(O14:O14)&gt;0,"Yes","No")</f>
        <v>No</v>
      </c>
      <c r="N14" s="264" t="s">
        <v>156</v>
      </c>
      <c r="O14" s="511" t="n">
        <f aca="false">SUMIFS(Trades!$O$9:$O$59,Trades!$C$9:$C$59,C14,Trades!$G$9:$G$59,"Buy")</f>
        <v>0</v>
      </c>
      <c r="P14" s="511" t="n">
        <f aca="false">SUMIFS(Trades!$I$9:$I$59,Trades!$C$9:$C$59,$C14,Trades!$G$9:$G$59,"Buy")</f>
        <v>0</v>
      </c>
      <c r="Q14" s="330" t="str">
        <f aca="false">IF(ISERROR(O14/P14),"",-O14/P14)</f>
        <v/>
      </c>
      <c r="R14" s="0" t="n">
        <f aca="false">SUMIFS(Trades!$O$9:$O$59,Trades!$C$9:$C$59,$C14,Trades!$G$9:$G$59,"Sell")</f>
        <v>0</v>
      </c>
      <c r="S14" s="0" t="n">
        <f aca="false">SUMIFS(Trades!$I$9:$I$59,Trades!$C$9:$C$59,$C14,Trades!$G$9:$G$59,"Sell")</f>
        <v>0</v>
      </c>
      <c r="T14" s="0" t="str">
        <f aca="false">IF(S14=0,"",R14/S14)</f>
        <v/>
      </c>
    </row>
    <row r="15" customFormat="false" ht="15" hidden="false" customHeight="false" outlineLevel="0" collapsed="false">
      <c r="A15" s="134" t="str">
        <f aca="false">IF(B15="Yes",COUNTIF($B$3:B15,"Yes"),"")</f>
        <v/>
      </c>
      <c r="B15" s="0" t="str">
        <f aca="false">IF(SUM(D15:I15)&gt;0,"Yes","No")</f>
        <v>No</v>
      </c>
      <c r="C15" s="264" t="s">
        <v>150</v>
      </c>
      <c r="D15" s="0" t="n">
        <f aca="false">SUMIFS(Trades!$I$9:$I$59,Trades!$C$9:$C$59,$C15,Trades!$K$9:$K$59,"&lt;="&amp;D$2)-SUMIFS(Trades!$I$32:$I$59,Trades!$C$32:$C$59,$C15,Trades!$M$32:$M$59,"&lt;="&amp;D$2)</f>
        <v>0</v>
      </c>
      <c r="E15" s="0" t="n">
        <f aca="false">SUMIFS(Trades!$I$9:$I$59,Trades!$C$9:$C$59,$C15,Trades!$K$9:$K$59,"&lt;="&amp;E$2)-SUMIFS(Trades!$I$32:$I$59,Trades!$C$32:$C$59,$C15,Trades!$M$32:$M$59,"&lt;="&amp;E$2)</f>
        <v>0</v>
      </c>
      <c r="F15" s="0" t="n">
        <f aca="false">SUMIFS(Trades!$I$9:$I$59,Trades!$C$9:$C$59,$C15,Trades!$K$9:$K$59,"&lt;="&amp;F$2)-SUMIFS(Trades!$I$32:$I$59,Trades!$C$32:$C$59,$C15,Trades!$M$32:$M$59,"&lt;="&amp;F$2)</f>
        <v>0</v>
      </c>
      <c r="G15" s="0" t="n">
        <f aca="false">SUMIFS(Trades!$I$9:$I$59,Trades!$C$9:$C$59,$C15,Trades!$K$9:$K$59,"&lt;="&amp;G$2)-SUMIFS(Trades!$I$32:$I$59,Trades!$C$32:$C$59,$C15,Trades!$M$32:$M$59,"&lt;="&amp;G$2)</f>
        <v>0</v>
      </c>
      <c r="H15" s="0" t="n">
        <f aca="false">SUMIFS(Trades!$I$9:$I$59,Trades!$C$9:$C$59,$C15,Trades!$K$9:$K$59,"&lt;="&amp;H$2)-SUMIFS(Trades!$I$32:$I$59,Trades!$C$32:$C$59,$C15,Trades!$M$32:$M$59,"&lt;="&amp;H$2)</f>
        <v>0</v>
      </c>
      <c r="I15" s="0" t="n">
        <f aca="false">SUMIFS(Trades!$I$9:$I$59,Trades!$C$9:$C$59,$C15,Trades!$K$9:$K$59,"&lt;="&amp;I$2)-SUMIFS(Trades!$I$32:$I$59,Trades!$C$32:$C$59,$C15,Trades!$M$32:$M$59,"&lt;="&amp;I$2)</f>
        <v>0</v>
      </c>
      <c r="M15" s="0" t="str">
        <f aca="false">IF(SUM(O15:O15)&gt;0,"Yes","No")</f>
        <v>No</v>
      </c>
      <c r="N15" s="264" t="s">
        <v>150</v>
      </c>
      <c r="O15" s="511" t="n">
        <f aca="false">SUMIFS(Trades!$O$9:$O$59,Trades!$C$9:$C$59,C15,Trades!$G$9:$G$59,"Buy")</f>
        <v>0</v>
      </c>
      <c r="P15" s="511" t="n">
        <f aca="false">SUMIFS(Trades!$I$9:$I$59,Trades!$C$9:$C$59,$C15,Trades!$G$9:$G$59,"Buy")</f>
        <v>0</v>
      </c>
      <c r="Q15" s="330" t="str">
        <f aca="false">IF(ISERROR(O15/P15),"",-O15/P15)</f>
        <v/>
      </c>
      <c r="R15" s="0" t="n">
        <f aca="false">SUMIFS(Trades!$O$9:$O$59,Trades!$C$9:$C$59,$C15,Trades!$G$9:$G$59,"Sell")</f>
        <v>0</v>
      </c>
      <c r="S15" s="0" t="n">
        <f aca="false">SUMIFS(Trades!$I$9:$I$59,Trades!$C$9:$C$59,$C15,Trades!$G$9:$G$59,"Sell")</f>
        <v>0</v>
      </c>
      <c r="T15" s="0" t="str">
        <f aca="false">IF(S15=0,"",R15/S15)</f>
        <v/>
      </c>
    </row>
    <row r="16" customFormat="false" ht="15" hidden="false" customHeight="false" outlineLevel="0" collapsed="false">
      <c r="A16" s="134" t="str">
        <f aca="false">IF(B16="Yes",COUNTIF($B$3:B16,"Yes"),"")</f>
        <v/>
      </c>
      <c r="B16" s="0" t="str">
        <f aca="false">IF(SUM(D16:I16)&gt;0,"Yes","No")</f>
        <v>No</v>
      </c>
      <c r="C16" s="264" t="s">
        <v>144</v>
      </c>
      <c r="D16" s="0" t="n">
        <f aca="false">SUMIFS(Trades!$I$9:$I$59,Trades!$C$9:$C$59,$C16,Trades!$K$9:$K$59,"&lt;="&amp;D$2)-SUMIFS(Trades!$I$32:$I$59,Trades!$C$32:$C$59,$C16,Trades!$M$32:$M$59,"&lt;="&amp;D$2)</f>
        <v>0</v>
      </c>
      <c r="E16" s="0" t="n">
        <f aca="false">SUMIFS(Trades!$I$9:$I$59,Trades!$C$9:$C$59,$C16,Trades!$K$9:$K$59,"&lt;="&amp;E$2)-SUMIFS(Trades!$I$32:$I$59,Trades!$C$32:$C$59,$C16,Trades!$M$32:$M$59,"&lt;="&amp;E$2)</f>
        <v>0</v>
      </c>
      <c r="F16" s="0" t="n">
        <f aca="false">SUMIFS(Trades!$I$9:$I$59,Trades!$C$9:$C$59,$C16,Trades!$K$9:$K$59,"&lt;="&amp;F$2)-SUMIFS(Trades!$I$32:$I$59,Trades!$C$32:$C$59,$C16,Trades!$M$32:$M$59,"&lt;="&amp;F$2)</f>
        <v>0</v>
      </c>
      <c r="G16" s="0" t="n">
        <f aca="false">SUMIFS(Trades!$I$9:$I$59,Trades!$C$9:$C$59,$C16,Trades!$K$9:$K$59,"&lt;="&amp;G$2)-SUMIFS(Trades!$I$32:$I$59,Trades!$C$32:$C$59,$C16,Trades!$M$32:$M$59,"&lt;="&amp;G$2)</f>
        <v>0</v>
      </c>
      <c r="H16" s="0" t="n">
        <f aca="false">SUMIFS(Trades!$I$9:$I$59,Trades!$C$9:$C$59,$C16,Trades!$K$9:$K$59,"&lt;="&amp;H$2)-SUMIFS(Trades!$I$32:$I$59,Trades!$C$32:$C$59,$C16,Trades!$M$32:$M$59,"&lt;="&amp;H$2)</f>
        <v>0</v>
      </c>
      <c r="I16" s="0" t="n">
        <f aca="false">SUMIFS(Trades!$I$9:$I$59,Trades!$C$9:$C$59,$C16,Trades!$K$9:$K$59,"&lt;="&amp;I$2)-SUMIFS(Trades!$I$32:$I$59,Trades!$C$32:$C$59,$C16,Trades!$M$32:$M$59,"&lt;="&amp;I$2)</f>
        <v>0</v>
      </c>
      <c r="M16" s="0" t="str">
        <f aca="false">IF(SUM(O16:O16)&gt;0,"Yes","No")</f>
        <v>No</v>
      </c>
      <c r="N16" s="264" t="s">
        <v>144</v>
      </c>
      <c r="O16" s="511" t="n">
        <f aca="false">SUMIFS(Trades!$O$9:$O$59,Trades!$C$9:$C$59,C16,Trades!$G$9:$G$59,"Buy")</f>
        <v>0</v>
      </c>
      <c r="P16" s="511" t="n">
        <f aca="false">SUMIFS(Trades!$I$9:$I$59,Trades!$C$9:$C$59,$C16,Trades!$G$9:$G$59,"Buy")</f>
        <v>0</v>
      </c>
      <c r="Q16" s="330" t="str">
        <f aca="false">IF(ISERROR(O16/P16),"",-O16/P16)</f>
        <v/>
      </c>
      <c r="R16" s="0" t="n">
        <f aca="false">SUMIFS(Trades!$O$9:$O$59,Trades!$C$9:$C$59,$C16,Trades!$G$9:$G$59,"Sell")</f>
        <v>0</v>
      </c>
      <c r="S16" s="0" t="n">
        <f aca="false">SUMIFS(Trades!$I$9:$I$59,Trades!$C$9:$C$59,$C16,Trades!$G$9:$G$59,"Sell")</f>
        <v>0</v>
      </c>
      <c r="T16" s="0" t="str">
        <f aca="false">IF(S16=0,"",R16/S16)</f>
        <v/>
      </c>
    </row>
    <row r="17" customFormat="false" ht="15" hidden="false" customHeight="false" outlineLevel="0" collapsed="false">
      <c r="A17" s="134" t="str">
        <f aca="false">IF(B17="Yes",COUNTIF($B$3:B17,"Yes"),"")</f>
        <v/>
      </c>
      <c r="B17" s="0" t="str">
        <f aca="false">IF(SUM(D17:I17)&gt;0,"Yes","No")</f>
        <v>No</v>
      </c>
      <c r="C17" s="264" t="s">
        <v>138</v>
      </c>
      <c r="D17" s="0" t="n">
        <f aca="false">SUMIFS(Trades!$I$9:$I$59,Trades!$C$9:$C$59,$C17,Trades!$K$9:$K$59,"&lt;="&amp;D$2)-SUMIFS(Trades!$I$32:$I$59,Trades!$C$32:$C$59,$C17,Trades!$M$32:$M$59,"&lt;="&amp;D$2)</f>
        <v>0</v>
      </c>
      <c r="E17" s="0" t="n">
        <f aca="false">SUMIFS(Trades!$I$9:$I$59,Trades!$C$9:$C$59,$C17,Trades!$K$9:$K$59,"&lt;="&amp;E$2)-SUMIFS(Trades!$I$32:$I$59,Trades!$C$32:$C$59,$C17,Trades!$M$32:$M$59,"&lt;="&amp;E$2)</f>
        <v>0</v>
      </c>
      <c r="F17" s="0" t="n">
        <f aca="false">SUMIFS(Trades!$I$9:$I$59,Trades!$C$9:$C$59,$C17,Trades!$K$9:$K$59,"&lt;="&amp;F$2)-SUMIFS(Trades!$I$32:$I$59,Trades!$C$32:$C$59,$C17,Trades!$M$32:$M$59,"&lt;="&amp;F$2)</f>
        <v>0</v>
      </c>
      <c r="G17" s="0" t="n">
        <f aca="false">SUMIFS(Trades!$I$9:$I$59,Trades!$C$9:$C$59,$C17,Trades!$K$9:$K$59,"&lt;="&amp;G$2)-SUMIFS(Trades!$I$32:$I$59,Trades!$C$32:$C$59,$C17,Trades!$M$32:$M$59,"&lt;="&amp;G$2)</f>
        <v>0</v>
      </c>
      <c r="H17" s="0" t="n">
        <f aca="false">SUMIFS(Trades!$I$9:$I$59,Trades!$C$9:$C$59,$C17,Trades!$K$9:$K$59,"&lt;="&amp;H$2)-SUMIFS(Trades!$I$32:$I$59,Trades!$C$32:$C$59,$C17,Trades!$M$32:$M$59,"&lt;="&amp;H$2)</f>
        <v>0</v>
      </c>
      <c r="I17" s="0" t="n">
        <f aca="false">SUMIFS(Trades!$I$9:$I$59,Trades!$C$9:$C$59,$C17,Trades!$K$9:$K$59,"&lt;="&amp;I$2)-SUMIFS(Trades!$I$32:$I$59,Trades!$C$32:$C$59,$C17,Trades!$M$32:$M$59,"&lt;="&amp;I$2)</f>
        <v>0</v>
      </c>
      <c r="M17" s="0" t="str">
        <f aca="false">IF(SUM(O17:O17)&gt;0,"Yes","No")</f>
        <v>No</v>
      </c>
      <c r="N17" s="264" t="s">
        <v>138</v>
      </c>
      <c r="O17" s="511" t="n">
        <f aca="false">SUMIFS(Trades!$O$9:$O$59,Trades!$C$9:$C$59,C17,Trades!$G$9:$G$59,"Buy")</f>
        <v>0</v>
      </c>
      <c r="P17" s="511" t="n">
        <f aca="false">SUMIFS(Trades!$I$9:$I$59,Trades!$C$9:$C$59,$C17,Trades!$G$9:$G$59,"Buy")</f>
        <v>0</v>
      </c>
      <c r="Q17" s="330" t="str">
        <f aca="false">IF(ISERROR(O17/P17),"",-O17/P17)</f>
        <v/>
      </c>
      <c r="R17" s="0" t="n">
        <f aca="false">SUMIFS(Trades!$O$9:$O$59,Trades!$C$9:$C$59,$C17,Trades!$G$9:$G$59,"Sell")</f>
        <v>0</v>
      </c>
      <c r="S17" s="0" t="n">
        <f aca="false">SUMIFS(Trades!$I$9:$I$59,Trades!$C$9:$C$59,$C17,Trades!$G$9:$G$59,"Sell")</f>
        <v>0</v>
      </c>
      <c r="T17" s="0" t="str">
        <f aca="false">IF(S17=0,"",R17/S17)</f>
        <v/>
      </c>
    </row>
    <row r="18" customFormat="false" ht="15" hidden="false" customHeight="false" outlineLevel="0" collapsed="false">
      <c r="A18" s="134" t="str">
        <f aca="false">IF(B18="Yes",COUNTIF($B$3:B18,"Yes"),"")</f>
        <v/>
      </c>
      <c r="B18" s="0" t="str">
        <f aca="false">IF(SUM(D18:I18)&gt;0,"Yes","No")</f>
        <v>No</v>
      </c>
      <c r="C18" s="264" t="s">
        <v>141</v>
      </c>
      <c r="D18" s="0" t="n">
        <f aca="false">SUMIFS(Trades!$I$9:$I$59,Trades!$C$9:$C$59,$C18,Trades!$K$9:$K$59,"&lt;="&amp;D$2)-SUMIFS(Trades!$I$32:$I$59,Trades!$C$32:$C$59,$C18,Trades!$M$32:$M$59,"&lt;="&amp;D$2)</f>
        <v>0</v>
      </c>
      <c r="E18" s="0" t="n">
        <f aca="false">SUMIFS(Trades!$I$9:$I$59,Trades!$C$9:$C$59,$C18,Trades!$K$9:$K$59,"&lt;="&amp;E$2)-SUMIFS(Trades!$I$32:$I$59,Trades!$C$32:$C$59,$C18,Trades!$M$32:$M$59,"&lt;="&amp;E$2)</f>
        <v>0</v>
      </c>
      <c r="F18" s="0" t="n">
        <f aca="false">SUMIFS(Trades!$I$9:$I$59,Trades!$C$9:$C$59,$C18,Trades!$K$9:$K$59,"&lt;="&amp;F$2)-SUMIFS(Trades!$I$32:$I$59,Trades!$C$32:$C$59,$C18,Trades!$M$32:$M$59,"&lt;="&amp;F$2)</f>
        <v>0</v>
      </c>
      <c r="G18" s="0" t="n">
        <f aca="false">SUMIFS(Trades!$I$9:$I$59,Trades!$C$9:$C$59,$C18,Trades!$K$9:$K$59,"&lt;="&amp;G$2)-SUMIFS(Trades!$I$32:$I$59,Trades!$C$32:$C$59,$C18,Trades!$M$32:$M$59,"&lt;="&amp;G$2)</f>
        <v>0</v>
      </c>
      <c r="H18" s="0" t="n">
        <f aca="false">SUMIFS(Trades!$I$9:$I$59,Trades!$C$9:$C$59,$C18,Trades!$K$9:$K$59,"&lt;="&amp;H$2)-SUMIFS(Trades!$I$32:$I$59,Trades!$C$32:$C$59,$C18,Trades!$M$32:$M$59,"&lt;="&amp;H$2)</f>
        <v>0</v>
      </c>
      <c r="I18" s="0" t="n">
        <f aca="false">SUMIFS(Trades!$I$9:$I$59,Trades!$C$9:$C$59,$C18,Trades!$K$9:$K$59,"&lt;="&amp;I$2)-SUMIFS(Trades!$I$32:$I$59,Trades!$C$32:$C$59,$C18,Trades!$M$32:$M$59,"&lt;="&amp;I$2)</f>
        <v>0</v>
      </c>
      <c r="M18" s="0" t="str">
        <f aca="false">IF(SUM(O18:O18)&gt;0,"Yes","No")</f>
        <v>No</v>
      </c>
      <c r="N18" s="264" t="s">
        <v>141</v>
      </c>
      <c r="O18" s="511" t="n">
        <f aca="false">SUMIFS(Trades!$O$9:$O$59,Trades!$C$9:$C$59,C18,Trades!$G$9:$G$59,"Buy")</f>
        <v>0</v>
      </c>
      <c r="P18" s="511" t="n">
        <f aca="false">SUMIFS(Trades!$I$9:$I$59,Trades!$C$9:$C$59,$C18,Trades!$G$9:$G$59,"Buy")</f>
        <v>0</v>
      </c>
      <c r="Q18" s="330" t="str">
        <f aca="false">IF(ISERROR(O18/P18),"",-O18/P18)</f>
        <v/>
      </c>
      <c r="R18" s="0" t="n">
        <f aca="false">SUMIFS(Trades!$O$9:$O$59,Trades!$C$9:$C$59,$C18,Trades!$G$9:$G$59,"Sell")</f>
        <v>0</v>
      </c>
      <c r="S18" s="0" t="n">
        <f aca="false">SUMIFS(Trades!$I$9:$I$59,Trades!$C$9:$C$59,$C18,Trades!$G$9:$G$59,"Sell")</f>
        <v>0</v>
      </c>
      <c r="T18" s="0" t="str">
        <f aca="false">IF(S18=0,"",R18/S18)</f>
        <v/>
      </c>
    </row>
    <row r="19" customFormat="false" ht="15" hidden="false" customHeight="false" outlineLevel="0" collapsed="false">
      <c r="A19" s="134" t="str">
        <f aca="false">IF(B19="Yes",COUNTIF($B$3:B19,"Yes"),"")</f>
        <v/>
      </c>
      <c r="B19" s="0" t="str">
        <f aca="false">IF(SUM(D19:I19)&gt;0,"Yes","No")</f>
        <v>No</v>
      </c>
      <c r="C19" s="264" t="s">
        <v>135</v>
      </c>
      <c r="D19" s="0" t="n">
        <f aca="false">SUMIFS(Trades!$I$9:$I$59,Trades!$C$9:$C$59,$C19,Trades!$K$9:$K$59,"&lt;="&amp;D$2)-SUMIFS(Trades!$I$32:$I$59,Trades!$C$32:$C$59,$C19,Trades!$M$32:$M$59,"&lt;="&amp;D$2)</f>
        <v>0</v>
      </c>
      <c r="E19" s="0" t="n">
        <f aca="false">SUMIFS(Trades!$I$9:$I$59,Trades!$C$9:$C$59,$C19,Trades!$K$9:$K$59,"&lt;="&amp;E$2)-SUMIFS(Trades!$I$32:$I$59,Trades!$C$32:$C$59,$C19,Trades!$M$32:$M$59,"&lt;="&amp;E$2)</f>
        <v>0</v>
      </c>
      <c r="F19" s="0" t="n">
        <f aca="false">SUMIFS(Trades!$I$9:$I$59,Trades!$C$9:$C$59,$C19,Trades!$K$9:$K$59,"&lt;="&amp;F$2)-SUMIFS(Trades!$I$32:$I$59,Trades!$C$32:$C$59,$C19,Trades!$M$32:$M$59,"&lt;="&amp;F$2)</f>
        <v>0</v>
      </c>
      <c r="G19" s="0" t="n">
        <f aca="false">SUMIFS(Trades!$I$9:$I$59,Trades!$C$9:$C$59,$C19,Trades!$K$9:$K$59,"&lt;="&amp;G$2)-SUMIFS(Trades!$I$32:$I$59,Trades!$C$32:$C$59,$C19,Trades!$M$32:$M$59,"&lt;="&amp;G$2)</f>
        <v>0</v>
      </c>
      <c r="H19" s="0" t="n">
        <f aca="false">SUMIFS(Trades!$I$9:$I$59,Trades!$C$9:$C$59,$C19,Trades!$K$9:$K$59,"&lt;="&amp;H$2)-SUMIFS(Trades!$I$32:$I$59,Trades!$C$32:$C$59,$C19,Trades!$M$32:$M$59,"&lt;="&amp;H$2)</f>
        <v>0</v>
      </c>
      <c r="I19" s="0" t="n">
        <f aca="false">SUMIFS(Trades!$I$9:$I$59,Trades!$C$9:$C$59,$C19,Trades!$K$9:$K$59,"&lt;="&amp;I$2)-SUMIFS(Trades!$I$32:$I$59,Trades!$C$32:$C$59,$C19,Trades!$M$32:$M$59,"&lt;="&amp;I$2)</f>
        <v>0</v>
      </c>
      <c r="M19" s="0" t="str">
        <f aca="false">IF(SUM(O19:O19)&gt;0,"Yes","No")</f>
        <v>No</v>
      </c>
      <c r="N19" s="264" t="s">
        <v>135</v>
      </c>
      <c r="O19" s="511" t="n">
        <f aca="false">SUMIFS(Trades!$O$9:$O$59,Trades!$C$9:$C$59,C19,Trades!$G$9:$G$59,"Buy")</f>
        <v>0</v>
      </c>
      <c r="P19" s="511" t="n">
        <f aca="false">SUMIFS(Trades!$I$9:$I$59,Trades!$C$9:$C$59,$C19,Trades!$G$9:$G$59,"Buy")</f>
        <v>0</v>
      </c>
      <c r="Q19" s="330" t="str">
        <f aca="false">IF(ISERROR(O19/P19),"",-O19/P19)</f>
        <v/>
      </c>
      <c r="R19" s="0" t="n">
        <f aca="false">SUMIFS(Trades!$O$9:$O$59,Trades!$C$9:$C$59,$C19,Trades!$G$9:$G$59,"Sell")</f>
        <v>0</v>
      </c>
      <c r="S19" s="0" t="n">
        <f aca="false">SUMIFS(Trades!$I$9:$I$59,Trades!$C$9:$C$59,$C19,Trades!$G$9:$G$59,"Sell")</f>
        <v>0</v>
      </c>
      <c r="T19" s="0" t="str">
        <f aca="false">IF(S19=0,"",R19/S19)</f>
        <v/>
      </c>
    </row>
    <row r="20" customFormat="false" ht="15" hidden="false" customHeight="false" outlineLevel="0" collapsed="false">
      <c r="A20" s="134" t="str">
        <f aca="false">IF(B20="Yes",COUNTIF($B$3:B20,"Yes"),"")</f>
        <v/>
      </c>
      <c r="B20" s="0" t="str">
        <f aca="false">IF(SUM(D20:I20)&gt;0,"Yes","No")</f>
        <v>No</v>
      </c>
      <c r="C20" s="264" t="s">
        <v>165</v>
      </c>
      <c r="D20" s="0" t="n">
        <f aca="false">SUMIFS(Trades!$I$9:$I$59,Trades!$C$9:$C$59,$C20,Trades!$K$9:$K$59,"&lt;="&amp;D$2)-SUMIFS(Trades!$I$32:$I$59,Trades!$C$32:$C$59,$C20,Trades!$M$32:$M$59,"&lt;="&amp;D$2)</f>
        <v>0</v>
      </c>
      <c r="E20" s="0" t="n">
        <f aca="false">SUMIFS(Trades!$I$9:$I$59,Trades!$C$9:$C$59,$C20,Trades!$K$9:$K$59,"&lt;="&amp;E$2)-SUMIFS(Trades!$I$32:$I$59,Trades!$C$32:$C$59,$C20,Trades!$M$32:$M$59,"&lt;="&amp;E$2)</f>
        <v>0</v>
      </c>
      <c r="F20" s="0" t="n">
        <f aca="false">SUMIFS(Trades!$I$9:$I$59,Trades!$C$9:$C$59,$C20,Trades!$K$9:$K$59,"&lt;="&amp;F$2)-SUMIFS(Trades!$I$32:$I$59,Trades!$C$32:$C$59,$C20,Trades!$M$32:$M$59,"&lt;="&amp;F$2)</f>
        <v>0</v>
      </c>
      <c r="G20" s="0" t="n">
        <f aca="false">SUMIFS(Trades!$I$9:$I$59,Trades!$C$9:$C$59,$C20,Trades!$K$9:$K$59,"&lt;="&amp;G$2)-SUMIFS(Trades!$I$32:$I$59,Trades!$C$32:$C$59,$C20,Trades!$M$32:$M$59,"&lt;="&amp;G$2)</f>
        <v>0</v>
      </c>
      <c r="H20" s="0" t="n">
        <f aca="false">SUMIFS(Trades!$I$9:$I$59,Trades!$C$9:$C$59,$C20,Trades!$K$9:$K$59,"&lt;="&amp;H$2)-SUMIFS(Trades!$I$32:$I$59,Trades!$C$32:$C$59,$C20,Trades!$M$32:$M$59,"&lt;="&amp;H$2)</f>
        <v>0</v>
      </c>
      <c r="I20" s="0" t="n">
        <f aca="false">SUMIFS(Trades!$I$9:$I$59,Trades!$C$9:$C$59,$C20,Trades!$K$9:$K$59,"&lt;="&amp;I$2)-SUMIFS(Trades!$I$32:$I$59,Trades!$C$32:$C$59,$C20,Trades!$M$32:$M$59,"&lt;="&amp;I$2)</f>
        <v>0</v>
      </c>
      <c r="M20" s="0" t="str">
        <f aca="false">IF(SUM(O20:O20)&gt;0,"Yes","No")</f>
        <v>No</v>
      </c>
      <c r="N20" s="264" t="s">
        <v>165</v>
      </c>
      <c r="O20" s="511" t="n">
        <f aca="false">SUMIFS(Trades!$O$9:$O$59,Trades!$C$9:$C$59,C20,Trades!$G$9:$G$59,"Buy")</f>
        <v>0</v>
      </c>
      <c r="P20" s="511" t="n">
        <f aca="false">SUMIFS(Trades!$I$9:$I$59,Trades!$C$9:$C$59,$C20,Trades!$G$9:$G$59,"Buy")</f>
        <v>0</v>
      </c>
      <c r="Q20" s="330" t="str">
        <f aca="false">IF(ISERROR(O20/P20),"",-O20/P20)</f>
        <v/>
      </c>
      <c r="R20" s="0" t="n">
        <f aca="false">SUMIFS(Trades!$O$9:$O$59,Trades!$C$9:$C$59,$C20,Trades!$G$9:$G$59,"Sell")</f>
        <v>0</v>
      </c>
      <c r="S20" s="0" t="n">
        <f aca="false">SUMIFS(Trades!$I$9:$I$59,Trades!$C$9:$C$59,$C20,Trades!$G$9:$G$59,"Sell")</f>
        <v>0</v>
      </c>
      <c r="T20" s="0" t="str">
        <f aca="false">IF(S20=0,"",R20/S20)</f>
        <v/>
      </c>
    </row>
    <row r="21" customFormat="false" ht="15" hidden="false" customHeight="false" outlineLevel="0" collapsed="false">
      <c r="A21" s="134" t="str">
        <f aca="false">IF(B21="Yes",COUNTIF($B$3:B21,"Yes"),"")</f>
        <v/>
      </c>
      <c r="B21" s="0" t="str">
        <f aca="false">IF(SUM(D21:I21)&gt;0,"Yes","No")</f>
        <v>No</v>
      </c>
      <c r="C21" s="264" t="s">
        <v>162</v>
      </c>
      <c r="D21" s="0" t="n">
        <f aca="false">SUMIFS(Trades!$I$9:$I$59,Trades!$C$9:$C$59,$C21,Trades!$K$9:$K$59,"&lt;="&amp;D$2)-SUMIFS(Trades!$I$32:$I$59,Trades!$C$32:$C$59,$C21,Trades!$M$32:$M$59,"&lt;="&amp;D$2)</f>
        <v>0</v>
      </c>
      <c r="E21" s="0" t="n">
        <f aca="false">SUMIFS(Trades!$I$9:$I$59,Trades!$C$9:$C$59,$C21,Trades!$K$9:$K$59,"&lt;="&amp;E$2)-SUMIFS(Trades!$I$32:$I$59,Trades!$C$32:$C$59,$C21,Trades!$M$32:$M$59,"&lt;="&amp;E$2)</f>
        <v>0</v>
      </c>
      <c r="F21" s="0" t="n">
        <f aca="false">SUMIFS(Trades!$I$9:$I$59,Trades!$C$9:$C$59,$C21,Trades!$K$9:$K$59,"&lt;="&amp;F$2)-SUMIFS(Trades!$I$32:$I$59,Trades!$C$32:$C$59,$C21,Trades!$M$32:$M$59,"&lt;="&amp;F$2)</f>
        <v>0</v>
      </c>
      <c r="G21" s="0" t="n">
        <f aca="false">SUMIFS(Trades!$I$9:$I$59,Trades!$C$9:$C$59,$C21,Trades!$K$9:$K$59,"&lt;="&amp;G$2)-SUMIFS(Trades!$I$32:$I$59,Trades!$C$32:$C$59,$C21,Trades!$M$32:$M$59,"&lt;="&amp;G$2)</f>
        <v>0</v>
      </c>
      <c r="H21" s="0" t="n">
        <f aca="false">SUMIFS(Trades!$I$9:$I$59,Trades!$C$9:$C$59,$C21,Trades!$K$9:$K$59,"&lt;="&amp;H$2)-SUMIFS(Trades!$I$32:$I$59,Trades!$C$32:$C$59,$C21,Trades!$M$32:$M$59,"&lt;="&amp;H$2)</f>
        <v>0</v>
      </c>
      <c r="I21" s="0" t="n">
        <f aca="false">SUMIFS(Trades!$I$9:$I$59,Trades!$C$9:$C$59,$C21,Trades!$K$9:$K$59,"&lt;="&amp;I$2)-SUMIFS(Trades!$I$32:$I$59,Trades!$C$32:$C$59,$C21,Trades!$M$32:$M$59,"&lt;="&amp;I$2)</f>
        <v>0</v>
      </c>
      <c r="M21" s="0" t="str">
        <f aca="false">IF(SUM(O21:O21)&gt;0,"Yes","No")</f>
        <v>No</v>
      </c>
      <c r="N21" s="264" t="s">
        <v>162</v>
      </c>
      <c r="O21" s="511" t="n">
        <f aca="false">SUMIFS(Trades!$O$9:$O$59,Trades!$C$9:$C$59,C21,Trades!$G$9:$G$59,"Buy")</f>
        <v>0</v>
      </c>
      <c r="P21" s="511" t="n">
        <f aca="false">SUMIFS(Trades!$I$9:$I$59,Trades!$C$9:$C$59,$C21,Trades!$G$9:$G$59,"Buy")</f>
        <v>0</v>
      </c>
      <c r="Q21" s="330" t="str">
        <f aca="false">IF(ISERROR(O21/P21),"",-O21/P21)</f>
        <v/>
      </c>
      <c r="R21" s="0" t="n">
        <f aca="false">SUMIFS(Trades!$O$9:$O$59,Trades!$C$9:$C$59,$C21,Trades!$G$9:$G$59,"Sell")</f>
        <v>0</v>
      </c>
      <c r="S21" s="0" t="n">
        <f aca="false">SUMIFS(Trades!$I$9:$I$59,Trades!$C$9:$C$59,$C21,Trades!$G$9:$G$59,"Sell")</f>
        <v>0</v>
      </c>
      <c r="T21" s="0" t="str">
        <f aca="false">IF(S21=0,"",R21/S21)</f>
        <v/>
      </c>
    </row>
    <row r="22" customFormat="false" ht="15" hidden="false" customHeight="false" outlineLevel="0" collapsed="false">
      <c r="A22" s="134" t="str">
        <f aca="false">IF(B22="Yes",COUNTIF($B$3:B22,"Yes"),"")</f>
        <v/>
      </c>
      <c r="B22" s="0" t="str">
        <f aca="false">IF(SUM(D22:I22)&gt;0,"Yes","No")</f>
        <v>No</v>
      </c>
      <c r="C22" s="264" t="s">
        <v>147</v>
      </c>
      <c r="D22" s="0" t="n">
        <f aca="false">SUMIFS(Trades!$I$9:$I$59,Trades!$C$9:$C$59,$C22,Trades!$K$9:$K$59,"&lt;="&amp;D$2)-SUMIFS(Trades!$I$32:$I$59,Trades!$C$32:$C$59,$C22,Trades!$M$32:$M$59,"&lt;="&amp;D$2)</f>
        <v>0</v>
      </c>
      <c r="E22" s="0" t="n">
        <f aca="false">SUMIFS(Trades!$I$9:$I$59,Trades!$C$9:$C$59,$C22,Trades!$K$9:$K$59,"&lt;="&amp;E$2)-SUMIFS(Trades!$I$32:$I$59,Trades!$C$32:$C$59,$C22,Trades!$M$32:$M$59,"&lt;="&amp;E$2)</f>
        <v>0</v>
      </c>
      <c r="F22" s="0" t="n">
        <f aca="false">SUMIFS(Trades!$I$9:$I$59,Trades!$C$9:$C$59,$C22,Trades!$K$9:$K$59,"&lt;="&amp;F$2)-SUMIFS(Trades!$I$32:$I$59,Trades!$C$32:$C$59,$C22,Trades!$M$32:$M$59,"&lt;="&amp;F$2)</f>
        <v>0</v>
      </c>
      <c r="G22" s="0" t="n">
        <f aca="false">SUMIFS(Trades!$I$9:$I$59,Trades!$C$9:$C$59,$C22,Trades!$K$9:$K$59,"&lt;="&amp;G$2)-SUMIFS(Trades!$I$32:$I$59,Trades!$C$32:$C$59,$C22,Trades!$M$32:$M$59,"&lt;="&amp;G$2)</f>
        <v>0</v>
      </c>
      <c r="H22" s="0" t="n">
        <f aca="false">SUMIFS(Trades!$I$9:$I$59,Trades!$C$9:$C$59,$C22,Trades!$K$9:$K$59,"&lt;="&amp;H$2)-SUMIFS(Trades!$I$32:$I$59,Trades!$C$32:$C$59,$C22,Trades!$M$32:$M$59,"&lt;="&amp;H$2)</f>
        <v>0</v>
      </c>
      <c r="I22" s="0" t="n">
        <f aca="false">SUMIFS(Trades!$I$9:$I$59,Trades!$C$9:$C$59,$C22,Trades!$K$9:$K$59,"&lt;="&amp;I$2)-SUMIFS(Trades!$I$32:$I$59,Trades!$C$32:$C$59,$C22,Trades!$M$32:$M$59,"&lt;="&amp;I$2)</f>
        <v>0</v>
      </c>
      <c r="M22" s="0" t="str">
        <f aca="false">IF(SUM(O22:O22)&gt;0,"Yes","No")</f>
        <v>No</v>
      </c>
      <c r="N22" s="264" t="s">
        <v>147</v>
      </c>
      <c r="O22" s="511" t="n">
        <f aca="false">SUMIFS(Trades!$O$9:$O$59,Trades!$C$9:$C$59,C22,Trades!$G$9:$G$59,"Buy")</f>
        <v>0</v>
      </c>
      <c r="P22" s="511" t="n">
        <f aca="false">SUMIFS(Trades!$I$9:$I$59,Trades!$C$9:$C$59,$C22,Trades!$G$9:$G$59,"Buy")</f>
        <v>0</v>
      </c>
      <c r="Q22" s="330" t="str">
        <f aca="false">IF(ISERROR(O22/P22),"",-O22/P22)</f>
        <v/>
      </c>
      <c r="R22" s="0" t="n">
        <f aca="false">SUMIFS(Trades!$O$9:$O$59,Trades!$C$9:$C$59,$C22,Trades!$G$9:$G$59,"Sell")</f>
        <v>0</v>
      </c>
      <c r="S22" s="0" t="n">
        <f aca="false">SUMIFS(Trades!$I$9:$I$59,Trades!$C$9:$C$59,$C22,Trades!$G$9:$G$59,"Sell")</f>
        <v>0</v>
      </c>
      <c r="T22" s="0" t="str">
        <f aca="false">IF(S22=0,"",R22/S22)</f>
        <v/>
      </c>
    </row>
    <row r="23" customFormat="false" ht="15" hidden="false" customHeight="false" outlineLevel="0" collapsed="false">
      <c r="A23" s="134" t="str">
        <f aca="false">IF(B23="Yes",COUNTIF($B$3:B23,"Yes"),"")</f>
        <v/>
      </c>
      <c r="B23" s="0" t="str">
        <f aca="false">IF(SUM(D23:I23)&gt;0,"Yes","No")</f>
        <v>No</v>
      </c>
      <c r="C23" s="264" t="s">
        <v>159</v>
      </c>
      <c r="D23" s="0" t="n">
        <f aca="false">SUMIFS(Trades!$I$9:$I$59,Trades!$C$9:$C$59,$C23,Trades!$K$9:$K$59,"&lt;="&amp;D$2)-SUMIFS(Trades!$I$32:$I$59,Trades!$C$32:$C$59,$C23,Trades!$M$32:$M$59,"&lt;="&amp;D$2)</f>
        <v>0</v>
      </c>
      <c r="E23" s="0" t="n">
        <f aca="false">SUMIFS(Trades!$I$9:$I$59,Trades!$C$9:$C$59,$C23,Trades!$K$9:$K$59,"&lt;="&amp;E$2)-SUMIFS(Trades!$I$32:$I$59,Trades!$C$32:$C$59,$C23,Trades!$M$32:$M$59,"&lt;="&amp;E$2)</f>
        <v>0</v>
      </c>
      <c r="F23" s="0" t="n">
        <f aca="false">SUMIFS(Trades!$I$9:$I$59,Trades!$C$9:$C$59,$C23,Trades!$K$9:$K$59,"&lt;="&amp;F$2)-SUMIFS(Trades!$I$32:$I$59,Trades!$C$32:$C$59,$C23,Trades!$M$32:$M$59,"&lt;="&amp;F$2)</f>
        <v>0</v>
      </c>
      <c r="G23" s="0" t="n">
        <f aca="false">SUMIFS(Trades!$I$9:$I$59,Trades!$C$9:$C$59,$C23,Trades!$K$9:$K$59,"&lt;="&amp;G$2)-SUMIFS(Trades!$I$32:$I$59,Trades!$C$32:$C$59,$C23,Trades!$M$32:$M$59,"&lt;="&amp;G$2)</f>
        <v>0</v>
      </c>
      <c r="H23" s="0" t="n">
        <f aca="false">SUMIFS(Trades!$I$9:$I$59,Trades!$C$9:$C$59,$C23,Trades!$K$9:$K$59,"&lt;="&amp;H$2)-SUMIFS(Trades!$I$32:$I$59,Trades!$C$32:$C$59,$C23,Trades!$M$32:$M$59,"&lt;="&amp;H$2)</f>
        <v>0</v>
      </c>
      <c r="I23" s="0" t="n">
        <f aca="false">SUMIFS(Trades!$I$9:$I$59,Trades!$C$9:$C$59,$C23,Trades!$K$9:$K$59,"&lt;="&amp;I$2)-SUMIFS(Trades!$I$32:$I$59,Trades!$C$32:$C$59,$C23,Trades!$M$32:$M$59,"&lt;="&amp;I$2)</f>
        <v>0</v>
      </c>
      <c r="M23" s="0" t="str">
        <f aca="false">IF(SUM(O23:O23)&gt;0,"Yes","No")</f>
        <v>No</v>
      </c>
      <c r="N23" s="264" t="s">
        <v>159</v>
      </c>
      <c r="O23" s="511" t="n">
        <f aca="false">SUMIFS(Trades!$O$9:$O$59,Trades!$C$9:$C$59,C23,Trades!$G$9:$G$59,"Buy")</f>
        <v>0</v>
      </c>
      <c r="P23" s="511" t="n">
        <f aca="false">SUMIFS(Trades!$I$9:$I$59,Trades!$C$9:$C$59,$C23,Trades!$G$9:$G$59,"Buy")</f>
        <v>0</v>
      </c>
      <c r="Q23" s="330" t="str">
        <f aca="false">IF(ISERROR(O23/P23),"",-O23/P23)</f>
        <v/>
      </c>
      <c r="R23" s="0" t="n">
        <f aca="false">SUMIFS(Trades!$O$9:$O$59,Trades!$C$9:$C$59,$C23,Trades!$G$9:$G$59,"Sell")</f>
        <v>0</v>
      </c>
      <c r="S23" s="0" t="n">
        <f aca="false">SUMIFS(Trades!$I$9:$I$59,Trades!$C$9:$C$59,$C23,Trades!$G$9:$G$59,"Sell")</f>
        <v>0</v>
      </c>
      <c r="T23" s="0" t="str">
        <f aca="false">IF(S23=0,"",R23/S23)</f>
        <v/>
      </c>
    </row>
    <row r="24" customFormat="false" ht="15" hidden="false" customHeight="false" outlineLevel="0" collapsed="false">
      <c r="A24" s="134" t="str">
        <f aca="false">IF(B24="Yes",COUNTIF($B$3:B24,"Yes"),"")</f>
        <v/>
      </c>
      <c r="B24" s="0" t="str">
        <f aca="false">IF(SUM(D24:I24)&gt;0,"Yes","No")</f>
        <v>No</v>
      </c>
      <c r="C24" s="264" t="s">
        <v>193</v>
      </c>
      <c r="D24" s="0" t="n">
        <f aca="false">SUMIFS(Trades!$I$9:$I$59,Trades!$C$9:$C$59,$C24,Trades!$K$9:$K$59,"&lt;="&amp;D$2)-SUMIFS(Trades!$I$32:$I$59,Trades!$C$32:$C$59,$C24,Trades!$M$32:$M$59,"&lt;="&amp;D$2)</f>
        <v>0</v>
      </c>
      <c r="E24" s="0" t="n">
        <f aca="false">SUMIFS(Trades!$I$9:$I$59,Trades!$C$9:$C$59,$C24,Trades!$K$9:$K$59,"&lt;="&amp;E$2)-SUMIFS(Trades!$I$32:$I$59,Trades!$C$32:$C$59,$C24,Trades!$M$32:$M$59,"&lt;="&amp;E$2)</f>
        <v>0</v>
      </c>
      <c r="F24" s="0" t="n">
        <f aca="false">SUMIFS(Trades!$I$9:$I$59,Trades!$C$9:$C$59,$C24,Trades!$K$9:$K$59,"&lt;="&amp;F$2)-SUMIFS(Trades!$I$32:$I$59,Trades!$C$32:$C$59,$C24,Trades!$M$32:$M$59,"&lt;="&amp;F$2)</f>
        <v>0</v>
      </c>
      <c r="G24" s="0" t="n">
        <f aca="false">SUMIFS(Trades!$I$9:$I$59,Trades!$C$9:$C$59,$C24,Trades!$K$9:$K$59,"&lt;="&amp;G$2)-SUMIFS(Trades!$I$32:$I$59,Trades!$C$32:$C$59,$C24,Trades!$M$32:$M$59,"&lt;="&amp;G$2)</f>
        <v>0</v>
      </c>
      <c r="H24" s="0" t="n">
        <f aca="false">SUMIFS(Trades!$I$9:$I$59,Trades!$C$9:$C$59,$C24,Trades!$K$9:$K$59,"&lt;="&amp;H$2)-SUMIFS(Trades!$I$32:$I$59,Trades!$C$32:$C$59,$C24,Trades!$M$32:$M$59,"&lt;="&amp;H$2)</f>
        <v>0</v>
      </c>
      <c r="I24" s="0" t="n">
        <f aca="false">SUMIFS(Trades!$I$9:$I$59,Trades!$C$9:$C$59,$C24,Trades!$K$9:$K$59,"&lt;="&amp;I$2)-SUMIFS(Trades!$I$32:$I$59,Trades!$C$32:$C$59,$C24,Trades!$M$32:$M$59,"&lt;="&amp;I$2)</f>
        <v>0</v>
      </c>
      <c r="M24" s="0" t="str">
        <f aca="false">IF(SUM(O24:O24)&gt;0,"Yes","No")</f>
        <v>No</v>
      </c>
      <c r="N24" s="264" t="s">
        <v>193</v>
      </c>
      <c r="O24" s="511" t="n">
        <f aca="false">SUMIFS(Trades!$O$9:$O$59,Trades!$C$9:$C$59,C24,Trades!$G$9:$G$59,"Buy")</f>
        <v>0</v>
      </c>
      <c r="P24" s="511" t="n">
        <f aca="false">SUMIFS(Trades!$I$9:$I$59,Trades!$C$9:$C$59,$C24,Trades!$G$9:$G$59,"Buy")</f>
        <v>0</v>
      </c>
      <c r="Q24" s="330" t="str">
        <f aca="false">IF(ISERROR(O24/P24),"",-O24/P24)</f>
        <v/>
      </c>
      <c r="R24" s="0" t="n">
        <f aca="false">SUMIFS(Trades!$O$9:$O$59,Trades!$C$9:$C$59,$C24,Trades!$G$9:$G$59,"Sell")</f>
        <v>0</v>
      </c>
      <c r="S24" s="0" t="n">
        <f aca="false">SUMIFS(Trades!$I$9:$I$59,Trades!$C$9:$C$59,$C24,Trades!$G$9:$G$59,"Sell")</f>
        <v>0</v>
      </c>
      <c r="T24" s="0" t="str">
        <f aca="false">IF(S24=0,"",R24/S24)</f>
        <v/>
      </c>
    </row>
    <row r="25" customFormat="false" ht="15" hidden="false" customHeight="false" outlineLevel="0" collapsed="false">
      <c r="A25" s="134" t="str">
        <f aca="false">IF(B25="Yes",COUNTIF($B$3:B25,"Yes"),"")</f>
        <v/>
      </c>
      <c r="B25" s="0" t="str">
        <f aca="false">IF(SUM(D25:I25)&gt;0,"Yes","No")</f>
        <v>No</v>
      </c>
      <c r="C25" s="264" t="s">
        <v>132</v>
      </c>
      <c r="D25" s="0" t="n">
        <f aca="false">SUMIFS(Trades!$I$9:$I$59,Trades!$C$9:$C$59,$C25,Trades!$K$9:$K$59,"&lt;="&amp;D$2)-SUMIFS(Trades!$I$32:$I$59,Trades!$C$32:$C$59,$C25,Trades!$M$32:$M$59,"&lt;="&amp;D$2)</f>
        <v>0</v>
      </c>
      <c r="E25" s="0" t="n">
        <f aca="false">SUMIFS(Trades!$I$9:$I$59,Trades!$C$9:$C$59,$C25,Trades!$K$9:$K$59,"&lt;="&amp;E$2)-SUMIFS(Trades!$I$32:$I$59,Trades!$C$32:$C$59,$C25,Trades!$M$32:$M$59,"&lt;="&amp;E$2)</f>
        <v>0</v>
      </c>
      <c r="F25" s="0" t="n">
        <f aca="false">SUMIFS(Trades!$I$9:$I$59,Trades!$C$9:$C$59,$C25,Trades!$K$9:$K$59,"&lt;="&amp;F$2)-SUMIFS(Trades!$I$32:$I$59,Trades!$C$32:$C$59,$C25,Trades!$M$32:$M$59,"&lt;="&amp;F$2)</f>
        <v>0</v>
      </c>
      <c r="G25" s="0" t="n">
        <f aca="false">SUMIFS(Trades!$I$9:$I$59,Trades!$C$9:$C$59,$C25,Trades!$K$9:$K$59,"&lt;="&amp;G$2)-SUMIFS(Trades!$I$32:$I$59,Trades!$C$32:$C$59,$C25,Trades!$M$32:$M$59,"&lt;="&amp;G$2)</f>
        <v>0</v>
      </c>
      <c r="H25" s="0" t="n">
        <f aca="false">SUMIFS(Trades!$I$9:$I$59,Trades!$C$9:$C$59,$C25,Trades!$K$9:$K$59,"&lt;="&amp;H$2)-SUMIFS(Trades!$I$32:$I$59,Trades!$C$32:$C$59,$C25,Trades!$M$32:$M$59,"&lt;="&amp;H$2)</f>
        <v>0</v>
      </c>
      <c r="I25" s="0" t="n">
        <f aca="false">SUMIFS(Trades!$I$9:$I$59,Trades!$C$9:$C$59,$C25,Trades!$K$9:$K$59,"&lt;="&amp;I$2)-SUMIFS(Trades!$I$32:$I$59,Trades!$C$32:$C$59,$C25,Trades!$M$32:$M$59,"&lt;="&amp;I$2)</f>
        <v>0</v>
      </c>
      <c r="M25" s="0" t="str">
        <f aca="false">IF(SUM(O25:O25)&gt;0,"Yes","No")</f>
        <v>No</v>
      </c>
      <c r="N25" s="264" t="s">
        <v>132</v>
      </c>
      <c r="O25" s="511" t="n">
        <f aca="false">SUMIFS(Trades!$O$9:$O$59,Trades!$C$9:$C$59,C25,Trades!$G$9:$G$59,"Buy")</f>
        <v>0</v>
      </c>
      <c r="P25" s="511" t="n">
        <f aca="false">SUMIFS(Trades!$I$9:$I$59,Trades!$C$9:$C$59,$C25,Trades!$G$9:$G$59,"Buy")</f>
        <v>0</v>
      </c>
      <c r="Q25" s="330" t="str">
        <f aca="false">IF(ISERROR(O25/P25),"",-O25/P25)</f>
        <v/>
      </c>
      <c r="R25" s="0" t="n">
        <f aca="false">SUMIFS(Trades!$O$9:$O$59,Trades!$C$9:$C$59,$C25,Trades!$G$9:$G$59,"Sell")</f>
        <v>0</v>
      </c>
      <c r="S25" s="0" t="n">
        <f aca="false">SUMIFS(Trades!$I$9:$I$59,Trades!$C$9:$C$59,$C25,Trades!$G$9:$G$59,"Sell")</f>
        <v>0</v>
      </c>
      <c r="T25" s="0" t="str">
        <f aca="false">IF(S25=0,"",R25/S25)</f>
        <v/>
      </c>
    </row>
    <row r="26" customFormat="false" ht="15" hidden="false" customHeight="false" outlineLevel="0" collapsed="false">
      <c r="A26" s="134" t="str">
        <f aca="false">IF(B26="Yes",COUNTIF($B$3:B26,"Yes"),"")</f>
        <v/>
      </c>
      <c r="B26" s="0" t="str">
        <f aca="false">IF(SUM(D26:I26)&gt;0,"Yes","No")</f>
        <v>No</v>
      </c>
      <c r="C26" s="264" t="s">
        <v>168</v>
      </c>
      <c r="D26" s="0" t="n">
        <f aca="false">SUMIFS(Trades!$I$9:$I$59,Trades!$C$9:$C$59,$C26,Trades!$K$9:$K$59,"&lt;="&amp;D$2)-SUMIFS(Trades!$I$32:$I$59,Trades!$C$32:$C$59,$C26,Trades!$M$32:$M$59,"&lt;="&amp;D$2)</f>
        <v>0</v>
      </c>
      <c r="E26" s="0" t="n">
        <f aca="false">SUMIFS(Trades!$I$9:$I$59,Trades!$C$9:$C$59,$C26,Trades!$K$9:$K$59,"&lt;="&amp;E$2)-SUMIFS(Trades!$I$32:$I$59,Trades!$C$32:$C$59,$C26,Trades!$M$32:$M$59,"&lt;="&amp;E$2)</f>
        <v>0</v>
      </c>
      <c r="F26" s="0" t="n">
        <f aca="false">SUMIFS(Trades!$I$9:$I$59,Trades!$C$9:$C$59,$C26,Trades!$K$9:$K$59,"&lt;="&amp;F$2)-SUMIFS(Trades!$I$32:$I$59,Trades!$C$32:$C$59,$C26,Trades!$M$32:$M$59,"&lt;="&amp;F$2)</f>
        <v>0</v>
      </c>
      <c r="G26" s="0" t="n">
        <f aca="false">SUMIFS(Trades!$I$9:$I$59,Trades!$C$9:$C$59,$C26,Trades!$K$9:$K$59,"&lt;="&amp;G$2)-SUMIFS(Trades!$I$32:$I$59,Trades!$C$32:$C$59,$C26,Trades!$M$32:$M$59,"&lt;="&amp;G$2)</f>
        <v>0</v>
      </c>
      <c r="H26" s="0" t="n">
        <f aca="false">SUMIFS(Trades!$I$9:$I$59,Trades!$C$9:$C$59,$C26,Trades!$K$9:$K$59,"&lt;="&amp;H$2)-SUMIFS(Trades!$I$32:$I$59,Trades!$C$32:$C$59,$C26,Trades!$M$32:$M$59,"&lt;="&amp;H$2)</f>
        <v>0</v>
      </c>
      <c r="I26" s="0" t="n">
        <f aca="false">SUMIFS(Trades!$I$9:$I$59,Trades!$C$9:$C$59,$C26,Trades!$K$9:$K$59,"&lt;="&amp;I$2)-SUMIFS(Trades!$I$32:$I$59,Trades!$C$32:$C$59,$C26,Trades!$M$32:$M$59,"&lt;="&amp;I$2)</f>
        <v>0</v>
      </c>
      <c r="M26" s="0" t="str">
        <f aca="false">IF(SUM(O26:O26)&gt;0,"Yes","No")</f>
        <v>No</v>
      </c>
      <c r="N26" s="264" t="s">
        <v>168</v>
      </c>
      <c r="O26" s="511" t="n">
        <f aca="false">SUMIFS(Trades!$O$9:$O$59,Trades!$C$9:$C$59,C26,Trades!$G$9:$G$59,"Buy")</f>
        <v>0</v>
      </c>
      <c r="P26" s="511" t="n">
        <f aca="false">SUMIFS(Trades!$I$9:$I$59,Trades!$C$9:$C$59,$C26,Trades!$G$9:$G$59,"Buy")</f>
        <v>0</v>
      </c>
      <c r="Q26" s="330" t="str">
        <f aca="false">IF(ISERROR(O26/P26),"",-O26/P26)</f>
        <v/>
      </c>
      <c r="R26" s="0" t="n">
        <f aca="false">SUMIFS(Trades!$O$9:$O$59,Trades!$C$9:$C$59,$C26,Trades!$G$9:$G$59,"Sell")</f>
        <v>0</v>
      </c>
      <c r="S26" s="0" t="n">
        <f aca="false">SUMIFS(Trades!$I$9:$I$59,Trades!$C$9:$C$59,$C26,Trades!$G$9:$G$59,"Sell")</f>
        <v>0</v>
      </c>
      <c r="T26" s="0" t="str">
        <f aca="false">IF(S26=0,"",R26/S26)</f>
        <v/>
      </c>
    </row>
    <row r="27" customFormat="false" ht="15" hidden="false" customHeight="false" outlineLevel="0" collapsed="false">
      <c r="A27" s="134" t="str">
        <f aca="false">IF(B27="Yes",COUNTIF($B$3:B27,"Yes"),"")</f>
        <v/>
      </c>
      <c r="B27" s="0" t="str">
        <f aca="false">IF(SUM(D27:I27)&gt;0,"Yes","No")</f>
        <v>No</v>
      </c>
      <c r="C27" s="264" t="s">
        <v>181</v>
      </c>
      <c r="D27" s="0" t="n">
        <f aca="false">SUMIFS(Trades!$I$9:$I$59,Trades!$C$9:$C$59,$C27,Trades!$K$9:$K$59,"&lt;="&amp;D$2)-SUMIFS(Trades!$I$32:$I$59,Trades!$C$32:$C$59,$C27,Trades!$M$32:$M$59,"&lt;="&amp;D$2)</f>
        <v>0</v>
      </c>
      <c r="E27" s="0" t="n">
        <f aca="false">SUMIFS(Trades!$I$9:$I$59,Trades!$C$9:$C$59,$C27,Trades!$K$9:$K$59,"&lt;="&amp;E$2)-SUMIFS(Trades!$I$32:$I$59,Trades!$C$32:$C$59,$C27,Trades!$M$32:$M$59,"&lt;="&amp;E$2)</f>
        <v>0</v>
      </c>
      <c r="F27" s="0" t="n">
        <f aca="false">SUMIFS(Trades!$I$9:$I$59,Trades!$C$9:$C$59,$C27,Trades!$K$9:$K$59,"&lt;="&amp;F$2)-SUMIFS(Trades!$I$32:$I$59,Trades!$C$32:$C$59,$C27,Trades!$M$32:$M$59,"&lt;="&amp;F$2)</f>
        <v>0</v>
      </c>
      <c r="G27" s="0" t="n">
        <f aca="false">SUMIFS(Trades!$I$9:$I$59,Trades!$C$9:$C$59,$C27,Trades!$K$9:$K$59,"&lt;="&amp;G$2)-SUMIFS(Trades!$I$32:$I$59,Trades!$C$32:$C$59,$C27,Trades!$M$32:$M$59,"&lt;="&amp;G$2)</f>
        <v>0</v>
      </c>
      <c r="H27" s="0" t="n">
        <f aca="false">SUMIFS(Trades!$I$9:$I$59,Trades!$C$9:$C$59,$C27,Trades!$K$9:$K$59,"&lt;="&amp;H$2)-SUMIFS(Trades!$I$32:$I$59,Trades!$C$32:$C$59,$C27,Trades!$M$32:$M$59,"&lt;="&amp;H$2)</f>
        <v>0</v>
      </c>
      <c r="I27" s="0" t="n">
        <f aca="false">SUMIFS(Trades!$I$9:$I$59,Trades!$C$9:$C$59,$C27,Trades!$K$9:$K$59,"&lt;="&amp;I$2)-SUMIFS(Trades!$I$32:$I$59,Trades!$C$32:$C$59,$C27,Trades!$M$32:$M$59,"&lt;="&amp;I$2)</f>
        <v>0</v>
      </c>
      <c r="M27" s="0" t="str">
        <f aca="false">IF(SUM(O27:O27)&gt;0,"Yes","No")</f>
        <v>No</v>
      </c>
      <c r="N27" s="264" t="s">
        <v>181</v>
      </c>
      <c r="O27" s="511" t="n">
        <f aca="false">SUMIFS(Trades!$O$9:$O$59,Trades!$C$9:$C$59,C27,Trades!$G$9:$G$59,"Buy")</f>
        <v>0</v>
      </c>
      <c r="P27" s="511" t="n">
        <f aca="false">SUMIFS(Trades!$I$9:$I$59,Trades!$C$9:$C$59,$C27,Trades!$G$9:$G$59,"Buy")</f>
        <v>0</v>
      </c>
      <c r="Q27" s="330" t="str">
        <f aca="false">IF(ISERROR(O27/P27),"",-O27/P27)</f>
        <v/>
      </c>
      <c r="R27" s="0" t="n">
        <f aca="false">SUMIFS(Trades!$O$9:$O$59,Trades!$C$9:$C$59,$C27,Trades!$G$9:$G$59,"Sell")</f>
        <v>0</v>
      </c>
      <c r="S27" s="0" t="n">
        <f aca="false">SUMIFS(Trades!$I$9:$I$59,Trades!$C$9:$C$59,$C27,Trades!$G$9:$G$59,"Sell")</f>
        <v>0</v>
      </c>
      <c r="T27" s="0" t="str">
        <f aca="false">IF(S27=0,"",R27/S27)</f>
        <v/>
      </c>
    </row>
    <row r="28" customFormat="false" ht="15" hidden="false" customHeight="false" outlineLevel="0" collapsed="false">
      <c r="A28" s="134" t="str">
        <f aca="false">IF(B28="Yes",COUNTIF($B$3:B28,"Yes"),"")</f>
        <v/>
      </c>
      <c r="B28" s="0" t="str">
        <f aca="false">IF(SUM(D28:I28)&gt;0,"Yes","No")</f>
        <v>No</v>
      </c>
      <c r="C28" s="264" t="s">
        <v>178</v>
      </c>
      <c r="D28" s="0" t="n">
        <f aca="false">SUMIFS(Trades!$I$9:$I$59,Trades!$C$9:$C$59,$C28,Trades!$K$9:$K$59,"&lt;="&amp;D$2)-SUMIFS(Trades!$I$32:$I$59,Trades!$C$32:$C$59,$C28,Trades!$M$32:$M$59,"&lt;="&amp;D$2)</f>
        <v>0</v>
      </c>
      <c r="E28" s="0" t="n">
        <f aca="false">SUMIFS(Trades!$I$9:$I$59,Trades!$C$9:$C$59,$C28,Trades!$K$9:$K$59,"&lt;="&amp;E$2)-SUMIFS(Trades!$I$32:$I$59,Trades!$C$32:$C$59,$C28,Trades!$M$32:$M$59,"&lt;="&amp;E$2)</f>
        <v>0</v>
      </c>
      <c r="F28" s="0" t="n">
        <f aca="false">SUMIFS(Trades!$I$9:$I$59,Trades!$C$9:$C$59,$C28,Trades!$K$9:$K$59,"&lt;="&amp;F$2)-SUMIFS(Trades!$I$32:$I$59,Trades!$C$32:$C$59,$C28,Trades!$M$32:$M$59,"&lt;="&amp;F$2)</f>
        <v>0</v>
      </c>
      <c r="G28" s="0" t="n">
        <f aca="false">SUMIFS(Trades!$I$9:$I$59,Trades!$C$9:$C$59,$C28,Trades!$K$9:$K$59,"&lt;="&amp;G$2)-SUMIFS(Trades!$I$32:$I$59,Trades!$C$32:$C$59,$C28,Trades!$M$32:$M$59,"&lt;="&amp;G$2)</f>
        <v>0</v>
      </c>
      <c r="H28" s="0" t="n">
        <f aca="false">SUMIFS(Trades!$I$9:$I$59,Trades!$C$9:$C$59,$C28,Trades!$K$9:$K$59,"&lt;="&amp;H$2)-SUMIFS(Trades!$I$32:$I$59,Trades!$C$32:$C$59,$C28,Trades!$M$32:$M$59,"&lt;="&amp;H$2)</f>
        <v>0</v>
      </c>
      <c r="I28" s="0" t="n">
        <f aca="false">SUMIFS(Trades!$I$9:$I$59,Trades!$C$9:$C$59,$C28,Trades!$K$9:$K$59,"&lt;="&amp;I$2)-SUMIFS(Trades!$I$32:$I$59,Trades!$C$32:$C$59,$C28,Trades!$M$32:$M$59,"&lt;="&amp;I$2)</f>
        <v>0</v>
      </c>
      <c r="M28" s="0" t="str">
        <f aca="false">IF(SUM(O28:O28)&gt;0,"Yes","No")</f>
        <v>No</v>
      </c>
      <c r="N28" s="264" t="s">
        <v>178</v>
      </c>
      <c r="O28" s="511" t="n">
        <f aca="false">SUMIFS(Trades!$O$9:$O$59,Trades!$C$9:$C$59,C28,Trades!$G$9:$G$59,"Buy")</f>
        <v>0</v>
      </c>
      <c r="P28" s="511" t="n">
        <f aca="false">SUMIFS(Trades!$I$9:$I$59,Trades!$C$9:$C$59,$C28,Trades!$G$9:$G$59,"Buy")</f>
        <v>0</v>
      </c>
      <c r="Q28" s="330" t="str">
        <f aca="false">IF(ISERROR(O28/P28),"",-O28/P28)</f>
        <v/>
      </c>
      <c r="R28" s="0" t="n">
        <f aca="false">SUMIFS(Trades!$O$9:$O$59,Trades!$C$9:$C$59,$C28,Trades!$G$9:$G$59,"Sell")</f>
        <v>0</v>
      </c>
      <c r="S28" s="0" t="n">
        <f aca="false">SUMIFS(Trades!$I$9:$I$59,Trades!$C$9:$C$59,$C28,Trades!$G$9:$G$59,"Sell")</f>
        <v>0</v>
      </c>
      <c r="T28" s="0" t="str">
        <f aca="false">IF(S28=0,"",R28/S28)</f>
        <v/>
      </c>
    </row>
    <row r="29" customFormat="false" ht="15" hidden="false" customHeight="false" outlineLevel="0" collapsed="false">
      <c r="A29" s="134" t="str">
        <f aca="false">IF(B29="Yes",COUNTIF($B$3:B29,"Yes"),"")</f>
        <v/>
      </c>
      <c r="B29" s="0" t="str">
        <f aca="false">IF(SUM(D29:I29)&gt;0,"Yes","No")</f>
        <v>No</v>
      </c>
      <c r="C29" s="264" t="s">
        <v>190</v>
      </c>
      <c r="D29" s="0" t="n">
        <f aca="false">SUMIFS(Trades!$I$9:$I$59,Trades!$C$9:$C$59,$C29,Trades!$K$9:$K$59,"&lt;="&amp;D$2)-SUMIFS(Trades!$I$32:$I$59,Trades!$C$32:$C$59,$C29,Trades!$M$32:$M$59,"&lt;="&amp;D$2)</f>
        <v>0</v>
      </c>
      <c r="E29" s="0" t="n">
        <f aca="false">SUMIFS(Trades!$I$9:$I$59,Trades!$C$9:$C$59,$C29,Trades!$K$9:$K$59,"&lt;="&amp;E$2)-SUMIFS(Trades!$I$32:$I$59,Trades!$C$32:$C$59,$C29,Trades!$M$32:$M$59,"&lt;="&amp;E$2)</f>
        <v>0</v>
      </c>
      <c r="F29" s="0" t="n">
        <f aca="false">SUMIFS(Trades!$I$9:$I$59,Trades!$C$9:$C$59,$C29,Trades!$K$9:$K$59,"&lt;="&amp;F$2)-SUMIFS(Trades!$I$32:$I$59,Trades!$C$32:$C$59,$C29,Trades!$M$32:$M$59,"&lt;="&amp;F$2)</f>
        <v>0</v>
      </c>
      <c r="G29" s="0" t="n">
        <f aca="false">SUMIFS(Trades!$I$9:$I$59,Trades!$C$9:$C$59,$C29,Trades!$K$9:$K$59,"&lt;="&amp;G$2)-SUMIFS(Trades!$I$32:$I$59,Trades!$C$32:$C$59,$C29,Trades!$M$32:$M$59,"&lt;="&amp;G$2)</f>
        <v>0</v>
      </c>
      <c r="H29" s="0" t="n">
        <f aca="false">SUMIFS(Trades!$I$9:$I$59,Trades!$C$9:$C$59,$C29,Trades!$K$9:$K$59,"&lt;="&amp;H$2)-SUMIFS(Trades!$I$32:$I$59,Trades!$C$32:$C$59,$C29,Trades!$M$32:$M$59,"&lt;="&amp;H$2)</f>
        <v>0</v>
      </c>
      <c r="I29" s="0" t="n">
        <f aca="false">SUMIFS(Trades!$I$9:$I$59,Trades!$C$9:$C$59,$C29,Trades!$K$9:$K$59,"&lt;="&amp;I$2)-SUMIFS(Trades!$I$32:$I$59,Trades!$C$32:$C$59,$C29,Trades!$M$32:$M$59,"&lt;="&amp;I$2)</f>
        <v>0</v>
      </c>
      <c r="M29" s="0" t="str">
        <f aca="false">IF(SUM(O29:O29)&gt;0,"Yes","No")</f>
        <v>No</v>
      </c>
      <c r="N29" s="264" t="s">
        <v>190</v>
      </c>
      <c r="O29" s="511" t="n">
        <f aca="false">SUMIFS(Trades!$O$9:$O$59,Trades!$C$9:$C$59,C29,Trades!$G$9:$G$59,"Buy")</f>
        <v>0</v>
      </c>
      <c r="P29" s="511" t="n">
        <f aca="false">SUMIFS(Trades!$I$9:$I$59,Trades!$C$9:$C$59,$C29,Trades!$G$9:$G$59,"Buy")</f>
        <v>0</v>
      </c>
      <c r="Q29" s="330" t="str">
        <f aca="false">IF(ISERROR(O29/P29),"",-O29/P29)</f>
        <v/>
      </c>
      <c r="R29" s="0" t="n">
        <f aca="false">SUMIFS(Trades!$O$9:$O$59,Trades!$C$9:$C$59,$C29,Trades!$G$9:$G$59,"Sell")</f>
        <v>0</v>
      </c>
      <c r="S29" s="0" t="n">
        <f aca="false">SUMIFS(Trades!$I$9:$I$59,Trades!$C$9:$C$59,$C29,Trades!$G$9:$G$59,"Sell")</f>
        <v>0</v>
      </c>
      <c r="T29" s="0" t="str">
        <f aca="false">IF(S29=0,"",R29/S29)</f>
        <v/>
      </c>
    </row>
    <row r="30" customFormat="false" ht="15" hidden="false" customHeight="false" outlineLevel="0" collapsed="false">
      <c r="A30" s="134" t="str">
        <f aca="false">IF(B30="Yes",COUNTIF($B$3:B30,"Yes"),"")</f>
        <v/>
      </c>
      <c r="B30" s="0" t="str">
        <f aca="false">IF(SUM(D30:I30)&gt;0,"Yes","No")</f>
        <v>No</v>
      </c>
      <c r="C30" s="264" t="s">
        <v>122</v>
      </c>
      <c r="D30" s="0" t="n">
        <f aca="false">SUMIFS(Trades!$I$9:$I$59,Trades!$C$9:$C$59,$C30,Trades!$K$9:$K$59,"&lt;="&amp;D$2)-SUMIFS(Trades!$I$32:$I$59,Trades!$C$32:$C$59,$C30,Trades!$M$32:$M$59,"&lt;="&amp;D$2)</f>
        <v>0</v>
      </c>
      <c r="E30" s="0" t="n">
        <f aca="false">SUMIFS(Trades!$I$9:$I$59,Trades!$C$9:$C$59,$C30,Trades!$K$9:$K$59,"&lt;="&amp;E$2)-SUMIFS(Trades!$I$32:$I$59,Trades!$C$32:$C$59,$C30,Trades!$M$32:$M$59,"&lt;="&amp;E$2)</f>
        <v>0</v>
      </c>
      <c r="F30" s="0" t="n">
        <f aca="false">SUMIFS(Trades!$I$9:$I$59,Trades!$C$9:$C$59,$C30,Trades!$K$9:$K$59,"&lt;="&amp;F$2)-SUMIFS(Trades!$I$32:$I$59,Trades!$C$32:$C$59,$C30,Trades!$M$32:$M$59,"&lt;="&amp;F$2)</f>
        <v>0</v>
      </c>
      <c r="G30" s="0" t="n">
        <f aca="false">SUMIFS(Trades!$I$9:$I$59,Trades!$C$9:$C$59,$C30,Trades!$K$9:$K$59,"&lt;="&amp;G$2)-SUMIFS(Trades!$I$32:$I$59,Trades!$C$32:$C$59,$C30,Trades!$M$32:$M$59,"&lt;="&amp;G$2)</f>
        <v>0</v>
      </c>
      <c r="H30" s="0" t="n">
        <f aca="false">SUMIFS(Trades!$I$9:$I$59,Trades!$C$9:$C$59,$C30,Trades!$K$9:$K$59,"&lt;="&amp;H$2)-SUMIFS(Trades!$I$32:$I$59,Trades!$C$32:$C$59,$C30,Trades!$M$32:$M$59,"&lt;="&amp;H$2)</f>
        <v>0</v>
      </c>
      <c r="I30" s="0" t="n">
        <f aca="false">SUMIFS(Trades!$I$9:$I$59,Trades!$C$9:$C$59,$C30,Trades!$K$9:$K$59,"&lt;="&amp;I$2)-SUMIFS(Trades!$I$32:$I$59,Trades!$C$32:$C$59,$C30,Trades!$M$32:$M$59,"&lt;="&amp;I$2)</f>
        <v>0</v>
      </c>
      <c r="M30" s="0" t="str">
        <f aca="false">IF(SUM(O30:O30)&gt;0,"Yes","No")</f>
        <v>No</v>
      </c>
      <c r="N30" s="264" t="s">
        <v>122</v>
      </c>
      <c r="O30" s="511" t="n">
        <f aca="false">SUMIFS(Trades!$O$9:$O$59,Trades!$C$9:$C$59,C30,Trades!$G$9:$G$59,"Buy")</f>
        <v>0</v>
      </c>
      <c r="P30" s="511" t="n">
        <f aca="false">SUMIFS(Trades!$I$9:$I$59,Trades!$C$9:$C$59,$C30,Trades!$G$9:$G$59,"Buy")</f>
        <v>0</v>
      </c>
      <c r="Q30" s="330" t="str">
        <f aca="false">IF(ISERROR(O30/P30),"",-O30/P30)</f>
        <v/>
      </c>
      <c r="R30" s="0" t="n">
        <f aca="false">SUMIFS(Trades!$O$9:$O$59,Trades!$C$9:$C$59,$C30,Trades!$G$9:$G$59,"Sell")</f>
        <v>0</v>
      </c>
      <c r="S30" s="0" t="n">
        <f aca="false">SUMIFS(Trades!$I$9:$I$59,Trades!$C$9:$C$59,$C30,Trades!$G$9:$G$59,"Sell")</f>
        <v>0</v>
      </c>
      <c r="T30" s="0" t="str">
        <f aca="false">IF(S30=0,"",R30/S30)</f>
        <v/>
      </c>
    </row>
    <row r="31" customFormat="false" ht="15" hidden="false" customHeight="false" outlineLevel="0" collapsed="false">
      <c r="A31" s="134" t="str">
        <f aca="false">IF(B31="Yes",COUNTIF($B$3:B31,"Yes"),"")</f>
        <v/>
      </c>
      <c r="B31" s="0" t="str">
        <f aca="false">IF(SUM(D31:I31)&gt;0,"Yes","No")</f>
        <v>No</v>
      </c>
      <c r="C31" s="264" t="s">
        <v>187</v>
      </c>
      <c r="D31" s="0" t="n">
        <f aca="false">SUMIFS(Trades!$I$9:$I$59,Trades!$C$9:$C$59,$C31,Trades!$K$9:$K$59,"&lt;="&amp;D$2)-SUMIFS(Trades!$I$32:$I$59,Trades!$C$32:$C$59,$C31,Trades!$M$32:$M$59,"&lt;="&amp;D$2)</f>
        <v>0</v>
      </c>
      <c r="E31" s="0" t="n">
        <f aca="false">SUMIFS(Trades!$I$9:$I$59,Trades!$C$9:$C$59,$C31,Trades!$K$9:$K$59,"&lt;="&amp;E$2)-SUMIFS(Trades!$I$32:$I$59,Trades!$C$32:$C$59,$C31,Trades!$M$32:$M$59,"&lt;="&amp;E$2)</f>
        <v>0</v>
      </c>
      <c r="F31" s="0" t="n">
        <f aca="false">SUMIFS(Trades!$I$9:$I$59,Trades!$C$9:$C$59,$C31,Trades!$K$9:$K$59,"&lt;="&amp;F$2)-SUMIFS(Trades!$I$32:$I$59,Trades!$C$32:$C$59,$C31,Trades!$M$32:$M$59,"&lt;="&amp;F$2)</f>
        <v>0</v>
      </c>
      <c r="G31" s="0" t="n">
        <f aca="false">SUMIFS(Trades!$I$9:$I$59,Trades!$C$9:$C$59,$C31,Trades!$K$9:$K$59,"&lt;="&amp;G$2)-SUMIFS(Trades!$I$32:$I$59,Trades!$C$32:$C$59,$C31,Trades!$M$32:$M$59,"&lt;="&amp;G$2)</f>
        <v>0</v>
      </c>
      <c r="H31" s="0" t="n">
        <f aca="false">SUMIFS(Trades!$I$9:$I$59,Trades!$C$9:$C$59,$C31,Trades!$K$9:$K$59,"&lt;="&amp;H$2)-SUMIFS(Trades!$I$32:$I$59,Trades!$C$32:$C$59,$C31,Trades!$M$32:$M$59,"&lt;="&amp;H$2)</f>
        <v>0</v>
      </c>
      <c r="I31" s="0" t="n">
        <f aca="false">SUMIFS(Trades!$I$9:$I$59,Trades!$C$9:$C$59,$C31,Trades!$K$9:$K$59,"&lt;="&amp;I$2)-SUMIFS(Trades!$I$32:$I$59,Trades!$C$32:$C$59,$C31,Trades!$M$32:$M$59,"&lt;="&amp;I$2)</f>
        <v>0</v>
      </c>
      <c r="M31" s="0" t="str">
        <f aca="false">IF(SUM(O31:O31)&gt;0,"Yes","No")</f>
        <v>No</v>
      </c>
      <c r="N31" s="264" t="s">
        <v>187</v>
      </c>
      <c r="O31" s="511" t="n">
        <f aca="false">SUMIFS(Trades!$O$9:$O$59,Trades!$C$9:$C$59,C31,Trades!$G$9:$G$59,"Buy")</f>
        <v>0</v>
      </c>
      <c r="P31" s="511" t="n">
        <f aca="false">SUMIFS(Trades!$I$9:$I$59,Trades!$C$9:$C$59,$C31,Trades!$G$9:$G$59,"Buy")</f>
        <v>0</v>
      </c>
      <c r="Q31" s="330" t="str">
        <f aca="false">IF(ISERROR(O31/P31),"",-O31/P31)</f>
        <v/>
      </c>
      <c r="R31" s="0" t="n">
        <f aca="false">SUMIFS(Trades!$O$9:$O$59,Trades!$C$9:$C$59,$C31,Trades!$G$9:$G$59,"Sell")</f>
        <v>0</v>
      </c>
      <c r="S31" s="0" t="n">
        <f aca="false">SUMIFS(Trades!$I$9:$I$59,Trades!$C$9:$C$59,$C31,Trades!$G$9:$G$59,"Sell")</f>
        <v>0</v>
      </c>
      <c r="T31" s="0" t="str">
        <f aca="false">IF(S31=0,"",R31/S31)</f>
        <v/>
      </c>
    </row>
    <row r="32" customFormat="false" ht="15" hidden="false" customHeight="false" outlineLevel="0" collapsed="false">
      <c r="A32" s="134" t="n">
        <f aca="false">IF(B32="Yes",COUNTIF($B$3:B32,"Yes"),"")</f>
        <v>4</v>
      </c>
      <c r="B32" s="0" t="str">
        <f aca="false">IF(SUM(D32:I32)&gt;0,"Yes","No")</f>
        <v>Yes</v>
      </c>
      <c r="C32" s="264" t="s">
        <v>231</v>
      </c>
      <c r="D32" s="0" t="n">
        <f aca="false">SUMIFS(Trades!$I$9:$I$59,Trades!$C$9:$C$59,$C32,Trades!$K$9:$K$59,"&lt;="&amp;D$2)-SUMIFS(Trades!$I$32:$I$59,Trades!$C$32:$C$59,$C32,Trades!$M$32:$M$59,"&lt;="&amp;D$2)</f>
        <v>2043</v>
      </c>
      <c r="E32" s="0" t="n">
        <f aca="false">SUMIFS(Trades!$I$9:$I$59,Trades!$C$9:$C$59,$C32,Trades!$K$9:$K$59,"&lt;="&amp;E$2)-SUMIFS(Trades!$I$32:$I$59,Trades!$C$32:$C$59,$C32,Trades!$M$32:$M$59,"&lt;="&amp;E$2)</f>
        <v>2043</v>
      </c>
      <c r="F32" s="0" t="n">
        <f aca="false">SUMIFS(Trades!$I$9:$I$59,Trades!$C$9:$C$59,$C32,Trades!$K$9:$K$59,"&lt;="&amp;F$2)-SUMIFS(Trades!$I$32:$I$59,Trades!$C$32:$C$59,$C32,Trades!$M$32:$M$59,"&lt;="&amp;F$2)</f>
        <v>2043</v>
      </c>
      <c r="G32" s="0" t="n">
        <f aca="false">SUMIFS(Trades!$I$9:$I$59,Trades!$C$9:$C$59,$C32,Trades!$K$9:$K$59,"&lt;="&amp;G$2)-SUMIFS(Trades!$I$32:$I$59,Trades!$C$32:$C$59,$C32,Trades!$M$32:$M$59,"&lt;="&amp;G$2)</f>
        <v>2043</v>
      </c>
      <c r="H32" s="0" t="n">
        <f aca="false">SUMIFS(Trades!$I$9:$I$59,Trades!$C$9:$C$59,$C32,Trades!$K$9:$K$59,"&lt;="&amp;H$2)-SUMIFS(Trades!$I$32:$I$59,Trades!$C$32:$C$59,$C32,Trades!$M$32:$M$59,"&lt;="&amp;H$2)</f>
        <v>2043</v>
      </c>
      <c r="I32" s="0" t="n">
        <f aca="false">SUMIFS(Trades!$I$9:$I$59,Trades!$C$9:$C$59,$C32,Trades!$K$9:$K$59,"&lt;="&amp;I$2)-SUMIFS(Trades!$I$32:$I$59,Trades!$C$32:$C$59,$C32,Trades!$M$32:$M$59,"&lt;="&amp;I$2)</f>
        <v>2043</v>
      </c>
      <c r="M32" s="0" t="str">
        <f aca="false">IF(SUM(O32:O32)&gt;0,"Yes","No")</f>
        <v>No</v>
      </c>
      <c r="N32" s="264" t="s">
        <v>231</v>
      </c>
      <c r="O32" s="511" t="n">
        <f aca="false">SUMIFS(Trades!$O$9:$O$59,Trades!$C$9:$C$59,C32,Trades!$G$9:$G$59,"Buy")</f>
        <v>-175003.38</v>
      </c>
      <c r="P32" s="511" t="n">
        <f aca="false">SUMIFS(Trades!$I$9:$I$59,Trades!$C$9:$C$59,$C32,Trades!$G$9:$G$59,"Buy")</f>
        <v>2043</v>
      </c>
      <c r="Q32" s="330" t="n">
        <f aca="false">IF(ISERROR(O32/P32),"",-O32/P32)</f>
        <v>85.66</v>
      </c>
      <c r="R32" s="0" t="n">
        <f aca="false">SUMIFS(Trades!$O$9:$O$59,Trades!$C$9:$C$59,$C32,Trades!$G$9:$G$59,"Sell")</f>
        <v>0</v>
      </c>
      <c r="S32" s="0" t="n">
        <f aca="false">SUMIFS(Trades!$I$9:$I$59,Trades!$C$9:$C$59,$C32,Trades!$G$9:$G$59,"Sell")</f>
        <v>0</v>
      </c>
      <c r="T32" s="0" t="str">
        <f aca="false">IF(S32=0,"",R32/S32)</f>
        <v/>
      </c>
    </row>
    <row r="33" customFormat="false" ht="15" hidden="false" customHeight="false" outlineLevel="0" collapsed="false">
      <c r="A33" s="134" t="str">
        <f aca="false">IF(B33="Yes",COUNTIF($B$3:B33,"Yes"),"")</f>
        <v/>
      </c>
      <c r="B33" s="0" t="str">
        <f aca="false">IF(SUM(D33:I33)&gt;0,"Yes","No")</f>
        <v>No</v>
      </c>
      <c r="C33" s="264" t="s">
        <v>11</v>
      </c>
      <c r="D33" s="0" t="n">
        <f aca="false">SUMIFS(Trades!$I$9:$I$59,Trades!$C$9:$C$59,$C33,Trades!$K$9:$K$59,"&lt;="&amp;D$2)-SUMIFS(Trades!$I$32:$I$59,Trades!$C$32:$C$59,$C33,Trades!$M$32:$M$59,"&lt;="&amp;D$2)</f>
        <v>0</v>
      </c>
      <c r="E33" s="0" t="n">
        <f aca="false">SUMIFS(Trades!$I$9:$I$59,Trades!$C$9:$C$59,$C33,Trades!$K$9:$K$59,"&lt;="&amp;E$2)-SUMIFS(Trades!$I$32:$I$59,Trades!$C$32:$C$59,$C33,Trades!$M$32:$M$59,"&lt;="&amp;E$2)</f>
        <v>0</v>
      </c>
      <c r="F33" s="0" t="n">
        <f aca="false">SUMIFS(Trades!$I$9:$I$59,Trades!$C$9:$C$59,$C33,Trades!$K$9:$K$59,"&lt;="&amp;F$2)-SUMIFS(Trades!$I$32:$I$59,Trades!$C$32:$C$59,$C33,Trades!$M$32:$M$59,"&lt;="&amp;F$2)</f>
        <v>0</v>
      </c>
      <c r="G33" s="0" t="n">
        <f aca="false">SUMIFS(Trades!$I$9:$I$59,Trades!$C$9:$C$59,$C33,Trades!$K$9:$K$59,"&lt;="&amp;G$2)-SUMIFS(Trades!$I$32:$I$59,Trades!$C$32:$C$59,$C33,Trades!$M$32:$M$59,"&lt;="&amp;G$2)</f>
        <v>0</v>
      </c>
      <c r="H33" s="0" t="n">
        <f aca="false">SUMIFS(Trades!$I$9:$I$59,Trades!$C$9:$C$59,$C33,Trades!$K$9:$K$59,"&lt;="&amp;H$2)-SUMIFS(Trades!$I$32:$I$59,Trades!$C$32:$C$59,$C33,Trades!$M$32:$M$59,"&lt;="&amp;H$2)</f>
        <v>0</v>
      </c>
      <c r="I33" s="0" t="n">
        <f aca="false">SUMIFS(Trades!$I$9:$I$59,Trades!$C$9:$C$59,$C33,Trades!$K$9:$K$59,"&lt;="&amp;I$2)-SUMIFS(Trades!$I$32:$I$59,Trades!$C$32:$C$59,$C33,Trades!$M$32:$M$59,"&lt;="&amp;I$2)</f>
        <v>0</v>
      </c>
      <c r="M33" s="0" t="str">
        <f aca="false">IF(SUM(O33:O33)&gt;0,"Yes","No")</f>
        <v>No</v>
      </c>
      <c r="N33" s="264" t="s">
        <v>11</v>
      </c>
      <c r="O33" s="511" t="n">
        <f aca="false">SUMIFS(Trades!$O$9:$O$59,Trades!$C$9:$C$59,C33,Trades!$G$9:$G$59,"Buy")</f>
        <v>0</v>
      </c>
      <c r="P33" s="511" t="n">
        <f aca="false">SUMIFS(Trades!$I$9:$I$59,Trades!$C$9:$C$59,$C33,Trades!$G$9:$G$59,"Buy")</f>
        <v>0</v>
      </c>
      <c r="Q33" s="330" t="str">
        <f aca="false">IF(ISERROR(O33/P33),"",-O33/P33)</f>
        <v/>
      </c>
      <c r="R33" s="0" t="n">
        <f aca="false">SUMIFS(Trades!$O$9:$O$59,Trades!$C$9:$C$59,$C33,Trades!$G$9:$G$59,"Sell")</f>
        <v>0</v>
      </c>
      <c r="S33" s="0" t="n">
        <f aca="false">SUMIFS(Trades!$I$9:$I$59,Trades!$C$9:$C$59,$C33,Trades!$G$9:$G$59,"Sell")</f>
        <v>0</v>
      </c>
      <c r="T33" s="0" t="str">
        <f aca="false">IF(S33=0,"",R33/S33)</f>
        <v/>
      </c>
    </row>
    <row r="34" customFormat="false" ht="15" hidden="false" customHeight="false" outlineLevel="0" collapsed="false">
      <c r="A34" s="134" t="n">
        <f aca="false">IF(B34="Yes",COUNTIF($B$3:B34,"Yes"),"")</f>
        <v>5</v>
      </c>
      <c r="B34" s="0" t="str">
        <f aca="false">IF(SUM(D34:I34)&gt;0,"Yes","No")</f>
        <v>Yes</v>
      </c>
      <c r="C34" s="264" t="s">
        <v>202</v>
      </c>
      <c r="D34" s="0" t="n">
        <f aca="false">SUMIFS(Trades!$I$9:$I$59,Trades!$C$9:$C$59,$C34,Trades!$K$9:$K$59,"&lt;="&amp;D$2)-SUMIFS(Trades!$I$32:$I$59,Trades!$C$32:$C$59,$C34,Trades!$M$32:$M$59,"&lt;="&amp;D$2)</f>
        <v>737</v>
      </c>
      <c r="E34" s="0" t="n">
        <f aca="false">SUMIFS(Trades!$I$9:$I$59,Trades!$C$9:$C$59,$C34,Trades!$K$9:$K$59,"&lt;="&amp;E$2)-SUMIFS(Trades!$I$32:$I$59,Trades!$C$32:$C$59,$C34,Trades!$M$32:$M$59,"&lt;="&amp;E$2)</f>
        <v>1709</v>
      </c>
      <c r="F34" s="0" t="n">
        <f aca="false">SUMIFS(Trades!$I$9:$I$59,Trades!$C$9:$C$59,$C34,Trades!$K$9:$K$59,"&lt;="&amp;F$2)-SUMIFS(Trades!$I$32:$I$59,Trades!$C$32:$C$59,$C34,Trades!$M$32:$M$59,"&lt;="&amp;F$2)</f>
        <v>1709</v>
      </c>
      <c r="G34" s="0" t="n">
        <f aca="false">SUMIFS(Trades!$I$9:$I$59,Trades!$C$9:$C$59,$C34,Trades!$K$9:$K$59,"&lt;="&amp;G$2)-SUMIFS(Trades!$I$32:$I$59,Trades!$C$32:$C$59,$C34,Trades!$M$32:$M$59,"&lt;="&amp;G$2)</f>
        <v>1709</v>
      </c>
      <c r="H34" s="0" t="n">
        <f aca="false">SUMIFS(Trades!$I$9:$I$59,Trades!$C$9:$C$59,$C34,Trades!$K$9:$K$59,"&lt;="&amp;H$2)-SUMIFS(Trades!$I$32:$I$59,Trades!$C$32:$C$59,$C34,Trades!$M$32:$M$59,"&lt;="&amp;H$2)</f>
        <v>1709</v>
      </c>
      <c r="I34" s="0" t="n">
        <f aca="false">SUMIFS(Trades!$I$9:$I$59,Trades!$C$9:$C$59,$C34,Trades!$K$9:$K$59,"&lt;="&amp;I$2)-SUMIFS(Trades!$I$32:$I$59,Trades!$C$32:$C$59,$C34,Trades!$M$32:$M$59,"&lt;="&amp;I$2)</f>
        <v>1709</v>
      </c>
      <c r="M34" s="0" t="str">
        <f aca="false">IF(SUM(O34:O34)&gt;0,"Yes","No")</f>
        <v>No</v>
      </c>
      <c r="N34" s="264" t="s">
        <v>202</v>
      </c>
      <c r="O34" s="511" t="n">
        <f aca="false">SUMIFS(Trades!$O$9:$O$59,Trades!$C$9:$C$59,C34,Trades!$G$9:$G$59,"Buy")</f>
        <v>-173939.03</v>
      </c>
      <c r="P34" s="511" t="n">
        <f aca="false">SUMIFS(Trades!$I$9:$I$59,Trades!$C$9:$C$59,$C34,Trades!$G$9:$G$59,"Buy")</f>
        <v>1709</v>
      </c>
      <c r="Q34" s="330" t="n">
        <f aca="false">IF(ISERROR(O34/P34),"",-O34/P34)</f>
        <v>101.778250438853</v>
      </c>
      <c r="R34" s="0" t="n">
        <f aca="false">SUMIFS(Trades!$O$9:$O$59,Trades!$C$9:$C$59,$C34,Trades!$G$9:$G$59,"Sell")</f>
        <v>0</v>
      </c>
      <c r="S34" s="0" t="n">
        <f aca="false">SUMIFS(Trades!$I$9:$I$59,Trades!$C$9:$C$59,$C34,Trades!$G$9:$G$59,"Sell")</f>
        <v>0</v>
      </c>
      <c r="T34" s="0" t="str">
        <f aca="false">IF(S34=0,"",R34/S34)</f>
        <v/>
      </c>
    </row>
    <row r="35" customFormat="false" ht="15" hidden="false" customHeight="false" outlineLevel="0" collapsed="false">
      <c r="A35" s="134" t="str">
        <f aca="false">IF(B35="Yes",COUNTIF($B$3:B35,"Yes"),"")</f>
        <v/>
      </c>
      <c r="B35" s="0" t="str">
        <f aca="false">IF(SUM(D35:I35)&gt;0,"Yes","No")</f>
        <v>No</v>
      </c>
      <c r="C35" s="264" t="s">
        <v>174</v>
      </c>
      <c r="D35" s="0" t="n">
        <f aca="false">SUMIFS(Trades!$I$9:$I$59,Trades!$C$9:$C$59,$C35,Trades!$K$9:$K$59,"&lt;="&amp;D$2)-SUMIFS(Trades!$I$32:$I$59,Trades!$C$32:$C$59,$C35,Trades!$M$32:$M$59,"&lt;="&amp;D$2)</f>
        <v>0</v>
      </c>
      <c r="E35" s="0" t="n">
        <f aca="false">SUMIFS(Trades!$I$9:$I$59,Trades!$C$9:$C$59,$C35,Trades!$K$9:$K$59,"&lt;="&amp;E$2)-SUMIFS(Trades!$I$32:$I$59,Trades!$C$32:$C$59,$C35,Trades!$M$32:$M$59,"&lt;="&amp;E$2)</f>
        <v>0</v>
      </c>
      <c r="F35" s="0" t="n">
        <f aca="false">SUMIFS(Trades!$I$9:$I$59,Trades!$C$9:$C$59,$C35,Trades!$K$9:$K$59,"&lt;="&amp;F$2)-SUMIFS(Trades!$I$32:$I$59,Trades!$C$32:$C$59,$C35,Trades!$M$32:$M$59,"&lt;="&amp;F$2)</f>
        <v>0</v>
      </c>
      <c r="G35" s="0" t="n">
        <f aca="false">SUMIFS(Trades!$I$9:$I$59,Trades!$C$9:$C$59,$C35,Trades!$K$9:$K$59,"&lt;="&amp;G$2)-SUMIFS(Trades!$I$32:$I$59,Trades!$C$32:$C$59,$C35,Trades!$M$32:$M$59,"&lt;="&amp;G$2)</f>
        <v>0</v>
      </c>
      <c r="H35" s="0" t="n">
        <f aca="false">SUMIFS(Trades!$I$9:$I$59,Trades!$C$9:$C$59,$C35,Trades!$K$9:$K$59,"&lt;="&amp;H$2)-SUMIFS(Trades!$I$32:$I$59,Trades!$C$32:$C$59,$C35,Trades!$M$32:$M$59,"&lt;="&amp;H$2)</f>
        <v>0</v>
      </c>
      <c r="I35" s="0" t="n">
        <f aca="false">SUMIFS(Trades!$I$9:$I$59,Trades!$C$9:$C$59,$C35,Trades!$K$9:$K$59,"&lt;="&amp;I$2)-SUMIFS(Trades!$I$32:$I$59,Trades!$C$32:$C$59,$C35,Trades!$M$32:$M$59,"&lt;="&amp;I$2)</f>
        <v>0</v>
      </c>
      <c r="M35" s="0" t="str">
        <f aca="false">IF(SUM(O35:O35)&gt;0,"Yes","No")</f>
        <v>No</v>
      </c>
      <c r="N35" s="264" t="s">
        <v>174</v>
      </c>
      <c r="O35" s="511" t="n">
        <f aca="false">SUMIFS(Trades!$O$9:$O$59,Trades!$C$9:$C$59,C35,Trades!$G$9:$G$59,"Buy")</f>
        <v>0</v>
      </c>
      <c r="P35" s="511" t="n">
        <f aca="false">SUMIFS(Trades!$I$9:$I$59,Trades!$C$9:$C$59,$C35,Trades!$G$9:$G$59,"Buy")</f>
        <v>0</v>
      </c>
      <c r="Q35" s="330" t="str">
        <f aca="false">IF(ISERROR(O35/P35),"",-O35/P35)</f>
        <v/>
      </c>
      <c r="R35" s="0" t="n">
        <f aca="false">SUMIFS(Trades!$O$9:$O$59,Trades!$C$9:$C$59,$C35,Trades!$G$9:$G$59,"Sell")</f>
        <v>0</v>
      </c>
      <c r="S35" s="0" t="n">
        <f aca="false">SUMIFS(Trades!$I$9:$I$59,Trades!$C$9:$C$59,$C35,Trades!$G$9:$G$59,"Sell")</f>
        <v>0</v>
      </c>
      <c r="T35" s="0" t="str">
        <f aca="false">IF(S35=0,"",R35/S35)</f>
        <v/>
      </c>
    </row>
    <row r="36" customFormat="false" ht="15" hidden="false" customHeight="false" outlineLevel="0" collapsed="false">
      <c r="A36" s="134" t="str">
        <f aca="false">IF(B36="Yes",COUNTIF($B$3:B36,"Yes"),"")</f>
        <v/>
      </c>
      <c r="B36" s="0" t="str">
        <f aca="false">IF(SUM(D36:I36)&gt;0,"Yes","No")</f>
        <v>No</v>
      </c>
      <c r="C36" s="264" t="s">
        <v>55</v>
      </c>
      <c r="D36" s="0" t="n">
        <f aca="false">SUMIFS(Trades!$I$9:$I$59,Trades!$C$9:$C$59,$C36,Trades!$K$9:$K$59,"&lt;="&amp;D$2)-SUMIFS(Trades!$I$32:$I$59,Trades!$C$32:$C$59,$C36,Trades!$M$32:$M$59,"&lt;="&amp;D$2)</f>
        <v>0</v>
      </c>
      <c r="E36" s="0" t="n">
        <f aca="false">SUMIFS(Trades!$I$9:$I$59,Trades!$C$9:$C$59,$C36,Trades!$K$9:$K$59,"&lt;="&amp;E$2)-SUMIFS(Trades!$I$32:$I$59,Trades!$C$32:$C$59,$C36,Trades!$M$32:$M$59,"&lt;="&amp;E$2)</f>
        <v>0</v>
      </c>
      <c r="F36" s="0" t="n">
        <f aca="false">SUMIFS(Trades!$I$9:$I$59,Trades!$C$9:$C$59,$C36,Trades!$K$9:$K$59,"&lt;="&amp;F$2)-SUMIFS(Trades!$I$32:$I$59,Trades!$C$32:$C$59,$C36,Trades!$M$32:$M$59,"&lt;="&amp;F$2)</f>
        <v>0</v>
      </c>
      <c r="G36" s="0" t="n">
        <f aca="false">SUMIFS(Trades!$I$9:$I$59,Trades!$C$9:$C$59,$C36,Trades!$K$9:$K$59,"&lt;="&amp;G$2)-SUMIFS(Trades!$I$32:$I$59,Trades!$C$32:$C$59,$C36,Trades!$M$32:$M$59,"&lt;="&amp;G$2)</f>
        <v>0</v>
      </c>
      <c r="H36" s="0" t="n">
        <f aca="false">SUMIFS(Trades!$I$9:$I$59,Trades!$C$9:$C$59,$C36,Trades!$K$9:$K$59,"&lt;="&amp;H$2)-SUMIFS(Trades!$I$32:$I$59,Trades!$C$32:$C$59,$C36,Trades!$M$32:$M$59,"&lt;="&amp;H$2)</f>
        <v>0</v>
      </c>
      <c r="I36" s="0" t="n">
        <f aca="false">SUMIFS(Trades!$I$9:$I$59,Trades!$C$9:$C$59,$C36,Trades!$K$9:$K$59,"&lt;="&amp;I$2)-SUMIFS(Trades!$I$32:$I$59,Trades!$C$32:$C$59,$C36,Trades!$M$32:$M$59,"&lt;="&amp;I$2)</f>
        <v>0</v>
      </c>
      <c r="M36" s="0" t="str">
        <f aca="false">IF(SUM(O36:O36)&gt;0,"Yes","No")</f>
        <v>No</v>
      </c>
      <c r="N36" s="264" t="s">
        <v>55</v>
      </c>
      <c r="O36" s="511" t="n">
        <f aca="false">SUMIFS(Trades!$O$9:$O$59,Trades!$C$9:$C$59,C36,Trades!$G$9:$G$59,"Buy")</f>
        <v>0</v>
      </c>
      <c r="P36" s="511" t="n">
        <f aca="false">SUMIFS(Trades!$I$9:$I$59,Trades!$C$9:$C$59,$C36,Trades!$G$9:$G$59,"Buy")</f>
        <v>0</v>
      </c>
      <c r="Q36" s="330" t="str">
        <f aca="false">IF(ISERROR(O36/P36),"",-O36/P36)</f>
        <v/>
      </c>
      <c r="R36" s="0" t="n">
        <f aca="false">SUMIFS(Trades!$O$9:$O$59,Trades!$C$9:$C$59,$C36,Trades!$G$9:$G$59,"Sell")</f>
        <v>0</v>
      </c>
      <c r="S36" s="0" t="n">
        <f aca="false">SUMIFS(Trades!$I$9:$I$59,Trades!$C$9:$C$59,$C36,Trades!$G$9:$G$59,"Sell")</f>
        <v>0</v>
      </c>
      <c r="T36" s="0" t="str">
        <f aca="false">IF(S36=0,"",R36/S36)</f>
        <v/>
      </c>
    </row>
    <row r="37" customFormat="false" ht="15" hidden="false" customHeight="false" outlineLevel="0" collapsed="false">
      <c r="A37" s="134" t="str">
        <f aca="false">IF(B37="Yes",COUNTIF($B$3:B37,"Yes"),"")</f>
        <v/>
      </c>
      <c r="B37" s="0" t="str">
        <f aca="false">IF(SUM(D37:I37)&gt;0,"Yes","No")</f>
        <v>No</v>
      </c>
      <c r="C37" s="264" t="s">
        <v>64</v>
      </c>
      <c r="D37" s="0" t="n">
        <f aca="false">SUMIFS(Trades!$I$9:$I$59,Trades!$C$9:$C$59,$C37,Trades!$K$9:$K$59,"&lt;="&amp;D$2)-SUMIFS(Trades!$I$32:$I$59,Trades!$C$32:$C$59,$C37,Trades!$M$32:$M$59,"&lt;="&amp;D$2)</f>
        <v>0</v>
      </c>
      <c r="E37" s="0" t="n">
        <f aca="false">SUMIFS(Trades!$I$9:$I$59,Trades!$C$9:$C$59,$C37,Trades!$K$9:$K$59,"&lt;="&amp;E$2)-SUMIFS(Trades!$I$32:$I$59,Trades!$C$32:$C$59,$C37,Trades!$M$32:$M$59,"&lt;="&amp;E$2)</f>
        <v>0</v>
      </c>
      <c r="F37" s="0" t="n">
        <f aca="false">SUMIFS(Trades!$I$9:$I$59,Trades!$C$9:$C$59,$C37,Trades!$K$9:$K$59,"&lt;="&amp;F$2)-SUMIFS(Trades!$I$32:$I$59,Trades!$C$32:$C$59,$C37,Trades!$M$32:$M$59,"&lt;="&amp;F$2)</f>
        <v>0</v>
      </c>
      <c r="G37" s="0" t="n">
        <f aca="false">SUMIFS(Trades!$I$9:$I$59,Trades!$C$9:$C$59,$C37,Trades!$K$9:$K$59,"&lt;="&amp;G$2)-SUMIFS(Trades!$I$32:$I$59,Trades!$C$32:$C$59,$C37,Trades!$M$32:$M$59,"&lt;="&amp;G$2)</f>
        <v>0</v>
      </c>
      <c r="H37" s="0" t="n">
        <f aca="false">SUMIFS(Trades!$I$9:$I$59,Trades!$C$9:$C$59,$C37,Trades!$K$9:$K$59,"&lt;="&amp;H$2)-SUMIFS(Trades!$I$32:$I$59,Trades!$C$32:$C$59,$C37,Trades!$M$32:$M$59,"&lt;="&amp;H$2)</f>
        <v>0</v>
      </c>
      <c r="I37" s="0" t="n">
        <f aca="false">SUMIFS(Trades!$I$9:$I$59,Trades!$C$9:$C$59,$C37,Trades!$K$9:$K$59,"&lt;="&amp;I$2)-SUMIFS(Trades!$I$32:$I$59,Trades!$C$32:$C$59,$C37,Trades!$M$32:$M$59,"&lt;="&amp;I$2)</f>
        <v>0</v>
      </c>
      <c r="M37" s="0" t="str">
        <f aca="false">IF(SUM(O37:O37)&gt;0,"Yes","No")</f>
        <v>No</v>
      </c>
      <c r="N37" s="264" t="s">
        <v>64</v>
      </c>
      <c r="O37" s="511" t="n">
        <f aca="false">SUMIFS(Trades!$O$9:$O$59,Trades!$C$9:$C$59,C37,Trades!$G$9:$G$59,"Buy")</f>
        <v>0</v>
      </c>
      <c r="P37" s="511" t="n">
        <f aca="false">SUMIFS(Trades!$I$9:$I$59,Trades!$C$9:$C$59,$C37,Trades!$G$9:$G$59,"Buy")</f>
        <v>0</v>
      </c>
      <c r="Q37" s="330" t="str">
        <f aca="false">IF(ISERROR(O37/P37),"",-O37/P37)</f>
        <v/>
      </c>
      <c r="R37" s="0" t="n">
        <f aca="false">SUMIFS(Trades!$O$9:$O$59,Trades!$C$9:$C$59,$C37,Trades!$G$9:$G$59,"Sell")</f>
        <v>0</v>
      </c>
      <c r="S37" s="0" t="n">
        <f aca="false">SUMIFS(Trades!$I$9:$I$59,Trades!$C$9:$C$59,$C37,Trades!$G$9:$G$59,"Sell")</f>
        <v>0</v>
      </c>
      <c r="T37" s="0" t="str">
        <f aca="false">IF(S37=0,"",R37/S37)</f>
        <v/>
      </c>
    </row>
    <row r="38" customFormat="false" ht="15" hidden="false" customHeight="false" outlineLevel="0" collapsed="false">
      <c r="A38" s="134" t="str">
        <f aca="false">IF(B38="Yes",COUNTIF($B$3:B38,"Yes"),"")</f>
        <v/>
      </c>
      <c r="B38" s="0" t="str">
        <f aca="false">IF(SUM(D38:I38)&gt;0,"Yes","No")</f>
        <v>No</v>
      </c>
      <c r="C38" s="264" t="s">
        <v>60</v>
      </c>
      <c r="D38" s="0" t="n">
        <f aca="false">SUMIFS(Trades!$I$9:$I$59,Trades!$C$9:$C$59,$C38,Trades!$K$9:$K$59,"&lt;="&amp;D$2)-SUMIFS(Trades!$I$32:$I$59,Trades!$C$32:$C$59,$C38,Trades!$M$32:$M$59,"&lt;="&amp;D$2)</f>
        <v>0</v>
      </c>
      <c r="E38" s="0" t="n">
        <f aca="false">SUMIFS(Trades!$I$9:$I$59,Trades!$C$9:$C$59,$C38,Trades!$K$9:$K$59,"&lt;="&amp;E$2)-SUMIFS(Trades!$I$32:$I$59,Trades!$C$32:$C$59,$C38,Trades!$M$32:$M$59,"&lt;="&amp;E$2)</f>
        <v>0</v>
      </c>
      <c r="F38" s="0" t="n">
        <f aca="false">SUMIFS(Trades!$I$9:$I$59,Trades!$C$9:$C$59,$C38,Trades!$K$9:$K$59,"&lt;="&amp;F$2)-SUMIFS(Trades!$I$32:$I$59,Trades!$C$32:$C$59,$C38,Trades!$M$32:$M$59,"&lt;="&amp;F$2)</f>
        <v>0</v>
      </c>
      <c r="G38" s="0" t="n">
        <f aca="false">SUMIFS(Trades!$I$9:$I$59,Trades!$C$9:$C$59,$C38,Trades!$K$9:$K$59,"&lt;="&amp;G$2)-SUMIFS(Trades!$I$32:$I$59,Trades!$C$32:$C$59,$C38,Trades!$M$32:$M$59,"&lt;="&amp;G$2)</f>
        <v>0</v>
      </c>
      <c r="H38" s="0" t="n">
        <f aca="false">SUMIFS(Trades!$I$9:$I$59,Trades!$C$9:$C$59,$C38,Trades!$K$9:$K$59,"&lt;="&amp;H$2)-SUMIFS(Trades!$I$32:$I$59,Trades!$C$32:$C$59,$C38,Trades!$M$32:$M$59,"&lt;="&amp;H$2)</f>
        <v>0</v>
      </c>
      <c r="I38" s="0" t="n">
        <f aca="false">SUMIFS(Trades!$I$9:$I$59,Trades!$C$9:$C$59,$C38,Trades!$K$9:$K$59,"&lt;="&amp;I$2)-SUMIFS(Trades!$I$32:$I$59,Trades!$C$32:$C$59,$C38,Trades!$M$32:$M$59,"&lt;="&amp;I$2)</f>
        <v>0</v>
      </c>
      <c r="M38" s="0" t="str">
        <f aca="false">IF(SUM(O38:O38)&gt;0,"Yes","No")</f>
        <v>No</v>
      </c>
      <c r="N38" s="264" t="s">
        <v>60</v>
      </c>
      <c r="O38" s="511" t="n">
        <f aca="false">SUMIFS(Trades!$O$9:$O$59,Trades!$C$9:$C$59,C38,Trades!$G$9:$G$59,"Buy")</f>
        <v>0</v>
      </c>
      <c r="P38" s="511" t="n">
        <f aca="false">SUMIFS(Trades!$I$9:$I$59,Trades!$C$9:$C$59,$C38,Trades!$G$9:$G$59,"Buy")</f>
        <v>0</v>
      </c>
      <c r="Q38" s="330" t="str">
        <f aca="false">IF(ISERROR(O38/P38),"",-O38/P38)</f>
        <v/>
      </c>
      <c r="R38" s="0" t="n">
        <f aca="false">SUMIFS(Trades!$O$9:$O$59,Trades!$C$9:$C$59,$C38,Trades!$G$9:$G$59,"Sell")</f>
        <v>0</v>
      </c>
      <c r="S38" s="0" t="n">
        <f aca="false">SUMIFS(Trades!$I$9:$I$59,Trades!$C$9:$C$59,$C38,Trades!$G$9:$G$59,"Sell")</f>
        <v>0</v>
      </c>
      <c r="T38" s="0" t="str">
        <f aca="false">IF(S38=0,"",R38/S38)</f>
        <v/>
      </c>
    </row>
    <row r="39" customFormat="false" ht="15" hidden="false" customHeight="false" outlineLevel="0" collapsed="false">
      <c r="A39" s="134" t="str">
        <f aca="false">IF(B39="Yes",COUNTIF($B$3:B39,"Yes"),"")</f>
        <v/>
      </c>
      <c r="B39" s="0" t="str">
        <f aca="false">IF(SUM(D39:I39)&gt;0,"Yes","No")</f>
        <v>No</v>
      </c>
      <c r="C39" s="264" t="s">
        <v>72</v>
      </c>
      <c r="D39" s="0" t="n">
        <f aca="false">SUMIFS(Trades!$I$9:$I$59,Trades!$C$9:$C$59,$C39,Trades!$K$9:$K$59,"&lt;="&amp;D$2)-SUMIFS(Trades!$I$32:$I$59,Trades!$C$32:$C$59,$C39,Trades!$M$32:$M$59,"&lt;="&amp;D$2)</f>
        <v>0</v>
      </c>
      <c r="E39" s="0" t="n">
        <f aca="false">SUMIFS(Trades!$I$9:$I$59,Trades!$C$9:$C$59,$C39,Trades!$K$9:$K$59,"&lt;="&amp;E$2)-SUMIFS(Trades!$I$32:$I$59,Trades!$C$32:$C$59,$C39,Trades!$M$32:$M$59,"&lt;="&amp;E$2)</f>
        <v>0</v>
      </c>
      <c r="F39" s="0" t="n">
        <f aca="false">SUMIFS(Trades!$I$9:$I$59,Trades!$C$9:$C$59,$C39,Trades!$K$9:$K$59,"&lt;="&amp;F$2)-SUMIFS(Trades!$I$32:$I$59,Trades!$C$32:$C$59,$C39,Trades!$M$32:$M$59,"&lt;="&amp;F$2)</f>
        <v>0</v>
      </c>
      <c r="G39" s="0" t="n">
        <f aca="false">SUMIFS(Trades!$I$9:$I$59,Trades!$C$9:$C$59,$C39,Trades!$K$9:$K$59,"&lt;="&amp;G$2)-SUMIFS(Trades!$I$32:$I$59,Trades!$C$32:$C$59,$C39,Trades!$M$32:$M$59,"&lt;="&amp;G$2)</f>
        <v>0</v>
      </c>
      <c r="H39" s="0" t="n">
        <f aca="false">SUMIFS(Trades!$I$9:$I$59,Trades!$C$9:$C$59,$C39,Trades!$K$9:$K$59,"&lt;="&amp;H$2)-SUMIFS(Trades!$I$32:$I$59,Trades!$C$32:$C$59,$C39,Trades!$M$32:$M$59,"&lt;="&amp;H$2)</f>
        <v>0</v>
      </c>
      <c r="I39" s="0" t="n">
        <f aca="false">SUMIFS(Trades!$I$9:$I$59,Trades!$C$9:$C$59,$C39,Trades!$K$9:$K$59,"&lt;="&amp;I$2)-SUMIFS(Trades!$I$32:$I$59,Trades!$C$32:$C$59,$C39,Trades!$M$32:$M$59,"&lt;="&amp;I$2)</f>
        <v>0</v>
      </c>
      <c r="M39" s="0" t="str">
        <f aca="false">IF(SUM(O39:O39)&gt;0,"Yes","No")</f>
        <v>No</v>
      </c>
      <c r="N39" s="264" t="s">
        <v>72</v>
      </c>
      <c r="O39" s="511" t="n">
        <f aca="false">SUMIFS(Trades!$O$9:$O$59,Trades!$C$9:$C$59,C39,Trades!$G$9:$G$59,"Buy")</f>
        <v>0</v>
      </c>
      <c r="P39" s="511" t="n">
        <f aca="false">SUMIFS(Trades!$I$9:$I$59,Trades!$C$9:$C$59,$C39,Trades!$G$9:$G$59,"Buy")</f>
        <v>0</v>
      </c>
      <c r="Q39" s="330" t="str">
        <f aca="false">IF(ISERROR(O39/P39),"",-O39/P39)</f>
        <v/>
      </c>
      <c r="R39" s="0" t="n">
        <f aca="false">SUMIFS(Trades!$O$9:$O$59,Trades!$C$9:$C$59,$C39,Trades!$G$9:$G$59,"Sell")</f>
        <v>0</v>
      </c>
      <c r="S39" s="0" t="n">
        <f aca="false">SUMIFS(Trades!$I$9:$I$59,Trades!$C$9:$C$59,$C39,Trades!$G$9:$G$59,"Sell")</f>
        <v>0</v>
      </c>
      <c r="T39" s="0" t="str">
        <f aca="false">IF(S39=0,"",R39/S39)</f>
        <v/>
      </c>
    </row>
    <row r="40" customFormat="false" ht="15" hidden="false" customHeight="false" outlineLevel="0" collapsed="false">
      <c r="A40" s="134" t="str">
        <f aca="false">IF(B40="Yes",COUNTIF($B$3:B40,"Yes"),"")</f>
        <v/>
      </c>
      <c r="B40" s="0" t="str">
        <f aca="false">IF(SUM(D40:I40)&gt;0,"Yes","No")</f>
        <v>No</v>
      </c>
      <c r="C40" s="264" t="s">
        <v>75</v>
      </c>
      <c r="D40" s="0" t="n">
        <f aca="false">SUMIFS(Trades!$I$9:$I$59,Trades!$C$9:$C$59,$C40,Trades!$K$9:$K$59,"&lt;="&amp;D$2)-SUMIFS(Trades!$I$32:$I$59,Trades!$C$32:$C$59,$C40,Trades!$M$32:$M$59,"&lt;="&amp;D$2)</f>
        <v>0</v>
      </c>
      <c r="E40" s="0" t="n">
        <f aca="false">SUMIFS(Trades!$I$9:$I$59,Trades!$C$9:$C$59,$C40,Trades!$K$9:$K$59,"&lt;="&amp;E$2)-SUMIFS(Trades!$I$32:$I$59,Trades!$C$32:$C$59,$C40,Trades!$M$32:$M$59,"&lt;="&amp;E$2)</f>
        <v>0</v>
      </c>
      <c r="F40" s="0" t="n">
        <f aca="false">SUMIFS(Trades!$I$9:$I$59,Trades!$C$9:$C$59,$C40,Trades!$K$9:$K$59,"&lt;="&amp;F$2)-SUMIFS(Trades!$I$32:$I$59,Trades!$C$32:$C$59,$C40,Trades!$M$32:$M$59,"&lt;="&amp;F$2)</f>
        <v>0</v>
      </c>
      <c r="G40" s="0" t="n">
        <f aca="false">SUMIFS(Trades!$I$9:$I$59,Trades!$C$9:$C$59,$C40,Trades!$K$9:$K$59,"&lt;="&amp;G$2)-SUMIFS(Trades!$I$32:$I$59,Trades!$C$32:$C$59,$C40,Trades!$M$32:$M$59,"&lt;="&amp;G$2)</f>
        <v>0</v>
      </c>
      <c r="H40" s="0" t="n">
        <f aca="false">SUMIFS(Trades!$I$9:$I$59,Trades!$C$9:$C$59,$C40,Trades!$K$9:$K$59,"&lt;="&amp;H$2)-SUMIFS(Trades!$I$32:$I$59,Trades!$C$32:$C$59,$C40,Trades!$M$32:$M$59,"&lt;="&amp;H$2)</f>
        <v>0</v>
      </c>
      <c r="I40" s="0" t="n">
        <f aca="false">SUMIFS(Trades!$I$9:$I$59,Trades!$C$9:$C$59,$C40,Trades!$K$9:$K$59,"&lt;="&amp;I$2)-SUMIFS(Trades!$I$32:$I$59,Trades!$C$32:$C$59,$C40,Trades!$M$32:$M$59,"&lt;="&amp;I$2)</f>
        <v>0</v>
      </c>
      <c r="M40" s="0" t="str">
        <f aca="false">IF(SUM(O40:O40)&gt;0,"Yes","No")</f>
        <v>No</v>
      </c>
      <c r="N40" s="264" t="s">
        <v>75</v>
      </c>
      <c r="O40" s="511" t="n">
        <f aca="false">SUMIFS(Trades!$O$9:$O$59,Trades!$C$9:$C$59,C40,Trades!$G$9:$G$59,"Buy")</f>
        <v>0</v>
      </c>
      <c r="P40" s="511" t="n">
        <f aca="false">SUMIFS(Trades!$I$9:$I$59,Trades!$C$9:$C$59,$C40,Trades!$G$9:$G$59,"Buy")</f>
        <v>0</v>
      </c>
      <c r="Q40" s="330" t="str">
        <f aca="false">IF(ISERROR(O40/P40),"",-O40/P40)</f>
        <v/>
      </c>
      <c r="R40" s="0" t="n">
        <f aca="false">SUMIFS(Trades!$O$9:$O$59,Trades!$C$9:$C$59,$C40,Trades!$G$9:$G$59,"Sell")</f>
        <v>0</v>
      </c>
      <c r="S40" s="0" t="n">
        <f aca="false">SUMIFS(Trades!$I$9:$I$59,Trades!$C$9:$C$59,$C40,Trades!$G$9:$G$59,"Sell")</f>
        <v>0</v>
      </c>
      <c r="T40" s="0" t="str">
        <f aca="false">IF(S40=0,"",R40/S40)</f>
        <v/>
      </c>
    </row>
    <row r="41" customFormat="false" ht="15" hidden="false" customHeight="false" outlineLevel="0" collapsed="false">
      <c r="A41" s="134" t="str">
        <f aca="false">IF(B41="Yes",COUNTIF($B$3:B41,"Yes"),"")</f>
        <v/>
      </c>
      <c r="B41" s="0" t="str">
        <f aca="false">IF(SUM(D41:I41)&gt;0,"Yes","No")</f>
        <v>No</v>
      </c>
      <c r="C41" s="264" t="s">
        <v>79</v>
      </c>
      <c r="D41" s="0" t="n">
        <f aca="false">SUMIFS(Trades!$I$9:$I$59,Trades!$C$9:$C$59,$C41,Trades!$K$9:$K$59,"&lt;="&amp;D$2)-SUMIFS(Trades!$I$32:$I$59,Trades!$C$32:$C$59,$C41,Trades!$M$32:$M$59,"&lt;="&amp;D$2)</f>
        <v>0</v>
      </c>
      <c r="E41" s="0" t="n">
        <f aca="false">SUMIFS(Trades!$I$9:$I$59,Trades!$C$9:$C$59,$C41,Trades!$K$9:$K$59,"&lt;="&amp;E$2)-SUMIFS(Trades!$I$32:$I$59,Trades!$C$32:$C$59,$C41,Trades!$M$32:$M$59,"&lt;="&amp;E$2)</f>
        <v>0</v>
      </c>
      <c r="F41" s="0" t="n">
        <f aca="false">SUMIFS(Trades!$I$9:$I$59,Trades!$C$9:$C$59,$C41,Trades!$K$9:$K$59,"&lt;="&amp;F$2)-SUMIFS(Trades!$I$32:$I$59,Trades!$C$32:$C$59,$C41,Trades!$M$32:$M$59,"&lt;="&amp;F$2)</f>
        <v>0</v>
      </c>
      <c r="G41" s="0" t="n">
        <f aca="false">SUMIFS(Trades!$I$9:$I$59,Trades!$C$9:$C$59,$C41,Trades!$K$9:$K$59,"&lt;="&amp;G$2)-SUMIFS(Trades!$I$32:$I$59,Trades!$C$32:$C$59,$C41,Trades!$M$32:$M$59,"&lt;="&amp;G$2)</f>
        <v>0</v>
      </c>
      <c r="H41" s="0" t="n">
        <f aca="false">SUMIFS(Trades!$I$9:$I$59,Trades!$C$9:$C$59,$C41,Trades!$K$9:$K$59,"&lt;="&amp;H$2)-SUMIFS(Trades!$I$32:$I$59,Trades!$C$32:$C$59,$C41,Trades!$M$32:$M$59,"&lt;="&amp;H$2)</f>
        <v>0</v>
      </c>
      <c r="I41" s="0" t="n">
        <f aca="false">SUMIFS(Trades!$I$9:$I$59,Trades!$C$9:$C$59,$C41,Trades!$K$9:$K$59,"&lt;="&amp;I$2)-SUMIFS(Trades!$I$32:$I$59,Trades!$C$32:$C$59,$C41,Trades!$M$32:$M$59,"&lt;="&amp;I$2)</f>
        <v>0</v>
      </c>
      <c r="M41" s="0" t="str">
        <f aca="false">IF(SUM(O41:O41)&gt;0,"Yes","No")</f>
        <v>No</v>
      </c>
      <c r="N41" s="264" t="s">
        <v>79</v>
      </c>
      <c r="O41" s="511" t="n">
        <f aca="false">SUMIFS(Trades!$O$9:$O$59,Trades!$C$9:$C$59,C41,Trades!$G$9:$G$59,"Buy")</f>
        <v>0</v>
      </c>
      <c r="P41" s="511" t="n">
        <f aca="false">SUMIFS(Trades!$I$9:$I$59,Trades!$C$9:$C$59,$C41,Trades!$G$9:$G$59,"Buy")</f>
        <v>0</v>
      </c>
      <c r="Q41" s="330" t="str">
        <f aca="false">IF(ISERROR(O41/P41),"",-O41/P41)</f>
        <v/>
      </c>
      <c r="R41" s="0" t="n">
        <f aca="false">SUMIFS(Trades!$O$9:$O$59,Trades!$C$9:$C$59,$C41,Trades!$G$9:$G$59,"Sell")</f>
        <v>0</v>
      </c>
      <c r="S41" s="0" t="n">
        <f aca="false">SUMIFS(Trades!$I$9:$I$59,Trades!$C$9:$C$59,$C41,Trades!$G$9:$G$59,"Sell")</f>
        <v>0</v>
      </c>
      <c r="T41" s="0" t="str">
        <f aca="false">IF(S41=0,"",R41/S41)</f>
        <v/>
      </c>
    </row>
    <row r="42" customFormat="false" ht="15" hidden="false" customHeight="false" outlineLevel="0" collapsed="false">
      <c r="A42" s="134" t="n">
        <f aca="false">IF(B42="Yes",COUNTIF($B$3:B42,"Yes"),"")</f>
        <v>6</v>
      </c>
      <c r="B42" s="0" t="str">
        <f aca="false">IF(SUM(D42:I42)&gt;0,"Yes","No")</f>
        <v>Yes</v>
      </c>
      <c r="C42" s="264" t="s">
        <v>31</v>
      </c>
      <c r="D42" s="0" t="n">
        <f aca="false">SUMIFS(Trades!$I$9:$I$59,Trades!$C$9:$C$59,$C42,Trades!$K$9:$K$59,"&lt;="&amp;D$2)-SUMIFS(Trades!$I$32:$I$59,Trades!$C$32:$C$59,$C42,Trades!$M$32:$M$59,"&lt;="&amp;D$2)</f>
        <v>630</v>
      </c>
      <c r="E42" s="0" t="n">
        <f aca="false">SUMIFS(Trades!$I$9:$I$59,Trades!$C$9:$C$59,$C42,Trades!$K$9:$K$59,"&lt;="&amp;E$2)-SUMIFS(Trades!$I$32:$I$59,Trades!$C$32:$C$59,$C42,Trades!$M$32:$M$59,"&lt;="&amp;E$2)</f>
        <v>630</v>
      </c>
      <c r="F42" s="0" t="n">
        <f aca="false">SUMIFS(Trades!$I$9:$I$59,Trades!$C$9:$C$59,$C42,Trades!$K$9:$K$59,"&lt;="&amp;F$2)-SUMIFS(Trades!$I$32:$I$59,Trades!$C$32:$C$59,$C42,Trades!$M$32:$M$59,"&lt;="&amp;F$2)</f>
        <v>630</v>
      </c>
      <c r="G42" s="0" t="n">
        <f aca="false">SUMIFS(Trades!$I$9:$I$59,Trades!$C$9:$C$59,$C42,Trades!$K$9:$K$59,"&lt;="&amp;G$2)-SUMIFS(Trades!$I$32:$I$59,Trades!$C$32:$C$59,$C42,Trades!$M$32:$M$59,"&lt;="&amp;G$2)</f>
        <v>630</v>
      </c>
      <c r="H42" s="0" t="n">
        <f aca="false">SUMIFS(Trades!$I$9:$I$59,Trades!$C$9:$C$59,$C42,Trades!$K$9:$K$59,"&lt;="&amp;H$2)-SUMIFS(Trades!$I$32:$I$59,Trades!$C$32:$C$59,$C42,Trades!$M$32:$M$59,"&lt;="&amp;H$2)</f>
        <v>630</v>
      </c>
      <c r="I42" s="0" t="n">
        <f aca="false">SUMIFS(Trades!$I$9:$I$59,Trades!$C$9:$C$59,$C42,Trades!$K$9:$K$59,"&lt;="&amp;I$2)-SUMIFS(Trades!$I$32:$I$59,Trades!$C$32:$C$59,$C42,Trades!$M$32:$M$59,"&lt;="&amp;I$2)</f>
        <v>630</v>
      </c>
      <c r="M42" s="0" t="str">
        <f aca="false">IF(SUM(O42:O42)&gt;0,"Yes","No")</f>
        <v>No</v>
      </c>
      <c r="N42" s="264" t="s">
        <v>31</v>
      </c>
      <c r="O42" s="511" t="n">
        <f aca="false">SUMIFS(Trades!$O$9:$O$59,Trades!$C$9:$C$59,C42,Trades!$G$9:$G$59,"Buy")</f>
        <v>-50034.6</v>
      </c>
      <c r="P42" s="511" t="n">
        <f aca="false">SUMIFS(Trades!$I$9:$I$59,Trades!$C$9:$C$59,$C42,Trades!$G$9:$G$59,"Buy")</f>
        <v>630</v>
      </c>
      <c r="Q42" s="330" t="n">
        <f aca="false">IF(ISERROR(O42/P42),"",-O42/P42)</f>
        <v>79.42</v>
      </c>
      <c r="R42" s="0" t="n">
        <f aca="false">SUMIFS(Trades!$O$9:$O$59,Trades!$C$9:$C$59,$C42,Trades!$G$9:$G$59,"Sell")</f>
        <v>0</v>
      </c>
      <c r="S42" s="0" t="n">
        <f aca="false">SUMIFS(Trades!$I$9:$I$59,Trades!$C$9:$C$59,$C42,Trades!$G$9:$G$59,"Sell")</f>
        <v>0</v>
      </c>
      <c r="T42" s="0" t="str">
        <f aca="false">IF(S42=0,"",R42/S42)</f>
        <v/>
      </c>
    </row>
    <row r="43" customFormat="false" ht="15" hidden="false" customHeight="false" outlineLevel="0" collapsed="false">
      <c r="A43" s="134" t="str">
        <f aca="false">IF(B43="Yes",COUNTIF($B$3:B43,"Yes"),"")</f>
        <v/>
      </c>
      <c r="B43" s="0" t="str">
        <f aca="false">IF(SUM(D43:I43)&gt;0,"Yes","No")</f>
        <v>No</v>
      </c>
      <c r="C43" s="264" t="s">
        <v>236</v>
      </c>
      <c r="D43" s="0" t="n">
        <f aca="false">SUMIFS(Trades!$I$9:$I$59,Trades!$C$9:$C$59,$C43,Trades!$K$9:$K$59,"&lt;="&amp;D$2)-SUMIFS(Trades!$I$32:$I$59,Trades!$C$32:$C$59,$C43,Trades!$M$32:$M$59,"&lt;="&amp;D$2)</f>
        <v>0</v>
      </c>
      <c r="E43" s="0" t="n">
        <f aca="false">SUMIFS(Trades!$I$9:$I$59,Trades!$C$9:$C$59,$C43,Trades!$K$9:$K$59,"&lt;="&amp;E$2)-SUMIFS(Trades!$I$32:$I$59,Trades!$C$32:$C$59,$C43,Trades!$M$32:$M$59,"&lt;="&amp;E$2)</f>
        <v>0</v>
      </c>
      <c r="F43" s="0" t="n">
        <f aca="false">SUMIFS(Trades!$I$9:$I$59,Trades!$C$9:$C$59,$C43,Trades!$K$9:$K$59,"&lt;="&amp;F$2)-SUMIFS(Trades!$I$32:$I$59,Trades!$C$32:$C$59,$C43,Trades!$M$32:$M$59,"&lt;="&amp;F$2)</f>
        <v>0</v>
      </c>
      <c r="G43" s="0" t="n">
        <f aca="false">SUMIFS(Trades!$I$9:$I$59,Trades!$C$9:$C$59,$C43,Trades!$K$9:$K$59,"&lt;="&amp;G$2)-SUMIFS(Trades!$I$32:$I$59,Trades!$C$32:$C$59,$C43,Trades!$M$32:$M$59,"&lt;="&amp;G$2)</f>
        <v>0</v>
      </c>
      <c r="H43" s="0" t="n">
        <f aca="false">SUMIFS(Trades!$I$9:$I$59,Trades!$C$9:$C$59,$C43,Trades!$K$9:$K$59,"&lt;="&amp;H$2)-SUMIFS(Trades!$I$32:$I$59,Trades!$C$32:$C$59,$C43,Trades!$M$32:$M$59,"&lt;="&amp;H$2)</f>
        <v>0</v>
      </c>
      <c r="I43" s="0" t="n">
        <f aca="false">SUMIFS(Trades!$I$9:$I$59,Trades!$C$9:$C$59,$C43,Trades!$K$9:$K$59,"&lt;="&amp;I$2)-SUMIFS(Trades!$I$32:$I$59,Trades!$C$32:$C$59,$C43,Trades!$M$32:$M$59,"&lt;="&amp;I$2)</f>
        <v>0</v>
      </c>
      <c r="M43" s="0" t="str">
        <f aca="false">IF(SUM(O43:O43)&gt;0,"Yes","No")</f>
        <v>No</v>
      </c>
      <c r="N43" s="264" t="s">
        <v>236</v>
      </c>
      <c r="O43" s="511" t="n">
        <f aca="false">SUMIFS(Trades!$O$9:$O$59,Trades!$C$9:$C$59,C43,Trades!$G$9:$G$59,"Buy")</f>
        <v>0</v>
      </c>
      <c r="P43" s="511" t="n">
        <f aca="false">SUMIFS(Trades!$I$9:$I$59,Trades!$C$9:$C$59,$C43,Trades!$G$9:$G$59,"Buy")</f>
        <v>0</v>
      </c>
      <c r="Q43" s="330" t="str">
        <f aca="false">IF(ISERROR(O43/P43),"",-O43/P43)</f>
        <v/>
      </c>
      <c r="R43" s="0" t="n">
        <f aca="false">SUMIFS(Trades!$O$9:$O$59,Trades!$C$9:$C$59,$C43,Trades!$G$9:$G$59,"Sell")</f>
        <v>0</v>
      </c>
      <c r="S43" s="0" t="n">
        <f aca="false">SUMIFS(Trades!$I$9:$I$59,Trades!$C$9:$C$59,$C43,Trades!$G$9:$G$59,"Sell")</f>
        <v>0</v>
      </c>
      <c r="T43" s="0" t="str">
        <f aca="false">IF(S43=0,"",R43/S43)</f>
        <v/>
      </c>
    </row>
    <row r="44" customFormat="false" ht="15" hidden="false" customHeight="false" outlineLevel="0" collapsed="false">
      <c r="A44" s="134" t="str">
        <f aca="false">IF(B44="Yes",COUNTIF($B$3:B44,"Yes"),"")</f>
        <v/>
      </c>
      <c r="B44" s="0" t="str">
        <f aca="false">IF(SUM(D44:I44)&gt;0,"Yes","No")</f>
        <v>No</v>
      </c>
      <c r="C44" s="264" t="s">
        <v>240</v>
      </c>
      <c r="D44" s="0" t="n">
        <f aca="false">SUMIFS(Trades!$I$9:$I$59,Trades!$C$9:$C$59,$C44,Trades!$K$9:$K$59,"&lt;="&amp;D$2)-SUMIFS(Trades!$I$32:$I$59,Trades!$C$32:$C$59,$C44,Trades!$M$32:$M$59,"&lt;="&amp;D$2)</f>
        <v>0</v>
      </c>
      <c r="E44" s="0" t="n">
        <f aca="false">SUMIFS(Trades!$I$9:$I$59,Trades!$C$9:$C$59,$C44,Trades!$K$9:$K$59,"&lt;="&amp;E$2)-SUMIFS(Trades!$I$32:$I$59,Trades!$C$32:$C$59,$C44,Trades!$M$32:$M$59,"&lt;="&amp;E$2)</f>
        <v>0</v>
      </c>
      <c r="F44" s="0" t="n">
        <f aca="false">SUMIFS(Trades!$I$9:$I$59,Trades!$C$9:$C$59,$C44,Trades!$K$9:$K$59,"&lt;="&amp;F$2)-SUMIFS(Trades!$I$32:$I$59,Trades!$C$32:$C$59,$C44,Trades!$M$32:$M$59,"&lt;="&amp;F$2)</f>
        <v>0</v>
      </c>
      <c r="G44" s="0" t="n">
        <f aca="false">SUMIFS(Trades!$I$9:$I$59,Trades!$C$9:$C$59,$C44,Trades!$K$9:$K$59,"&lt;="&amp;G$2)-SUMIFS(Trades!$I$32:$I$59,Trades!$C$32:$C$59,$C44,Trades!$M$32:$M$59,"&lt;="&amp;G$2)</f>
        <v>0</v>
      </c>
      <c r="H44" s="0" t="n">
        <f aca="false">SUMIFS(Trades!$I$9:$I$59,Trades!$C$9:$C$59,$C44,Trades!$K$9:$K$59,"&lt;="&amp;H$2)-SUMIFS(Trades!$I$32:$I$59,Trades!$C$32:$C$59,$C44,Trades!$M$32:$M$59,"&lt;="&amp;H$2)</f>
        <v>0</v>
      </c>
      <c r="I44" s="0" t="n">
        <f aca="false">SUMIFS(Trades!$I$9:$I$59,Trades!$C$9:$C$59,$C44,Trades!$K$9:$K$59,"&lt;="&amp;I$2)-SUMIFS(Trades!$I$32:$I$59,Trades!$C$32:$C$59,$C44,Trades!$M$32:$M$59,"&lt;="&amp;I$2)</f>
        <v>0</v>
      </c>
      <c r="M44" s="0" t="str">
        <f aca="false">IF(SUM(O44:O44)&gt;0,"Yes","No")</f>
        <v>No</v>
      </c>
      <c r="N44" s="264" t="s">
        <v>240</v>
      </c>
      <c r="O44" s="511" t="n">
        <f aca="false">SUMIFS(Trades!$O$9:$O$59,Trades!$C$9:$C$59,C44,Trades!$G$9:$G$59,"Buy")</f>
        <v>0</v>
      </c>
      <c r="P44" s="511" t="n">
        <f aca="false">SUMIFS(Trades!$I$9:$I$59,Trades!$C$9:$C$59,$C44,Trades!$G$9:$G$59,"Buy")</f>
        <v>0</v>
      </c>
      <c r="Q44" s="330" t="str">
        <f aca="false">IF(ISERROR(O44/P44),"",-O44/P44)</f>
        <v/>
      </c>
      <c r="R44" s="0" t="n">
        <f aca="false">SUMIFS(Trades!$O$9:$O$59,Trades!$C$9:$C$59,$C44,Trades!$G$9:$G$59,"Sell")</f>
        <v>0</v>
      </c>
      <c r="S44" s="0" t="n">
        <f aca="false">SUMIFS(Trades!$I$9:$I$59,Trades!$C$9:$C$59,$C44,Trades!$G$9:$G$59,"Sell")</f>
        <v>0</v>
      </c>
      <c r="T44" s="0" t="str">
        <f aca="false">IF(S44=0,"",R44/S44)</f>
        <v/>
      </c>
    </row>
    <row r="45" customFormat="false" ht="15" hidden="false" customHeight="false" outlineLevel="0" collapsed="false">
      <c r="A45" s="134" t="str">
        <f aca="false">IF(B45="Yes",COUNTIF($B$3:B45,"Yes"),"")</f>
        <v/>
      </c>
      <c r="B45" s="0" t="str">
        <f aca="false">IF(SUM(D45:I45)&gt;0,"Yes","No")</f>
        <v>No</v>
      </c>
      <c r="C45" s="264" t="s">
        <v>68</v>
      </c>
      <c r="D45" s="0" t="n">
        <f aca="false">SUMIFS(Trades!$I$9:$I$59,Trades!$C$9:$C$59,$C45,Trades!$K$9:$K$59,"&lt;="&amp;D$2)-SUMIFS(Trades!$I$32:$I$59,Trades!$C$32:$C$59,$C45,Trades!$M$32:$M$59,"&lt;="&amp;D$2)</f>
        <v>0</v>
      </c>
      <c r="E45" s="0" t="n">
        <f aca="false">SUMIFS(Trades!$I$9:$I$59,Trades!$C$9:$C$59,$C45,Trades!$K$9:$K$59,"&lt;="&amp;E$2)-SUMIFS(Trades!$I$32:$I$59,Trades!$C$32:$C$59,$C45,Trades!$M$32:$M$59,"&lt;="&amp;E$2)</f>
        <v>0</v>
      </c>
      <c r="F45" s="0" t="n">
        <f aca="false">SUMIFS(Trades!$I$9:$I$59,Trades!$C$9:$C$59,$C45,Trades!$K$9:$K$59,"&lt;="&amp;F$2)-SUMIFS(Trades!$I$32:$I$59,Trades!$C$32:$C$59,$C45,Trades!$M$32:$M$59,"&lt;="&amp;F$2)</f>
        <v>0</v>
      </c>
      <c r="G45" s="0" t="n">
        <f aca="false">SUMIFS(Trades!$I$9:$I$59,Trades!$C$9:$C$59,$C45,Trades!$K$9:$K$59,"&lt;="&amp;G$2)-SUMIFS(Trades!$I$32:$I$59,Trades!$C$32:$C$59,$C45,Trades!$M$32:$M$59,"&lt;="&amp;G$2)</f>
        <v>0</v>
      </c>
      <c r="H45" s="0" t="n">
        <f aca="false">SUMIFS(Trades!$I$9:$I$59,Trades!$C$9:$C$59,$C45,Trades!$K$9:$K$59,"&lt;="&amp;H$2)-SUMIFS(Trades!$I$32:$I$59,Trades!$C$32:$C$59,$C45,Trades!$M$32:$M$59,"&lt;="&amp;H$2)</f>
        <v>0</v>
      </c>
      <c r="I45" s="0" t="n">
        <f aca="false">SUMIFS(Trades!$I$9:$I$59,Trades!$C$9:$C$59,$C45,Trades!$K$9:$K$59,"&lt;="&amp;I$2)-SUMIFS(Trades!$I$32:$I$59,Trades!$C$32:$C$59,$C45,Trades!$M$32:$M$59,"&lt;="&amp;I$2)</f>
        <v>0</v>
      </c>
      <c r="M45" s="0" t="str">
        <f aca="false">IF(SUM(O45:O45)&gt;0,"Yes","No")</f>
        <v>No</v>
      </c>
      <c r="N45" s="264" t="s">
        <v>68</v>
      </c>
      <c r="O45" s="511" t="n">
        <f aca="false">SUMIFS(Trades!$O$9:$O$59,Trades!$C$9:$C$59,C45,Trades!$G$9:$G$59,"Buy")</f>
        <v>0</v>
      </c>
      <c r="P45" s="511" t="n">
        <f aca="false">SUMIFS(Trades!$I$9:$I$59,Trades!$C$9:$C$59,$C45,Trades!$G$9:$G$59,"Buy")</f>
        <v>0</v>
      </c>
      <c r="Q45" s="330" t="str">
        <f aca="false">IF(ISERROR(O45/P45),"",-O45/P45)</f>
        <v/>
      </c>
      <c r="R45" s="0" t="n">
        <f aca="false">SUMIFS(Trades!$O$9:$O$59,Trades!$C$9:$C$59,$C45,Trades!$G$9:$G$59,"Sell")</f>
        <v>0</v>
      </c>
      <c r="S45" s="0" t="n">
        <f aca="false">SUMIFS(Trades!$I$9:$I$59,Trades!$C$9:$C$59,$C45,Trades!$G$9:$G$59,"Sell")</f>
        <v>0</v>
      </c>
      <c r="T45" s="0" t="str">
        <f aca="false">IF(S45=0,"",R45/S45)</f>
        <v/>
      </c>
    </row>
    <row r="46" customFormat="false" ht="15" hidden="false" customHeight="false" outlineLevel="0" collapsed="false">
      <c r="A46" s="134" t="str">
        <f aca="false">IF(B46="Yes",COUNTIF($B$3:B46,"Yes"),"")</f>
        <v/>
      </c>
      <c r="B46" s="0" t="str">
        <f aca="false">IF(SUM(D46:I46)&gt;0,"Yes","No")</f>
        <v>No</v>
      </c>
      <c r="C46" s="264" t="s">
        <v>217</v>
      </c>
      <c r="D46" s="0" t="n">
        <f aca="false">SUMIFS(Trades!$I$9:$I$59,Trades!$C$9:$C$59,$C46,Trades!$K$9:$K$59,"&lt;="&amp;D$2)-SUMIFS(Trades!$I$32:$I$59,Trades!$C$32:$C$59,$C46,Trades!$M$32:$M$59,"&lt;="&amp;D$2)</f>
        <v>0</v>
      </c>
      <c r="E46" s="0" t="n">
        <f aca="false">SUMIFS(Trades!$I$9:$I$59,Trades!$C$9:$C$59,$C46,Trades!$K$9:$K$59,"&lt;="&amp;E$2)-SUMIFS(Trades!$I$32:$I$59,Trades!$C$32:$C$59,$C46,Trades!$M$32:$M$59,"&lt;="&amp;E$2)</f>
        <v>0</v>
      </c>
      <c r="F46" s="0" t="n">
        <f aca="false">SUMIFS(Trades!$I$9:$I$59,Trades!$C$9:$C$59,$C46,Trades!$K$9:$K$59,"&lt;="&amp;F$2)-SUMIFS(Trades!$I$32:$I$59,Trades!$C$32:$C$59,$C46,Trades!$M$32:$M$59,"&lt;="&amp;F$2)</f>
        <v>0</v>
      </c>
      <c r="G46" s="0" t="n">
        <f aca="false">SUMIFS(Trades!$I$9:$I$59,Trades!$C$9:$C$59,$C46,Trades!$K$9:$K$59,"&lt;="&amp;G$2)-SUMIFS(Trades!$I$32:$I$59,Trades!$C$32:$C$59,$C46,Trades!$M$32:$M$59,"&lt;="&amp;G$2)</f>
        <v>0</v>
      </c>
      <c r="H46" s="0" t="n">
        <f aca="false">SUMIFS(Trades!$I$9:$I$59,Trades!$C$9:$C$59,$C46,Trades!$K$9:$K$59,"&lt;="&amp;H$2)-SUMIFS(Trades!$I$32:$I$59,Trades!$C$32:$C$59,$C46,Trades!$M$32:$M$59,"&lt;="&amp;H$2)</f>
        <v>0</v>
      </c>
      <c r="I46" s="0" t="n">
        <f aca="false">SUMIFS(Trades!$I$9:$I$59,Trades!$C$9:$C$59,$C46,Trades!$K$9:$K$59,"&lt;="&amp;I$2)-SUMIFS(Trades!$I$32:$I$59,Trades!$C$32:$C$59,$C46,Trades!$M$32:$M$59,"&lt;="&amp;I$2)</f>
        <v>0</v>
      </c>
      <c r="M46" s="0" t="str">
        <f aca="false">IF(SUM(O46:O46)&gt;0,"Yes","No")</f>
        <v>No</v>
      </c>
      <c r="N46" s="264" t="s">
        <v>217</v>
      </c>
      <c r="O46" s="511" t="n">
        <f aca="false">SUMIFS(Trades!$O$9:$O$59,Trades!$C$9:$C$59,C46,Trades!$G$9:$G$59,"Buy")</f>
        <v>0</v>
      </c>
      <c r="P46" s="511" t="n">
        <f aca="false">SUMIFS(Trades!$I$9:$I$59,Trades!$C$9:$C$59,$C46,Trades!$G$9:$G$59,"Buy")</f>
        <v>0</v>
      </c>
      <c r="Q46" s="330" t="str">
        <f aca="false">IF(ISERROR(O46/P46),"",-O46/P46)</f>
        <v/>
      </c>
      <c r="R46" s="0" t="n">
        <f aca="false">SUMIFS(Trades!$O$9:$O$59,Trades!$C$9:$C$59,$C46,Trades!$G$9:$G$59,"Sell")</f>
        <v>0</v>
      </c>
      <c r="S46" s="0" t="n">
        <f aca="false">SUMIFS(Trades!$I$9:$I$59,Trades!$C$9:$C$59,$C46,Trades!$G$9:$G$59,"Sell")</f>
        <v>0</v>
      </c>
      <c r="T46" s="0" t="str">
        <f aca="false">IF(S46=0,"",R46/S46)</f>
        <v/>
      </c>
    </row>
    <row r="47" customFormat="false" ht="15" hidden="false" customHeight="false" outlineLevel="0" collapsed="false">
      <c r="A47" s="134" t="str">
        <f aca="false">IF(B47="Yes",COUNTIF($B$3:B47,"Yes"),"")</f>
        <v/>
      </c>
      <c r="B47" s="0" t="str">
        <f aca="false">IF(SUM(D47:I47)&gt;0,"Yes","No")</f>
        <v>No</v>
      </c>
      <c r="C47" s="264" t="s">
        <v>243</v>
      </c>
      <c r="D47" s="0" t="n">
        <f aca="false">SUMIFS(Trades!$I$9:$I$59,Trades!$C$9:$C$59,$C47,Trades!$K$9:$K$59,"&lt;="&amp;D$2)-SUMIFS(Trades!$I$32:$I$59,Trades!$C$32:$C$59,$C47,Trades!$M$32:$M$59,"&lt;="&amp;D$2)</f>
        <v>0</v>
      </c>
      <c r="E47" s="0" t="n">
        <f aca="false">SUMIFS(Trades!$I$9:$I$59,Trades!$C$9:$C$59,$C47,Trades!$K$9:$K$59,"&lt;="&amp;E$2)-SUMIFS(Trades!$I$32:$I$59,Trades!$C$32:$C$59,$C47,Trades!$M$32:$M$59,"&lt;="&amp;E$2)</f>
        <v>0</v>
      </c>
      <c r="F47" s="0" t="n">
        <f aca="false">SUMIFS(Trades!$I$9:$I$59,Trades!$C$9:$C$59,$C47,Trades!$K$9:$K$59,"&lt;="&amp;F$2)-SUMIFS(Trades!$I$32:$I$59,Trades!$C$32:$C$59,$C47,Trades!$M$32:$M$59,"&lt;="&amp;F$2)</f>
        <v>0</v>
      </c>
      <c r="G47" s="0" t="n">
        <f aca="false">SUMIFS(Trades!$I$9:$I$59,Trades!$C$9:$C$59,$C47,Trades!$K$9:$K$59,"&lt;="&amp;G$2)-SUMIFS(Trades!$I$32:$I$59,Trades!$C$32:$C$59,$C47,Trades!$M$32:$M$59,"&lt;="&amp;G$2)</f>
        <v>0</v>
      </c>
      <c r="H47" s="0" t="n">
        <f aca="false">SUMIFS(Trades!$I$9:$I$59,Trades!$C$9:$C$59,$C47,Trades!$K$9:$K$59,"&lt;="&amp;H$2)-SUMIFS(Trades!$I$32:$I$59,Trades!$C$32:$C$59,$C47,Trades!$M$32:$M$59,"&lt;="&amp;H$2)</f>
        <v>0</v>
      </c>
      <c r="I47" s="0" t="n">
        <f aca="false">SUMIFS(Trades!$I$9:$I$59,Trades!$C$9:$C$59,$C47,Trades!$K$9:$K$59,"&lt;="&amp;I$2)-SUMIFS(Trades!$I$32:$I$59,Trades!$C$32:$C$59,$C47,Trades!$M$32:$M$59,"&lt;="&amp;I$2)</f>
        <v>0</v>
      </c>
      <c r="M47" s="0" t="str">
        <f aca="false">IF(SUM(O47:O47)&gt;0,"Yes","No")</f>
        <v>No</v>
      </c>
      <c r="N47" s="264" t="s">
        <v>243</v>
      </c>
      <c r="O47" s="511" t="n">
        <f aca="false">SUMIFS(Trades!$O$9:$O$59,Trades!$C$9:$C$59,C47,Trades!$G$9:$G$59,"Buy")</f>
        <v>0</v>
      </c>
      <c r="P47" s="511" t="n">
        <f aca="false">SUMIFS(Trades!$I$9:$I$59,Trades!$C$9:$C$59,$C47,Trades!$G$9:$G$59,"Buy")</f>
        <v>0</v>
      </c>
      <c r="Q47" s="330" t="str">
        <f aca="false">IF(ISERROR(O47/P47),"",-O47/P47)</f>
        <v/>
      </c>
      <c r="R47" s="0" t="n">
        <f aca="false">SUMIFS(Trades!$O$9:$O$59,Trades!$C$9:$C$59,$C47,Trades!$G$9:$G$59,"Sell")</f>
        <v>0</v>
      </c>
      <c r="S47" s="0" t="n">
        <f aca="false">SUMIFS(Trades!$I$9:$I$59,Trades!$C$9:$C$59,$C47,Trades!$G$9:$G$59,"Sell")</f>
        <v>0</v>
      </c>
      <c r="T47" s="0" t="str">
        <f aca="false">IF(S47=0,"",R47/S47)</f>
        <v/>
      </c>
    </row>
    <row r="48" customFormat="false" ht="15" hidden="false" customHeight="false" outlineLevel="0" collapsed="false">
      <c r="A48" s="134" t="str">
        <f aca="false">IF(B48="Yes",COUNTIF($B$3:B48,"Yes"),"")</f>
        <v/>
      </c>
      <c r="B48" s="0" t="str">
        <f aca="false">IF(SUM(D48:I48)&gt;0,"Yes","No")</f>
        <v>No</v>
      </c>
      <c r="C48" s="264" t="s">
        <v>184</v>
      </c>
      <c r="D48" s="0" t="n">
        <f aca="false">SUMIFS(Trades!$I$9:$I$59,Trades!$C$9:$C$59,$C48,Trades!$K$9:$K$59,"&lt;="&amp;D$2)-SUMIFS(Trades!$I$32:$I$59,Trades!$C$32:$C$59,$C48,Trades!$M$32:$M$59,"&lt;="&amp;D$2)</f>
        <v>0</v>
      </c>
      <c r="E48" s="0" t="n">
        <f aca="false">SUMIFS(Trades!$I$9:$I$59,Trades!$C$9:$C$59,$C48,Trades!$K$9:$K$59,"&lt;="&amp;E$2)-SUMIFS(Trades!$I$32:$I$59,Trades!$C$32:$C$59,$C48,Trades!$M$32:$M$59,"&lt;="&amp;E$2)</f>
        <v>0</v>
      </c>
      <c r="F48" s="0" t="n">
        <f aca="false">SUMIFS(Trades!$I$9:$I$59,Trades!$C$9:$C$59,$C48,Trades!$K$9:$K$59,"&lt;="&amp;F$2)-SUMIFS(Trades!$I$32:$I$59,Trades!$C$32:$C$59,$C48,Trades!$M$32:$M$59,"&lt;="&amp;F$2)</f>
        <v>0</v>
      </c>
      <c r="G48" s="0" t="n">
        <f aca="false">SUMIFS(Trades!$I$9:$I$59,Trades!$C$9:$C$59,$C48,Trades!$K$9:$K$59,"&lt;="&amp;G$2)-SUMIFS(Trades!$I$32:$I$59,Trades!$C$32:$C$59,$C48,Trades!$M$32:$M$59,"&lt;="&amp;G$2)</f>
        <v>0</v>
      </c>
      <c r="H48" s="0" t="n">
        <f aca="false">SUMIFS(Trades!$I$9:$I$59,Trades!$C$9:$C$59,$C48,Trades!$K$9:$K$59,"&lt;="&amp;H$2)-SUMIFS(Trades!$I$32:$I$59,Trades!$C$32:$C$59,$C48,Trades!$M$32:$M$59,"&lt;="&amp;H$2)</f>
        <v>0</v>
      </c>
      <c r="I48" s="0" t="n">
        <f aca="false">SUMIFS(Trades!$I$9:$I$59,Trades!$C$9:$C$59,$C48,Trades!$K$9:$K$59,"&lt;="&amp;I$2)-SUMIFS(Trades!$I$32:$I$59,Trades!$C$32:$C$59,$C48,Trades!$M$32:$M$59,"&lt;="&amp;I$2)</f>
        <v>0</v>
      </c>
      <c r="M48" s="0" t="str">
        <f aca="false">IF(SUM(O48:O48)&gt;0,"Yes","No")</f>
        <v>No</v>
      </c>
      <c r="N48" s="264" t="s">
        <v>184</v>
      </c>
      <c r="O48" s="511" t="n">
        <f aca="false">SUMIFS(Trades!$O$9:$O$59,Trades!$C$9:$C$59,C48,Trades!$G$9:$G$59,"Buy")</f>
        <v>0</v>
      </c>
      <c r="P48" s="511" t="n">
        <f aca="false">SUMIFS(Trades!$I$9:$I$59,Trades!$C$9:$C$59,$C48,Trades!$G$9:$G$59,"Buy")</f>
        <v>0</v>
      </c>
      <c r="Q48" s="330" t="str">
        <f aca="false">IF(ISERROR(O48/P48),"",-O48/P48)</f>
        <v/>
      </c>
      <c r="R48" s="0" t="n">
        <f aca="false">SUMIFS(Trades!$O$9:$O$59,Trades!$C$9:$C$59,$C48,Trades!$G$9:$G$59,"Sell")</f>
        <v>0</v>
      </c>
      <c r="S48" s="0" t="n">
        <f aca="false">SUMIFS(Trades!$I$9:$I$59,Trades!$C$9:$C$59,$C48,Trades!$G$9:$G$59,"Sell")</f>
        <v>0</v>
      </c>
      <c r="T48" s="0" t="str">
        <f aca="false">IF(S48=0,"",R48/S48)</f>
        <v/>
      </c>
    </row>
    <row r="49" customFormat="false" ht="15" hidden="false" customHeight="false" outlineLevel="0" collapsed="false">
      <c r="A49" s="134" t="str">
        <f aca="false">IF(B49="Yes",COUNTIF($B$3:B49,"Yes"),"")</f>
        <v/>
      </c>
      <c r="B49" s="0" t="str">
        <f aca="false">IF(SUM(D49:I49)&gt;0,"Yes","No")</f>
        <v>No</v>
      </c>
      <c r="C49" s="264" t="s">
        <v>53</v>
      </c>
      <c r="D49" s="0" t="n">
        <f aca="false">SUMIFS(Trades!$I$9:$I$59,Trades!$C$9:$C$59,$C49,Trades!$K$9:$K$59,"&lt;="&amp;D$2)-SUMIFS(Trades!$I$32:$I$59,Trades!$C$32:$C$59,$C49,Trades!$M$32:$M$59,"&lt;="&amp;D$2)</f>
        <v>0</v>
      </c>
      <c r="E49" s="0" t="n">
        <f aca="false">SUMIFS(Trades!$I$9:$I$59,Trades!$C$9:$C$59,$C49,Trades!$K$9:$K$59,"&lt;="&amp;E$2)-SUMIFS(Trades!$I$32:$I$59,Trades!$C$32:$C$59,$C49,Trades!$M$32:$M$59,"&lt;="&amp;E$2)</f>
        <v>0</v>
      </c>
      <c r="F49" s="0" t="n">
        <f aca="false">SUMIFS(Trades!$I$9:$I$59,Trades!$C$9:$C$59,$C49,Trades!$K$9:$K$59,"&lt;="&amp;F$2)-SUMIFS(Trades!$I$32:$I$59,Trades!$C$32:$C$59,$C49,Trades!$M$32:$M$59,"&lt;="&amp;F$2)</f>
        <v>0</v>
      </c>
      <c r="G49" s="0" t="n">
        <f aca="false">SUMIFS(Trades!$I$9:$I$59,Trades!$C$9:$C$59,$C49,Trades!$K$9:$K$59,"&lt;="&amp;G$2)-SUMIFS(Trades!$I$32:$I$59,Trades!$C$32:$C$59,$C49,Trades!$M$32:$M$59,"&lt;="&amp;G$2)</f>
        <v>0</v>
      </c>
      <c r="H49" s="0" t="n">
        <f aca="false">SUMIFS(Trades!$I$9:$I$59,Trades!$C$9:$C$59,$C49,Trades!$K$9:$K$59,"&lt;="&amp;H$2)-SUMIFS(Trades!$I$32:$I$59,Trades!$C$32:$C$59,$C49,Trades!$M$32:$M$59,"&lt;="&amp;H$2)</f>
        <v>0</v>
      </c>
      <c r="I49" s="0" t="n">
        <f aca="false">SUMIFS(Trades!$I$9:$I$59,Trades!$C$9:$C$59,$C49,Trades!$K$9:$K$59,"&lt;="&amp;I$2)-SUMIFS(Trades!$I$32:$I$59,Trades!$C$32:$C$59,$C49,Trades!$M$32:$M$59,"&lt;="&amp;I$2)</f>
        <v>0</v>
      </c>
      <c r="M49" s="0" t="str">
        <f aca="false">IF(SUM(O49:O49)&gt;0,"Yes","No")</f>
        <v>No</v>
      </c>
      <c r="N49" s="264" t="s">
        <v>53</v>
      </c>
      <c r="O49" s="511" t="n">
        <f aca="false">SUMIFS(Trades!$O$9:$O$59,Trades!$C$9:$C$59,C49,Trades!$G$9:$G$59,"Buy")</f>
        <v>0</v>
      </c>
      <c r="P49" s="511" t="n">
        <f aca="false">SUMIFS(Trades!$I$9:$I$59,Trades!$C$9:$C$59,$C49,Trades!$G$9:$G$59,"Buy")</f>
        <v>0</v>
      </c>
      <c r="Q49" s="330" t="str">
        <f aca="false">IF(ISERROR(O49/P49),"",-O49/P49)</f>
        <v/>
      </c>
      <c r="R49" s="0" t="n">
        <f aca="false">SUMIFS(Trades!$O$9:$O$59,Trades!$C$9:$C$59,$C49,Trades!$G$9:$G$59,"Sell")</f>
        <v>0</v>
      </c>
      <c r="S49" s="0" t="n">
        <f aca="false">SUMIFS(Trades!$I$9:$I$59,Trades!$C$9:$C$59,$C49,Trades!$G$9:$G$59,"Sell")</f>
        <v>0</v>
      </c>
      <c r="T49" s="0" t="str">
        <f aca="false">IF(S49=0,"",R49/S49)</f>
        <v/>
      </c>
    </row>
    <row r="50" customFormat="false" ht="15" hidden="false" customHeight="false" outlineLevel="0" collapsed="false">
      <c r="A50" s="134" t="str">
        <f aca="false">IF(B50="Yes",COUNTIF($B$3:B50,"Yes"),"")</f>
        <v/>
      </c>
      <c r="B50" s="0" t="str">
        <f aca="false">IF(SUM(D50:I50)&gt;0,"Yes","No")</f>
        <v>No</v>
      </c>
      <c r="C50" s="264" t="s">
        <v>38</v>
      </c>
      <c r="D50" s="0" t="n">
        <f aca="false">SUMIFS(Trades!$I$9:$I$59,Trades!$C$9:$C$59,$C50,Trades!$K$9:$K$59,"&lt;="&amp;D$2)-SUMIFS(Trades!$I$32:$I$59,Trades!$C$32:$C$59,$C50,Trades!$M$32:$M$59,"&lt;="&amp;D$2)</f>
        <v>0</v>
      </c>
      <c r="E50" s="0" t="n">
        <f aca="false">SUMIFS(Trades!$I$9:$I$59,Trades!$C$9:$C$59,$C50,Trades!$K$9:$K$59,"&lt;="&amp;E$2)-SUMIFS(Trades!$I$32:$I$59,Trades!$C$32:$C$59,$C50,Trades!$M$32:$M$59,"&lt;="&amp;E$2)</f>
        <v>0</v>
      </c>
      <c r="F50" s="0" t="n">
        <f aca="false">SUMIFS(Trades!$I$9:$I$59,Trades!$C$9:$C$59,$C50,Trades!$K$9:$K$59,"&lt;="&amp;F$2)-SUMIFS(Trades!$I$32:$I$59,Trades!$C$32:$C$59,$C50,Trades!$M$32:$M$59,"&lt;="&amp;F$2)</f>
        <v>0</v>
      </c>
      <c r="G50" s="0" t="n">
        <f aca="false">SUMIFS(Trades!$I$9:$I$59,Trades!$C$9:$C$59,$C50,Trades!$K$9:$K$59,"&lt;="&amp;G$2)-SUMIFS(Trades!$I$32:$I$59,Trades!$C$32:$C$59,$C50,Trades!$M$32:$M$59,"&lt;="&amp;G$2)</f>
        <v>0</v>
      </c>
      <c r="H50" s="0" t="n">
        <f aca="false">SUMIFS(Trades!$I$9:$I$59,Trades!$C$9:$C$59,$C50,Trades!$K$9:$K$59,"&lt;="&amp;H$2)-SUMIFS(Trades!$I$32:$I$59,Trades!$C$32:$C$59,$C50,Trades!$M$32:$M$59,"&lt;="&amp;H$2)</f>
        <v>0</v>
      </c>
      <c r="I50" s="0" t="n">
        <f aca="false">SUMIFS(Trades!$I$9:$I$59,Trades!$C$9:$C$59,$C50,Trades!$K$9:$K$59,"&lt;="&amp;I$2)-SUMIFS(Trades!$I$32:$I$59,Trades!$C$32:$C$59,$C50,Trades!$M$32:$M$59,"&lt;="&amp;I$2)</f>
        <v>0</v>
      </c>
      <c r="M50" s="0" t="str">
        <f aca="false">IF(SUM(O50:O50)&gt;0,"Yes","No")</f>
        <v>No</v>
      </c>
      <c r="N50" s="264" t="s">
        <v>38</v>
      </c>
      <c r="O50" s="511" t="n">
        <f aca="false">SUMIFS(Trades!$O$9:$O$59,Trades!$C$9:$C$59,C50,Trades!$G$9:$G$59,"Buy")</f>
        <v>0</v>
      </c>
      <c r="P50" s="511" t="n">
        <f aca="false">SUMIFS(Trades!$I$9:$I$59,Trades!$C$9:$C$59,$C50,Trades!$G$9:$G$59,"Buy")</f>
        <v>0</v>
      </c>
      <c r="Q50" s="330" t="str">
        <f aca="false">IF(ISERROR(O50/P50),"",-O50/P50)</f>
        <v/>
      </c>
      <c r="R50" s="0" t="n">
        <f aca="false">SUMIFS(Trades!$O$9:$O$59,Trades!$C$9:$C$59,$C50,Trades!$G$9:$G$59,"Sell")</f>
        <v>0</v>
      </c>
      <c r="S50" s="0" t="n">
        <f aca="false">SUMIFS(Trades!$I$9:$I$59,Trades!$C$9:$C$59,$C50,Trades!$G$9:$G$59,"Sell")</f>
        <v>0</v>
      </c>
      <c r="T50" s="0" t="str">
        <f aca="false">IF(S50=0,"",R50/S50)</f>
        <v/>
      </c>
    </row>
    <row r="51" customFormat="false" ht="15" hidden="false" customHeight="false" outlineLevel="0" collapsed="false">
      <c r="A51" s="134" t="str">
        <f aca="false">IF(B51="Yes",COUNTIF($B$3:B51,"Yes"),"")</f>
        <v/>
      </c>
      <c r="B51" s="0" t="str">
        <f aca="false">IF(SUM(D51:I51)&gt;0,"Yes","No")</f>
        <v>No</v>
      </c>
      <c r="C51" s="264" t="s">
        <v>117</v>
      </c>
      <c r="D51" s="0" t="n">
        <f aca="false">SUMIFS(Trades!$I$9:$I$59,Trades!$C$9:$C$59,$C51,Trades!$K$9:$K$59,"&lt;="&amp;D$2)-SUMIFS(Trades!$I$32:$I$59,Trades!$C$32:$C$59,$C51,Trades!$M$32:$M$59,"&lt;="&amp;D$2)</f>
        <v>0</v>
      </c>
      <c r="E51" s="0" t="n">
        <f aca="false">SUMIFS(Trades!$I$9:$I$59,Trades!$C$9:$C$59,$C51,Trades!$K$9:$K$59,"&lt;="&amp;E$2)-SUMIFS(Trades!$I$32:$I$59,Trades!$C$32:$C$59,$C51,Trades!$M$32:$M$59,"&lt;="&amp;E$2)</f>
        <v>0</v>
      </c>
      <c r="F51" s="0" t="n">
        <f aca="false">SUMIFS(Trades!$I$9:$I$59,Trades!$C$9:$C$59,$C51,Trades!$K$9:$K$59,"&lt;="&amp;F$2)-SUMIFS(Trades!$I$32:$I$59,Trades!$C$32:$C$59,$C51,Trades!$M$32:$M$59,"&lt;="&amp;F$2)</f>
        <v>0</v>
      </c>
      <c r="G51" s="0" t="n">
        <f aca="false">SUMIFS(Trades!$I$9:$I$59,Trades!$C$9:$C$59,$C51,Trades!$K$9:$K$59,"&lt;="&amp;G$2)-SUMIFS(Trades!$I$32:$I$59,Trades!$C$32:$C$59,$C51,Trades!$M$32:$M$59,"&lt;="&amp;G$2)</f>
        <v>0</v>
      </c>
      <c r="H51" s="0" t="n">
        <f aca="false">SUMIFS(Trades!$I$9:$I$59,Trades!$C$9:$C$59,$C51,Trades!$K$9:$K$59,"&lt;="&amp;H$2)-SUMIFS(Trades!$I$32:$I$59,Trades!$C$32:$C$59,$C51,Trades!$M$32:$M$59,"&lt;="&amp;H$2)</f>
        <v>0</v>
      </c>
      <c r="I51" s="0" t="n">
        <f aca="false">SUMIFS(Trades!$I$9:$I$59,Trades!$C$9:$C$59,$C51,Trades!$K$9:$K$59,"&lt;="&amp;I$2)-SUMIFS(Trades!$I$32:$I$59,Trades!$C$32:$C$59,$C51,Trades!$M$32:$M$59,"&lt;="&amp;I$2)</f>
        <v>0</v>
      </c>
      <c r="M51" s="0" t="str">
        <f aca="false">IF(SUM(O51:O51)&gt;0,"Yes","No")</f>
        <v>No</v>
      </c>
      <c r="N51" s="264" t="s">
        <v>117</v>
      </c>
      <c r="O51" s="511" t="n">
        <f aca="false">SUMIFS(Trades!$O$9:$O$59,Trades!$C$9:$C$59,C51,Trades!$G$9:$G$59,"Buy")</f>
        <v>0</v>
      </c>
      <c r="P51" s="511" t="n">
        <f aca="false">SUMIFS(Trades!$I$9:$I$59,Trades!$C$9:$C$59,$C51,Trades!$G$9:$G$59,"Buy")</f>
        <v>0</v>
      </c>
      <c r="Q51" s="330" t="str">
        <f aca="false">IF(ISERROR(O51/P51),"",-O51/P51)</f>
        <v/>
      </c>
      <c r="R51" s="0" t="n">
        <f aca="false">SUMIFS(Trades!$O$9:$O$59,Trades!$C$9:$C$59,$C51,Trades!$G$9:$G$59,"Sell")</f>
        <v>0</v>
      </c>
      <c r="S51" s="0" t="n">
        <f aca="false">SUMIFS(Trades!$I$9:$I$59,Trades!$C$9:$C$59,$C51,Trades!$G$9:$G$59,"Sell")</f>
        <v>0</v>
      </c>
      <c r="T51" s="0" t="str">
        <f aca="false">IF(S51=0,"",R51/S51)</f>
        <v/>
      </c>
    </row>
    <row r="52" customFormat="false" ht="15" hidden="false" customHeight="false" outlineLevel="0" collapsed="false">
      <c r="A52" s="134" t="str">
        <f aca="false">IF(B52="Yes",COUNTIF($B$3:B52,"Yes"),"")</f>
        <v/>
      </c>
      <c r="B52" s="0" t="str">
        <f aca="false">IF(SUM(D52:I52)&gt;0,"Yes","No")</f>
        <v>No</v>
      </c>
      <c r="C52" s="264" t="s">
        <v>205</v>
      </c>
      <c r="D52" s="0" t="n">
        <f aca="false">SUMIFS(Trades!$I$9:$I$59,Trades!$C$9:$C$59,$C52,Trades!$K$9:$K$59,"&lt;="&amp;D$2)-SUMIFS(Trades!$I$32:$I$59,Trades!$C$32:$C$59,$C52,Trades!$M$32:$M$59,"&lt;="&amp;D$2)</f>
        <v>0</v>
      </c>
      <c r="E52" s="0" t="n">
        <f aca="false">SUMIFS(Trades!$I$9:$I$59,Trades!$C$9:$C$59,$C52,Trades!$K$9:$K$59,"&lt;="&amp;E$2)-SUMIFS(Trades!$I$32:$I$59,Trades!$C$32:$C$59,$C52,Trades!$M$32:$M$59,"&lt;="&amp;E$2)</f>
        <v>0</v>
      </c>
      <c r="F52" s="0" t="n">
        <f aca="false">SUMIFS(Trades!$I$9:$I$59,Trades!$C$9:$C$59,$C52,Trades!$K$9:$K$59,"&lt;="&amp;F$2)-SUMIFS(Trades!$I$32:$I$59,Trades!$C$32:$C$59,$C52,Trades!$M$32:$M$59,"&lt;="&amp;F$2)</f>
        <v>0</v>
      </c>
      <c r="G52" s="0" t="n">
        <f aca="false">SUMIFS(Trades!$I$9:$I$59,Trades!$C$9:$C$59,$C52,Trades!$K$9:$K$59,"&lt;="&amp;G$2)-SUMIFS(Trades!$I$32:$I$59,Trades!$C$32:$C$59,$C52,Trades!$M$32:$M$59,"&lt;="&amp;G$2)</f>
        <v>0</v>
      </c>
      <c r="H52" s="0" t="n">
        <f aca="false">SUMIFS(Trades!$I$9:$I$59,Trades!$C$9:$C$59,$C52,Trades!$K$9:$K$59,"&lt;="&amp;H$2)-SUMIFS(Trades!$I$32:$I$59,Trades!$C$32:$C$59,$C52,Trades!$M$32:$M$59,"&lt;="&amp;H$2)</f>
        <v>0</v>
      </c>
      <c r="I52" s="0" t="n">
        <f aca="false">SUMIFS(Trades!$I$9:$I$59,Trades!$C$9:$C$59,$C52,Trades!$K$9:$K$59,"&lt;="&amp;I$2)-SUMIFS(Trades!$I$32:$I$59,Trades!$C$32:$C$59,$C52,Trades!$M$32:$M$59,"&lt;="&amp;I$2)</f>
        <v>0</v>
      </c>
      <c r="M52" s="0" t="str">
        <f aca="false">IF(SUM(O52:O52)&gt;0,"Yes","No")</f>
        <v>No</v>
      </c>
      <c r="N52" s="264" t="s">
        <v>205</v>
      </c>
      <c r="O52" s="511" t="n">
        <f aca="false">SUMIFS(Trades!$O$9:$O$59,Trades!$C$9:$C$59,C52,Trades!$G$9:$G$59,"Buy")</f>
        <v>0</v>
      </c>
      <c r="P52" s="511" t="n">
        <f aca="false">SUMIFS(Trades!$I$9:$I$59,Trades!$C$9:$C$59,$C52,Trades!$G$9:$G$59,"Buy")</f>
        <v>0</v>
      </c>
      <c r="Q52" s="330" t="str">
        <f aca="false">IF(ISERROR(O52/P52),"",-O52/P52)</f>
        <v/>
      </c>
      <c r="R52" s="0" t="n">
        <f aca="false">SUMIFS(Trades!$O$9:$O$59,Trades!$C$9:$C$59,$C52,Trades!$G$9:$G$59,"Sell")</f>
        <v>0</v>
      </c>
      <c r="S52" s="0" t="n">
        <f aca="false">SUMIFS(Trades!$I$9:$I$59,Trades!$C$9:$C$59,$C52,Trades!$G$9:$G$59,"Sell")</f>
        <v>0</v>
      </c>
      <c r="T52" s="0" t="str">
        <f aca="false">IF(S52=0,"",R52/S52)</f>
        <v/>
      </c>
    </row>
    <row r="53" customFormat="false" ht="15" hidden="false" customHeight="false" outlineLevel="0" collapsed="false">
      <c r="A53" s="134" t="str">
        <f aca="false">IF(B53="Yes",COUNTIF($B$3:B53,"Yes"),"")</f>
        <v/>
      </c>
      <c r="B53" s="0" t="str">
        <f aca="false">IF(SUM(D53:I53)&gt;0,"Yes","No")</f>
        <v>No</v>
      </c>
      <c r="C53" s="264" t="s">
        <v>18</v>
      </c>
      <c r="D53" s="0" t="n">
        <f aca="false">SUMIFS(Trades!$I$9:$I$59,Trades!$C$9:$C$59,$C53,Trades!$K$9:$K$59,"&lt;="&amp;D$2)-SUMIFS(Trades!$I$32:$I$59,Trades!$C$32:$C$59,$C53,Trades!$M$32:$M$59,"&lt;="&amp;D$2)</f>
        <v>0</v>
      </c>
      <c r="E53" s="0" t="n">
        <f aca="false">SUMIFS(Trades!$I$9:$I$59,Trades!$C$9:$C$59,$C53,Trades!$K$9:$K$59,"&lt;="&amp;E$2)-SUMIFS(Trades!$I$32:$I$59,Trades!$C$32:$C$59,$C53,Trades!$M$32:$M$59,"&lt;="&amp;E$2)</f>
        <v>0</v>
      </c>
      <c r="F53" s="0" t="n">
        <f aca="false">SUMIFS(Trades!$I$9:$I$59,Trades!$C$9:$C$59,$C53,Trades!$K$9:$K$59,"&lt;="&amp;F$2)-SUMIFS(Trades!$I$32:$I$59,Trades!$C$32:$C$59,$C53,Trades!$M$32:$M$59,"&lt;="&amp;F$2)</f>
        <v>0</v>
      </c>
      <c r="G53" s="0" t="n">
        <f aca="false">SUMIFS(Trades!$I$9:$I$59,Trades!$C$9:$C$59,$C53,Trades!$K$9:$K$59,"&lt;="&amp;G$2)-SUMIFS(Trades!$I$32:$I$59,Trades!$C$32:$C$59,$C53,Trades!$M$32:$M$59,"&lt;="&amp;G$2)</f>
        <v>0</v>
      </c>
      <c r="H53" s="0" t="n">
        <f aca="false">SUMIFS(Trades!$I$9:$I$59,Trades!$C$9:$C$59,$C53,Trades!$K$9:$K$59,"&lt;="&amp;H$2)-SUMIFS(Trades!$I$32:$I$59,Trades!$C$32:$C$59,$C53,Trades!$M$32:$M$59,"&lt;="&amp;H$2)</f>
        <v>0</v>
      </c>
      <c r="I53" s="0" t="n">
        <f aca="false">SUMIFS(Trades!$I$9:$I$59,Trades!$C$9:$C$59,$C53,Trades!$K$9:$K$59,"&lt;="&amp;I$2)-SUMIFS(Trades!$I$32:$I$59,Trades!$C$32:$C$59,$C53,Trades!$M$32:$M$59,"&lt;="&amp;I$2)</f>
        <v>0</v>
      </c>
      <c r="M53" s="0" t="str">
        <f aca="false">IF(SUM(O53:O53)&gt;0,"Yes","No")</f>
        <v>No</v>
      </c>
      <c r="N53" s="264" t="s">
        <v>18</v>
      </c>
      <c r="O53" s="511" t="n">
        <f aca="false">SUMIFS(Trades!$O$9:$O$59,Trades!$C$9:$C$59,C53,Trades!$G$9:$G$59,"Buy")</f>
        <v>0</v>
      </c>
      <c r="P53" s="511" t="n">
        <f aca="false">SUMIFS(Trades!$I$9:$I$59,Trades!$C$9:$C$59,$C53,Trades!$G$9:$G$59,"Buy")</f>
        <v>0</v>
      </c>
      <c r="Q53" s="330" t="str">
        <f aca="false">IF(ISERROR(O53/P53),"",-O53/P53)</f>
        <v/>
      </c>
      <c r="R53" s="0" t="n">
        <f aca="false">SUMIFS(Trades!$O$9:$O$59,Trades!$C$9:$C$59,$C53,Trades!$G$9:$G$59,"Sell")</f>
        <v>0</v>
      </c>
      <c r="S53" s="0" t="n">
        <f aca="false">SUMIFS(Trades!$I$9:$I$59,Trades!$C$9:$C$59,$C53,Trades!$G$9:$G$59,"Sell")</f>
        <v>0</v>
      </c>
      <c r="T53" s="0" t="str">
        <f aca="false">IF(S53=0,"",R53/S53)</f>
        <v/>
      </c>
    </row>
    <row r="54" customFormat="false" ht="15" hidden="false" customHeight="false" outlineLevel="0" collapsed="false">
      <c r="A54" s="134" t="str">
        <f aca="false">IF(B54="Yes",COUNTIF($B$3:B54,"Yes"),"")</f>
        <v/>
      </c>
      <c r="B54" s="0" t="str">
        <f aca="false">IF(SUM(D54:I54)&gt;0,"Yes","No")</f>
        <v>No</v>
      </c>
      <c r="C54" s="264" t="s">
        <v>48</v>
      </c>
      <c r="D54" s="0" t="n">
        <f aca="false">SUMIFS(Trades!$I$9:$I$59,Trades!$C$9:$C$59,$C54,Trades!$K$9:$K$59,"&lt;="&amp;D$2)-SUMIFS(Trades!$I$32:$I$59,Trades!$C$32:$C$59,$C54,Trades!$M$32:$M$59,"&lt;="&amp;D$2)</f>
        <v>0</v>
      </c>
      <c r="E54" s="0" t="n">
        <f aca="false">SUMIFS(Trades!$I$9:$I$59,Trades!$C$9:$C$59,$C54,Trades!$K$9:$K$59,"&lt;="&amp;E$2)-SUMIFS(Trades!$I$32:$I$59,Trades!$C$32:$C$59,$C54,Trades!$M$32:$M$59,"&lt;="&amp;E$2)</f>
        <v>0</v>
      </c>
      <c r="F54" s="0" t="n">
        <f aca="false">SUMIFS(Trades!$I$9:$I$59,Trades!$C$9:$C$59,$C54,Trades!$K$9:$K$59,"&lt;="&amp;F$2)-SUMIFS(Trades!$I$32:$I$59,Trades!$C$32:$C$59,$C54,Trades!$M$32:$M$59,"&lt;="&amp;F$2)</f>
        <v>0</v>
      </c>
      <c r="G54" s="0" t="n">
        <f aca="false">SUMIFS(Trades!$I$9:$I$59,Trades!$C$9:$C$59,$C54,Trades!$K$9:$K$59,"&lt;="&amp;G$2)-SUMIFS(Trades!$I$32:$I$59,Trades!$C$32:$C$59,$C54,Trades!$M$32:$M$59,"&lt;="&amp;G$2)</f>
        <v>0</v>
      </c>
      <c r="H54" s="0" t="n">
        <f aca="false">SUMIFS(Trades!$I$9:$I$59,Trades!$C$9:$C$59,$C54,Trades!$K$9:$K$59,"&lt;="&amp;H$2)-SUMIFS(Trades!$I$32:$I$59,Trades!$C$32:$C$59,$C54,Trades!$M$32:$M$59,"&lt;="&amp;H$2)</f>
        <v>0</v>
      </c>
      <c r="I54" s="0" t="n">
        <f aca="false">SUMIFS(Trades!$I$9:$I$59,Trades!$C$9:$C$59,$C54,Trades!$K$9:$K$59,"&lt;="&amp;I$2)-SUMIFS(Trades!$I$32:$I$59,Trades!$C$32:$C$59,$C54,Trades!$M$32:$M$59,"&lt;="&amp;I$2)</f>
        <v>0</v>
      </c>
      <c r="M54" s="0" t="str">
        <f aca="false">IF(SUM(O54:O54)&gt;0,"Yes","No")</f>
        <v>No</v>
      </c>
      <c r="N54" s="264" t="s">
        <v>48</v>
      </c>
      <c r="O54" s="511" t="n">
        <f aca="false">SUMIFS(Trades!$O$9:$O$59,Trades!$C$9:$C$59,C54,Trades!$G$9:$G$59,"Buy")</f>
        <v>0</v>
      </c>
      <c r="P54" s="511" t="n">
        <f aca="false">SUMIFS(Trades!$I$9:$I$59,Trades!$C$9:$C$59,$C54,Trades!$G$9:$G$59,"Buy")</f>
        <v>0</v>
      </c>
      <c r="Q54" s="330" t="str">
        <f aca="false">IF(ISERROR(O54/P54),"",-O54/P54)</f>
        <v/>
      </c>
      <c r="R54" s="0" t="n">
        <f aca="false">SUMIFS(Trades!$O$9:$O$59,Trades!$C$9:$C$59,$C54,Trades!$G$9:$G$59,"Sell")</f>
        <v>0</v>
      </c>
      <c r="S54" s="0" t="n">
        <f aca="false">SUMIFS(Trades!$I$9:$I$59,Trades!$C$9:$C$59,$C54,Trades!$G$9:$G$59,"Sell")</f>
        <v>0</v>
      </c>
      <c r="T54" s="0" t="str">
        <f aca="false">IF(S54=0,"",R54/S54)</f>
        <v/>
      </c>
    </row>
    <row r="55" customFormat="false" ht="15" hidden="false" customHeight="false" outlineLevel="0" collapsed="false">
      <c r="A55" s="134" t="str">
        <f aca="false">IF(B55="Yes",COUNTIF($B$3:B55,"Yes"),"")</f>
        <v/>
      </c>
      <c r="B55" s="0" t="str">
        <f aca="false">IF(SUM(D55:I55)&gt;0,"Yes","No")</f>
        <v>No</v>
      </c>
      <c r="C55" s="264" t="s">
        <v>246</v>
      </c>
      <c r="D55" s="0" t="n">
        <f aca="false">SUMIFS(Trades!$I$9:$I$59,Trades!$C$9:$C$59,$C55,Trades!$K$9:$K$59,"&lt;="&amp;D$2)-SUMIFS(Trades!$I$32:$I$59,Trades!$C$32:$C$59,$C55,Trades!$M$32:$M$59,"&lt;="&amp;D$2)</f>
        <v>0</v>
      </c>
      <c r="E55" s="0" t="n">
        <f aca="false">SUMIFS(Trades!$I$9:$I$59,Trades!$C$9:$C$59,$C55,Trades!$K$9:$K$59,"&lt;="&amp;E$2)-SUMIFS(Trades!$I$32:$I$59,Trades!$C$32:$C$59,$C55,Trades!$M$32:$M$59,"&lt;="&amp;E$2)</f>
        <v>0</v>
      </c>
      <c r="F55" s="0" t="n">
        <f aca="false">SUMIFS(Trades!$I$9:$I$59,Trades!$C$9:$C$59,$C55,Trades!$K$9:$K$59,"&lt;="&amp;F$2)-SUMIFS(Trades!$I$32:$I$59,Trades!$C$32:$C$59,$C55,Trades!$M$32:$M$59,"&lt;="&amp;F$2)</f>
        <v>0</v>
      </c>
      <c r="G55" s="0" t="n">
        <f aca="false">SUMIFS(Trades!$I$9:$I$59,Trades!$C$9:$C$59,$C55,Trades!$K$9:$K$59,"&lt;="&amp;G$2)-SUMIFS(Trades!$I$32:$I$59,Trades!$C$32:$C$59,$C55,Trades!$M$32:$M$59,"&lt;="&amp;G$2)</f>
        <v>0</v>
      </c>
      <c r="H55" s="0" t="n">
        <f aca="false">SUMIFS(Trades!$I$9:$I$59,Trades!$C$9:$C$59,$C55,Trades!$K$9:$K$59,"&lt;="&amp;H$2)-SUMIFS(Trades!$I$32:$I$59,Trades!$C$32:$C$59,$C55,Trades!$M$32:$M$59,"&lt;="&amp;H$2)</f>
        <v>0</v>
      </c>
      <c r="I55" s="0" t="n">
        <f aca="false">SUMIFS(Trades!$I$9:$I$59,Trades!$C$9:$C$59,$C55,Trades!$K$9:$K$59,"&lt;="&amp;I$2)-SUMIFS(Trades!$I$32:$I$59,Trades!$C$32:$C$59,$C55,Trades!$M$32:$M$59,"&lt;="&amp;I$2)</f>
        <v>0</v>
      </c>
      <c r="M55" s="0" t="str">
        <f aca="false">IF(SUM(O55:O55)&gt;0,"Yes","No")</f>
        <v>No</v>
      </c>
      <c r="N55" s="264" t="s">
        <v>246</v>
      </c>
      <c r="O55" s="511" t="n">
        <f aca="false">SUMIFS(Trades!$O$9:$O$59,Trades!$C$9:$C$59,C55,Trades!$G$9:$G$59,"Buy")</f>
        <v>0</v>
      </c>
      <c r="P55" s="511" t="n">
        <f aca="false">SUMIFS(Trades!$I$9:$I$59,Trades!$C$9:$C$59,$C55,Trades!$G$9:$G$59,"Buy")</f>
        <v>0</v>
      </c>
      <c r="Q55" s="330" t="str">
        <f aca="false">IF(ISERROR(O55/P55),"",-O55/P55)</f>
        <v/>
      </c>
      <c r="R55" s="0" t="n">
        <f aca="false">SUMIFS(Trades!$O$9:$O$59,Trades!$C$9:$C$59,$C55,Trades!$G$9:$G$59,"Sell")</f>
        <v>0</v>
      </c>
      <c r="S55" s="0" t="n">
        <f aca="false">SUMIFS(Trades!$I$9:$I$59,Trades!$C$9:$C$59,$C55,Trades!$G$9:$G$59,"Sell")</f>
        <v>0</v>
      </c>
      <c r="T55" s="0" t="str">
        <f aca="false">IF(S55=0,"",R55/S55)</f>
        <v/>
      </c>
    </row>
    <row r="56" customFormat="false" ht="15" hidden="false" customHeight="false" outlineLevel="0" collapsed="false">
      <c r="A56" s="134" t="str">
        <f aca="false">IF(B56="Yes",COUNTIF($B$3:B56,"Yes"),"")</f>
        <v/>
      </c>
      <c r="B56" s="0" t="str">
        <f aca="false">IF(SUM(D56:I56)&gt;0,"Yes","No")</f>
        <v>No</v>
      </c>
      <c r="C56" s="264" t="s">
        <v>197</v>
      </c>
      <c r="D56" s="0" t="n">
        <f aca="false">SUMIFS(Trades!$I$9:$I$59,Trades!$C$9:$C$59,$C56,Trades!$K$9:$K$59,"&lt;="&amp;D$2)-SUMIFS(Trades!$I$32:$I$59,Trades!$C$32:$C$59,$C56,Trades!$M$32:$M$59,"&lt;="&amp;D$2)</f>
        <v>0</v>
      </c>
      <c r="E56" s="0" t="n">
        <f aca="false">SUMIFS(Trades!$I$9:$I$59,Trades!$C$9:$C$59,$C56,Trades!$K$9:$K$59,"&lt;="&amp;E$2)-SUMIFS(Trades!$I$32:$I$59,Trades!$C$32:$C$59,$C56,Trades!$M$32:$M$59,"&lt;="&amp;E$2)</f>
        <v>0</v>
      </c>
      <c r="F56" s="0" t="n">
        <f aca="false">SUMIFS(Trades!$I$9:$I$59,Trades!$C$9:$C$59,$C56,Trades!$K$9:$K$59,"&lt;="&amp;F$2)-SUMIFS(Trades!$I$32:$I$59,Trades!$C$32:$C$59,$C56,Trades!$M$32:$M$59,"&lt;="&amp;F$2)</f>
        <v>0</v>
      </c>
      <c r="G56" s="0" t="n">
        <f aca="false">SUMIFS(Trades!$I$9:$I$59,Trades!$C$9:$C$59,$C56,Trades!$K$9:$K$59,"&lt;="&amp;G$2)-SUMIFS(Trades!$I$32:$I$59,Trades!$C$32:$C$59,$C56,Trades!$M$32:$M$59,"&lt;="&amp;G$2)</f>
        <v>0</v>
      </c>
      <c r="H56" s="0" t="n">
        <f aca="false">SUMIFS(Trades!$I$9:$I$59,Trades!$C$9:$C$59,$C56,Trades!$K$9:$K$59,"&lt;="&amp;H$2)-SUMIFS(Trades!$I$32:$I$59,Trades!$C$32:$C$59,$C56,Trades!$M$32:$M$59,"&lt;="&amp;H$2)</f>
        <v>0</v>
      </c>
      <c r="I56" s="0" t="n">
        <f aca="false">SUMIFS(Trades!$I$9:$I$59,Trades!$C$9:$C$59,$C56,Trades!$K$9:$K$59,"&lt;="&amp;I$2)-SUMIFS(Trades!$I$32:$I$59,Trades!$C$32:$C$59,$C56,Trades!$M$32:$M$59,"&lt;="&amp;I$2)</f>
        <v>0</v>
      </c>
      <c r="M56" s="0" t="str">
        <f aca="false">IF(SUM(O56:O56)&gt;0,"Yes","No")</f>
        <v>No</v>
      </c>
      <c r="N56" s="264" t="s">
        <v>197</v>
      </c>
      <c r="O56" s="511" t="n">
        <f aca="false">SUMIFS(Trades!$O$9:$O$59,Trades!$C$9:$C$59,C56,Trades!$G$9:$G$59,"Buy")</f>
        <v>0</v>
      </c>
      <c r="P56" s="511" t="n">
        <f aca="false">SUMIFS(Trades!$I$9:$I$59,Trades!$C$9:$C$59,$C56,Trades!$G$9:$G$59,"Buy")</f>
        <v>0</v>
      </c>
      <c r="Q56" s="330" t="str">
        <f aca="false">IF(ISERROR(O56/P56),"",-O56/P56)</f>
        <v/>
      </c>
      <c r="R56" s="0" t="n">
        <f aca="false">SUMIFS(Trades!$O$9:$O$59,Trades!$C$9:$C$59,$C56,Trades!$G$9:$G$59,"Sell")</f>
        <v>0</v>
      </c>
      <c r="S56" s="0" t="n">
        <f aca="false">SUMIFS(Trades!$I$9:$I$59,Trades!$C$9:$C$59,$C56,Trades!$G$9:$G$59,"Sell")</f>
        <v>0</v>
      </c>
      <c r="T56" s="0" t="str">
        <f aca="false">IF(S56=0,"",R56/S56)</f>
        <v/>
      </c>
    </row>
    <row r="57" customFormat="false" ht="15" hidden="false" customHeight="false" outlineLevel="0" collapsed="false">
      <c r="A57" s="134" t="str">
        <f aca="false">IF(B57="Yes",COUNTIF($B$3:B57,"Yes"),"")</f>
        <v/>
      </c>
      <c r="B57" s="0" t="str">
        <f aca="false">IF(SUM(D57:I57)&gt;0,"Yes","No")</f>
        <v>No</v>
      </c>
      <c r="C57" s="264" t="s">
        <v>23</v>
      </c>
      <c r="D57" s="0" t="n">
        <f aca="false">SUMIFS(Trades!$I$9:$I$59,Trades!$C$9:$C$59,$C57,Trades!$K$9:$K$59,"&lt;="&amp;D$2)-SUMIFS(Trades!$I$32:$I$59,Trades!$C$32:$C$59,$C57,Trades!$M$32:$M$59,"&lt;="&amp;D$2)</f>
        <v>0</v>
      </c>
      <c r="E57" s="0" t="n">
        <f aca="false">SUMIFS(Trades!$I$9:$I$59,Trades!$C$9:$C$59,$C57,Trades!$K$9:$K$59,"&lt;="&amp;E$2)-SUMIFS(Trades!$I$32:$I$59,Trades!$C$32:$C$59,$C57,Trades!$M$32:$M$59,"&lt;="&amp;E$2)</f>
        <v>0</v>
      </c>
      <c r="F57" s="0" t="n">
        <f aca="false">SUMIFS(Trades!$I$9:$I$59,Trades!$C$9:$C$59,$C57,Trades!$K$9:$K$59,"&lt;="&amp;F$2)-SUMIFS(Trades!$I$32:$I$59,Trades!$C$32:$C$59,$C57,Trades!$M$32:$M$59,"&lt;="&amp;F$2)</f>
        <v>0</v>
      </c>
      <c r="G57" s="0" t="n">
        <f aca="false">SUMIFS(Trades!$I$9:$I$59,Trades!$C$9:$C$59,$C57,Trades!$K$9:$K$59,"&lt;="&amp;G$2)-SUMIFS(Trades!$I$32:$I$59,Trades!$C$32:$C$59,$C57,Trades!$M$32:$M$59,"&lt;="&amp;G$2)</f>
        <v>0</v>
      </c>
      <c r="H57" s="0" t="n">
        <f aca="false">SUMIFS(Trades!$I$9:$I$59,Trades!$C$9:$C$59,$C57,Trades!$K$9:$K$59,"&lt;="&amp;H$2)-SUMIFS(Trades!$I$32:$I$59,Trades!$C$32:$C$59,$C57,Trades!$M$32:$M$59,"&lt;="&amp;H$2)</f>
        <v>0</v>
      </c>
      <c r="I57" s="0" t="n">
        <f aca="false">SUMIFS(Trades!$I$9:$I$59,Trades!$C$9:$C$59,$C57,Trades!$K$9:$K$59,"&lt;="&amp;I$2)-SUMIFS(Trades!$I$32:$I$59,Trades!$C$32:$C$59,$C57,Trades!$M$32:$M$59,"&lt;="&amp;I$2)</f>
        <v>0</v>
      </c>
      <c r="M57" s="0" t="str">
        <f aca="false">IF(SUM(O57:O57)&gt;0,"Yes","No")</f>
        <v>No</v>
      </c>
      <c r="N57" s="264" t="s">
        <v>23</v>
      </c>
      <c r="O57" s="511" t="n">
        <f aca="false">SUMIFS(Trades!$O$9:$O$59,Trades!$C$9:$C$59,C57,Trades!$G$9:$G$59,"Buy")</f>
        <v>0</v>
      </c>
      <c r="P57" s="511" t="n">
        <f aca="false">SUMIFS(Trades!$I$9:$I$59,Trades!$C$9:$C$59,$C57,Trades!$G$9:$G$59,"Buy")</f>
        <v>0</v>
      </c>
      <c r="Q57" s="330" t="str">
        <f aca="false">IF(ISERROR(O57/P57),"",-O57/P57)</f>
        <v/>
      </c>
      <c r="R57" s="0" t="n">
        <f aca="false">SUMIFS(Trades!$O$9:$O$59,Trades!$C$9:$C$59,$C57,Trades!$G$9:$G$59,"Sell")</f>
        <v>0</v>
      </c>
      <c r="S57" s="0" t="n">
        <f aca="false">SUMIFS(Trades!$I$9:$I$59,Trades!$C$9:$C$59,$C57,Trades!$G$9:$G$59,"Sell")</f>
        <v>0</v>
      </c>
      <c r="T57" s="0" t="str">
        <f aca="false">IF(S57=0,"",R57/S57)</f>
        <v/>
      </c>
    </row>
    <row r="58" customFormat="false" ht="15" hidden="false" customHeight="false" outlineLevel="0" collapsed="false">
      <c r="A58" s="134" t="str">
        <f aca="false">IF(B58="Yes",COUNTIF($B$3:B58,"Yes"),"")</f>
        <v/>
      </c>
      <c r="B58" s="0" t="str">
        <f aca="false">IF(SUM(D58:I58)&gt;0,"Yes","No")</f>
        <v>No</v>
      </c>
      <c r="C58" s="264" t="s">
        <v>112</v>
      </c>
      <c r="D58" s="0" t="n">
        <f aca="false">SUMIFS(Trades!$I$9:$I$59,Trades!$C$9:$C$59,$C58,Trades!$K$9:$K$59,"&lt;="&amp;D$2)-SUMIFS(Trades!$I$32:$I$59,Trades!$C$32:$C$59,$C58,Trades!$M$32:$M$59,"&lt;="&amp;D$2)</f>
        <v>0</v>
      </c>
      <c r="E58" s="0" t="n">
        <f aca="false">SUMIFS(Trades!$I$9:$I$59,Trades!$C$9:$C$59,$C58,Trades!$K$9:$K$59,"&lt;="&amp;E$2)-SUMIFS(Trades!$I$32:$I$59,Trades!$C$32:$C$59,$C58,Trades!$M$32:$M$59,"&lt;="&amp;E$2)</f>
        <v>0</v>
      </c>
      <c r="F58" s="0" t="n">
        <f aca="false">SUMIFS(Trades!$I$9:$I$59,Trades!$C$9:$C$59,$C58,Trades!$K$9:$K$59,"&lt;="&amp;F$2)-SUMIFS(Trades!$I$32:$I$59,Trades!$C$32:$C$59,$C58,Trades!$M$32:$M$59,"&lt;="&amp;F$2)</f>
        <v>0</v>
      </c>
      <c r="G58" s="0" t="n">
        <f aca="false">SUMIFS(Trades!$I$9:$I$59,Trades!$C$9:$C$59,$C58,Trades!$K$9:$K$59,"&lt;="&amp;G$2)-SUMIFS(Trades!$I$32:$I$59,Trades!$C$32:$C$59,$C58,Trades!$M$32:$M$59,"&lt;="&amp;G$2)</f>
        <v>0</v>
      </c>
      <c r="H58" s="0" t="n">
        <f aca="false">SUMIFS(Trades!$I$9:$I$59,Trades!$C$9:$C$59,$C58,Trades!$K$9:$K$59,"&lt;="&amp;H$2)-SUMIFS(Trades!$I$32:$I$59,Trades!$C$32:$C$59,$C58,Trades!$M$32:$M$59,"&lt;="&amp;H$2)</f>
        <v>0</v>
      </c>
      <c r="I58" s="0" t="n">
        <f aca="false">SUMIFS(Trades!$I$9:$I$59,Trades!$C$9:$C$59,$C58,Trades!$K$9:$K$59,"&lt;="&amp;I$2)-SUMIFS(Trades!$I$32:$I$59,Trades!$C$32:$C$59,$C58,Trades!$M$32:$M$59,"&lt;="&amp;I$2)</f>
        <v>0</v>
      </c>
      <c r="M58" s="0" t="str">
        <f aca="false">IF(SUM(O58:O58)&gt;0,"Yes","No")</f>
        <v>No</v>
      </c>
      <c r="N58" s="264" t="s">
        <v>112</v>
      </c>
      <c r="O58" s="511" t="n">
        <f aca="false">SUMIFS(Trades!$O$9:$O$59,Trades!$C$9:$C$59,C58,Trades!$G$9:$G$59,"Buy")</f>
        <v>0</v>
      </c>
      <c r="P58" s="511" t="n">
        <f aca="false">SUMIFS(Trades!$I$9:$I$59,Trades!$C$9:$C$59,$C58,Trades!$G$9:$G$59,"Buy")</f>
        <v>0</v>
      </c>
      <c r="Q58" s="330" t="str">
        <f aca="false">IF(ISERROR(O58/P58),"",-O58/P58)</f>
        <v/>
      </c>
      <c r="R58" s="0" t="n">
        <f aca="false">SUMIFS(Trades!$O$9:$O$59,Trades!$C$9:$C$59,$C58,Trades!$G$9:$G$59,"Sell")</f>
        <v>0</v>
      </c>
      <c r="S58" s="0" t="n">
        <f aca="false">SUMIFS(Trades!$I$9:$I$59,Trades!$C$9:$C$59,$C58,Trades!$G$9:$G$59,"Sell")</f>
        <v>0</v>
      </c>
      <c r="T58" s="0" t="str">
        <f aca="false">IF(S58=0,"",R58/S58)</f>
        <v/>
      </c>
    </row>
    <row r="59" customFormat="false" ht="15" hidden="false" customHeight="false" outlineLevel="0" collapsed="false">
      <c r="A59" s="134" t="n">
        <f aca="false">IF(B59="Yes",COUNTIF($B$3:B59,"Yes"),"")</f>
        <v>7</v>
      </c>
      <c r="B59" s="0" t="str">
        <f aca="false">IF(SUM(D59:I59)&gt;0,"Yes","No")</f>
        <v>Yes</v>
      </c>
      <c r="C59" s="264" t="s">
        <v>41</v>
      </c>
      <c r="D59" s="0" t="n">
        <f aca="false">SUMIFS(Trades!$I$9:$I$59,Trades!$C$9:$C$59,$C59,Trades!$K$9:$K$59,"&lt;="&amp;D$2)-SUMIFS(Trades!$I$32:$I$59,Trades!$C$32:$C$59,$C59,Trades!$M$32:$M$59,"&lt;="&amp;D$2)</f>
        <v>2015</v>
      </c>
      <c r="E59" s="0" t="n">
        <f aca="false">SUMIFS(Trades!$I$9:$I$59,Trades!$C$9:$C$59,$C59,Trades!$K$9:$K$59,"&lt;="&amp;E$2)-SUMIFS(Trades!$I$32:$I$59,Trades!$C$32:$C$59,$C59,Trades!$M$32:$M$59,"&lt;="&amp;E$2)</f>
        <v>2015</v>
      </c>
      <c r="F59" s="0" t="n">
        <f aca="false">SUMIFS(Trades!$I$9:$I$59,Trades!$C$9:$C$59,$C59,Trades!$K$9:$K$59,"&lt;="&amp;F$2)-SUMIFS(Trades!$I$32:$I$59,Trades!$C$32:$C$59,$C59,Trades!$M$32:$M$59,"&lt;="&amp;F$2)</f>
        <v>2015</v>
      </c>
      <c r="G59" s="0" t="n">
        <f aca="false">SUMIFS(Trades!$I$9:$I$59,Trades!$C$9:$C$59,$C59,Trades!$K$9:$K$59,"&lt;="&amp;G$2)-SUMIFS(Trades!$I$32:$I$59,Trades!$C$32:$C$59,$C59,Trades!$M$32:$M$59,"&lt;="&amp;G$2)</f>
        <v>2015</v>
      </c>
      <c r="H59" s="0" t="n">
        <f aca="false">SUMIFS(Trades!$I$9:$I$59,Trades!$C$9:$C$59,$C59,Trades!$K$9:$K$59,"&lt;="&amp;H$2)-SUMIFS(Trades!$I$32:$I$59,Trades!$C$32:$C$59,$C59,Trades!$M$32:$M$59,"&lt;="&amp;H$2)</f>
        <v>2015</v>
      </c>
      <c r="I59" s="0" t="n">
        <f aca="false">SUMIFS(Trades!$I$9:$I$59,Trades!$C$9:$C$59,$C59,Trades!$K$9:$K$59,"&lt;="&amp;I$2)-SUMIFS(Trades!$I$32:$I$59,Trades!$C$32:$C$59,$C59,Trades!$M$32:$M$59,"&lt;="&amp;I$2)</f>
        <v>2015</v>
      </c>
      <c r="M59" s="0" t="str">
        <f aca="false">IF(SUM(O59:O59)&gt;0,"Yes","No")</f>
        <v>No</v>
      </c>
      <c r="N59" s="264" t="s">
        <v>41</v>
      </c>
      <c r="O59" s="511" t="n">
        <f aca="false">SUMIFS(Trades!$O$9:$O$59,Trades!$C$9:$C$59,C59,Trades!$G$9:$G$59,"Buy")</f>
        <v>-289978.65</v>
      </c>
      <c r="P59" s="511" t="n">
        <f aca="false">SUMIFS(Trades!$I$9:$I$59,Trades!$C$9:$C$59,$C59,Trades!$G$9:$G$59,"Buy")</f>
        <v>2015</v>
      </c>
      <c r="Q59" s="330" t="n">
        <f aca="false">IF(ISERROR(O59/P59),"",-O59/P59)</f>
        <v>143.91</v>
      </c>
      <c r="R59" s="0" t="n">
        <f aca="false">SUMIFS(Trades!$O$9:$O$59,Trades!$C$9:$C$59,$C59,Trades!$G$9:$G$59,"Sell")</f>
        <v>0</v>
      </c>
      <c r="S59" s="0" t="n">
        <f aca="false">SUMIFS(Trades!$I$9:$I$59,Trades!$C$9:$C$59,$C59,Trades!$G$9:$G$59,"Sell")</f>
        <v>0</v>
      </c>
      <c r="T59" s="0" t="str">
        <f aca="false">IF(S59=0,"",R59/S59)</f>
        <v/>
      </c>
    </row>
    <row r="60" customFormat="false" ht="15" hidden="false" customHeight="false" outlineLevel="0" collapsed="false">
      <c r="A60" s="134" t="str">
        <f aca="false">IF(B60="Yes",COUNTIF($B$3:B60,"Yes"),"")</f>
        <v/>
      </c>
      <c r="B60" s="0" t="str">
        <f aca="false">IF(SUM(D60:I60)&gt;0,"Yes","No")</f>
        <v>No</v>
      </c>
      <c r="C60" s="264" t="s">
        <v>57</v>
      </c>
      <c r="D60" s="0" t="n">
        <f aca="false">SUMIFS(Trades!$I$9:$I$59,Trades!$C$9:$C$59,$C60,Trades!$K$9:$K$59,"&lt;="&amp;D$2)-SUMIFS(Trades!$I$32:$I$59,Trades!$C$32:$C$59,$C60,Trades!$M$32:$M$59,"&lt;="&amp;D$2)</f>
        <v>0</v>
      </c>
      <c r="E60" s="0" t="n">
        <f aca="false">SUMIFS(Trades!$I$9:$I$59,Trades!$C$9:$C$59,$C60,Trades!$K$9:$K$59,"&lt;="&amp;E$2)-SUMIFS(Trades!$I$32:$I$59,Trades!$C$32:$C$59,$C60,Trades!$M$32:$M$59,"&lt;="&amp;E$2)</f>
        <v>0</v>
      </c>
      <c r="F60" s="0" t="n">
        <f aca="false">SUMIFS(Trades!$I$9:$I$59,Trades!$C$9:$C$59,$C60,Trades!$K$9:$K$59,"&lt;="&amp;F$2)-SUMIFS(Trades!$I$32:$I$59,Trades!$C$32:$C$59,$C60,Trades!$M$32:$M$59,"&lt;="&amp;F$2)</f>
        <v>0</v>
      </c>
      <c r="G60" s="0" t="n">
        <f aca="false">SUMIFS(Trades!$I$9:$I$59,Trades!$C$9:$C$59,$C60,Trades!$K$9:$K$59,"&lt;="&amp;G$2)-SUMIFS(Trades!$I$32:$I$59,Trades!$C$32:$C$59,$C60,Trades!$M$32:$M$59,"&lt;="&amp;G$2)</f>
        <v>0</v>
      </c>
      <c r="H60" s="0" t="n">
        <f aca="false">SUMIFS(Trades!$I$9:$I$59,Trades!$C$9:$C$59,$C60,Trades!$K$9:$K$59,"&lt;="&amp;H$2)-SUMIFS(Trades!$I$32:$I$59,Trades!$C$32:$C$59,$C60,Trades!$M$32:$M$59,"&lt;="&amp;H$2)</f>
        <v>0</v>
      </c>
      <c r="I60" s="0" t="n">
        <f aca="false">SUMIFS(Trades!$I$9:$I$59,Trades!$C$9:$C$59,$C60,Trades!$K$9:$K$59,"&lt;="&amp;I$2)-SUMIFS(Trades!$I$32:$I$59,Trades!$C$32:$C$59,$C60,Trades!$M$32:$M$59,"&lt;="&amp;I$2)</f>
        <v>0</v>
      </c>
      <c r="M60" s="0" t="str">
        <f aca="false">IF(SUM(O60:O60)&gt;0,"Yes","No")</f>
        <v>No</v>
      </c>
      <c r="N60" s="264" t="s">
        <v>57</v>
      </c>
      <c r="O60" s="511" t="n">
        <f aca="false">SUMIFS(Trades!$O$9:$O$59,Trades!$C$9:$C$59,C60,Trades!$G$9:$G$59,"Buy")</f>
        <v>0</v>
      </c>
      <c r="P60" s="511" t="n">
        <f aca="false">SUMIFS(Trades!$I$9:$I$59,Trades!$C$9:$C$59,$C60,Trades!$G$9:$G$59,"Buy")</f>
        <v>0</v>
      </c>
      <c r="Q60" s="330" t="str">
        <f aca="false">IF(ISERROR(O60/P60),"",-O60/P60)</f>
        <v/>
      </c>
      <c r="R60" s="0" t="n">
        <f aca="false">SUMIFS(Trades!$O$9:$O$59,Trades!$C$9:$C$59,$C60,Trades!$G$9:$G$59,"Sell")</f>
        <v>0</v>
      </c>
      <c r="S60" s="0" t="n">
        <f aca="false">SUMIFS(Trades!$I$9:$I$59,Trades!$C$9:$C$59,$C60,Trades!$G$9:$G$59,"Sell")</f>
        <v>0</v>
      </c>
      <c r="T60" s="0" t="str">
        <f aca="false">IF(S60=0,"",R60/S60)</f>
        <v/>
      </c>
    </row>
    <row r="61" customFormat="false" ht="15" hidden="false" customHeight="false" outlineLevel="0" collapsed="false">
      <c r="A61" s="134" t="str">
        <f aca="false">IF(B61="Yes",COUNTIF($B$3:B61,"Yes"),"")</f>
        <v/>
      </c>
      <c r="B61" s="0" t="str">
        <f aca="false">IF(SUM(D61:I61)&gt;0,"Yes","No")</f>
        <v>No</v>
      </c>
      <c r="C61" s="264" t="s">
        <v>102</v>
      </c>
      <c r="D61" s="0" t="n">
        <f aca="false">SUMIFS(Trades!$I$9:$I$59,Trades!$C$9:$C$59,$C61,Trades!$K$9:$K$59,"&lt;="&amp;D$2)-SUMIFS(Trades!$I$32:$I$59,Trades!$C$32:$C$59,$C61,Trades!$M$32:$M$59,"&lt;="&amp;D$2)</f>
        <v>0</v>
      </c>
      <c r="E61" s="0" t="n">
        <f aca="false">SUMIFS(Trades!$I$9:$I$59,Trades!$C$9:$C$59,$C61,Trades!$K$9:$K$59,"&lt;="&amp;E$2)-SUMIFS(Trades!$I$32:$I$59,Trades!$C$32:$C$59,$C61,Trades!$M$32:$M$59,"&lt;="&amp;E$2)</f>
        <v>0</v>
      </c>
      <c r="F61" s="0" t="n">
        <f aca="false">SUMIFS(Trades!$I$9:$I$59,Trades!$C$9:$C$59,$C61,Trades!$K$9:$K$59,"&lt;="&amp;F$2)-SUMIFS(Trades!$I$32:$I$59,Trades!$C$32:$C$59,$C61,Trades!$M$32:$M$59,"&lt;="&amp;F$2)</f>
        <v>0</v>
      </c>
      <c r="G61" s="0" t="n">
        <f aca="false">SUMIFS(Trades!$I$9:$I$59,Trades!$C$9:$C$59,$C61,Trades!$K$9:$K$59,"&lt;="&amp;G$2)-SUMIFS(Trades!$I$32:$I$59,Trades!$C$32:$C$59,$C61,Trades!$M$32:$M$59,"&lt;="&amp;G$2)</f>
        <v>0</v>
      </c>
      <c r="H61" s="0" t="n">
        <f aca="false">SUMIFS(Trades!$I$9:$I$59,Trades!$C$9:$C$59,$C61,Trades!$K$9:$K$59,"&lt;="&amp;H$2)-SUMIFS(Trades!$I$32:$I$59,Trades!$C$32:$C$59,$C61,Trades!$M$32:$M$59,"&lt;="&amp;H$2)</f>
        <v>0</v>
      </c>
      <c r="I61" s="0" t="n">
        <f aca="false">SUMIFS(Trades!$I$9:$I$59,Trades!$C$9:$C$59,$C61,Trades!$K$9:$K$59,"&lt;="&amp;I$2)-SUMIFS(Trades!$I$32:$I$59,Trades!$C$32:$C$59,$C61,Trades!$M$32:$M$59,"&lt;="&amp;I$2)</f>
        <v>0</v>
      </c>
      <c r="M61" s="0" t="str">
        <f aca="false">IF(SUM(O61:O61)&gt;0,"Yes","No")</f>
        <v>No</v>
      </c>
      <c r="N61" s="264" t="s">
        <v>102</v>
      </c>
      <c r="O61" s="511" t="n">
        <f aca="false">SUMIFS(Trades!$O$9:$O$59,Trades!$C$9:$C$59,C61,Trades!$G$9:$G$59,"Buy")</f>
        <v>0</v>
      </c>
      <c r="P61" s="511" t="n">
        <f aca="false">SUMIFS(Trades!$I$9:$I$59,Trades!$C$9:$C$59,$C61,Trades!$G$9:$G$59,"Buy")</f>
        <v>0</v>
      </c>
      <c r="Q61" s="330" t="str">
        <f aca="false">IF(ISERROR(O61/P61),"",-O61/P61)</f>
        <v/>
      </c>
      <c r="R61" s="0" t="n">
        <f aca="false">SUMIFS(Trades!$O$9:$O$59,Trades!$C$9:$C$59,$C61,Trades!$G$9:$G$59,"Sell")</f>
        <v>0</v>
      </c>
      <c r="S61" s="0" t="n">
        <f aca="false">SUMIFS(Trades!$I$9:$I$59,Trades!$C$9:$C$59,$C61,Trades!$G$9:$G$59,"Sell")</f>
        <v>0</v>
      </c>
      <c r="T61" s="0" t="str">
        <f aca="false">IF(S61=0,"",R61/S61)</f>
        <v/>
      </c>
    </row>
    <row r="62" customFormat="false" ht="15" hidden="false" customHeight="false" outlineLevel="0" collapsed="false">
      <c r="A62" s="134" t="str">
        <f aca="false">IF(B62="Yes",COUNTIF($B$3:B62,"Yes"),"")</f>
        <v/>
      </c>
      <c r="B62" s="0" t="str">
        <f aca="false">IF(SUM(D62:I62)&gt;0,"Yes","No")</f>
        <v>No</v>
      </c>
      <c r="C62" s="264" t="s">
        <v>90</v>
      </c>
      <c r="D62" s="0" t="n">
        <f aca="false">SUMIFS(Trades!$I$9:$I$59,Trades!$C$9:$C$59,$C62,Trades!$K$9:$K$59,"&lt;="&amp;D$2)-SUMIFS(Trades!$I$32:$I$59,Trades!$C$32:$C$59,$C62,Trades!$M$32:$M$59,"&lt;="&amp;D$2)</f>
        <v>0</v>
      </c>
      <c r="E62" s="0" t="n">
        <f aca="false">SUMIFS(Trades!$I$9:$I$59,Trades!$C$9:$C$59,$C62,Trades!$K$9:$K$59,"&lt;="&amp;E$2)-SUMIFS(Trades!$I$32:$I$59,Trades!$C$32:$C$59,$C62,Trades!$M$32:$M$59,"&lt;="&amp;E$2)</f>
        <v>0</v>
      </c>
      <c r="F62" s="0" t="n">
        <f aca="false">SUMIFS(Trades!$I$9:$I$59,Trades!$C$9:$C$59,$C62,Trades!$K$9:$K$59,"&lt;="&amp;F$2)-SUMIFS(Trades!$I$32:$I$59,Trades!$C$32:$C$59,$C62,Trades!$M$32:$M$59,"&lt;="&amp;F$2)</f>
        <v>0</v>
      </c>
      <c r="G62" s="0" t="n">
        <f aca="false">SUMIFS(Trades!$I$9:$I$59,Trades!$C$9:$C$59,$C62,Trades!$K$9:$K$59,"&lt;="&amp;G$2)-SUMIFS(Trades!$I$32:$I$59,Trades!$C$32:$C$59,$C62,Trades!$M$32:$M$59,"&lt;="&amp;G$2)</f>
        <v>0</v>
      </c>
      <c r="H62" s="0" t="n">
        <f aca="false">SUMIFS(Trades!$I$9:$I$59,Trades!$C$9:$C$59,$C62,Trades!$K$9:$K$59,"&lt;="&amp;H$2)-SUMIFS(Trades!$I$32:$I$59,Trades!$C$32:$C$59,$C62,Trades!$M$32:$M$59,"&lt;="&amp;H$2)</f>
        <v>0</v>
      </c>
      <c r="I62" s="0" t="n">
        <f aca="false">SUMIFS(Trades!$I$9:$I$59,Trades!$C$9:$C$59,$C62,Trades!$K$9:$K$59,"&lt;="&amp;I$2)-SUMIFS(Trades!$I$32:$I$59,Trades!$C$32:$C$59,$C62,Trades!$M$32:$M$59,"&lt;="&amp;I$2)</f>
        <v>0</v>
      </c>
      <c r="M62" s="0" t="str">
        <f aca="false">IF(SUM(O62:O62)&gt;0,"Yes","No")</f>
        <v>No</v>
      </c>
      <c r="N62" s="264" t="s">
        <v>90</v>
      </c>
      <c r="O62" s="511" t="n">
        <f aca="false">SUMIFS(Trades!$O$9:$O$59,Trades!$C$9:$C$59,C62,Trades!$G$9:$G$59,"Buy")</f>
        <v>0</v>
      </c>
      <c r="P62" s="511" t="n">
        <f aca="false">SUMIFS(Trades!$I$9:$I$59,Trades!$C$9:$C$59,$C62,Trades!$G$9:$G$59,"Buy")</f>
        <v>0</v>
      </c>
      <c r="Q62" s="330" t="str">
        <f aca="false">IF(ISERROR(O62/P62),"",-O62/P62)</f>
        <v/>
      </c>
      <c r="R62" s="0" t="n">
        <f aca="false">SUMIFS(Trades!$O$9:$O$59,Trades!$C$9:$C$59,$C62,Trades!$G$9:$G$59,"Sell")</f>
        <v>0</v>
      </c>
      <c r="S62" s="0" t="n">
        <f aca="false">SUMIFS(Trades!$I$9:$I$59,Trades!$C$9:$C$59,$C62,Trades!$G$9:$G$59,"Sell")</f>
        <v>0</v>
      </c>
      <c r="T62" s="0" t="str">
        <f aca="false">IF(S62=0,"",R62/S62)</f>
        <v/>
      </c>
    </row>
    <row r="63" customFormat="false" ht="15" hidden="false" customHeight="false" outlineLevel="0" collapsed="false">
      <c r="A63" s="134" t="str">
        <f aca="false">IF(B63="Yes",COUNTIF($B$3:B63,"Yes"),"")</f>
        <v/>
      </c>
      <c r="B63" s="0" t="str">
        <f aca="false">IF(SUM(D63:I63)&gt;0,"Yes","No")</f>
        <v>No</v>
      </c>
      <c r="C63" s="264" t="s">
        <v>93</v>
      </c>
      <c r="D63" s="0" t="n">
        <f aca="false">SUMIFS(Trades!$I$9:$I$59,Trades!$C$9:$C$59,$C63,Trades!$K$9:$K$59,"&lt;="&amp;D$2)-SUMIFS(Trades!$I$32:$I$59,Trades!$C$32:$C$59,$C63,Trades!$M$32:$M$59,"&lt;="&amp;D$2)</f>
        <v>0</v>
      </c>
      <c r="E63" s="0" t="n">
        <f aca="false">SUMIFS(Trades!$I$9:$I$59,Trades!$C$9:$C$59,$C63,Trades!$K$9:$K$59,"&lt;="&amp;E$2)-SUMIFS(Trades!$I$32:$I$59,Trades!$C$32:$C$59,$C63,Trades!$M$32:$M$59,"&lt;="&amp;E$2)</f>
        <v>0</v>
      </c>
      <c r="F63" s="0" t="n">
        <f aca="false">SUMIFS(Trades!$I$9:$I$59,Trades!$C$9:$C$59,$C63,Trades!$K$9:$K$59,"&lt;="&amp;F$2)-SUMIFS(Trades!$I$32:$I$59,Trades!$C$32:$C$59,$C63,Trades!$M$32:$M$59,"&lt;="&amp;F$2)</f>
        <v>0</v>
      </c>
      <c r="G63" s="0" t="n">
        <f aca="false">SUMIFS(Trades!$I$9:$I$59,Trades!$C$9:$C$59,$C63,Trades!$K$9:$K$59,"&lt;="&amp;G$2)-SUMIFS(Trades!$I$32:$I$59,Trades!$C$32:$C$59,$C63,Trades!$M$32:$M$59,"&lt;="&amp;G$2)</f>
        <v>0</v>
      </c>
      <c r="H63" s="0" t="n">
        <f aca="false">SUMIFS(Trades!$I$9:$I$59,Trades!$C$9:$C$59,$C63,Trades!$K$9:$K$59,"&lt;="&amp;H$2)-SUMIFS(Trades!$I$32:$I$59,Trades!$C$32:$C$59,$C63,Trades!$M$32:$M$59,"&lt;="&amp;H$2)</f>
        <v>0</v>
      </c>
      <c r="I63" s="0" t="n">
        <f aca="false">SUMIFS(Trades!$I$9:$I$59,Trades!$C$9:$C$59,$C63,Trades!$K$9:$K$59,"&lt;="&amp;I$2)-SUMIFS(Trades!$I$32:$I$59,Trades!$C$32:$C$59,$C63,Trades!$M$32:$M$59,"&lt;="&amp;I$2)</f>
        <v>0</v>
      </c>
      <c r="M63" s="0" t="str">
        <f aca="false">IF(SUM(O63:O63)&gt;0,"Yes","No")</f>
        <v>No</v>
      </c>
      <c r="N63" s="264" t="s">
        <v>93</v>
      </c>
      <c r="O63" s="511" t="n">
        <f aca="false">SUMIFS(Trades!$O$9:$O$59,Trades!$C$9:$C$59,C63,Trades!$G$9:$G$59,"Buy")</f>
        <v>0</v>
      </c>
      <c r="P63" s="511" t="n">
        <f aca="false">SUMIFS(Trades!$I$9:$I$59,Trades!$C$9:$C$59,$C63,Trades!$G$9:$G$59,"Buy")</f>
        <v>0</v>
      </c>
      <c r="Q63" s="330" t="str">
        <f aca="false">IF(ISERROR(O63/P63),"",-O63/P63)</f>
        <v/>
      </c>
      <c r="R63" s="0" t="n">
        <f aca="false">SUMIFS(Trades!$O$9:$O$59,Trades!$C$9:$C$59,$C63,Trades!$G$9:$G$59,"Sell")</f>
        <v>0</v>
      </c>
      <c r="S63" s="0" t="n">
        <f aca="false">SUMIFS(Trades!$I$9:$I$59,Trades!$C$9:$C$59,$C63,Trades!$G$9:$G$59,"Sell")</f>
        <v>0</v>
      </c>
      <c r="T63" s="0" t="str">
        <f aca="false">IF(S63=0,"",R63/S63)</f>
        <v/>
      </c>
    </row>
    <row r="64" customFormat="false" ht="15" hidden="false" customHeight="false" outlineLevel="0" collapsed="false">
      <c r="A64" s="134" t="str">
        <f aca="false">IF(B64="Yes",COUNTIF($B$3:B64,"Yes"),"")</f>
        <v/>
      </c>
      <c r="B64" s="0" t="str">
        <f aca="false">IF(SUM(D64:I64)&gt;0,"Yes","No")</f>
        <v>No</v>
      </c>
      <c r="C64" s="264" t="s">
        <v>99</v>
      </c>
      <c r="D64" s="0" t="n">
        <f aca="false">SUMIFS(Trades!$I$9:$I$59,Trades!$C$9:$C$59,$C64,Trades!$K$9:$K$59,"&lt;="&amp;D$2)-SUMIFS(Trades!$I$32:$I$59,Trades!$C$32:$C$59,$C64,Trades!$M$32:$M$59,"&lt;="&amp;D$2)</f>
        <v>0</v>
      </c>
      <c r="E64" s="0" t="n">
        <f aca="false">SUMIFS(Trades!$I$9:$I$59,Trades!$C$9:$C$59,$C64,Trades!$K$9:$K$59,"&lt;="&amp;E$2)-SUMIFS(Trades!$I$32:$I$59,Trades!$C$32:$C$59,$C64,Trades!$M$32:$M$59,"&lt;="&amp;E$2)</f>
        <v>0</v>
      </c>
      <c r="F64" s="0" t="n">
        <f aca="false">SUMIFS(Trades!$I$9:$I$59,Trades!$C$9:$C$59,$C64,Trades!$K$9:$K$59,"&lt;="&amp;F$2)-SUMIFS(Trades!$I$32:$I$59,Trades!$C$32:$C$59,$C64,Trades!$M$32:$M$59,"&lt;="&amp;F$2)</f>
        <v>0</v>
      </c>
      <c r="G64" s="0" t="n">
        <f aca="false">SUMIFS(Trades!$I$9:$I$59,Trades!$C$9:$C$59,$C64,Trades!$K$9:$K$59,"&lt;="&amp;G$2)-SUMIFS(Trades!$I$32:$I$59,Trades!$C$32:$C$59,$C64,Trades!$M$32:$M$59,"&lt;="&amp;G$2)</f>
        <v>0</v>
      </c>
      <c r="H64" s="0" t="n">
        <f aca="false">SUMIFS(Trades!$I$9:$I$59,Trades!$C$9:$C$59,$C64,Trades!$K$9:$K$59,"&lt;="&amp;H$2)-SUMIFS(Trades!$I$32:$I$59,Trades!$C$32:$C$59,$C64,Trades!$M$32:$M$59,"&lt;="&amp;H$2)</f>
        <v>0</v>
      </c>
      <c r="I64" s="0" t="n">
        <f aca="false">SUMIFS(Trades!$I$9:$I$59,Trades!$C$9:$C$59,$C64,Trades!$K$9:$K$59,"&lt;="&amp;I$2)-SUMIFS(Trades!$I$32:$I$59,Trades!$C$32:$C$59,$C64,Trades!$M$32:$M$59,"&lt;="&amp;I$2)</f>
        <v>0</v>
      </c>
      <c r="M64" s="0" t="str">
        <f aca="false">IF(SUM(O64:O64)&gt;0,"Yes","No")</f>
        <v>No</v>
      </c>
      <c r="N64" s="264" t="s">
        <v>99</v>
      </c>
      <c r="O64" s="511" t="n">
        <f aca="false">SUMIFS(Trades!$O$9:$O$59,Trades!$C$9:$C$59,C64,Trades!$G$9:$G$59,"Buy")</f>
        <v>0</v>
      </c>
      <c r="P64" s="511" t="n">
        <f aca="false">SUMIFS(Trades!$I$9:$I$59,Trades!$C$9:$C$59,$C64,Trades!$G$9:$G$59,"Buy")</f>
        <v>0</v>
      </c>
      <c r="Q64" s="330" t="str">
        <f aca="false">IF(ISERROR(O64/P64),"",-O64/P64)</f>
        <v/>
      </c>
      <c r="R64" s="0" t="n">
        <f aca="false">SUMIFS(Trades!$O$9:$O$59,Trades!$C$9:$C$59,$C64,Trades!$G$9:$G$59,"Sell")</f>
        <v>0</v>
      </c>
      <c r="S64" s="0" t="n">
        <f aca="false">SUMIFS(Trades!$I$9:$I$59,Trades!$C$9:$C$59,$C64,Trades!$G$9:$G$59,"Sell")</f>
        <v>0</v>
      </c>
      <c r="T64" s="0" t="str">
        <f aca="false">IF(S64=0,"",R64/S64)</f>
        <v/>
      </c>
    </row>
    <row r="65" customFormat="false" ht="15" hidden="false" customHeight="false" outlineLevel="0" collapsed="false">
      <c r="A65" s="134" t="str">
        <f aca="false">IF(B65="Yes",COUNTIF($B$3:B65,"Yes"),"")</f>
        <v/>
      </c>
      <c r="B65" s="0" t="str">
        <f aca="false">IF(SUM(D65:I65)&gt;0,"Yes","No")</f>
        <v>No</v>
      </c>
      <c r="C65" s="264" t="s">
        <v>105</v>
      </c>
      <c r="D65" s="0" t="n">
        <f aca="false">SUMIFS(Trades!$I$9:$I$59,Trades!$C$9:$C$59,$C65,Trades!$K$9:$K$59,"&lt;="&amp;D$2)-SUMIFS(Trades!$I$32:$I$59,Trades!$C$32:$C$59,$C65,Trades!$M$32:$M$59,"&lt;="&amp;D$2)</f>
        <v>0</v>
      </c>
      <c r="E65" s="0" t="n">
        <f aca="false">SUMIFS(Trades!$I$9:$I$59,Trades!$C$9:$C$59,$C65,Trades!$K$9:$K$59,"&lt;="&amp;E$2)-SUMIFS(Trades!$I$32:$I$59,Trades!$C$32:$C$59,$C65,Trades!$M$32:$M$59,"&lt;="&amp;E$2)</f>
        <v>0</v>
      </c>
      <c r="F65" s="0" t="n">
        <f aca="false">SUMIFS(Trades!$I$9:$I$59,Trades!$C$9:$C$59,$C65,Trades!$K$9:$K$59,"&lt;="&amp;F$2)-SUMIFS(Trades!$I$32:$I$59,Trades!$C$32:$C$59,$C65,Trades!$M$32:$M$59,"&lt;="&amp;F$2)</f>
        <v>0</v>
      </c>
      <c r="G65" s="0" t="n">
        <f aca="false">SUMIFS(Trades!$I$9:$I$59,Trades!$C$9:$C$59,$C65,Trades!$K$9:$K$59,"&lt;="&amp;G$2)-SUMIFS(Trades!$I$32:$I$59,Trades!$C$32:$C$59,$C65,Trades!$M$32:$M$59,"&lt;="&amp;G$2)</f>
        <v>0</v>
      </c>
      <c r="H65" s="0" t="n">
        <f aca="false">SUMIFS(Trades!$I$9:$I$59,Trades!$C$9:$C$59,$C65,Trades!$K$9:$K$59,"&lt;="&amp;H$2)-SUMIFS(Trades!$I$32:$I$59,Trades!$C$32:$C$59,$C65,Trades!$M$32:$M$59,"&lt;="&amp;H$2)</f>
        <v>0</v>
      </c>
      <c r="I65" s="0" t="n">
        <f aca="false">SUMIFS(Trades!$I$9:$I$59,Trades!$C$9:$C$59,$C65,Trades!$K$9:$K$59,"&lt;="&amp;I$2)-SUMIFS(Trades!$I$32:$I$59,Trades!$C$32:$C$59,$C65,Trades!$M$32:$M$59,"&lt;="&amp;I$2)</f>
        <v>0</v>
      </c>
      <c r="M65" s="0" t="str">
        <f aca="false">IF(SUM(O65:O65)&gt;0,"Yes","No")</f>
        <v>No</v>
      </c>
      <c r="N65" s="264" t="s">
        <v>105</v>
      </c>
      <c r="O65" s="511" t="n">
        <f aca="false">SUMIFS(Trades!$O$9:$O$59,Trades!$C$9:$C$59,C65,Trades!$G$9:$G$59,"Buy")</f>
        <v>0</v>
      </c>
      <c r="P65" s="511" t="n">
        <f aca="false">SUMIFS(Trades!$I$9:$I$59,Trades!$C$9:$C$59,$C65,Trades!$G$9:$G$59,"Buy")</f>
        <v>0</v>
      </c>
      <c r="Q65" s="330" t="str">
        <f aca="false">IF(ISERROR(O65/P65),"",-O65/P65)</f>
        <v/>
      </c>
      <c r="R65" s="0" t="n">
        <f aca="false">SUMIFS(Trades!$O$9:$O$59,Trades!$C$9:$C$59,$C65,Trades!$G$9:$G$59,"Sell")</f>
        <v>0</v>
      </c>
      <c r="S65" s="0" t="n">
        <f aca="false">SUMIFS(Trades!$I$9:$I$59,Trades!$C$9:$C$59,$C65,Trades!$G$9:$G$59,"Sell")</f>
        <v>0</v>
      </c>
      <c r="T65" s="0" t="str">
        <f aca="false">IF(S65=0,"",R65/S65)</f>
        <v/>
      </c>
    </row>
    <row r="66" customFormat="false" ht="15" hidden="false" customHeight="false" outlineLevel="0" collapsed="false">
      <c r="A66" s="134" t="str">
        <f aca="false">IF(B66="Yes",COUNTIF($B$3:B66,"Yes"),"")</f>
        <v/>
      </c>
      <c r="B66" s="0" t="str">
        <f aca="false">IF(SUM(D66:I66)&gt;0,"Yes","No")</f>
        <v>No</v>
      </c>
      <c r="C66" s="264" t="s">
        <v>87</v>
      </c>
      <c r="D66" s="0" t="n">
        <f aca="false">SUMIFS(Trades!$I$9:$I$59,Trades!$C$9:$C$59,$C66,Trades!$K$9:$K$59,"&lt;="&amp;D$2)-SUMIFS(Trades!$I$32:$I$59,Trades!$C$32:$C$59,$C66,Trades!$M$32:$M$59,"&lt;="&amp;D$2)</f>
        <v>0</v>
      </c>
      <c r="E66" s="0" t="n">
        <f aca="false">SUMIFS(Trades!$I$9:$I$59,Trades!$C$9:$C$59,$C66,Trades!$K$9:$K$59,"&lt;="&amp;E$2)-SUMIFS(Trades!$I$32:$I$59,Trades!$C$32:$C$59,$C66,Trades!$M$32:$M$59,"&lt;="&amp;E$2)</f>
        <v>0</v>
      </c>
      <c r="F66" s="0" t="n">
        <f aca="false">SUMIFS(Trades!$I$9:$I$59,Trades!$C$9:$C$59,$C66,Trades!$K$9:$K$59,"&lt;="&amp;F$2)-SUMIFS(Trades!$I$32:$I$59,Trades!$C$32:$C$59,$C66,Trades!$M$32:$M$59,"&lt;="&amp;F$2)</f>
        <v>0</v>
      </c>
      <c r="G66" s="0" t="n">
        <f aca="false">SUMIFS(Trades!$I$9:$I$59,Trades!$C$9:$C$59,$C66,Trades!$K$9:$K$59,"&lt;="&amp;G$2)-SUMIFS(Trades!$I$32:$I$59,Trades!$C$32:$C$59,$C66,Trades!$M$32:$M$59,"&lt;="&amp;G$2)</f>
        <v>0</v>
      </c>
      <c r="H66" s="0" t="n">
        <f aca="false">SUMIFS(Trades!$I$9:$I$59,Trades!$C$9:$C$59,$C66,Trades!$K$9:$K$59,"&lt;="&amp;H$2)-SUMIFS(Trades!$I$32:$I$59,Trades!$C$32:$C$59,$C66,Trades!$M$32:$M$59,"&lt;="&amp;H$2)</f>
        <v>0</v>
      </c>
      <c r="I66" s="0" t="n">
        <f aca="false">SUMIFS(Trades!$I$9:$I$59,Trades!$C$9:$C$59,$C66,Trades!$K$9:$K$59,"&lt;="&amp;I$2)-SUMIFS(Trades!$I$32:$I$59,Trades!$C$32:$C$59,$C66,Trades!$M$32:$M$59,"&lt;="&amp;I$2)</f>
        <v>0</v>
      </c>
      <c r="M66" s="0" t="str">
        <f aca="false">IF(SUM(O66:O66)&gt;0,"Yes","No")</f>
        <v>No</v>
      </c>
      <c r="N66" s="264" t="s">
        <v>87</v>
      </c>
      <c r="O66" s="511" t="n">
        <f aca="false">SUMIFS(Trades!$O$9:$O$59,Trades!$C$9:$C$59,C66,Trades!$G$9:$G$59,"Buy")</f>
        <v>0</v>
      </c>
      <c r="P66" s="511" t="n">
        <f aca="false">SUMIFS(Trades!$I$9:$I$59,Trades!$C$9:$C$59,$C66,Trades!$G$9:$G$59,"Buy")</f>
        <v>0</v>
      </c>
      <c r="Q66" s="330" t="str">
        <f aca="false">IF(ISERROR(O66/P66),"",-O66/P66)</f>
        <v/>
      </c>
      <c r="R66" s="0" t="n">
        <f aca="false">SUMIFS(Trades!$O$9:$O$59,Trades!$C$9:$C$59,$C66,Trades!$G$9:$G$59,"Sell")</f>
        <v>0</v>
      </c>
      <c r="S66" s="0" t="n">
        <f aca="false">SUMIFS(Trades!$I$9:$I$59,Trades!$C$9:$C$59,$C66,Trades!$G$9:$G$59,"Sell")</f>
        <v>0</v>
      </c>
      <c r="T66" s="0" t="str">
        <f aca="false">IF(S66=0,"",R66/S66)</f>
        <v/>
      </c>
    </row>
    <row r="67" customFormat="false" ht="15" hidden="false" customHeight="false" outlineLevel="0" collapsed="false">
      <c r="A67" s="134" t="str">
        <f aca="false">IF(B67="Yes",COUNTIF($B$3:B67,"Yes"),"")</f>
        <v/>
      </c>
      <c r="B67" s="0" t="str">
        <f aca="false">IF(SUM(D67:I67)&gt;0,"Yes","No")</f>
        <v>No</v>
      </c>
      <c r="C67" s="264" t="s">
        <v>108</v>
      </c>
      <c r="D67" s="0" t="n">
        <f aca="false">SUMIFS(Trades!$I$9:$I$59,Trades!$C$9:$C$59,$C67,Trades!$K$9:$K$59,"&lt;="&amp;D$2)-SUMIFS(Trades!$I$32:$I$59,Trades!$C$32:$C$59,$C67,Trades!$M$32:$M$59,"&lt;="&amp;D$2)</f>
        <v>0</v>
      </c>
      <c r="E67" s="0" t="n">
        <f aca="false">SUMIFS(Trades!$I$9:$I$59,Trades!$C$9:$C$59,$C67,Trades!$K$9:$K$59,"&lt;="&amp;E$2)-SUMIFS(Trades!$I$32:$I$59,Trades!$C$32:$C$59,$C67,Trades!$M$32:$M$59,"&lt;="&amp;E$2)</f>
        <v>0</v>
      </c>
      <c r="F67" s="0" t="n">
        <f aca="false">SUMIFS(Trades!$I$9:$I$59,Trades!$C$9:$C$59,$C67,Trades!$K$9:$K$59,"&lt;="&amp;F$2)-SUMIFS(Trades!$I$32:$I$59,Trades!$C$32:$C$59,$C67,Trades!$M$32:$M$59,"&lt;="&amp;F$2)</f>
        <v>0</v>
      </c>
      <c r="G67" s="0" t="n">
        <f aca="false">SUMIFS(Trades!$I$9:$I$59,Trades!$C$9:$C$59,$C67,Trades!$K$9:$K$59,"&lt;="&amp;G$2)-SUMIFS(Trades!$I$32:$I$59,Trades!$C$32:$C$59,$C67,Trades!$M$32:$M$59,"&lt;="&amp;G$2)</f>
        <v>0</v>
      </c>
      <c r="H67" s="0" t="n">
        <f aca="false">SUMIFS(Trades!$I$9:$I$59,Trades!$C$9:$C$59,$C67,Trades!$K$9:$K$59,"&lt;="&amp;H$2)-SUMIFS(Trades!$I$32:$I$59,Trades!$C$32:$C$59,$C67,Trades!$M$32:$M$59,"&lt;="&amp;H$2)</f>
        <v>0</v>
      </c>
      <c r="I67" s="0" t="n">
        <f aca="false">SUMIFS(Trades!$I$9:$I$59,Trades!$C$9:$C$59,$C67,Trades!$K$9:$K$59,"&lt;="&amp;I$2)-SUMIFS(Trades!$I$32:$I$59,Trades!$C$32:$C$59,$C67,Trades!$M$32:$M$59,"&lt;="&amp;I$2)</f>
        <v>0</v>
      </c>
      <c r="M67" s="0" t="str">
        <f aca="false">IF(SUM(O67:O67)&gt;0,"Yes","No")</f>
        <v>No</v>
      </c>
      <c r="N67" s="264" t="s">
        <v>108</v>
      </c>
      <c r="O67" s="511" t="n">
        <f aca="false">SUMIFS(Trades!$O$9:$O$59,Trades!$C$9:$C$59,C67,Trades!$G$9:$G$59,"Buy")</f>
        <v>0</v>
      </c>
      <c r="P67" s="511" t="n">
        <f aca="false">SUMIFS(Trades!$I$9:$I$59,Trades!$C$9:$C$59,$C67,Trades!$G$9:$G$59,"Buy")</f>
        <v>0</v>
      </c>
      <c r="Q67" s="330" t="str">
        <f aca="false">IF(ISERROR(O67/P67),"",-O67/P67)</f>
        <v/>
      </c>
      <c r="R67" s="0" t="n">
        <f aca="false">SUMIFS(Trades!$O$9:$O$59,Trades!$C$9:$C$59,$C67,Trades!$G$9:$G$59,"Sell")</f>
        <v>0</v>
      </c>
      <c r="S67" s="0" t="n">
        <f aca="false">SUMIFS(Trades!$I$9:$I$59,Trades!$C$9:$C$59,$C67,Trades!$G$9:$G$59,"Sell")</f>
        <v>0</v>
      </c>
      <c r="T67" s="0" t="str">
        <f aca="false">IF(S67=0,"",R67/S67)</f>
        <v/>
      </c>
    </row>
    <row r="68" customFormat="false" ht="15" hidden="false" customHeight="false" outlineLevel="0" collapsed="false">
      <c r="A68" s="134" t="str">
        <f aca="false">IF(B68="Yes",COUNTIF($B$3:B68,"Yes"),"")</f>
        <v/>
      </c>
      <c r="B68" s="0" t="str">
        <f aca="false">IF(SUM(D68:I68)&gt;0,"Yes","No")</f>
        <v>No</v>
      </c>
      <c r="C68" s="264" t="s">
        <v>96</v>
      </c>
      <c r="D68" s="0" t="n">
        <f aca="false">SUMIFS(Trades!$I$9:$I$59,Trades!$C$9:$C$59,$C68,Trades!$K$9:$K$59,"&lt;="&amp;D$2)-SUMIFS(Trades!$I$32:$I$59,Trades!$C$32:$C$59,$C68,Trades!$M$32:$M$59,"&lt;="&amp;D$2)</f>
        <v>0</v>
      </c>
      <c r="E68" s="0" t="n">
        <f aca="false">SUMIFS(Trades!$I$9:$I$59,Trades!$C$9:$C$59,$C68,Trades!$K$9:$K$59,"&lt;="&amp;E$2)-SUMIFS(Trades!$I$32:$I$59,Trades!$C$32:$C$59,$C68,Trades!$M$32:$M$59,"&lt;="&amp;E$2)</f>
        <v>0</v>
      </c>
      <c r="F68" s="0" t="n">
        <f aca="false">SUMIFS(Trades!$I$9:$I$59,Trades!$C$9:$C$59,$C68,Trades!$K$9:$K$59,"&lt;="&amp;F$2)-SUMIFS(Trades!$I$32:$I$59,Trades!$C$32:$C$59,$C68,Trades!$M$32:$M$59,"&lt;="&amp;F$2)</f>
        <v>0</v>
      </c>
      <c r="G68" s="0" t="n">
        <f aca="false">SUMIFS(Trades!$I$9:$I$59,Trades!$C$9:$C$59,$C68,Trades!$K$9:$K$59,"&lt;="&amp;G$2)-SUMIFS(Trades!$I$32:$I$59,Trades!$C$32:$C$59,$C68,Trades!$M$32:$M$59,"&lt;="&amp;G$2)</f>
        <v>0</v>
      </c>
      <c r="H68" s="0" t="n">
        <f aca="false">SUMIFS(Trades!$I$9:$I$59,Trades!$C$9:$C$59,$C68,Trades!$K$9:$K$59,"&lt;="&amp;H$2)-SUMIFS(Trades!$I$32:$I$59,Trades!$C$32:$C$59,$C68,Trades!$M$32:$M$59,"&lt;="&amp;H$2)</f>
        <v>0</v>
      </c>
      <c r="I68" s="0" t="n">
        <f aca="false">SUMIFS(Trades!$I$9:$I$59,Trades!$C$9:$C$59,$C68,Trades!$K$9:$K$59,"&lt;="&amp;I$2)-SUMIFS(Trades!$I$32:$I$59,Trades!$C$32:$C$59,$C68,Trades!$M$32:$M$59,"&lt;="&amp;I$2)</f>
        <v>0</v>
      </c>
      <c r="M68" s="0" t="str">
        <f aca="false">IF(SUM(O68:O68)&gt;0,"Yes","No")</f>
        <v>No</v>
      </c>
      <c r="N68" s="264" t="s">
        <v>96</v>
      </c>
      <c r="O68" s="511" t="n">
        <f aca="false">SUMIFS(Trades!$O$9:$O$59,Trades!$C$9:$C$59,C68,Trades!$G$9:$G$59,"Buy")</f>
        <v>0</v>
      </c>
      <c r="P68" s="511" t="n">
        <f aca="false">SUMIFS(Trades!$I$9:$I$59,Trades!$C$9:$C$59,$C68,Trades!$G$9:$G$59,"Buy")</f>
        <v>0</v>
      </c>
      <c r="Q68" s="330" t="str">
        <f aca="false">IF(ISERROR(O68/P68),"",-O68/P68)</f>
        <v/>
      </c>
      <c r="R68" s="0" t="n">
        <f aca="false">SUMIFS(Trades!$O$9:$O$59,Trades!$C$9:$C$59,$C68,Trades!$G$9:$G$59,"Sell")</f>
        <v>0</v>
      </c>
      <c r="S68" s="0" t="n">
        <f aca="false">SUMIFS(Trades!$I$9:$I$59,Trades!$C$9:$C$59,$C68,Trades!$G$9:$G$59,"Sell")</f>
        <v>0</v>
      </c>
      <c r="T68" s="0" t="str">
        <f aca="false">IF(S68=0,"",R68/S68)</f>
        <v/>
      </c>
    </row>
    <row r="69" customFormat="false" ht="15" hidden="false" customHeight="false" outlineLevel="0" collapsed="false">
      <c r="A69" s="134" t="str">
        <f aca="false">IF(B69="Yes",COUNTIF($B$3:B69,"Yes"),"")</f>
        <v/>
      </c>
      <c r="B69" s="0" t="str">
        <f aca="false">IF(SUM(D69:I69)&gt;0,"Yes","No")</f>
        <v>No</v>
      </c>
      <c r="C69" s="264" t="s">
        <v>84</v>
      </c>
      <c r="D69" s="0" t="n">
        <f aca="false">SUMIFS(Trades!$I$9:$I$59,Trades!$C$9:$C$59,$C69,Trades!$K$9:$K$59,"&lt;="&amp;D$2)-SUMIFS(Trades!$I$32:$I$59,Trades!$C$32:$C$59,$C69,Trades!$M$32:$M$59,"&lt;="&amp;D$2)</f>
        <v>0</v>
      </c>
      <c r="E69" s="0" t="n">
        <f aca="false">SUMIFS(Trades!$I$9:$I$59,Trades!$C$9:$C$59,$C69,Trades!$K$9:$K$59,"&lt;="&amp;E$2)-SUMIFS(Trades!$I$32:$I$59,Trades!$C$32:$C$59,$C69,Trades!$M$32:$M$59,"&lt;="&amp;E$2)</f>
        <v>0</v>
      </c>
      <c r="F69" s="0" t="n">
        <f aca="false">SUMIFS(Trades!$I$9:$I$59,Trades!$C$9:$C$59,$C69,Trades!$K$9:$K$59,"&lt;="&amp;F$2)-SUMIFS(Trades!$I$32:$I$59,Trades!$C$32:$C$59,$C69,Trades!$M$32:$M$59,"&lt;="&amp;F$2)</f>
        <v>0</v>
      </c>
      <c r="G69" s="0" t="n">
        <f aca="false">SUMIFS(Trades!$I$9:$I$59,Trades!$C$9:$C$59,$C69,Trades!$K$9:$K$59,"&lt;="&amp;G$2)-SUMIFS(Trades!$I$32:$I$59,Trades!$C$32:$C$59,$C69,Trades!$M$32:$M$59,"&lt;="&amp;G$2)</f>
        <v>0</v>
      </c>
      <c r="H69" s="0" t="n">
        <f aca="false">SUMIFS(Trades!$I$9:$I$59,Trades!$C$9:$C$59,$C69,Trades!$K$9:$K$59,"&lt;="&amp;H$2)-SUMIFS(Trades!$I$32:$I$59,Trades!$C$32:$C$59,$C69,Trades!$M$32:$M$59,"&lt;="&amp;H$2)</f>
        <v>0</v>
      </c>
      <c r="I69" s="0" t="n">
        <f aca="false">SUMIFS(Trades!$I$9:$I$59,Trades!$C$9:$C$59,$C69,Trades!$K$9:$K$59,"&lt;="&amp;I$2)-SUMIFS(Trades!$I$32:$I$59,Trades!$C$32:$C$59,$C69,Trades!$M$32:$M$59,"&lt;="&amp;I$2)</f>
        <v>0</v>
      </c>
      <c r="M69" s="0" t="str">
        <f aca="false">IF(SUM(O69:O69)&gt;0,"Yes","No")</f>
        <v>No</v>
      </c>
      <c r="N69" s="264" t="s">
        <v>84</v>
      </c>
      <c r="O69" s="511" t="n">
        <f aca="false">SUMIFS(Trades!$O$9:$O$59,Trades!$C$9:$C$59,C69,Trades!$G$9:$G$59,"Buy")</f>
        <v>0</v>
      </c>
      <c r="P69" s="511" t="n">
        <f aca="false">SUMIFS(Trades!$I$9:$I$59,Trades!$C$9:$C$59,$C69,Trades!$G$9:$G$59,"Buy")</f>
        <v>0</v>
      </c>
      <c r="Q69" s="330" t="str">
        <f aca="false">IF(ISERROR(O69/P69),"",-O69/P69)</f>
        <v/>
      </c>
      <c r="R69" s="0" t="n">
        <f aca="false">SUMIFS(Trades!$O$9:$O$59,Trades!$C$9:$C$59,$C69,Trades!$G$9:$G$59,"Sell")</f>
        <v>0</v>
      </c>
      <c r="S69" s="0" t="n">
        <f aca="false">SUMIFS(Trades!$I$9:$I$59,Trades!$C$9:$C$59,$C69,Trades!$G$9:$G$59,"Sell")</f>
        <v>0</v>
      </c>
      <c r="T69" s="0" t="str">
        <f aca="false">IF(S69=0,"",R69/S69)</f>
        <v/>
      </c>
    </row>
  </sheetData>
  <autoFilter ref="C2:I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J83"/>
  <sheetViews>
    <sheetView showFormulas="false" showGridLines="true" showRowColHeaders="true" showZeros="true" rightToLeft="false" tabSelected="false" showOutlineSymbols="true" defaultGridColor="true" view="normal" topLeftCell="A43" colorId="64" zoomScale="50" zoomScaleNormal="50" zoomScalePageLayoutView="100" workbookViewId="0">
      <selection pane="topLeft" activeCell="O26" activeCellId="0" sqref="O26"/>
    </sheetView>
  </sheetViews>
  <sheetFormatPr defaultRowHeight="15" zeroHeight="false" outlineLevelRow="0" outlineLevelCol="0"/>
  <cols>
    <col collapsed="false" customWidth="true" hidden="false" outlineLevel="0" max="1" min="1" style="0" width="8.54"/>
    <col collapsed="false" customWidth="true" hidden="false" outlineLevel="0" max="34" min="2" style="0" width="13.02"/>
    <col collapsed="false" customWidth="true" hidden="false" outlineLevel="0" max="35" min="35" style="0" width="14.28"/>
    <col collapsed="false" customWidth="true" hidden="false" outlineLevel="0" max="36" min="36" style="0" width="7.71"/>
    <col collapsed="false" customWidth="true" hidden="false" outlineLevel="0" max="1025" min="37" style="0" width="8.54"/>
  </cols>
  <sheetData>
    <row r="1" customFormat="false" ht="18.75" hidden="false" customHeight="false" outlineLevel="0" collapsed="false">
      <c r="A1" s="136" t="s">
        <v>467</v>
      </c>
    </row>
    <row r="2" customFormat="false" ht="18.75" hidden="false" customHeight="false" outlineLevel="0" collapsed="false">
      <c r="A2" s="136"/>
    </row>
    <row r="3" customFormat="false" ht="18.75" hidden="false" customHeight="false" outlineLevel="0" collapsed="false">
      <c r="A3" s="136"/>
      <c r="B3" s="512" t="s">
        <v>468</v>
      </c>
    </row>
    <row r="4" customFormat="false" ht="18.75" hidden="false" customHeight="false" outlineLevel="0" collapsed="false">
      <c r="A4" s="136"/>
      <c r="B4" s="194" t="s">
        <v>469</v>
      </c>
    </row>
    <row r="5" customFormat="false" ht="18.75" hidden="false" customHeight="false" outlineLevel="0" collapsed="false">
      <c r="A5" s="136"/>
      <c r="B5" s="0" t="s">
        <v>470</v>
      </c>
      <c r="C5" s="0" t="n">
        <v>0</v>
      </c>
      <c r="D5" s="0" t="n">
        <v>1</v>
      </c>
      <c r="E5" s="0" t="n">
        <v>2</v>
      </c>
      <c r="F5" s="0" t="n">
        <v>3</v>
      </c>
      <c r="G5" s="0" t="n">
        <v>4</v>
      </c>
      <c r="H5" s="0" t="n">
        <v>5</v>
      </c>
      <c r="I5" s="0" t="n">
        <v>6</v>
      </c>
      <c r="J5" s="0" t="n">
        <v>7</v>
      </c>
      <c r="K5" s="0" t="n">
        <v>8</v>
      </c>
      <c r="L5" s="0" t="n">
        <v>9</v>
      </c>
      <c r="O5" s="194" t="s">
        <v>471</v>
      </c>
      <c r="P5" s="0" t="n">
        <v>0</v>
      </c>
      <c r="Q5" s="0" t="n">
        <v>1</v>
      </c>
      <c r="R5" s="0" t="n">
        <v>2</v>
      </c>
      <c r="S5" s="0" t="n">
        <v>3</v>
      </c>
      <c r="T5" s="0" t="n">
        <v>4</v>
      </c>
      <c r="U5" s="0" t="n">
        <v>5</v>
      </c>
      <c r="V5" s="0" t="n">
        <v>6</v>
      </c>
      <c r="W5" s="0" t="n">
        <v>7</v>
      </c>
      <c r="X5" s="0" t="n">
        <v>8</v>
      </c>
      <c r="Y5" s="0" t="n">
        <v>9</v>
      </c>
      <c r="Z5" s="0" t="s">
        <v>362</v>
      </c>
    </row>
    <row r="6" customFormat="false" ht="18.75" hidden="false" customHeight="false" outlineLevel="0" collapsed="false">
      <c r="A6" s="136"/>
      <c r="B6" s="0" t="s">
        <v>1</v>
      </c>
      <c r="C6" s="194" t="s">
        <v>273</v>
      </c>
      <c r="D6" s="513" t="str">
        <f aca="false" t="array" ref="D6:L6">TRANSPOSE(Policy_Tickers)</f>
        <v>BIV</v>
      </c>
      <c r="E6" s="513" t="str">
        <v>IEF</v>
      </c>
      <c r="F6" s="513" t="str">
        <v>HYG</v>
      </c>
      <c r="G6" s="513" t="str">
        <v>IYR</v>
      </c>
      <c r="H6" s="513" t="str">
        <v>VTI</v>
      </c>
      <c r="I6" s="513" t="str">
        <v>EFA</v>
      </c>
      <c r="J6" s="513" t="str">
        <v>EEM</v>
      </c>
      <c r="K6" s="513" t="str">
        <v/>
      </c>
      <c r="L6" s="513" t="str">
        <v/>
      </c>
      <c r="M6" s="134"/>
      <c r="N6" s="134"/>
      <c r="P6" s="194" t="str">
        <f aca="false">C17</f>
        <v>Cash</v>
      </c>
      <c r="Q6" s="194" t="str">
        <f aca="false">D17</f>
        <v>BIV</v>
      </c>
      <c r="R6" s="194" t="str">
        <f aca="false">E17</f>
        <v>IEF</v>
      </c>
      <c r="S6" s="194" t="str">
        <f aca="false">F17</f>
        <v>HYG</v>
      </c>
      <c r="T6" s="194" t="str">
        <f aca="false">G17</f>
        <v>IYR</v>
      </c>
      <c r="U6" s="194" t="str">
        <f aca="false">H17</f>
        <v>VTI</v>
      </c>
      <c r="V6" s="194" t="str">
        <f aca="false">I17</f>
        <v>EFA</v>
      </c>
      <c r="W6" s="194" t="str">
        <f aca="false">J17</f>
        <v>EEM</v>
      </c>
      <c r="X6" s="194" t="str">
        <f aca="false">K17</f>
        <v/>
      </c>
      <c r="Y6" s="194" t="str">
        <f aca="false">L17</f>
        <v/>
      </c>
      <c r="Z6" s="134"/>
      <c r="AA6" s="134"/>
      <c r="AB6" s="134"/>
      <c r="AC6" s="134"/>
      <c r="AD6" s="134"/>
      <c r="AE6" s="134"/>
      <c r="AF6" s="134"/>
      <c r="AG6" s="134"/>
    </row>
    <row r="7" customFormat="false" ht="18.75" hidden="false" customHeight="false" outlineLevel="0" collapsed="false">
      <c r="A7" s="136"/>
      <c r="B7" s="509" t="n">
        <f aca="false" t="array" ref="B7:B12">TRANSPOSE(Dates)</f>
        <v>43259</v>
      </c>
      <c r="C7" s="514" t="n">
        <v>1</v>
      </c>
      <c r="D7" s="515" t="n">
        <f aca="false" t="array" ref="D7:D12">TRANSPOSE(PPrices1)</f>
        <v>80.68</v>
      </c>
      <c r="E7" s="515" t="n">
        <f aca="false" t="array" ref="E7:E12">TRANSPOSE(PPrices2)</f>
        <v>101.71</v>
      </c>
      <c r="F7" s="515" t="n">
        <f aca="false" t="array" ref="F7:F12">TRANSPOSE(PPrices3)</f>
        <v>85.66</v>
      </c>
      <c r="G7" s="515" t="n">
        <f aca="false" t="array" ref="G7:G12">TRANSPOSE(PPrices4)</f>
        <v>79.42</v>
      </c>
      <c r="H7" s="515" t="n">
        <f aca="false" t="array" ref="H7:H12">TRANSPOSE(PPrices5)</f>
        <v>143.91</v>
      </c>
      <c r="I7" s="515" t="n">
        <f aca="false" t="array" ref="I7:I12">TRANSPOSE(PPrices6)</f>
        <v>70.41</v>
      </c>
      <c r="J7" s="515" t="n">
        <f aca="false" t="array" ref="J7:J12">TRANSPOSE(PPrices7)</f>
        <v>46.33</v>
      </c>
      <c r="K7" s="515" t="str">
        <f aca="false" t="array" ref="K7:K12">TRANSPOSE(PPrices8)</f>
        <v/>
      </c>
      <c r="L7" s="515" t="str">
        <f aca="false" t="array" ref="L7:L12">TRANSPOSE(PPrices9)</f>
        <v/>
      </c>
      <c r="M7" s="515"/>
      <c r="N7" s="515"/>
      <c r="O7" s="509" t="n">
        <f aca="false">B18</f>
        <v>43259</v>
      </c>
      <c r="P7" s="326" t="n">
        <f aca="false">'Policy Portfolio'!$G$20</f>
        <v>0.01</v>
      </c>
      <c r="Q7" s="0" t="n">
        <f aca="false">INDEX('Policy Portfolio'!$G$20:$G$29,MATCH(Calculations!Q6,'Policy Portfolio'!$H$20:$H$29,0),1)</f>
        <v>0.1</v>
      </c>
      <c r="R7" s="0" t="n">
        <f aca="false">INDEX('Policy Portfolio'!$G$20:$G$29,MATCH(Calculations!R6,'Policy Portfolio'!$H$20:$H$29,0),1)</f>
        <v>0.075</v>
      </c>
      <c r="S7" s="0" t="n">
        <f aca="false">INDEX('Policy Portfolio'!$G$20:$G$29,MATCH(Calculations!S6,'Policy Portfolio'!$H$20:$H$29,0),1)</f>
        <v>0.175</v>
      </c>
      <c r="T7" s="0" t="n">
        <f aca="false">INDEX('Policy Portfolio'!$G$20:$G$29,MATCH(Calculations!T6,'Policy Portfolio'!$H$20:$H$29,0),1)</f>
        <v>0.05</v>
      </c>
      <c r="U7" s="0" t="n">
        <f aca="false">INDEX('Policy Portfolio'!$G$20:$G$29,MATCH(Calculations!U6,'Policy Portfolio'!$H$20:$H$29,0),1)</f>
        <v>0.29</v>
      </c>
      <c r="V7" s="0" t="n">
        <f aca="false">INDEX('Policy Portfolio'!$G$20:$G$29,MATCH(Calculations!V6,'Policy Portfolio'!$H$20:$H$29,0),1)</f>
        <v>0.15</v>
      </c>
      <c r="W7" s="0" t="n">
        <f aca="false">INDEX('Policy Portfolio'!$G$20:$G$29,MATCH(Calculations!W6,'Policy Portfolio'!$H$20:$H$29,0),1)</f>
        <v>0.15</v>
      </c>
      <c r="X7" s="0" t="n">
        <f aca="false">INDEX('Policy Portfolio'!$G$20:$G$29,MATCH(Calculations!X6,'Policy Portfolio'!$H$20:$H$29,0),1)</f>
        <v>0</v>
      </c>
      <c r="Y7" s="0" t="n">
        <f aca="false">INDEX('Policy Portfolio'!$G$20:$G$29,MATCH(Calculations!Y6,'Policy Portfolio'!$H$20:$H$29,0),1)</f>
        <v>0</v>
      </c>
      <c r="Z7" s="515" t="n">
        <f aca="false">SUMIF(P7:Y7,"&gt;0",P7:Y7)</f>
        <v>1</v>
      </c>
      <c r="AA7" s="515"/>
      <c r="AB7" s="515"/>
      <c r="AC7" s="515"/>
      <c r="AD7" s="515"/>
      <c r="AE7" s="515"/>
      <c r="AF7" s="515"/>
      <c r="AG7" s="515"/>
    </row>
    <row r="8" customFormat="false" ht="18.75" hidden="false" customHeight="false" outlineLevel="0" collapsed="false">
      <c r="A8" s="136"/>
      <c r="B8" s="509" t="n">
        <v>43266</v>
      </c>
      <c r="C8" s="514" t="n">
        <v>1</v>
      </c>
      <c r="D8" s="515" t="n">
        <v>80.61</v>
      </c>
      <c r="E8" s="515" t="n">
        <v>101.83</v>
      </c>
      <c r="F8" s="515" t="n">
        <v>86.12</v>
      </c>
      <c r="G8" s="515" t="n">
        <v>78.96</v>
      </c>
      <c r="H8" s="515" t="n">
        <v>144.16</v>
      </c>
      <c r="I8" s="515" t="n">
        <v>70</v>
      </c>
      <c r="J8" s="515" t="n">
        <v>45.25</v>
      </c>
      <c r="K8" s="515" t="n">
        <v>0</v>
      </c>
      <c r="L8" s="515" t="n">
        <v>0</v>
      </c>
      <c r="M8" s="515"/>
      <c r="N8" s="515"/>
      <c r="O8" s="509" t="n">
        <f aca="false">B19</f>
        <v>43266</v>
      </c>
      <c r="P8" s="326" t="n">
        <f aca="false">P7+P7*C19</f>
        <v>0.01</v>
      </c>
      <c r="Q8" s="326" t="n">
        <f aca="false">Q7+Q7*D19</f>
        <v>0.099913237481408</v>
      </c>
      <c r="R8" s="326" t="n">
        <f aca="false">R7+R7*E19</f>
        <v>0.075088486874447</v>
      </c>
      <c r="S8" s="326" t="n">
        <f aca="false">S7+S7*F19</f>
        <v>0.175939761849171</v>
      </c>
      <c r="T8" s="326" t="n">
        <f aca="false">T7+T7*G19</f>
        <v>0.0497104004029212</v>
      </c>
      <c r="U8" s="326" t="n">
        <f aca="false">U7+U7*H19</f>
        <v>0.290503787089153</v>
      </c>
      <c r="V8" s="326" t="n">
        <f aca="false">V7+V7*I19</f>
        <v>0.149126544524925</v>
      </c>
      <c r="W8" s="326" t="n">
        <f aca="false">W7+W7*J19</f>
        <v>0.146503345564429</v>
      </c>
      <c r="X8" s="326" t="n">
        <f aca="false">X7+X7*K19</f>
        <v>0</v>
      </c>
      <c r="Y8" s="326" t="n">
        <f aca="false">Y7+Y7*L19</f>
        <v>0</v>
      </c>
      <c r="Z8" s="515" t="n">
        <f aca="false">SUMIF(P8:Y8,"&gt;0",P8:Y8)</f>
        <v>0.996785563786455</v>
      </c>
      <c r="AA8" s="515"/>
      <c r="AB8" s="515"/>
      <c r="AC8" s="515"/>
      <c r="AD8" s="515"/>
      <c r="AE8" s="515"/>
      <c r="AF8" s="515"/>
      <c r="AG8" s="515"/>
    </row>
    <row r="9" customFormat="false" ht="18.75" hidden="false" customHeight="false" outlineLevel="0" collapsed="false">
      <c r="A9" s="136"/>
      <c r="B9" s="509" t="n">
        <v>43273</v>
      </c>
      <c r="C9" s="514" t="n">
        <v>1</v>
      </c>
      <c r="D9" s="515" t="n">
        <v>80.66</v>
      </c>
      <c r="E9" s="515" t="n">
        <v>102.11</v>
      </c>
      <c r="F9" s="515" t="n">
        <v>85.91</v>
      </c>
      <c r="G9" s="515" t="n">
        <v>80.7</v>
      </c>
      <c r="H9" s="515" t="n">
        <v>142.45</v>
      </c>
      <c r="I9" s="515" t="n">
        <v>67.8</v>
      </c>
      <c r="J9" s="515" t="n">
        <v>43.91</v>
      </c>
      <c r="K9" s="515" t="n">
        <v>0</v>
      </c>
      <c r="L9" s="515" t="n">
        <v>0</v>
      </c>
      <c r="M9" s="515"/>
      <c r="N9" s="515"/>
      <c r="O9" s="509" t="n">
        <f aca="false">B20</f>
        <v>43273</v>
      </c>
      <c r="P9" s="326" t="n">
        <f aca="false">P8+P8*C20</f>
        <v>0.01</v>
      </c>
      <c r="Q9" s="326" t="n">
        <f aca="false">Q8+Q8*D20</f>
        <v>0.0999752107089737</v>
      </c>
      <c r="R9" s="326" t="n">
        <f aca="false">R8+R8*E20</f>
        <v>0.0752949562481565</v>
      </c>
      <c r="S9" s="326" t="n">
        <f aca="false">S8+S8*F20</f>
        <v>0.175510740135419</v>
      </c>
      <c r="T9" s="326" t="n">
        <f aca="false">T8+T8*G20</f>
        <v>0.0508058423570889</v>
      </c>
      <c r="U9" s="326" t="n">
        <f aca="false">U8+U8*H20</f>
        <v>0.287057883399347</v>
      </c>
      <c r="V9" s="326" t="n">
        <f aca="false">V8+V8*I20</f>
        <v>0.144439710268428</v>
      </c>
      <c r="W9" s="326" t="n">
        <f aca="false">W8+W8*J20</f>
        <v>0.142164903949924</v>
      </c>
      <c r="X9" s="326" t="n">
        <f aca="false">X8+X8*K20</f>
        <v>0</v>
      </c>
      <c r="Y9" s="326" t="n">
        <f aca="false">Y8+Y8*L20</f>
        <v>0</v>
      </c>
      <c r="Z9" s="515" t="n">
        <f aca="false">SUMIF(P9:Y9,"&gt;0",P9:Y9)</f>
        <v>0.985249247067337</v>
      </c>
      <c r="AA9" s="515"/>
      <c r="AB9" s="515"/>
      <c r="AC9" s="515"/>
      <c r="AD9" s="515"/>
      <c r="AE9" s="515"/>
      <c r="AF9" s="515"/>
      <c r="AG9" s="515"/>
    </row>
    <row r="10" customFormat="false" ht="18.75" hidden="false" customHeight="false" outlineLevel="0" collapsed="false">
      <c r="A10" s="136"/>
      <c r="B10" s="509" t="n">
        <v>43280</v>
      </c>
      <c r="C10" s="514" t="n">
        <v>1</v>
      </c>
      <c r="D10" s="515" t="n">
        <v>0</v>
      </c>
      <c r="E10" s="515" t="n">
        <v>0</v>
      </c>
      <c r="F10" s="515" t="n">
        <v>0</v>
      </c>
      <c r="G10" s="515" t="n">
        <v>0</v>
      </c>
      <c r="H10" s="515" t="n">
        <v>0</v>
      </c>
      <c r="I10" s="515" t="n">
        <v>0</v>
      </c>
      <c r="J10" s="515" t="n">
        <v>0</v>
      </c>
      <c r="K10" s="515" t="n">
        <v>0</v>
      </c>
      <c r="L10" s="515" t="n">
        <v>0</v>
      </c>
      <c r="M10" s="515"/>
      <c r="N10" s="515"/>
      <c r="O10" s="509" t="n">
        <f aca="false">B21</f>
        <v>43280</v>
      </c>
      <c r="P10" s="326" t="n">
        <f aca="false">P9+P9*C21</f>
        <v>0.01</v>
      </c>
      <c r="Q10" s="326" t="n">
        <f aca="false">Q9+Q9*D21</f>
        <v>0</v>
      </c>
      <c r="R10" s="326" t="n">
        <f aca="false">R9+R9*E21</f>
        <v>0</v>
      </c>
      <c r="S10" s="326" t="n">
        <f aca="false">S9+S9*F21</f>
        <v>0</v>
      </c>
      <c r="T10" s="326" t="n">
        <f aca="false">T9+T9*G21</f>
        <v>0</v>
      </c>
      <c r="U10" s="326" t="n">
        <f aca="false">U9+U9*H21</f>
        <v>0</v>
      </c>
      <c r="V10" s="326" t="n">
        <f aca="false">V9+V9*I21</f>
        <v>0</v>
      </c>
      <c r="W10" s="326" t="n">
        <f aca="false">W9+W9*J21</f>
        <v>0</v>
      </c>
      <c r="X10" s="326" t="n">
        <f aca="false">X9+X9*K21</f>
        <v>0</v>
      </c>
      <c r="Y10" s="326" t="n">
        <f aca="false">Y9+Y9*L21</f>
        <v>0</v>
      </c>
      <c r="Z10" s="515" t="n">
        <f aca="false">SUMIF(P10:Y10,"&gt;0",P10:Y10)</f>
        <v>0.01</v>
      </c>
      <c r="AA10" s="515"/>
      <c r="AB10" s="515"/>
      <c r="AC10" s="515"/>
      <c r="AD10" s="515"/>
      <c r="AE10" s="515"/>
      <c r="AF10" s="515"/>
      <c r="AG10" s="515"/>
    </row>
    <row r="11" customFormat="false" ht="18.75" hidden="false" customHeight="false" outlineLevel="0" collapsed="false">
      <c r="A11" s="136"/>
      <c r="B11" s="509" t="n">
        <v>43287</v>
      </c>
      <c r="C11" s="514" t="n">
        <v>1</v>
      </c>
      <c r="D11" s="515" t="n">
        <v>0</v>
      </c>
      <c r="E11" s="515" t="n">
        <v>0</v>
      </c>
      <c r="F11" s="515" t="n">
        <v>0</v>
      </c>
      <c r="G11" s="515" t="n">
        <v>0</v>
      </c>
      <c r="H11" s="515" t="n">
        <v>0</v>
      </c>
      <c r="I11" s="515" t="n">
        <v>0</v>
      </c>
      <c r="J11" s="515" t="n">
        <v>0</v>
      </c>
      <c r="K11" s="515" t="n">
        <v>0</v>
      </c>
      <c r="L11" s="515" t="n">
        <v>0</v>
      </c>
      <c r="M11" s="515"/>
      <c r="N11" s="515"/>
      <c r="O11" s="509" t="n">
        <f aca="false">B22</f>
        <v>43287</v>
      </c>
      <c r="P11" s="326" t="n">
        <f aca="false">P10+P10*C22</f>
        <v>0.01</v>
      </c>
      <c r="Q11" s="326" t="n">
        <f aca="false">Q10+Q10*D22</f>
        <v>0</v>
      </c>
      <c r="R11" s="326" t="n">
        <f aca="false">R10+R10*E22</f>
        <v>0</v>
      </c>
      <c r="S11" s="326" t="n">
        <f aca="false">S10+S10*F22</f>
        <v>0</v>
      </c>
      <c r="T11" s="326" t="n">
        <f aca="false">T10+T10*G22</f>
        <v>0</v>
      </c>
      <c r="U11" s="326" t="n">
        <f aca="false">U10+U10*H22</f>
        <v>0</v>
      </c>
      <c r="V11" s="326" t="n">
        <f aca="false">V10+V10*I22</f>
        <v>0</v>
      </c>
      <c r="W11" s="326" t="n">
        <f aca="false">W10+W10*J22</f>
        <v>0</v>
      </c>
      <c r="X11" s="326" t="n">
        <f aca="false">X10+X10*K22</f>
        <v>0</v>
      </c>
      <c r="Y11" s="326" t="n">
        <f aca="false">Y10+Y10*L22</f>
        <v>0</v>
      </c>
      <c r="Z11" s="515" t="n">
        <f aca="false">SUMIF(P11:Y11,"&gt;0",P11:Y11)</f>
        <v>0.01</v>
      </c>
      <c r="AA11" s="515"/>
      <c r="AB11" s="515"/>
      <c r="AC11" s="515"/>
      <c r="AD11" s="515"/>
      <c r="AE11" s="515"/>
      <c r="AF11" s="515"/>
      <c r="AG11" s="515"/>
    </row>
    <row r="12" customFormat="false" ht="18.75" hidden="false" customHeight="false" outlineLevel="0" collapsed="false">
      <c r="A12" s="136"/>
      <c r="B12" s="509" t="n">
        <v>43294</v>
      </c>
      <c r="C12" s="514" t="n">
        <v>1</v>
      </c>
      <c r="D12" s="515" t="n">
        <v>0</v>
      </c>
      <c r="E12" s="515" t="n">
        <v>0</v>
      </c>
      <c r="F12" s="515" t="n">
        <v>0</v>
      </c>
      <c r="G12" s="515" t="n">
        <v>0</v>
      </c>
      <c r="H12" s="515" t="n">
        <v>0</v>
      </c>
      <c r="I12" s="515" t="n">
        <v>0</v>
      </c>
      <c r="J12" s="515" t="n">
        <v>0</v>
      </c>
      <c r="K12" s="515" t="n">
        <v>0</v>
      </c>
      <c r="L12" s="515" t="n">
        <v>0</v>
      </c>
      <c r="M12" s="515"/>
      <c r="N12" s="515"/>
      <c r="O12" s="509" t="n">
        <f aca="false">B23</f>
        <v>43294</v>
      </c>
      <c r="P12" s="326" t="n">
        <f aca="false">P11+P11*C23</f>
        <v>0.01</v>
      </c>
      <c r="Q12" s="326" t="n">
        <f aca="false">Q11+Q11*D23</f>
        <v>0</v>
      </c>
      <c r="R12" s="326" t="n">
        <f aca="false">R11+R11*E23</f>
        <v>0</v>
      </c>
      <c r="S12" s="326" t="n">
        <f aca="false">S11+S11*F23</f>
        <v>0</v>
      </c>
      <c r="T12" s="326" t="n">
        <f aca="false">T11+T11*G23</f>
        <v>0</v>
      </c>
      <c r="U12" s="326" t="n">
        <f aca="false">U11+U11*H23</f>
        <v>0</v>
      </c>
      <c r="V12" s="326" t="n">
        <f aca="false">V11+V11*I23</f>
        <v>0</v>
      </c>
      <c r="W12" s="326" t="n">
        <f aca="false">W11+W11*J23</f>
        <v>0</v>
      </c>
      <c r="X12" s="326" t="n">
        <f aca="false">X11+X11*K23</f>
        <v>0</v>
      </c>
      <c r="Y12" s="326" t="n">
        <f aca="false">Y11+Y11*L23</f>
        <v>0</v>
      </c>
      <c r="Z12" s="515" t="n">
        <f aca="false">SUMIF(P12:Y12,"&gt;0",P12:Y12)</f>
        <v>0.01</v>
      </c>
      <c r="AA12" s="515"/>
      <c r="AB12" s="515"/>
      <c r="AC12" s="515"/>
      <c r="AD12" s="515"/>
      <c r="AE12" s="515"/>
      <c r="AF12" s="515"/>
      <c r="AG12" s="515"/>
    </row>
    <row r="13" customFormat="false" ht="18.75" hidden="false" customHeight="false" outlineLevel="0" collapsed="false">
      <c r="A13" s="136"/>
      <c r="B13" s="509"/>
      <c r="C13" s="509"/>
    </row>
    <row r="14" customFormat="false" ht="18.75" hidden="false" customHeight="false" outlineLevel="0" collapsed="false">
      <c r="A14" s="136"/>
      <c r="B14" s="0" t="s">
        <v>472</v>
      </c>
      <c r="C14" s="516" t="n">
        <f aca="false">IF(C7="",0,C12/C7-1)</f>
        <v>0</v>
      </c>
      <c r="D14" s="516" t="n">
        <f aca="false">IF(D7="",0,D12/D7-1)</f>
        <v>-1</v>
      </c>
      <c r="E14" s="516" t="n">
        <f aca="false">IF(E7="",0,E12/E7-1)</f>
        <v>-1</v>
      </c>
      <c r="F14" s="516" t="n">
        <f aca="false">IF(F7="",0,F12/F7-1)</f>
        <v>-1</v>
      </c>
      <c r="G14" s="516" t="n">
        <f aca="false">IF(G7="",0,G12/G7-1)</f>
        <v>-1</v>
      </c>
      <c r="H14" s="516" t="n">
        <f aca="false">IF(H7="",0,H12/H7-1)</f>
        <v>-1</v>
      </c>
      <c r="I14" s="516" t="n">
        <f aca="false">IF(I7="",0,I12/I7-1)</f>
        <v>-1</v>
      </c>
      <c r="J14" s="516" t="n">
        <f aca="false">IF(J7="",0,J12/J7-1)</f>
        <v>-1</v>
      </c>
      <c r="K14" s="516" t="n">
        <f aca="false">IF(K7="",0,K12/K7-1)</f>
        <v>0</v>
      </c>
      <c r="L14" s="516" t="n">
        <f aca="false">IF(L7="",0,L12/L7-1)</f>
        <v>0</v>
      </c>
      <c r="M14" s="516"/>
      <c r="N14" s="516"/>
      <c r="O14" s="516" t="s">
        <v>362</v>
      </c>
      <c r="P14" s="326" t="n">
        <f aca="false">SUM(P7:P12)</f>
        <v>0.06</v>
      </c>
      <c r="Q14" s="326" t="n">
        <f aca="false">SUM(Q7:Q12)</f>
        <v>0.299888448190382</v>
      </c>
      <c r="R14" s="326" t="n">
        <f aca="false">SUM(R7:R12)</f>
        <v>0.225383443122603</v>
      </c>
      <c r="S14" s="326" t="n">
        <f aca="false">SUM(S7:S12)</f>
        <v>0.52645050198459</v>
      </c>
      <c r="T14" s="326" t="n">
        <f aca="false">SUM(T7:T12)</f>
        <v>0.15051624276001</v>
      </c>
      <c r="U14" s="326" t="n">
        <f aca="false">SUM(U7:U12)</f>
        <v>0.8675616704885</v>
      </c>
      <c r="V14" s="326" t="n">
        <f aca="false">SUM(V7:V12)</f>
        <v>0.443566254793353</v>
      </c>
      <c r="W14" s="326" t="n">
        <f aca="false">SUM(W7:W12)</f>
        <v>0.438668249514354</v>
      </c>
      <c r="X14" s="326" t="n">
        <f aca="false">SUM(X7:X12)</f>
        <v>0</v>
      </c>
      <c r="Y14" s="326" t="n">
        <f aca="false">SUM(Y7:Y12)</f>
        <v>0</v>
      </c>
      <c r="Z14" s="517" t="n">
        <f aca="false">Z12/Z7-1</f>
        <v>-0.99</v>
      </c>
      <c r="AA14" s="516"/>
      <c r="AB14" s="516"/>
      <c r="AC14" s="516"/>
      <c r="AD14" s="516"/>
      <c r="AE14" s="516"/>
      <c r="AF14" s="516"/>
      <c r="AG14" s="516"/>
    </row>
    <row r="15" customFormat="false" ht="18.75" hidden="false" customHeight="false" outlineLevel="0" collapsed="false">
      <c r="A15" s="136"/>
      <c r="Z15" s="518"/>
    </row>
    <row r="16" customFormat="false" ht="18.75" hidden="false" customHeight="false" outlineLevel="0" collapsed="false">
      <c r="A16" s="136"/>
      <c r="B16" s="194" t="s">
        <v>473</v>
      </c>
      <c r="O16" s="194" t="s">
        <v>474</v>
      </c>
    </row>
    <row r="17" customFormat="false" ht="18.75" hidden="false" customHeight="false" outlineLevel="0" collapsed="false">
      <c r="A17" s="136"/>
      <c r="C17" s="194" t="str">
        <f aca="false">C6</f>
        <v>Cash</v>
      </c>
      <c r="D17" s="194" t="str">
        <f aca="false">D6</f>
        <v>BIV</v>
      </c>
      <c r="E17" s="194" t="str">
        <f aca="false">E6</f>
        <v>IEF</v>
      </c>
      <c r="F17" s="194" t="str">
        <f aca="false">F6</f>
        <v>HYG</v>
      </c>
      <c r="G17" s="194" t="str">
        <f aca="false">G6</f>
        <v>IYR</v>
      </c>
      <c r="H17" s="194" t="str">
        <f aca="false">H6</f>
        <v>VTI</v>
      </c>
      <c r="I17" s="194" t="str">
        <f aca="false">I6</f>
        <v>EFA</v>
      </c>
      <c r="J17" s="194" t="str">
        <f aca="false">J6</f>
        <v>EEM</v>
      </c>
      <c r="K17" s="194" t="str">
        <f aca="false">K6</f>
        <v/>
      </c>
      <c r="L17" s="194" t="str">
        <f aca="false">L6</f>
        <v/>
      </c>
      <c r="P17" s="194" t="str">
        <f aca="false">P6</f>
        <v>Cash</v>
      </c>
      <c r="Q17" s="194" t="str">
        <f aca="false">Q6</f>
        <v>BIV</v>
      </c>
      <c r="R17" s="194" t="str">
        <f aca="false">R6</f>
        <v>IEF</v>
      </c>
      <c r="S17" s="194" t="str">
        <f aca="false">S6</f>
        <v>HYG</v>
      </c>
      <c r="T17" s="194" t="str">
        <f aca="false">T6</f>
        <v>IYR</v>
      </c>
      <c r="U17" s="194" t="str">
        <f aca="false">U6</f>
        <v>VTI</v>
      </c>
      <c r="V17" s="194" t="str">
        <f aca="false">V6</f>
        <v>EFA</v>
      </c>
      <c r="W17" s="194" t="str">
        <f aca="false">W6</f>
        <v>EEM</v>
      </c>
      <c r="X17" s="194" t="str">
        <f aca="false">X6</f>
        <v/>
      </c>
      <c r="Y17" s="194" t="str">
        <f aca="false">Y6</f>
        <v/>
      </c>
      <c r="Z17" s="194"/>
    </row>
    <row r="18" customFormat="false" ht="18.75" hidden="false" customHeight="false" outlineLevel="0" collapsed="false">
      <c r="A18" s="136"/>
      <c r="B18" s="509" t="n">
        <f aca="false">B7</f>
        <v>43259</v>
      </c>
      <c r="C18" s="509"/>
      <c r="O18" s="509" t="n">
        <f aca="false">O7</f>
        <v>43259</v>
      </c>
      <c r="P18" s="511" t="n">
        <f aca="false">P7/$Z7</f>
        <v>0.01</v>
      </c>
      <c r="Q18" s="511" t="n">
        <f aca="false">Q7/$Z7</f>
        <v>0.1</v>
      </c>
      <c r="R18" s="511" t="n">
        <f aca="false">R7/$Z7</f>
        <v>0.075</v>
      </c>
      <c r="S18" s="511" t="n">
        <f aca="false">S7/$Z7</f>
        <v>0.175</v>
      </c>
      <c r="T18" s="511" t="n">
        <f aca="false">T7/$Z7</f>
        <v>0.05</v>
      </c>
      <c r="U18" s="511" t="n">
        <f aca="false">U7/$Z7</f>
        <v>0.29</v>
      </c>
      <c r="V18" s="511" t="n">
        <f aca="false">V7/$Z7</f>
        <v>0.15</v>
      </c>
      <c r="W18" s="511" t="n">
        <f aca="false">W7/$Z7</f>
        <v>0.15</v>
      </c>
      <c r="X18" s="511" t="n">
        <f aca="false">X7/$Z7</f>
        <v>0</v>
      </c>
      <c r="Y18" s="511" t="n">
        <f aca="false">Y7/$Z7</f>
        <v>0</v>
      </c>
      <c r="Z18" s="511" t="n">
        <f aca="false">SUM(P18:Y18)</f>
        <v>1</v>
      </c>
    </row>
    <row r="19" customFormat="false" ht="18.75" hidden="false" customHeight="false" outlineLevel="0" collapsed="false">
      <c r="A19" s="136"/>
      <c r="B19" s="509" t="n">
        <f aca="false">B8</f>
        <v>43266</v>
      </c>
      <c r="C19" s="516" t="n">
        <f aca="false">IF(OR(C7=0,C7=""),0,C8/C7-1)</f>
        <v>0</v>
      </c>
      <c r="D19" s="516" t="n">
        <f aca="false">IF(OR(D7=0,D7=""),0,D8/D7-1)</f>
        <v>-0.000867625185919763</v>
      </c>
      <c r="E19" s="516" t="n">
        <f aca="false">IF(OR(E7=0,E7=""),0,E8/E7-1)</f>
        <v>0.00117982499262603</v>
      </c>
      <c r="F19" s="516" t="n">
        <f aca="false">IF(OR(F7=0,F7=""),0,F8/F7-1)</f>
        <v>0.0053700677095494</v>
      </c>
      <c r="G19" s="516" t="n">
        <f aca="false">IF(OR(G7=0,G7=""),0,G8/G7-1)</f>
        <v>-0.00579199194157654</v>
      </c>
      <c r="H19" s="516" t="n">
        <f aca="false">IF(OR(H7=0,H7=""),0,H8/H7-1)</f>
        <v>0.00173719685914797</v>
      </c>
      <c r="I19" s="516" t="n">
        <f aca="false">IF(OR(I7=0,I7=""),0,I8/I7-1)</f>
        <v>-0.00582303650049709</v>
      </c>
      <c r="J19" s="516" t="n">
        <f aca="false">IF(OR(J7=0,J7=""),0,J8/J7-1)</f>
        <v>-0.0233110295704727</v>
      </c>
      <c r="K19" s="516" t="n">
        <f aca="false">IF(OR(K7=0,K7=""),0,K8/K7-1)</f>
        <v>0</v>
      </c>
      <c r="L19" s="516" t="n">
        <f aca="false">IF(OR(L7=0,L7=""),0,L8/L7-1)</f>
        <v>0</v>
      </c>
      <c r="M19" s="516"/>
      <c r="N19" s="516"/>
      <c r="O19" s="509" t="n">
        <f aca="false">O8</f>
        <v>43266</v>
      </c>
      <c r="P19" s="511" t="n">
        <f aca="false">P8/$Z8</f>
        <v>0.0100322480213431</v>
      </c>
      <c r="Q19" s="511" t="n">
        <f aca="false">Q8/$Z8</f>
        <v>0.100235437902884</v>
      </c>
      <c r="R19" s="511" t="n">
        <f aca="false">R8/$Z8</f>
        <v>0.0753306323871816</v>
      </c>
      <c r="S19" s="511" t="n">
        <f aca="false">S8/$Z8</f>
        <v>0.176507132768692</v>
      </c>
      <c r="T19" s="511" t="n">
        <f aca="false">T8/$Z8</f>
        <v>0.0498707066082378</v>
      </c>
      <c r="U19" s="511" t="n">
        <f aca="false">U8/$Z8</f>
        <v>0.291440604321782</v>
      </c>
      <c r="V19" s="511" t="n">
        <f aca="false">V8/$Z8</f>
        <v>0.149607448123991</v>
      </c>
      <c r="W19" s="511" t="n">
        <f aca="false">W8/$Z8</f>
        <v>0.146975789865888</v>
      </c>
      <c r="X19" s="511" t="n">
        <f aca="false">X8/$Z8</f>
        <v>0</v>
      </c>
      <c r="Y19" s="511" t="n">
        <f aca="false">Y8/$Z8</f>
        <v>0</v>
      </c>
      <c r="Z19" s="511" t="n">
        <f aca="false">SUM(P19:Y19)</f>
        <v>1</v>
      </c>
      <c r="AA19" s="516"/>
      <c r="AB19" s="516"/>
      <c r="AC19" s="516"/>
      <c r="AD19" s="516"/>
      <c r="AE19" s="516"/>
      <c r="AF19" s="516"/>
      <c r="AG19" s="516"/>
    </row>
    <row r="20" customFormat="false" ht="18.75" hidden="false" customHeight="false" outlineLevel="0" collapsed="false">
      <c r="A20" s="136"/>
      <c r="B20" s="509" t="n">
        <f aca="false">B9</f>
        <v>43273</v>
      </c>
      <c r="C20" s="516" t="n">
        <f aca="false">IF(OR(C8=0,C8=""),0,C9/C8-1)</f>
        <v>0</v>
      </c>
      <c r="D20" s="516" t="n">
        <f aca="false">IF(OR(D8=0,D8=""),0,D9/D8-1)</f>
        <v>0.000620270437910797</v>
      </c>
      <c r="E20" s="516" t="n">
        <f aca="false">IF(OR(E8=0,E8=""),0,E9/E8-1)</f>
        <v>0.00274968084061666</v>
      </c>
      <c r="F20" s="516" t="n">
        <f aca="false">IF(OR(F8=0,F8=""),0,F9/F8-1)</f>
        <v>-0.00243845796562947</v>
      </c>
      <c r="G20" s="516" t="n">
        <f aca="false">IF(OR(G8=0,G8=""),0,G9/G8-1)</f>
        <v>0.0220364741641339</v>
      </c>
      <c r="H20" s="516" t="n">
        <f aca="false">IF(OR(H8=0,H8=""),0,H9/H8-1)</f>
        <v>-0.0118618201997781</v>
      </c>
      <c r="I20" s="516" t="n">
        <f aca="false">IF(OR(I8=0,I8=""),0,I9/I8-1)</f>
        <v>-0.0314285714285715</v>
      </c>
      <c r="J20" s="516" t="n">
        <f aca="false">IF(OR(J8=0,J8=""),0,J9/J8-1)</f>
        <v>-0.0296132596685084</v>
      </c>
      <c r="K20" s="516" t="n">
        <f aca="false">IF(OR(K8=0,K8=""),0,K9/K8-1)</f>
        <v>0</v>
      </c>
      <c r="L20" s="516" t="n">
        <f aca="false">IF(OR(L8=0,L8=""),0,L9/L8-1)</f>
        <v>0</v>
      </c>
      <c r="M20" s="516"/>
      <c r="N20" s="516"/>
      <c r="O20" s="509" t="n">
        <f aca="false">O9</f>
        <v>43273</v>
      </c>
      <c r="P20" s="511" t="n">
        <f aca="false">P9/$Z9</f>
        <v>0.0101497159523498</v>
      </c>
      <c r="Q20" s="511" t="n">
        <f aca="false">Q9/$Z9</f>
        <v>0.101471999097241</v>
      </c>
      <c r="R20" s="511" t="n">
        <f aca="false">R9/$Z9</f>
        <v>0.0764222418563396</v>
      </c>
      <c r="S20" s="511" t="n">
        <f aca="false">S9/$Z9</f>
        <v>0.178138415896119</v>
      </c>
      <c r="T20" s="511" t="n">
        <f aca="false">T9/$Z9</f>
        <v>0.0515664868644315</v>
      </c>
      <c r="U20" s="511" t="n">
        <f aca="false">U9/$Z9</f>
        <v>0.291355597838612</v>
      </c>
      <c r="V20" s="511" t="n">
        <f aca="false">V9/$Z9</f>
        <v>0.146602203146425</v>
      </c>
      <c r="W20" s="511" t="n">
        <f aca="false">W9/$Z9</f>
        <v>0.144293339348483</v>
      </c>
      <c r="X20" s="511" t="n">
        <f aca="false">X9/$Z9</f>
        <v>0</v>
      </c>
      <c r="Y20" s="511" t="n">
        <f aca="false">Y9/$Z9</f>
        <v>0</v>
      </c>
      <c r="Z20" s="511" t="n">
        <f aca="false">SUM(P20:Y20)</f>
        <v>1</v>
      </c>
      <c r="AA20" s="516"/>
      <c r="AB20" s="516"/>
      <c r="AC20" s="516"/>
      <c r="AD20" s="516"/>
      <c r="AE20" s="516"/>
      <c r="AF20" s="516"/>
      <c r="AG20" s="516"/>
    </row>
    <row r="21" customFormat="false" ht="18.75" hidden="false" customHeight="false" outlineLevel="0" collapsed="false">
      <c r="A21" s="136"/>
      <c r="B21" s="509" t="n">
        <f aca="false">B10</f>
        <v>43280</v>
      </c>
      <c r="C21" s="516" t="n">
        <f aca="false">IF(OR(C9=0,C9=""),0,C10/C9-1)</f>
        <v>0</v>
      </c>
      <c r="D21" s="516" t="n">
        <f aca="false">IF(OR(D9=0,D9=""),0,D10/D9-1)</f>
        <v>-1</v>
      </c>
      <c r="E21" s="516" t="n">
        <f aca="false">IF(OR(E9=0,E9=""),0,E10/E9-1)</f>
        <v>-1</v>
      </c>
      <c r="F21" s="516" t="n">
        <f aca="false">IF(OR(F9=0,F9=""),0,F10/F9-1)</f>
        <v>-1</v>
      </c>
      <c r="G21" s="516" t="n">
        <f aca="false">IF(OR(G9=0,G9=""),0,G10/G9-1)</f>
        <v>-1</v>
      </c>
      <c r="H21" s="516" t="n">
        <f aca="false">IF(OR(H9=0,H9=""),0,H10/H9-1)</f>
        <v>-1</v>
      </c>
      <c r="I21" s="516" t="n">
        <f aca="false">IF(OR(I9=0,I9=""),0,I10/I9-1)</f>
        <v>-1</v>
      </c>
      <c r="J21" s="516" t="n">
        <f aca="false">IF(OR(J9=0,J9=""),0,J10/J9-1)</f>
        <v>-1</v>
      </c>
      <c r="K21" s="516" t="n">
        <f aca="false">IF(OR(K9=0,K9=""),0,K10/K9-1)</f>
        <v>0</v>
      </c>
      <c r="L21" s="516" t="n">
        <f aca="false">IF(OR(L9=0,L9=""),0,L10/L9-1)</f>
        <v>0</v>
      </c>
      <c r="M21" s="516"/>
      <c r="N21" s="516"/>
      <c r="O21" s="509" t="n">
        <f aca="false">O10</f>
        <v>43280</v>
      </c>
      <c r="P21" s="511" t="n">
        <f aca="false">P10/$Z10</f>
        <v>1</v>
      </c>
      <c r="Q21" s="511" t="n">
        <f aca="false">Q10/$Z10</f>
        <v>0</v>
      </c>
      <c r="R21" s="511" t="n">
        <f aca="false">R10/$Z10</f>
        <v>0</v>
      </c>
      <c r="S21" s="511" t="n">
        <f aca="false">S10/$Z10</f>
        <v>0</v>
      </c>
      <c r="T21" s="511" t="n">
        <f aca="false">T10/$Z10</f>
        <v>0</v>
      </c>
      <c r="U21" s="511" t="n">
        <f aca="false">U10/$Z10</f>
        <v>0</v>
      </c>
      <c r="V21" s="511" t="n">
        <f aca="false">V10/$Z10</f>
        <v>0</v>
      </c>
      <c r="W21" s="511" t="n">
        <f aca="false">W10/$Z10</f>
        <v>0</v>
      </c>
      <c r="X21" s="511" t="n">
        <f aca="false">X10/$Z10</f>
        <v>0</v>
      </c>
      <c r="Y21" s="511" t="n">
        <f aca="false">Y10/$Z10</f>
        <v>0</v>
      </c>
      <c r="Z21" s="511" t="n">
        <f aca="false">SUM(P21:Y21)</f>
        <v>1</v>
      </c>
      <c r="AA21" s="516"/>
      <c r="AB21" s="516"/>
      <c r="AC21" s="516"/>
      <c r="AD21" s="516"/>
      <c r="AE21" s="516"/>
      <c r="AF21" s="516"/>
      <c r="AG21" s="516"/>
    </row>
    <row r="22" customFormat="false" ht="18.75" hidden="false" customHeight="false" outlineLevel="0" collapsed="false">
      <c r="A22" s="136"/>
      <c r="B22" s="509" t="n">
        <f aca="false">B11</f>
        <v>43287</v>
      </c>
      <c r="C22" s="516" t="n">
        <f aca="false">IF(OR(C10=0,C10=""),0,C11/C10-1)</f>
        <v>0</v>
      </c>
      <c r="D22" s="516" t="n">
        <f aca="false">IF(OR(D10=0,D10=""),0,D11/D10-1)</f>
        <v>0</v>
      </c>
      <c r="E22" s="516" t="n">
        <f aca="false">IF(OR(E10=0,E10=""),0,E11/E10-1)</f>
        <v>0</v>
      </c>
      <c r="F22" s="516" t="n">
        <f aca="false">IF(OR(F10=0,F10=""),0,F11/F10-1)</f>
        <v>0</v>
      </c>
      <c r="G22" s="516" t="n">
        <f aca="false">IF(OR(G10=0,G10=""),0,G11/G10-1)</f>
        <v>0</v>
      </c>
      <c r="H22" s="516" t="n">
        <f aca="false">IF(OR(H10=0,H10=""),0,H11/H10-1)</f>
        <v>0</v>
      </c>
      <c r="I22" s="516" t="n">
        <f aca="false">IF(OR(I10=0,I10=""),0,I11/I10-1)</f>
        <v>0</v>
      </c>
      <c r="J22" s="516" t="n">
        <f aca="false">IF(OR(J10=0,J10=""),0,J11/J10-1)</f>
        <v>0</v>
      </c>
      <c r="K22" s="516" t="n">
        <f aca="false">IF(OR(K10=0,K10=""),0,K11/K10-1)</f>
        <v>0</v>
      </c>
      <c r="L22" s="516" t="n">
        <f aca="false">IF(OR(L10=0,L10=""),0,L11/L10-1)</f>
        <v>0</v>
      </c>
      <c r="M22" s="516"/>
      <c r="N22" s="516"/>
      <c r="O22" s="509" t="n">
        <f aca="false">O11</f>
        <v>43287</v>
      </c>
      <c r="P22" s="511" t="n">
        <f aca="false">P11/$Z11</f>
        <v>1</v>
      </c>
      <c r="Q22" s="511" t="n">
        <f aca="false">Q11/$Z11</f>
        <v>0</v>
      </c>
      <c r="R22" s="511" t="n">
        <f aca="false">R11/$Z11</f>
        <v>0</v>
      </c>
      <c r="S22" s="511" t="n">
        <f aca="false">S11/$Z11</f>
        <v>0</v>
      </c>
      <c r="T22" s="511" t="n">
        <f aca="false">T11/$Z11</f>
        <v>0</v>
      </c>
      <c r="U22" s="511" t="n">
        <f aca="false">U11/$Z11</f>
        <v>0</v>
      </c>
      <c r="V22" s="511" t="n">
        <f aca="false">V11/$Z11</f>
        <v>0</v>
      </c>
      <c r="W22" s="511" t="n">
        <f aca="false">W11/$Z11</f>
        <v>0</v>
      </c>
      <c r="X22" s="511" t="n">
        <f aca="false">X11/$Z11</f>
        <v>0</v>
      </c>
      <c r="Y22" s="511" t="n">
        <f aca="false">Y11/$Z11</f>
        <v>0</v>
      </c>
      <c r="Z22" s="511" t="n">
        <f aca="false">SUM(P22:Y22)</f>
        <v>1</v>
      </c>
      <c r="AA22" s="516"/>
      <c r="AB22" s="516"/>
      <c r="AC22" s="516"/>
      <c r="AD22" s="516"/>
      <c r="AE22" s="516"/>
      <c r="AF22" s="516"/>
      <c r="AG22" s="516"/>
    </row>
    <row r="23" customFormat="false" ht="18.75" hidden="false" customHeight="false" outlineLevel="0" collapsed="false">
      <c r="A23" s="136"/>
      <c r="B23" s="509" t="n">
        <f aca="false">B12</f>
        <v>43294</v>
      </c>
      <c r="C23" s="516" t="n">
        <f aca="false">IF(OR(C11=0,C11=""),0,C12/C11-1)</f>
        <v>0</v>
      </c>
      <c r="D23" s="516" t="n">
        <f aca="false">IF(OR(D11=0,D11=""),0,D12/D11-1)</f>
        <v>0</v>
      </c>
      <c r="E23" s="516" t="n">
        <f aca="false">IF(OR(E11=0,E11=""),0,E12/E11-1)</f>
        <v>0</v>
      </c>
      <c r="F23" s="516" t="n">
        <f aca="false">IF(OR(F11=0,F11=""),0,F12/F11-1)</f>
        <v>0</v>
      </c>
      <c r="G23" s="516" t="n">
        <f aca="false">IF(OR(G11=0,G11=""),0,G12/G11-1)</f>
        <v>0</v>
      </c>
      <c r="H23" s="516" t="n">
        <f aca="false">IF(OR(H11=0,H11=""),0,H12/H11-1)</f>
        <v>0</v>
      </c>
      <c r="I23" s="516" t="n">
        <f aca="false">IF(OR(I11=0,I11=""),0,I12/I11-1)</f>
        <v>0</v>
      </c>
      <c r="J23" s="516" t="n">
        <f aca="false">IF(OR(J11=0,J11=""),0,J12/J11-1)</f>
        <v>0</v>
      </c>
      <c r="K23" s="516" t="n">
        <f aca="false">IF(OR(K11=0,K11=""),0,K12/K11-1)</f>
        <v>0</v>
      </c>
      <c r="L23" s="516" t="n">
        <f aca="false">IF(OR(L11=0,L11=""),0,L12/L11-1)</f>
        <v>0</v>
      </c>
      <c r="M23" s="516"/>
      <c r="N23" s="516"/>
      <c r="O23" s="509" t="n">
        <f aca="false">O12</f>
        <v>43294</v>
      </c>
      <c r="P23" s="511" t="n">
        <f aca="false">P12/$Z12</f>
        <v>1</v>
      </c>
      <c r="Q23" s="511" t="n">
        <f aca="false">Q12/$Z12</f>
        <v>0</v>
      </c>
      <c r="R23" s="511" t="n">
        <f aca="false">R12/$Z12</f>
        <v>0</v>
      </c>
      <c r="S23" s="511" t="n">
        <f aca="false">S12/$Z12</f>
        <v>0</v>
      </c>
      <c r="T23" s="511" t="n">
        <f aca="false">T12/$Z12</f>
        <v>0</v>
      </c>
      <c r="U23" s="511" t="n">
        <f aca="false">U12/$Z12</f>
        <v>0</v>
      </c>
      <c r="V23" s="511" t="n">
        <f aca="false">V12/$Z12</f>
        <v>0</v>
      </c>
      <c r="W23" s="511" t="n">
        <f aca="false">W12/$Z12</f>
        <v>0</v>
      </c>
      <c r="X23" s="511" t="n">
        <f aca="false">X12/$Z12</f>
        <v>0</v>
      </c>
      <c r="Y23" s="511" t="n">
        <f aca="false">Y12/$Z12</f>
        <v>0</v>
      </c>
      <c r="Z23" s="511" t="n">
        <f aca="false">SUM(P23:Y23)</f>
        <v>1</v>
      </c>
      <c r="AA23" s="516"/>
      <c r="AB23" s="516"/>
      <c r="AC23" s="516"/>
      <c r="AD23" s="516"/>
      <c r="AE23" s="516"/>
      <c r="AF23" s="516"/>
      <c r="AG23" s="516"/>
    </row>
    <row r="24" customFormat="false" ht="18.75" hidden="false" customHeight="false" outlineLevel="0" collapsed="false">
      <c r="A24" s="136"/>
    </row>
    <row r="25" customFormat="false" ht="18.75" hidden="false" customHeight="false" outlineLevel="0" collapsed="false">
      <c r="A25" s="136"/>
      <c r="B25" s="0" t="s">
        <v>377</v>
      </c>
      <c r="C25" s="516" t="n">
        <f aca="false">_xlfn.STDEV.S(C19:C23)</f>
        <v>0</v>
      </c>
      <c r="D25" s="516" t="n">
        <f aca="false">_xlfn.STDEV.S(D19:D23)</f>
        <v>0.4471862540857</v>
      </c>
      <c r="E25" s="516" t="n">
        <f aca="false">_xlfn.STDEV.S(E19:E23)</f>
        <v>0.447654349599615</v>
      </c>
      <c r="F25" s="516" t="n">
        <f aca="false">_xlfn.STDEV.S(F19:F23)</f>
        <v>0.447550474453688</v>
      </c>
      <c r="G25" s="516" t="n">
        <f aca="false">_xlfn.STDEV.S(G19:G23)</f>
        <v>0.449155922150851</v>
      </c>
      <c r="H25" s="516" t="n">
        <f aca="false">_xlfn.STDEV.S(H19:H23)</f>
        <v>0.44611471890523</v>
      </c>
      <c r="I25" s="516" t="n">
        <f aca="false">_xlfn.STDEV.S(I19:I23)</f>
        <v>0.44323906732875</v>
      </c>
      <c r="J25" s="516" t="n">
        <f aca="false">_xlfn.STDEV.S(J19:J23)</f>
        <v>0.441500406985641</v>
      </c>
      <c r="K25" s="516" t="n">
        <f aca="false">_xlfn.STDEV.S(K19:K23)</f>
        <v>0</v>
      </c>
      <c r="L25" s="516" t="n">
        <f aca="false">_xlfn.STDEV.S(L19:L23)</f>
        <v>0</v>
      </c>
      <c r="M25" s="516"/>
      <c r="N25" s="516"/>
      <c r="O25" s="516"/>
      <c r="P25" s="516" t="n">
        <f aca="false">AVERAGE(P18:P23)</f>
        <v>0.505030327328949</v>
      </c>
      <c r="Q25" s="516" t="n">
        <f aca="false">AVERAGE(Q18:Q23)</f>
        <v>0.050284572833354</v>
      </c>
      <c r="R25" s="516" t="n">
        <f aca="false">AVERAGE(R18:R23)</f>
        <v>0.0377921457072535</v>
      </c>
      <c r="S25" s="516" t="n">
        <f aca="false">AVERAGE(S18:S23)</f>
        <v>0.0882742581108018</v>
      </c>
      <c r="T25" s="516" t="n">
        <f aca="false">AVERAGE(T18:T23)</f>
        <v>0.0252395322454449</v>
      </c>
      <c r="U25" s="516"/>
      <c r="V25" s="516"/>
      <c r="W25" s="516"/>
      <c r="X25" s="516"/>
      <c r="Y25" s="516"/>
      <c r="Z25" s="516"/>
      <c r="AA25" s="516"/>
      <c r="AB25" s="516"/>
      <c r="AC25" s="516"/>
      <c r="AD25" s="516"/>
      <c r="AE25" s="516"/>
      <c r="AF25" s="516"/>
      <c r="AG25" s="516"/>
    </row>
    <row r="26" customFormat="false" ht="18.75" hidden="false" customHeight="false" outlineLevel="0" collapsed="false">
      <c r="A26" s="136"/>
    </row>
    <row r="27" customFormat="false" ht="18.75" hidden="false" customHeight="false" outlineLevel="0" collapsed="false">
      <c r="A27" s="136"/>
    </row>
    <row r="28" customFormat="false" ht="18.75" hidden="false" customHeight="false" outlineLevel="0" collapsed="false">
      <c r="A28" s="136"/>
    </row>
    <row r="29" customFormat="false" ht="18.75" hidden="false" customHeight="false" outlineLevel="0" collapsed="false">
      <c r="A29" s="136"/>
    </row>
    <row r="30" customFormat="false" ht="18.75" hidden="false" customHeight="false" outlineLevel="0" collapsed="false">
      <c r="A30" s="136"/>
      <c r="B30" s="512" t="s">
        <v>418</v>
      </c>
    </row>
    <row r="31" customFormat="false" ht="18.75" hidden="false" customHeight="false" outlineLevel="0" collapsed="false">
      <c r="A31" s="136"/>
      <c r="B31" s="194" t="s">
        <v>469</v>
      </c>
    </row>
    <row r="32" customFormat="false" ht="15" hidden="false" customHeight="false" outlineLevel="0" collapsed="false">
      <c r="B32" s="0" t="s">
        <v>470</v>
      </c>
      <c r="C32" s="0" t="n">
        <v>0</v>
      </c>
      <c r="D32" s="0" t="n">
        <v>1</v>
      </c>
      <c r="E32" s="0" t="n">
        <v>2</v>
      </c>
      <c r="F32" s="0" t="n">
        <v>3</v>
      </c>
      <c r="G32" s="0" t="n">
        <v>4</v>
      </c>
      <c r="H32" s="0" t="n">
        <v>5</v>
      </c>
      <c r="I32" s="0" t="n">
        <v>6</v>
      </c>
      <c r="J32" s="0" t="n">
        <v>7</v>
      </c>
      <c r="K32" s="0" t="n">
        <v>8</v>
      </c>
      <c r="L32" s="0" t="n">
        <v>9</v>
      </c>
      <c r="M32" s="0" t="n">
        <v>10</v>
      </c>
      <c r="N32" s="0" t="n">
        <v>11</v>
      </c>
      <c r="O32" s="0" t="n">
        <v>12</v>
      </c>
      <c r="P32" s="0" t="n">
        <v>13</v>
      </c>
      <c r="Q32" s="0" t="n">
        <v>14</v>
      </c>
      <c r="R32" s="0" t="n">
        <v>15</v>
      </c>
      <c r="S32" s="0" t="n">
        <v>16</v>
      </c>
      <c r="T32" s="0" t="n">
        <v>17</v>
      </c>
      <c r="U32" s="0" t="n">
        <v>18</v>
      </c>
      <c r="V32" s="0" t="n">
        <v>19</v>
      </c>
      <c r="W32" s="0" t="n">
        <v>20</v>
      </c>
      <c r="X32" s="0" t="n">
        <v>21</v>
      </c>
      <c r="Y32" s="0" t="n">
        <v>22</v>
      </c>
      <c r="Z32" s="0" t="n">
        <v>23</v>
      </c>
      <c r="AA32" s="0" t="n">
        <v>24</v>
      </c>
      <c r="AB32" s="0" t="n">
        <v>25</v>
      </c>
      <c r="AC32" s="0" t="n">
        <v>26</v>
      </c>
      <c r="AD32" s="0" t="n">
        <v>27</v>
      </c>
      <c r="AE32" s="0" t="n">
        <v>28</v>
      </c>
      <c r="AF32" s="0" t="n">
        <v>29</v>
      </c>
      <c r="AG32" s="0" t="n">
        <v>30</v>
      </c>
    </row>
    <row r="33" customFormat="false" ht="15" hidden="false" customHeight="false" outlineLevel="0" collapsed="false">
      <c r="B33" s="0" t="s">
        <v>1</v>
      </c>
      <c r="C33" s="0" t="s">
        <v>273</v>
      </c>
      <c r="D33" s="134" t="str">
        <f aca="false" t="array" ref="D33:AG33">TRANSPOSE(Tickers)</f>
        <v>BIV</v>
      </c>
      <c r="E33" s="134" t="str">
        <v>EEM</v>
      </c>
      <c r="F33" s="134" t="str">
        <v>EFA</v>
      </c>
      <c r="G33" s="134" t="str">
        <v>HYG</v>
      </c>
      <c r="H33" s="134" t="str">
        <v>IEF</v>
      </c>
      <c r="I33" s="134" t="str">
        <v>IYR</v>
      </c>
      <c r="J33" s="134" t="str">
        <v>VTI</v>
      </c>
      <c r="K33" s="134" t="str">
        <v/>
      </c>
      <c r="L33" s="134" t="str">
        <v/>
      </c>
      <c r="M33" s="134" t="str">
        <v/>
      </c>
      <c r="N33" s="134" t="str">
        <v/>
      </c>
      <c r="O33" s="134" t="str">
        <v/>
      </c>
      <c r="P33" s="134" t="str">
        <v/>
      </c>
      <c r="Q33" s="134" t="str">
        <v/>
      </c>
      <c r="R33" s="134" t="str">
        <v/>
      </c>
      <c r="S33" s="134" t="str">
        <v/>
      </c>
      <c r="T33" s="134" t="str">
        <v/>
      </c>
      <c r="U33" s="134" t="str">
        <v/>
      </c>
      <c r="V33" s="134" t="str">
        <v/>
      </c>
      <c r="W33" s="134" t="str">
        <v/>
      </c>
      <c r="X33" s="134" t="str">
        <v/>
      </c>
      <c r="Y33" s="134" t="str">
        <v/>
      </c>
      <c r="Z33" s="134" t="str">
        <v/>
      </c>
      <c r="AA33" s="134" t="str">
        <v/>
      </c>
      <c r="AB33" s="134" t="str">
        <v/>
      </c>
      <c r="AC33" s="134" t="str">
        <v/>
      </c>
      <c r="AD33" s="134" t="str">
        <v/>
      </c>
      <c r="AE33" s="134" t="str">
        <v/>
      </c>
      <c r="AF33" s="134" t="str">
        <v/>
      </c>
      <c r="AG33" s="134" t="str">
        <v/>
      </c>
    </row>
    <row r="34" customFormat="false" ht="15" hidden="false" customHeight="false" outlineLevel="0" collapsed="false">
      <c r="B34" s="509" t="n">
        <f aca="false" t="array" ref="B34:B39">TRANSPOSE(Dates)</f>
        <v>43259</v>
      </c>
      <c r="C34" s="326" t="n">
        <v>1</v>
      </c>
      <c r="D34" s="515" t="n">
        <f aca="false">INDEX('Price Inputs'!$C$6:$J$49,MATCH(Calculations!D$33,'Price Inputs'!$C$6:$C$49,0),MATCH(Calculations!$B34,'Price Inputs'!$C$4:$J$4,0))</f>
        <v>80.68</v>
      </c>
      <c r="E34" s="515" t="n">
        <f aca="false">INDEX('Price Inputs'!$C$6:$J$49,MATCH(Calculations!E$33,'Price Inputs'!$C$6:$C$49,0),MATCH(Calculations!$B34,'Price Inputs'!$C$4:$J$4,0))</f>
        <v>46.33</v>
      </c>
      <c r="F34" s="515" t="n">
        <f aca="false">INDEX('Price Inputs'!$C$6:$J$49,MATCH(Calculations!F$33,'Price Inputs'!$C$6:$C$49,0),MATCH(Calculations!$B34,'Price Inputs'!$C$4:$J$4,0))</f>
        <v>70.41</v>
      </c>
      <c r="G34" s="515" t="n">
        <f aca="false">INDEX('Price Inputs'!$C$6:$J$49,MATCH(Calculations!G$33,'Price Inputs'!$C$6:$C$49,0),MATCH(Calculations!$B34,'Price Inputs'!$C$4:$J$4,0))</f>
        <v>85.66</v>
      </c>
      <c r="H34" s="515" t="n">
        <f aca="false">INDEX('Price Inputs'!$C$6:$J$49,MATCH(Calculations!H$33,'Price Inputs'!$C$6:$C$49,0),MATCH(Calculations!$B34,'Price Inputs'!$C$4:$J$4,0))</f>
        <v>101.71</v>
      </c>
      <c r="I34" s="515" t="n">
        <f aca="false">INDEX('Price Inputs'!$C$6:$J$49,MATCH(Calculations!I$33,'Price Inputs'!$C$6:$C$49,0),MATCH(Calculations!$B34,'Price Inputs'!$C$4:$J$4,0))</f>
        <v>79.42</v>
      </c>
      <c r="J34" s="515" t="n">
        <f aca="false">INDEX('Price Inputs'!$C$6:$J$49,MATCH(Calculations!J$33,'Price Inputs'!$C$6:$C$49,0),MATCH(Calculations!$B34,'Price Inputs'!$C$4:$J$4,0))</f>
        <v>143.91</v>
      </c>
      <c r="K34" s="515" t="str">
        <f aca="false">INDEX('Price Inputs'!$C$6:$J$49,MATCH(Calculations!K$33,'Price Inputs'!$C$6:$C$49,0),MATCH(Calculations!$B34,'Price Inputs'!$C$4:$J$4,0))</f>
        <v/>
      </c>
      <c r="L34" s="515" t="str">
        <f aca="false">INDEX('Price Inputs'!$C$6:$J$49,MATCH(Calculations!L$33,'Price Inputs'!$C$6:$C$49,0),MATCH(Calculations!$B34,'Price Inputs'!$C$4:$J$4,0))</f>
        <v/>
      </c>
      <c r="M34" s="515" t="str">
        <f aca="false">INDEX('Price Inputs'!$C$6:$J$49,MATCH(Calculations!M$33,'Price Inputs'!$C$6:$C$49,0),MATCH(Calculations!$B34,'Price Inputs'!$C$4:$J$4,0))</f>
        <v/>
      </c>
      <c r="N34" s="515" t="str">
        <f aca="false">INDEX('Price Inputs'!$C$6:$J$49,MATCH(Calculations!N$33,'Price Inputs'!$C$6:$C$49,0),MATCH(Calculations!$B34,'Price Inputs'!$C$4:$J$4,0))</f>
        <v/>
      </c>
      <c r="O34" s="515" t="str">
        <f aca="false">INDEX('Price Inputs'!$C$6:$J$49,MATCH(Calculations!O$33,'Price Inputs'!$C$6:$C$49,0),MATCH(Calculations!$B34,'Price Inputs'!$C$4:$J$4,0))</f>
        <v/>
      </c>
      <c r="P34" s="515" t="str">
        <f aca="false">INDEX('Price Inputs'!$C$6:$J$49,MATCH(Calculations!P$33,'Price Inputs'!$C$6:$C$49,0),MATCH(Calculations!$B34,'Price Inputs'!$C$4:$J$4,0))</f>
        <v/>
      </c>
      <c r="Q34" s="515" t="str">
        <f aca="false">INDEX('Price Inputs'!$C$6:$J$49,MATCH(Calculations!Q$33,'Price Inputs'!$C$6:$C$49,0),MATCH(Calculations!$B34,'Price Inputs'!$C$4:$J$4,0))</f>
        <v/>
      </c>
      <c r="R34" s="515" t="str">
        <f aca="false">INDEX('Price Inputs'!$C$6:$J$49,MATCH(Calculations!R$33,'Price Inputs'!$C$6:$C$49,0),MATCH(Calculations!$B34,'Price Inputs'!$C$4:$J$4,0))</f>
        <v/>
      </c>
      <c r="S34" s="515" t="str">
        <f aca="false">INDEX('Price Inputs'!$C$6:$J$49,MATCH(Calculations!S$33,'Price Inputs'!$C$6:$C$49,0),MATCH(Calculations!$B34,'Price Inputs'!$C$4:$J$4,0))</f>
        <v/>
      </c>
      <c r="T34" s="515" t="str">
        <f aca="false">INDEX('Price Inputs'!$C$6:$J$49,MATCH(Calculations!T$33,'Price Inputs'!$C$6:$C$49,0),MATCH(Calculations!$B34,'Price Inputs'!$C$4:$J$4,0))</f>
        <v/>
      </c>
      <c r="U34" s="515" t="str">
        <f aca="false">INDEX('Price Inputs'!$C$6:$J$49,MATCH(Calculations!U$33,'Price Inputs'!$C$6:$C$49,0),MATCH(Calculations!$B34,'Price Inputs'!$C$4:$J$4,0))</f>
        <v/>
      </c>
      <c r="V34" s="515" t="str">
        <f aca="false">INDEX('Price Inputs'!$C$6:$J$49,MATCH(Calculations!V$33,'Price Inputs'!$C$6:$C$49,0),MATCH(Calculations!$B34,'Price Inputs'!$C$4:$J$4,0))</f>
        <v/>
      </c>
      <c r="W34" s="515" t="str">
        <f aca="false">INDEX('Price Inputs'!$C$6:$J$49,MATCH(Calculations!W$33,'Price Inputs'!$C$6:$C$49,0),MATCH(Calculations!$B34,'Price Inputs'!$C$4:$J$4,0))</f>
        <v/>
      </c>
      <c r="X34" s="515" t="str">
        <f aca="false">INDEX('Price Inputs'!$C$6:$J$49,MATCH(Calculations!X$33,'Price Inputs'!$C$6:$C$49,0),MATCH(Calculations!$B34,'Price Inputs'!$C$4:$J$4,0))</f>
        <v/>
      </c>
      <c r="Y34" s="515" t="str">
        <f aca="false">INDEX('Price Inputs'!$C$6:$J$49,MATCH(Calculations!Y$33,'Price Inputs'!$C$6:$C$49,0),MATCH(Calculations!$B34,'Price Inputs'!$C$4:$J$4,0))</f>
        <v/>
      </c>
      <c r="Z34" s="515" t="str">
        <f aca="false">INDEX('Price Inputs'!$C$6:$J$49,MATCH(Calculations!Z$33,'Price Inputs'!$C$6:$C$49,0),MATCH(Calculations!$B34,'Price Inputs'!$C$4:$J$4,0))</f>
        <v/>
      </c>
      <c r="AA34" s="515" t="str">
        <f aca="false">INDEX('Price Inputs'!$C$6:$J$49,MATCH(Calculations!AA$33,'Price Inputs'!$C$6:$C$49,0),MATCH(Calculations!$B34,'Price Inputs'!$C$4:$J$4,0))</f>
        <v/>
      </c>
      <c r="AB34" s="515" t="str">
        <f aca="false">INDEX('Price Inputs'!$C$6:$J$49,MATCH(Calculations!AB$33,'Price Inputs'!$C$6:$C$49,0),MATCH(Calculations!$B34,'Price Inputs'!$C$4:$J$4,0))</f>
        <v/>
      </c>
      <c r="AC34" s="515" t="str">
        <f aca="false">INDEX('Price Inputs'!$C$6:$J$49,MATCH(Calculations!AC$33,'Price Inputs'!$C$6:$C$49,0),MATCH(Calculations!$B34,'Price Inputs'!$C$4:$J$4,0))</f>
        <v/>
      </c>
      <c r="AD34" s="515" t="str">
        <f aca="false">INDEX('Price Inputs'!$C$6:$J$49,MATCH(Calculations!AD$33,'Price Inputs'!$C$6:$C$49,0),MATCH(Calculations!$B34,'Price Inputs'!$C$4:$J$4,0))</f>
        <v/>
      </c>
      <c r="AE34" s="515" t="str">
        <f aca="false">INDEX('Price Inputs'!$C$6:$J$49,MATCH(Calculations!AE$33,'Price Inputs'!$C$6:$C$49,0),MATCH(Calculations!$B34,'Price Inputs'!$C$4:$J$4,0))</f>
        <v/>
      </c>
      <c r="AF34" s="515" t="str">
        <f aca="false">INDEX('Price Inputs'!$C$6:$J$49,MATCH(Calculations!AF$33,'Price Inputs'!$C$6:$C$49,0),MATCH(Calculations!$B34,'Price Inputs'!$C$4:$J$4,0))</f>
        <v/>
      </c>
      <c r="AG34" s="515" t="str">
        <f aca="false">INDEX('Price Inputs'!$C$6:$J$49,MATCH(Calculations!AG$33,'Price Inputs'!$C$6:$C$49,0),MATCH(Calculations!$B34,'Price Inputs'!$C$4:$J$4,0))</f>
        <v/>
      </c>
    </row>
    <row r="35" customFormat="false" ht="15" hidden="false" customHeight="false" outlineLevel="0" collapsed="false">
      <c r="B35" s="509" t="n">
        <v>43266</v>
      </c>
      <c r="C35" s="326" t="n">
        <v>1</v>
      </c>
      <c r="D35" s="515" t="n">
        <f aca="false">INDEX('Price Inputs'!$C$6:$J$49,MATCH(Calculations!D$33,'Price Inputs'!$C$6:$C$49,0),MATCH(Calculations!$B35,'Price Inputs'!$C$4:$J$4,0))</f>
        <v>80.61</v>
      </c>
      <c r="E35" s="515" t="n">
        <f aca="false">INDEX('Price Inputs'!$C$6:$J$49,MATCH(Calculations!E$33,'Price Inputs'!$C$6:$C$49,0),MATCH(Calculations!$B35,'Price Inputs'!$C$4:$J$4,0))</f>
        <v>45.25</v>
      </c>
      <c r="F35" s="515" t="n">
        <f aca="false">INDEX('Price Inputs'!$C$6:$J$49,MATCH(Calculations!F$33,'Price Inputs'!$C$6:$C$49,0),MATCH(Calculations!$B35,'Price Inputs'!$C$4:$J$4,0))</f>
        <v>70</v>
      </c>
      <c r="G35" s="515" t="n">
        <f aca="false">INDEX('Price Inputs'!$C$6:$J$49,MATCH(Calculations!G$33,'Price Inputs'!$C$6:$C$49,0),MATCH(Calculations!$B35,'Price Inputs'!$C$4:$J$4,0))</f>
        <v>86.12</v>
      </c>
      <c r="H35" s="515" t="n">
        <f aca="false">INDEX('Price Inputs'!$C$6:$J$49,MATCH(Calculations!H$33,'Price Inputs'!$C$6:$C$49,0),MATCH(Calculations!$B35,'Price Inputs'!$C$4:$J$4,0))</f>
        <v>101.83</v>
      </c>
      <c r="I35" s="515" t="n">
        <f aca="false">INDEX('Price Inputs'!$C$6:$J$49,MATCH(Calculations!I$33,'Price Inputs'!$C$6:$C$49,0),MATCH(Calculations!$B35,'Price Inputs'!$C$4:$J$4,0))</f>
        <v>78.96</v>
      </c>
      <c r="J35" s="515" t="n">
        <f aca="false">INDEX('Price Inputs'!$C$6:$J$49,MATCH(Calculations!J$33,'Price Inputs'!$C$6:$C$49,0),MATCH(Calculations!$B35,'Price Inputs'!$C$4:$J$4,0))</f>
        <v>144.16</v>
      </c>
      <c r="K35" s="515" t="n">
        <f aca="false">INDEX('Price Inputs'!$C$6:$J$49,MATCH(Calculations!K$33,'Price Inputs'!$C$6:$C$49,0),MATCH(Calculations!$B35,'Price Inputs'!$C$4:$J$4,0))</f>
        <v>0</v>
      </c>
      <c r="L35" s="515" t="n">
        <f aca="false">INDEX('Price Inputs'!$C$6:$J$49,MATCH(Calculations!L$33,'Price Inputs'!$C$6:$C$49,0),MATCH(Calculations!$B35,'Price Inputs'!$C$4:$J$4,0))</f>
        <v>0</v>
      </c>
      <c r="M35" s="515" t="n">
        <f aca="false">INDEX('Price Inputs'!$C$6:$J$49,MATCH(Calculations!M$33,'Price Inputs'!$C$6:$C$49,0),MATCH(Calculations!$B35,'Price Inputs'!$C$4:$J$4,0))</f>
        <v>0</v>
      </c>
      <c r="N35" s="515" t="n">
        <f aca="false">INDEX('Price Inputs'!$C$6:$J$49,MATCH(Calculations!N$33,'Price Inputs'!$C$6:$C$49,0),MATCH(Calculations!$B35,'Price Inputs'!$C$4:$J$4,0))</f>
        <v>0</v>
      </c>
      <c r="O35" s="515" t="n">
        <f aca="false">INDEX('Price Inputs'!$C$6:$J$49,MATCH(Calculations!O$33,'Price Inputs'!$C$6:$C$49,0),MATCH(Calculations!$B35,'Price Inputs'!$C$4:$J$4,0))</f>
        <v>0</v>
      </c>
      <c r="P35" s="515" t="n">
        <f aca="false">INDEX('Price Inputs'!$C$6:$J$49,MATCH(Calculations!P$33,'Price Inputs'!$C$6:$C$49,0),MATCH(Calculations!$B35,'Price Inputs'!$C$4:$J$4,0))</f>
        <v>0</v>
      </c>
      <c r="Q35" s="515" t="n">
        <f aca="false">INDEX('Price Inputs'!$C$6:$J$49,MATCH(Calculations!Q$33,'Price Inputs'!$C$6:$C$49,0),MATCH(Calculations!$B35,'Price Inputs'!$C$4:$J$4,0))</f>
        <v>0</v>
      </c>
      <c r="R35" s="515" t="n">
        <f aca="false">INDEX('Price Inputs'!$C$6:$J$49,MATCH(Calculations!R$33,'Price Inputs'!$C$6:$C$49,0),MATCH(Calculations!$B35,'Price Inputs'!$C$4:$J$4,0))</f>
        <v>0</v>
      </c>
      <c r="S35" s="515" t="n">
        <f aca="false">INDEX('Price Inputs'!$C$6:$J$49,MATCH(Calculations!S$33,'Price Inputs'!$C$6:$C$49,0),MATCH(Calculations!$B35,'Price Inputs'!$C$4:$J$4,0))</f>
        <v>0</v>
      </c>
      <c r="T35" s="515" t="n">
        <f aca="false">INDEX('Price Inputs'!$C$6:$J$49,MATCH(Calculations!T$33,'Price Inputs'!$C$6:$C$49,0),MATCH(Calculations!$B35,'Price Inputs'!$C$4:$J$4,0))</f>
        <v>0</v>
      </c>
      <c r="U35" s="515" t="n">
        <f aca="false">INDEX('Price Inputs'!$C$6:$J$49,MATCH(Calculations!U$33,'Price Inputs'!$C$6:$C$49,0),MATCH(Calculations!$B35,'Price Inputs'!$C$4:$J$4,0))</f>
        <v>0</v>
      </c>
      <c r="V35" s="515" t="n">
        <f aca="false">INDEX('Price Inputs'!$C$6:$J$49,MATCH(Calculations!V$33,'Price Inputs'!$C$6:$C$49,0),MATCH(Calculations!$B35,'Price Inputs'!$C$4:$J$4,0))</f>
        <v>0</v>
      </c>
      <c r="W35" s="515" t="n">
        <f aca="false">INDEX('Price Inputs'!$C$6:$J$49,MATCH(Calculations!W$33,'Price Inputs'!$C$6:$C$49,0),MATCH(Calculations!$B35,'Price Inputs'!$C$4:$J$4,0))</f>
        <v>0</v>
      </c>
      <c r="X35" s="515" t="n">
        <f aca="false">INDEX('Price Inputs'!$C$6:$J$49,MATCH(Calculations!X$33,'Price Inputs'!$C$6:$C$49,0),MATCH(Calculations!$B35,'Price Inputs'!$C$4:$J$4,0))</f>
        <v>0</v>
      </c>
      <c r="Y35" s="515" t="n">
        <f aca="false">INDEX('Price Inputs'!$C$6:$J$49,MATCH(Calculations!Y$33,'Price Inputs'!$C$6:$C$49,0),MATCH(Calculations!$B35,'Price Inputs'!$C$4:$J$4,0))</f>
        <v>0</v>
      </c>
      <c r="Z35" s="515" t="n">
        <f aca="false">INDEX('Price Inputs'!$C$6:$J$49,MATCH(Calculations!Z$33,'Price Inputs'!$C$6:$C$49,0),MATCH(Calculations!$B35,'Price Inputs'!$C$4:$J$4,0))</f>
        <v>0</v>
      </c>
      <c r="AA35" s="515" t="n">
        <f aca="false">INDEX('Price Inputs'!$C$6:$J$49,MATCH(Calculations!AA$33,'Price Inputs'!$C$6:$C$49,0),MATCH(Calculations!$B35,'Price Inputs'!$C$4:$J$4,0))</f>
        <v>0</v>
      </c>
      <c r="AB35" s="515" t="n">
        <f aca="false">INDEX('Price Inputs'!$C$6:$J$49,MATCH(Calculations!AB$33,'Price Inputs'!$C$6:$C$49,0),MATCH(Calculations!$B35,'Price Inputs'!$C$4:$J$4,0))</f>
        <v>0</v>
      </c>
      <c r="AC35" s="515" t="n">
        <f aca="false">INDEX('Price Inputs'!$C$6:$J$49,MATCH(Calculations!AC$33,'Price Inputs'!$C$6:$C$49,0),MATCH(Calculations!$B35,'Price Inputs'!$C$4:$J$4,0))</f>
        <v>0</v>
      </c>
      <c r="AD35" s="515" t="n">
        <f aca="false">INDEX('Price Inputs'!$C$6:$J$49,MATCH(Calculations!AD$33,'Price Inputs'!$C$6:$C$49,0),MATCH(Calculations!$B35,'Price Inputs'!$C$4:$J$4,0))</f>
        <v>0</v>
      </c>
      <c r="AE35" s="515" t="n">
        <f aca="false">INDEX('Price Inputs'!$C$6:$J$49,MATCH(Calculations!AE$33,'Price Inputs'!$C$6:$C$49,0),MATCH(Calculations!$B35,'Price Inputs'!$C$4:$J$4,0))</f>
        <v>0</v>
      </c>
      <c r="AF35" s="515" t="n">
        <f aca="false">INDEX('Price Inputs'!$C$6:$J$49,MATCH(Calculations!AF$33,'Price Inputs'!$C$6:$C$49,0),MATCH(Calculations!$B35,'Price Inputs'!$C$4:$J$4,0))</f>
        <v>0</v>
      </c>
      <c r="AG35" s="515" t="n">
        <f aca="false">INDEX('Price Inputs'!$C$6:$J$49,MATCH(Calculations!AG$33,'Price Inputs'!$C$6:$C$49,0),MATCH(Calculations!$B35,'Price Inputs'!$C$4:$J$4,0))</f>
        <v>0</v>
      </c>
    </row>
    <row r="36" customFormat="false" ht="15" hidden="false" customHeight="false" outlineLevel="0" collapsed="false">
      <c r="B36" s="509" t="n">
        <v>43273</v>
      </c>
      <c r="C36" s="326" t="n">
        <v>1</v>
      </c>
      <c r="D36" s="515" t="n">
        <f aca="false">INDEX('Price Inputs'!$C$6:$J$49,MATCH(Calculations!D$33,'Price Inputs'!$C$6:$C$49,0),MATCH(Calculations!$B36,'Price Inputs'!$C$4:$J$4,0))</f>
        <v>80.66</v>
      </c>
      <c r="E36" s="515" t="n">
        <f aca="false">INDEX('Price Inputs'!$C$6:$J$49,MATCH(Calculations!E$33,'Price Inputs'!$C$6:$C$49,0),MATCH(Calculations!$B36,'Price Inputs'!$C$4:$J$4,0))</f>
        <v>43.91</v>
      </c>
      <c r="F36" s="515" t="n">
        <f aca="false">INDEX('Price Inputs'!$C$6:$J$49,MATCH(Calculations!F$33,'Price Inputs'!$C$6:$C$49,0),MATCH(Calculations!$B36,'Price Inputs'!$C$4:$J$4,0))</f>
        <v>67.8</v>
      </c>
      <c r="G36" s="515" t="n">
        <f aca="false">INDEX('Price Inputs'!$C$6:$J$49,MATCH(Calculations!G$33,'Price Inputs'!$C$6:$C$49,0),MATCH(Calculations!$B36,'Price Inputs'!$C$4:$J$4,0))</f>
        <v>85.91</v>
      </c>
      <c r="H36" s="515" t="n">
        <f aca="false">INDEX('Price Inputs'!$C$6:$J$49,MATCH(Calculations!H$33,'Price Inputs'!$C$6:$C$49,0),MATCH(Calculations!$B36,'Price Inputs'!$C$4:$J$4,0))</f>
        <v>102.11</v>
      </c>
      <c r="I36" s="515" t="n">
        <f aca="false">INDEX('Price Inputs'!$C$6:$J$49,MATCH(Calculations!I$33,'Price Inputs'!$C$6:$C$49,0),MATCH(Calculations!$B36,'Price Inputs'!$C$4:$J$4,0))</f>
        <v>80.7</v>
      </c>
      <c r="J36" s="515" t="n">
        <f aca="false">INDEX('Price Inputs'!$C$6:$J$49,MATCH(Calculations!J$33,'Price Inputs'!$C$6:$C$49,0),MATCH(Calculations!$B36,'Price Inputs'!$C$4:$J$4,0))</f>
        <v>142.45</v>
      </c>
      <c r="K36" s="515" t="n">
        <f aca="false">INDEX('Price Inputs'!$C$6:$J$49,MATCH(Calculations!K$33,'Price Inputs'!$C$6:$C$49,0),MATCH(Calculations!$B36,'Price Inputs'!$C$4:$J$4,0))</f>
        <v>0</v>
      </c>
      <c r="L36" s="515" t="n">
        <f aca="false">INDEX('Price Inputs'!$C$6:$J$49,MATCH(Calculations!L$33,'Price Inputs'!$C$6:$C$49,0),MATCH(Calculations!$B36,'Price Inputs'!$C$4:$J$4,0))</f>
        <v>0</v>
      </c>
      <c r="M36" s="515" t="n">
        <f aca="false">INDEX('Price Inputs'!$C$6:$J$49,MATCH(Calculations!M$33,'Price Inputs'!$C$6:$C$49,0),MATCH(Calculations!$B36,'Price Inputs'!$C$4:$J$4,0))</f>
        <v>0</v>
      </c>
      <c r="N36" s="515" t="n">
        <f aca="false">INDEX('Price Inputs'!$C$6:$J$49,MATCH(Calculations!N$33,'Price Inputs'!$C$6:$C$49,0),MATCH(Calculations!$B36,'Price Inputs'!$C$4:$J$4,0))</f>
        <v>0</v>
      </c>
      <c r="O36" s="515" t="n">
        <f aca="false">INDEX('Price Inputs'!$C$6:$J$49,MATCH(Calculations!O$33,'Price Inputs'!$C$6:$C$49,0),MATCH(Calculations!$B36,'Price Inputs'!$C$4:$J$4,0))</f>
        <v>0</v>
      </c>
      <c r="P36" s="515" t="n">
        <f aca="false">INDEX('Price Inputs'!$C$6:$J$49,MATCH(Calculations!P$33,'Price Inputs'!$C$6:$C$49,0),MATCH(Calculations!$B36,'Price Inputs'!$C$4:$J$4,0))</f>
        <v>0</v>
      </c>
      <c r="Q36" s="515" t="n">
        <f aca="false">INDEX('Price Inputs'!$C$6:$J$49,MATCH(Calculations!Q$33,'Price Inputs'!$C$6:$C$49,0),MATCH(Calculations!$B36,'Price Inputs'!$C$4:$J$4,0))</f>
        <v>0</v>
      </c>
      <c r="R36" s="515" t="n">
        <f aca="false">INDEX('Price Inputs'!$C$6:$J$49,MATCH(Calculations!R$33,'Price Inputs'!$C$6:$C$49,0),MATCH(Calculations!$B36,'Price Inputs'!$C$4:$J$4,0))</f>
        <v>0</v>
      </c>
      <c r="S36" s="515" t="n">
        <f aca="false">INDEX('Price Inputs'!$C$6:$J$49,MATCH(Calculations!S$33,'Price Inputs'!$C$6:$C$49,0),MATCH(Calculations!$B36,'Price Inputs'!$C$4:$J$4,0))</f>
        <v>0</v>
      </c>
      <c r="T36" s="515" t="n">
        <f aca="false">INDEX('Price Inputs'!$C$6:$J$49,MATCH(Calculations!T$33,'Price Inputs'!$C$6:$C$49,0),MATCH(Calculations!$B36,'Price Inputs'!$C$4:$J$4,0))</f>
        <v>0</v>
      </c>
      <c r="U36" s="515" t="n">
        <f aca="false">INDEX('Price Inputs'!$C$6:$J$49,MATCH(Calculations!U$33,'Price Inputs'!$C$6:$C$49,0),MATCH(Calculations!$B36,'Price Inputs'!$C$4:$J$4,0))</f>
        <v>0</v>
      </c>
      <c r="V36" s="515" t="n">
        <f aca="false">INDEX('Price Inputs'!$C$6:$J$49,MATCH(Calculations!V$33,'Price Inputs'!$C$6:$C$49,0),MATCH(Calculations!$B36,'Price Inputs'!$C$4:$J$4,0))</f>
        <v>0</v>
      </c>
      <c r="W36" s="515" t="n">
        <f aca="false">INDEX('Price Inputs'!$C$6:$J$49,MATCH(Calculations!W$33,'Price Inputs'!$C$6:$C$49,0),MATCH(Calculations!$B36,'Price Inputs'!$C$4:$J$4,0))</f>
        <v>0</v>
      </c>
      <c r="X36" s="515" t="n">
        <f aca="false">INDEX('Price Inputs'!$C$6:$J$49,MATCH(Calculations!X$33,'Price Inputs'!$C$6:$C$49,0),MATCH(Calculations!$B36,'Price Inputs'!$C$4:$J$4,0))</f>
        <v>0</v>
      </c>
      <c r="Y36" s="515" t="n">
        <f aca="false">INDEX('Price Inputs'!$C$6:$J$49,MATCH(Calculations!Y$33,'Price Inputs'!$C$6:$C$49,0),MATCH(Calculations!$B36,'Price Inputs'!$C$4:$J$4,0))</f>
        <v>0</v>
      </c>
      <c r="Z36" s="515" t="n">
        <f aca="false">INDEX('Price Inputs'!$C$6:$J$49,MATCH(Calculations!Z$33,'Price Inputs'!$C$6:$C$49,0),MATCH(Calculations!$B36,'Price Inputs'!$C$4:$J$4,0))</f>
        <v>0</v>
      </c>
      <c r="AA36" s="515" t="n">
        <f aca="false">INDEX('Price Inputs'!$C$6:$J$49,MATCH(Calculations!AA$33,'Price Inputs'!$C$6:$C$49,0),MATCH(Calculations!$B36,'Price Inputs'!$C$4:$J$4,0))</f>
        <v>0</v>
      </c>
      <c r="AB36" s="515" t="n">
        <f aca="false">INDEX('Price Inputs'!$C$6:$J$49,MATCH(Calculations!AB$33,'Price Inputs'!$C$6:$C$49,0),MATCH(Calculations!$B36,'Price Inputs'!$C$4:$J$4,0))</f>
        <v>0</v>
      </c>
      <c r="AC36" s="515" t="n">
        <f aca="false">INDEX('Price Inputs'!$C$6:$J$49,MATCH(Calculations!AC$33,'Price Inputs'!$C$6:$C$49,0),MATCH(Calculations!$B36,'Price Inputs'!$C$4:$J$4,0))</f>
        <v>0</v>
      </c>
      <c r="AD36" s="515" t="n">
        <f aca="false">INDEX('Price Inputs'!$C$6:$J$49,MATCH(Calculations!AD$33,'Price Inputs'!$C$6:$C$49,0),MATCH(Calculations!$B36,'Price Inputs'!$C$4:$J$4,0))</f>
        <v>0</v>
      </c>
      <c r="AE36" s="515" t="n">
        <f aca="false">INDEX('Price Inputs'!$C$6:$J$49,MATCH(Calculations!AE$33,'Price Inputs'!$C$6:$C$49,0),MATCH(Calculations!$B36,'Price Inputs'!$C$4:$J$4,0))</f>
        <v>0</v>
      </c>
      <c r="AF36" s="515" t="n">
        <f aca="false">INDEX('Price Inputs'!$C$6:$J$49,MATCH(Calculations!AF$33,'Price Inputs'!$C$6:$C$49,0),MATCH(Calculations!$B36,'Price Inputs'!$C$4:$J$4,0))</f>
        <v>0</v>
      </c>
      <c r="AG36" s="515" t="n">
        <f aca="false">INDEX('Price Inputs'!$C$6:$J$49,MATCH(Calculations!AG$33,'Price Inputs'!$C$6:$C$49,0),MATCH(Calculations!$B36,'Price Inputs'!$C$4:$J$4,0))</f>
        <v>0</v>
      </c>
    </row>
    <row r="37" customFormat="false" ht="15" hidden="false" customHeight="false" outlineLevel="0" collapsed="false">
      <c r="B37" s="509" t="n">
        <v>43280</v>
      </c>
      <c r="C37" s="326" t="n">
        <v>1</v>
      </c>
      <c r="D37" s="515" t="n">
        <f aca="false">INDEX('Price Inputs'!$C$6:$J$49,MATCH(Calculations!D$33,'Price Inputs'!$C$6:$C$49,0),MATCH(Calculations!$B37,'Price Inputs'!$C$4:$J$4,0))</f>
        <v>0</v>
      </c>
      <c r="E37" s="515" t="n">
        <f aca="false">INDEX('Price Inputs'!$C$6:$J$49,MATCH(Calculations!E$33,'Price Inputs'!$C$6:$C$49,0),MATCH(Calculations!$B37,'Price Inputs'!$C$4:$J$4,0))</f>
        <v>0</v>
      </c>
      <c r="F37" s="515" t="n">
        <f aca="false">INDEX('Price Inputs'!$C$6:$J$49,MATCH(Calculations!F$33,'Price Inputs'!$C$6:$C$49,0),MATCH(Calculations!$B37,'Price Inputs'!$C$4:$J$4,0))</f>
        <v>0</v>
      </c>
      <c r="G37" s="515" t="n">
        <f aca="false">INDEX('Price Inputs'!$C$6:$J$49,MATCH(Calculations!G$33,'Price Inputs'!$C$6:$C$49,0),MATCH(Calculations!$B37,'Price Inputs'!$C$4:$J$4,0))</f>
        <v>0</v>
      </c>
      <c r="H37" s="515" t="n">
        <f aca="false">INDEX('Price Inputs'!$C$6:$J$49,MATCH(Calculations!H$33,'Price Inputs'!$C$6:$C$49,0),MATCH(Calculations!$B37,'Price Inputs'!$C$4:$J$4,0))</f>
        <v>0</v>
      </c>
      <c r="I37" s="515" t="n">
        <f aca="false">INDEX('Price Inputs'!$C$6:$J$49,MATCH(Calculations!I$33,'Price Inputs'!$C$6:$C$49,0),MATCH(Calculations!$B37,'Price Inputs'!$C$4:$J$4,0))</f>
        <v>0</v>
      </c>
      <c r="J37" s="515" t="n">
        <f aca="false">INDEX('Price Inputs'!$C$6:$J$49,MATCH(Calculations!J$33,'Price Inputs'!$C$6:$C$49,0),MATCH(Calculations!$B37,'Price Inputs'!$C$4:$J$4,0))</f>
        <v>0</v>
      </c>
      <c r="K37" s="515" t="n">
        <f aca="false">INDEX('Price Inputs'!$C$6:$J$49,MATCH(Calculations!K$33,'Price Inputs'!$C$6:$C$49,0),MATCH(Calculations!$B37,'Price Inputs'!$C$4:$J$4,0))</f>
        <v>0</v>
      </c>
      <c r="L37" s="515" t="n">
        <f aca="false">INDEX('Price Inputs'!$C$6:$J$49,MATCH(Calculations!L$33,'Price Inputs'!$C$6:$C$49,0),MATCH(Calculations!$B37,'Price Inputs'!$C$4:$J$4,0))</f>
        <v>0</v>
      </c>
      <c r="M37" s="515" t="n">
        <f aca="false">INDEX('Price Inputs'!$C$6:$J$49,MATCH(Calculations!M$33,'Price Inputs'!$C$6:$C$49,0),MATCH(Calculations!$B37,'Price Inputs'!$C$4:$J$4,0))</f>
        <v>0</v>
      </c>
      <c r="N37" s="515" t="n">
        <f aca="false">INDEX('Price Inputs'!$C$6:$J$49,MATCH(Calculations!N$33,'Price Inputs'!$C$6:$C$49,0),MATCH(Calculations!$B37,'Price Inputs'!$C$4:$J$4,0))</f>
        <v>0</v>
      </c>
      <c r="O37" s="515" t="n">
        <f aca="false">INDEX('Price Inputs'!$C$6:$J$49,MATCH(Calculations!O$33,'Price Inputs'!$C$6:$C$49,0),MATCH(Calculations!$B37,'Price Inputs'!$C$4:$J$4,0))</f>
        <v>0</v>
      </c>
      <c r="P37" s="515" t="n">
        <f aca="false">INDEX('Price Inputs'!$C$6:$J$49,MATCH(Calculations!P$33,'Price Inputs'!$C$6:$C$49,0),MATCH(Calculations!$B37,'Price Inputs'!$C$4:$J$4,0))</f>
        <v>0</v>
      </c>
      <c r="Q37" s="515" t="n">
        <f aca="false">INDEX('Price Inputs'!$C$6:$J$49,MATCH(Calculations!Q$33,'Price Inputs'!$C$6:$C$49,0),MATCH(Calculations!$B37,'Price Inputs'!$C$4:$J$4,0))</f>
        <v>0</v>
      </c>
      <c r="R37" s="515" t="n">
        <f aca="false">INDEX('Price Inputs'!$C$6:$J$49,MATCH(Calculations!R$33,'Price Inputs'!$C$6:$C$49,0),MATCH(Calculations!$B37,'Price Inputs'!$C$4:$J$4,0))</f>
        <v>0</v>
      </c>
      <c r="S37" s="515" t="n">
        <f aca="false">INDEX('Price Inputs'!$C$6:$J$49,MATCH(Calculations!S$33,'Price Inputs'!$C$6:$C$49,0),MATCH(Calculations!$B37,'Price Inputs'!$C$4:$J$4,0))</f>
        <v>0</v>
      </c>
      <c r="T37" s="515" t="n">
        <f aca="false">INDEX('Price Inputs'!$C$6:$J$49,MATCH(Calculations!T$33,'Price Inputs'!$C$6:$C$49,0),MATCH(Calculations!$B37,'Price Inputs'!$C$4:$J$4,0))</f>
        <v>0</v>
      </c>
      <c r="U37" s="515" t="n">
        <f aca="false">INDEX('Price Inputs'!$C$6:$J$49,MATCH(Calculations!U$33,'Price Inputs'!$C$6:$C$49,0),MATCH(Calculations!$B37,'Price Inputs'!$C$4:$J$4,0))</f>
        <v>0</v>
      </c>
      <c r="V37" s="515" t="n">
        <f aca="false">INDEX('Price Inputs'!$C$6:$J$49,MATCH(Calculations!V$33,'Price Inputs'!$C$6:$C$49,0),MATCH(Calculations!$B37,'Price Inputs'!$C$4:$J$4,0))</f>
        <v>0</v>
      </c>
      <c r="W37" s="515" t="n">
        <f aca="false">INDEX('Price Inputs'!$C$6:$J$49,MATCH(Calculations!W$33,'Price Inputs'!$C$6:$C$49,0),MATCH(Calculations!$B37,'Price Inputs'!$C$4:$J$4,0))</f>
        <v>0</v>
      </c>
      <c r="X37" s="515" t="n">
        <f aca="false">INDEX('Price Inputs'!$C$6:$J$49,MATCH(Calculations!X$33,'Price Inputs'!$C$6:$C$49,0),MATCH(Calculations!$B37,'Price Inputs'!$C$4:$J$4,0))</f>
        <v>0</v>
      </c>
      <c r="Y37" s="515" t="n">
        <f aca="false">INDEX('Price Inputs'!$C$6:$J$49,MATCH(Calculations!Y$33,'Price Inputs'!$C$6:$C$49,0),MATCH(Calculations!$B37,'Price Inputs'!$C$4:$J$4,0))</f>
        <v>0</v>
      </c>
      <c r="Z37" s="515" t="n">
        <f aca="false">INDEX('Price Inputs'!$C$6:$J$49,MATCH(Calculations!Z$33,'Price Inputs'!$C$6:$C$49,0),MATCH(Calculations!$B37,'Price Inputs'!$C$4:$J$4,0))</f>
        <v>0</v>
      </c>
      <c r="AA37" s="515" t="n">
        <f aca="false">INDEX('Price Inputs'!$C$6:$J$49,MATCH(Calculations!AA$33,'Price Inputs'!$C$6:$C$49,0),MATCH(Calculations!$B37,'Price Inputs'!$C$4:$J$4,0))</f>
        <v>0</v>
      </c>
      <c r="AB37" s="515" t="n">
        <f aca="false">INDEX('Price Inputs'!$C$6:$J$49,MATCH(Calculations!AB$33,'Price Inputs'!$C$6:$C$49,0),MATCH(Calculations!$B37,'Price Inputs'!$C$4:$J$4,0))</f>
        <v>0</v>
      </c>
      <c r="AC37" s="515" t="n">
        <f aca="false">INDEX('Price Inputs'!$C$6:$J$49,MATCH(Calculations!AC$33,'Price Inputs'!$C$6:$C$49,0),MATCH(Calculations!$B37,'Price Inputs'!$C$4:$J$4,0))</f>
        <v>0</v>
      </c>
      <c r="AD37" s="515" t="n">
        <f aca="false">INDEX('Price Inputs'!$C$6:$J$49,MATCH(Calculations!AD$33,'Price Inputs'!$C$6:$C$49,0),MATCH(Calculations!$B37,'Price Inputs'!$C$4:$J$4,0))</f>
        <v>0</v>
      </c>
      <c r="AE37" s="515" t="n">
        <f aca="false">INDEX('Price Inputs'!$C$6:$J$49,MATCH(Calculations!AE$33,'Price Inputs'!$C$6:$C$49,0),MATCH(Calculations!$B37,'Price Inputs'!$C$4:$J$4,0))</f>
        <v>0</v>
      </c>
      <c r="AF37" s="515" t="n">
        <f aca="false">INDEX('Price Inputs'!$C$6:$J$49,MATCH(Calculations!AF$33,'Price Inputs'!$C$6:$C$49,0),MATCH(Calculations!$B37,'Price Inputs'!$C$4:$J$4,0))</f>
        <v>0</v>
      </c>
      <c r="AG37" s="515" t="n">
        <f aca="false">INDEX('Price Inputs'!$C$6:$J$49,MATCH(Calculations!AG$33,'Price Inputs'!$C$6:$C$49,0),MATCH(Calculations!$B37,'Price Inputs'!$C$4:$J$4,0))</f>
        <v>0</v>
      </c>
    </row>
    <row r="38" customFormat="false" ht="15" hidden="false" customHeight="false" outlineLevel="0" collapsed="false">
      <c r="B38" s="509" t="n">
        <v>43287</v>
      </c>
      <c r="C38" s="326" t="n">
        <v>1</v>
      </c>
      <c r="D38" s="515" t="n">
        <f aca="false">INDEX('Price Inputs'!$C$6:$J$49,MATCH(Calculations!D$33,'Price Inputs'!$C$6:$C$49,0),MATCH(Calculations!$B38,'Price Inputs'!$C$4:$J$4,0))</f>
        <v>0</v>
      </c>
      <c r="E38" s="515" t="n">
        <f aca="false">INDEX('Price Inputs'!$C$6:$J$49,MATCH(Calculations!E$33,'Price Inputs'!$C$6:$C$49,0),MATCH(Calculations!$B38,'Price Inputs'!$C$4:$J$4,0))</f>
        <v>0</v>
      </c>
      <c r="F38" s="515" t="n">
        <f aca="false">INDEX('Price Inputs'!$C$6:$J$49,MATCH(Calculations!F$33,'Price Inputs'!$C$6:$C$49,0),MATCH(Calculations!$B38,'Price Inputs'!$C$4:$J$4,0))</f>
        <v>0</v>
      </c>
      <c r="G38" s="515" t="n">
        <f aca="false">INDEX('Price Inputs'!$C$6:$J$49,MATCH(Calculations!G$33,'Price Inputs'!$C$6:$C$49,0),MATCH(Calculations!$B38,'Price Inputs'!$C$4:$J$4,0))</f>
        <v>0</v>
      </c>
      <c r="H38" s="515" t="n">
        <f aca="false">INDEX('Price Inputs'!$C$6:$J$49,MATCH(Calculations!H$33,'Price Inputs'!$C$6:$C$49,0),MATCH(Calculations!$B38,'Price Inputs'!$C$4:$J$4,0))</f>
        <v>0</v>
      </c>
      <c r="I38" s="515" t="n">
        <f aca="false">INDEX('Price Inputs'!$C$6:$J$49,MATCH(Calculations!I$33,'Price Inputs'!$C$6:$C$49,0),MATCH(Calculations!$B38,'Price Inputs'!$C$4:$J$4,0))</f>
        <v>0</v>
      </c>
      <c r="J38" s="515" t="n">
        <f aca="false">INDEX('Price Inputs'!$C$6:$J$49,MATCH(Calculations!J$33,'Price Inputs'!$C$6:$C$49,0),MATCH(Calculations!$B38,'Price Inputs'!$C$4:$J$4,0))</f>
        <v>0</v>
      </c>
      <c r="K38" s="515" t="n">
        <f aca="false">INDEX('Price Inputs'!$C$6:$J$49,MATCH(Calculations!K$33,'Price Inputs'!$C$6:$C$49,0),MATCH(Calculations!$B38,'Price Inputs'!$C$4:$J$4,0))</f>
        <v>0</v>
      </c>
      <c r="L38" s="515" t="n">
        <f aca="false">INDEX('Price Inputs'!$C$6:$J$49,MATCH(Calculations!L$33,'Price Inputs'!$C$6:$C$49,0),MATCH(Calculations!$B38,'Price Inputs'!$C$4:$J$4,0))</f>
        <v>0</v>
      </c>
      <c r="M38" s="515" t="n">
        <f aca="false">INDEX('Price Inputs'!$C$6:$J$49,MATCH(Calculations!M$33,'Price Inputs'!$C$6:$C$49,0),MATCH(Calculations!$B38,'Price Inputs'!$C$4:$J$4,0))</f>
        <v>0</v>
      </c>
      <c r="N38" s="515" t="n">
        <f aca="false">INDEX('Price Inputs'!$C$6:$J$49,MATCH(Calculations!N$33,'Price Inputs'!$C$6:$C$49,0),MATCH(Calculations!$B38,'Price Inputs'!$C$4:$J$4,0))</f>
        <v>0</v>
      </c>
      <c r="O38" s="515" t="n">
        <f aca="false">INDEX('Price Inputs'!$C$6:$J$49,MATCH(Calculations!O$33,'Price Inputs'!$C$6:$C$49,0),MATCH(Calculations!$B38,'Price Inputs'!$C$4:$J$4,0))</f>
        <v>0</v>
      </c>
      <c r="P38" s="515" t="n">
        <f aca="false">INDEX('Price Inputs'!$C$6:$J$49,MATCH(Calculations!P$33,'Price Inputs'!$C$6:$C$49,0),MATCH(Calculations!$B38,'Price Inputs'!$C$4:$J$4,0))</f>
        <v>0</v>
      </c>
      <c r="Q38" s="515" t="n">
        <f aca="false">INDEX('Price Inputs'!$C$6:$J$49,MATCH(Calculations!Q$33,'Price Inputs'!$C$6:$C$49,0),MATCH(Calculations!$B38,'Price Inputs'!$C$4:$J$4,0))</f>
        <v>0</v>
      </c>
      <c r="R38" s="515" t="n">
        <f aca="false">INDEX('Price Inputs'!$C$6:$J$49,MATCH(Calculations!R$33,'Price Inputs'!$C$6:$C$49,0),MATCH(Calculations!$B38,'Price Inputs'!$C$4:$J$4,0))</f>
        <v>0</v>
      </c>
      <c r="S38" s="515" t="n">
        <f aca="false">INDEX('Price Inputs'!$C$6:$J$49,MATCH(Calculations!S$33,'Price Inputs'!$C$6:$C$49,0),MATCH(Calculations!$B38,'Price Inputs'!$C$4:$J$4,0))</f>
        <v>0</v>
      </c>
      <c r="T38" s="515" t="n">
        <f aca="false">INDEX('Price Inputs'!$C$6:$J$49,MATCH(Calculations!T$33,'Price Inputs'!$C$6:$C$49,0),MATCH(Calculations!$B38,'Price Inputs'!$C$4:$J$4,0))</f>
        <v>0</v>
      </c>
      <c r="U38" s="515" t="n">
        <f aca="false">INDEX('Price Inputs'!$C$6:$J$49,MATCH(Calculations!U$33,'Price Inputs'!$C$6:$C$49,0),MATCH(Calculations!$B38,'Price Inputs'!$C$4:$J$4,0))</f>
        <v>0</v>
      </c>
      <c r="V38" s="515" t="n">
        <f aca="false">INDEX('Price Inputs'!$C$6:$J$49,MATCH(Calculations!V$33,'Price Inputs'!$C$6:$C$49,0),MATCH(Calculations!$B38,'Price Inputs'!$C$4:$J$4,0))</f>
        <v>0</v>
      </c>
      <c r="W38" s="515" t="n">
        <f aca="false">INDEX('Price Inputs'!$C$6:$J$49,MATCH(Calculations!W$33,'Price Inputs'!$C$6:$C$49,0),MATCH(Calculations!$B38,'Price Inputs'!$C$4:$J$4,0))</f>
        <v>0</v>
      </c>
      <c r="X38" s="515" t="n">
        <f aca="false">INDEX('Price Inputs'!$C$6:$J$49,MATCH(Calculations!X$33,'Price Inputs'!$C$6:$C$49,0),MATCH(Calculations!$B38,'Price Inputs'!$C$4:$J$4,0))</f>
        <v>0</v>
      </c>
      <c r="Y38" s="515" t="n">
        <f aca="false">INDEX('Price Inputs'!$C$6:$J$49,MATCH(Calculations!Y$33,'Price Inputs'!$C$6:$C$49,0),MATCH(Calculations!$B38,'Price Inputs'!$C$4:$J$4,0))</f>
        <v>0</v>
      </c>
      <c r="Z38" s="515" t="n">
        <f aca="false">INDEX('Price Inputs'!$C$6:$J$49,MATCH(Calculations!Z$33,'Price Inputs'!$C$6:$C$49,0),MATCH(Calculations!$B38,'Price Inputs'!$C$4:$J$4,0))</f>
        <v>0</v>
      </c>
      <c r="AA38" s="515" t="n">
        <f aca="false">INDEX('Price Inputs'!$C$6:$J$49,MATCH(Calculations!AA$33,'Price Inputs'!$C$6:$C$49,0),MATCH(Calculations!$B38,'Price Inputs'!$C$4:$J$4,0))</f>
        <v>0</v>
      </c>
      <c r="AB38" s="515" t="n">
        <f aca="false">INDEX('Price Inputs'!$C$6:$J$49,MATCH(Calculations!AB$33,'Price Inputs'!$C$6:$C$49,0),MATCH(Calculations!$B38,'Price Inputs'!$C$4:$J$4,0))</f>
        <v>0</v>
      </c>
      <c r="AC38" s="515" t="n">
        <f aca="false">INDEX('Price Inputs'!$C$6:$J$49,MATCH(Calculations!AC$33,'Price Inputs'!$C$6:$C$49,0),MATCH(Calculations!$B38,'Price Inputs'!$C$4:$J$4,0))</f>
        <v>0</v>
      </c>
      <c r="AD38" s="515" t="n">
        <f aca="false">INDEX('Price Inputs'!$C$6:$J$49,MATCH(Calculations!AD$33,'Price Inputs'!$C$6:$C$49,0),MATCH(Calculations!$B38,'Price Inputs'!$C$4:$J$4,0))</f>
        <v>0</v>
      </c>
      <c r="AE38" s="515" t="n">
        <f aca="false">INDEX('Price Inputs'!$C$6:$J$49,MATCH(Calculations!AE$33,'Price Inputs'!$C$6:$C$49,0),MATCH(Calculations!$B38,'Price Inputs'!$C$4:$J$4,0))</f>
        <v>0</v>
      </c>
      <c r="AF38" s="515" t="n">
        <f aca="false">INDEX('Price Inputs'!$C$6:$J$49,MATCH(Calculations!AF$33,'Price Inputs'!$C$6:$C$49,0),MATCH(Calculations!$B38,'Price Inputs'!$C$4:$J$4,0))</f>
        <v>0</v>
      </c>
      <c r="AG38" s="515" t="n">
        <f aca="false">INDEX('Price Inputs'!$C$6:$J$49,MATCH(Calculations!AG$33,'Price Inputs'!$C$6:$C$49,0),MATCH(Calculations!$B38,'Price Inputs'!$C$4:$J$4,0))</f>
        <v>0</v>
      </c>
    </row>
    <row r="39" customFormat="false" ht="15" hidden="false" customHeight="false" outlineLevel="0" collapsed="false">
      <c r="B39" s="509" t="n">
        <v>43294</v>
      </c>
      <c r="C39" s="326" t="n">
        <v>1</v>
      </c>
      <c r="D39" s="515" t="n">
        <f aca="false">INDEX('Price Inputs'!$C$6:$J$49,MATCH(Calculations!D$33,'Price Inputs'!$C$6:$C$49,0),MATCH(Calculations!$B39,'Price Inputs'!$C$4:$J$4,0))</f>
        <v>0</v>
      </c>
      <c r="E39" s="515" t="n">
        <f aca="false">INDEX('Price Inputs'!$C$6:$J$49,MATCH(Calculations!E$33,'Price Inputs'!$C$6:$C$49,0),MATCH(Calculations!$B39,'Price Inputs'!$C$4:$J$4,0))</f>
        <v>0</v>
      </c>
      <c r="F39" s="515" t="n">
        <f aca="false">INDEX('Price Inputs'!$C$6:$J$49,MATCH(Calculations!F$33,'Price Inputs'!$C$6:$C$49,0),MATCH(Calculations!$B39,'Price Inputs'!$C$4:$J$4,0))</f>
        <v>0</v>
      </c>
      <c r="G39" s="515" t="n">
        <f aca="false">INDEX('Price Inputs'!$C$6:$J$49,MATCH(Calculations!G$33,'Price Inputs'!$C$6:$C$49,0),MATCH(Calculations!$B39,'Price Inputs'!$C$4:$J$4,0))</f>
        <v>0</v>
      </c>
      <c r="H39" s="515" t="n">
        <f aca="false">INDEX('Price Inputs'!$C$6:$J$49,MATCH(Calculations!H$33,'Price Inputs'!$C$6:$C$49,0),MATCH(Calculations!$B39,'Price Inputs'!$C$4:$J$4,0))</f>
        <v>0</v>
      </c>
      <c r="I39" s="515" t="n">
        <f aca="false">INDEX('Price Inputs'!$C$6:$J$49,MATCH(Calculations!I$33,'Price Inputs'!$C$6:$C$49,0),MATCH(Calculations!$B39,'Price Inputs'!$C$4:$J$4,0))</f>
        <v>0</v>
      </c>
      <c r="J39" s="515" t="n">
        <f aca="false">INDEX('Price Inputs'!$C$6:$J$49,MATCH(Calculations!J$33,'Price Inputs'!$C$6:$C$49,0),MATCH(Calculations!$B39,'Price Inputs'!$C$4:$J$4,0))</f>
        <v>0</v>
      </c>
      <c r="K39" s="515" t="n">
        <f aca="false">INDEX('Price Inputs'!$C$6:$J$49,MATCH(Calculations!K$33,'Price Inputs'!$C$6:$C$49,0),MATCH(Calculations!$B39,'Price Inputs'!$C$4:$J$4,0))</f>
        <v>0</v>
      </c>
      <c r="L39" s="515" t="n">
        <f aca="false">INDEX('Price Inputs'!$C$6:$J$49,MATCH(Calculations!L$33,'Price Inputs'!$C$6:$C$49,0),MATCH(Calculations!$B39,'Price Inputs'!$C$4:$J$4,0))</f>
        <v>0</v>
      </c>
      <c r="M39" s="515" t="n">
        <f aca="false">INDEX('Price Inputs'!$C$6:$J$49,MATCH(Calculations!M$33,'Price Inputs'!$C$6:$C$49,0),MATCH(Calculations!$B39,'Price Inputs'!$C$4:$J$4,0))</f>
        <v>0</v>
      </c>
      <c r="N39" s="515" t="n">
        <f aca="false">INDEX('Price Inputs'!$C$6:$J$49,MATCH(Calculations!N$33,'Price Inputs'!$C$6:$C$49,0),MATCH(Calculations!$B39,'Price Inputs'!$C$4:$J$4,0))</f>
        <v>0</v>
      </c>
      <c r="O39" s="515" t="n">
        <f aca="false">INDEX('Price Inputs'!$C$6:$J$49,MATCH(Calculations!O$33,'Price Inputs'!$C$6:$C$49,0),MATCH(Calculations!$B39,'Price Inputs'!$C$4:$J$4,0))</f>
        <v>0</v>
      </c>
      <c r="P39" s="515" t="n">
        <f aca="false">INDEX('Price Inputs'!$C$6:$J$49,MATCH(Calculations!P$33,'Price Inputs'!$C$6:$C$49,0),MATCH(Calculations!$B39,'Price Inputs'!$C$4:$J$4,0))</f>
        <v>0</v>
      </c>
      <c r="Q39" s="515" t="n">
        <f aca="false">INDEX('Price Inputs'!$C$6:$J$49,MATCH(Calculations!Q$33,'Price Inputs'!$C$6:$C$49,0),MATCH(Calculations!$B39,'Price Inputs'!$C$4:$J$4,0))</f>
        <v>0</v>
      </c>
      <c r="R39" s="515" t="n">
        <f aca="false">INDEX('Price Inputs'!$C$6:$J$49,MATCH(Calculations!R$33,'Price Inputs'!$C$6:$C$49,0),MATCH(Calculations!$B39,'Price Inputs'!$C$4:$J$4,0))</f>
        <v>0</v>
      </c>
      <c r="S39" s="515" t="n">
        <f aca="false">INDEX('Price Inputs'!$C$6:$J$49,MATCH(Calculations!S$33,'Price Inputs'!$C$6:$C$49,0),MATCH(Calculations!$B39,'Price Inputs'!$C$4:$J$4,0))</f>
        <v>0</v>
      </c>
      <c r="T39" s="515" t="n">
        <f aca="false">INDEX('Price Inputs'!$C$6:$J$49,MATCH(Calculations!T$33,'Price Inputs'!$C$6:$C$49,0),MATCH(Calculations!$B39,'Price Inputs'!$C$4:$J$4,0))</f>
        <v>0</v>
      </c>
      <c r="U39" s="515" t="n">
        <f aca="false">INDEX('Price Inputs'!$C$6:$J$49,MATCH(Calculations!U$33,'Price Inputs'!$C$6:$C$49,0),MATCH(Calculations!$B39,'Price Inputs'!$C$4:$J$4,0))</f>
        <v>0</v>
      </c>
      <c r="V39" s="515" t="n">
        <f aca="false">INDEX('Price Inputs'!$C$6:$J$49,MATCH(Calculations!V$33,'Price Inputs'!$C$6:$C$49,0),MATCH(Calculations!$B39,'Price Inputs'!$C$4:$J$4,0))</f>
        <v>0</v>
      </c>
      <c r="W39" s="515" t="n">
        <f aca="false">INDEX('Price Inputs'!$C$6:$J$49,MATCH(Calculations!W$33,'Price Inputs'!$C$6:$C$49,0),MATCH(Calculations!$B39,'Price Inputs'!$C$4:$J$4,0))</f>
        <v>0</v>
      </c>
      <c r="X39" s="515" t="n">
        <f aca="false">INDEX('Price Inputs'!$C$6:$J$49,MATCH(Calculations!X$33,'Price Inputs'!$C$6:$C$49,0),MATCH(Calculations!$B39,'Price Inputs'!$C$4:$J$4,0))</f>
        <v>0</v>
      </c>
      <c r="Y39" s="515" t="n">
        <f aca="false">INDEX('Price Inputs'!$C$6:$J$49,MATCH(Calculations!Y$33,'Price Inputs'!$C$6:$C$49,0),MATCH(Calculations!$B39,'Price Inputs'!$C$4:$J$4,0))</f>
        <v>0</v>
      </c>
      <c r="Z39" s="515" t="n">
        <f aca="false">INDEX('Price Inputs'!$C$6:$J$49,MATCH(Calculations!Z$33,'Price Inputs'!$C$6:$C$49,0),MATCH(Calculations!$B39,'Price Inputs'!$C$4:$J$4,0))</f>
        <v>0</v>
      </c>
      <c r="AA39" s="515" t="n">
        <f aca="false">INDEX('Price Inputs'!$C$6:$J$49,MATCH(Calculations!AA$33,'Price Inputs'!$C$6:$C$49,0),MATCH(Calculations!$B39,'Price Inputs'!$C$4:$J$4,0))</f>
        <v>0</v>
      </c>
      <c r="AB39" s="515" t="n">
        <f aca="false">INDEX('Price Inputs'!$C$6:$J$49,MATCH(Calculations!AB$33,'Price Inputs'!$C$6:$C$49,0),MATCH(Calculations!$B39,'Price Inputs'!$C$4:$J$4,0))</f>
        <v>0</v>
      </c>
      <c r="AC39" s="515" t="n">
        <f aca="false">INDEX('Price Inputs'!$C$6:$J$49,MATCH(Calculations!AC$33,'Price Inputs'!$C$6:$C$49,0),MATCH(Calculations!$B39,'Price Inputs'!$C$4:$J$4,0))</f>
        <v>0</v>
      </c>
      <c r="AD39" s="515" t="n">
        <f aca="false">INDEX('Price Inputs'!$C$6:$J$49,MATCH(Calculations!AD$33,'Price Inputs'!$C$6:$C$49,0),MATCH(Calculations!$B39,'Price Inputs'!$C$4:$J$4,0))</f>
        <v>0</v>
      </c>
      <c r="AE39" s="515" t="n">
        <f aca="false">INDEX('Price Inputs'!$C$6:$J$49,MATCH(Calculations!AE$33,'Price Inputs'!$C$6:$C$49,0),MATCH(Calculations!$B39,'Price Inputs'!$C$4:$J$4,0))</f>
        <v>0</v>
      </c>
      <c r="AF39" s="515" t="n">
        <f aca="false">INDEX('Price Inputs'!$C$6:$J$49,MATCH(Calculations!AF$33,'Price Inputs'!$C$6:$C$49,0),MATCH(Calculations!$B39,'Price Inputs'!$C$4:$J$4,0))</f>
        <v>0</v>
      </c>
      <c r="AG39" s="515" t="n">
        <f aca="false">INDEX('Price Inputs'!$C$6:$J$49,MATCH(Calculations!AG$33,'Price Inputs'!$C$6:$C$49,0),MATCH(Calculations!$B39,'Price Inputs'!$C$4:$J$4,0))</f>
        <v>0</v>
      </c>
    </row>
    <row r="40" customFormat="false" ht="15" hidden="false" customHeight="false" outlineLevel="0" collapsed="false">
      <c r="B40" s="509"/>
      <c r="C40" s="509"/>
    </row>
    <row r="42" customFormat="false" ht="15" hidden="false" customHeight="false" outlineLevel="0" collapsed="false">
      <c r="B42" s="0" t="s">
        <v>473</v>
      </c>
      <c r="C42" s="0" t="str">
        <f aca="false">C33</f>
        <v>Cash</v>
      </c>
      <c r="D42" s="0" t="str">
        <f aca="false">D33</f>
        <v>BIV</v>
      </c>
      <c r="E42" s="0" t="str">
        <f aca="false">E33</f>
        <v>EEM</v>
      </c>
      <c r="F42" s="0" t="str">
        <f aca="false">F33</f>
        <v>EFA</v>
      </c>
      <c r="G42" s="0" t="str">
        <f aca="false">G33</f>
        <v>HYG</v>
      </c>
      <c r="H42" s="0" t="str">
        <f aca="false">H33</f>
        <v>IEF</v>
      </c>
      <c r="I42" s="0" t="str">
        <f aca="false">I33</f>
        <v>IYR</v>
      </c>
      <c r="J42" s="0" t="str">
        <f aca="false">J33</f>
        <v>VTI</v>
      </c>
      <c r="K42" s="0" t="str">
        <f aca="false">K33</f>
        <v/>
      </c>
      <c r="L42" s="0" t="str">
        <f aca="false">L33</f>
        <v/>
      </c>
      <c r="M42" s="0" t="str">
        <f aca="false">M33</f>
        <v/>
      </c>
      <c r="N42" s="0" t="str">
        <f aca="false">N33</f>
        <v/>
      </c>
      <c r="O42" s="0" t="str">
        <f aca="false">O33</f>
        <v/>
      </c>
      <c r="P42" s="0" t="str">
        <f aca="false">P33</f>
        <v/>
      </c>
      <c r="Q42" s="0" t="str">
        <f aca="false">Q33</f>
        <v/>
      </c>
      <c r="R42" s="0" t="str">
        <f aca="false">R33</f>
        <v/>
      </c>
      <c r="S42" s="0" t="str">
        <f aca="false">S33</f>
        <v/>
      </c>
      <c r="T42" s="0" t="str">
        <f aca="false">T33</f>
        <v/>
      </c>
      <c r="U42" s="0" t="str">
        <f aca="false">U33</f>
        <v/>
      </c>
      <c r="V42" s="0" t="str">
        <f aca="false">V33</f>
        <v/>
      </c>
      <c r="W42" s="0" t="str">
        <f aca="false">W33</f>
        <v/>
      </c>
      <c r="X42" s="0" t="str">
        <f aca="false">X33</f>
        <v/>
      </c>
      <c r="Y42" s="0" t="str">
        <f aca="false">Y33</f>
        <v/>
      </c>
      <c r="Z42" s="0" t="str">
        <f aca="false">Z33</f>
        <v/>
      </c>
      <c r="AA42" s="0" t="str">
        <f aca="false">AA33</f>
        <v/>
      </c>
      <c r="AB42" s="0" t="str">
        <f aca="false">AB33</f>
        <v/>
      </c>
      <c r="AC42" s="0" t="str">
        <f aca="false">AC33</f>
        <v/>
      </c>
      <c r="AD42" s="0" t="str">
        <f aca="false">AD33</f>
        <v/>
      </c>
      <c r="AE42" s="0" t="str">
        <f aca="false">AE33</f>
        <v/>
      </c>
      <c r="AF42" s="0" t="str">
        <f aca="false">AF33</f>
        <v/>
      </c>
      <c r="AG42" s="0" t="str">
        <f aca="false">AG33</f>
        <v/>
      </c>
    </row>
    <row r="43" customFormat="false" ht="15" hidden="false" customHeight="false" outlineLevel="0" collapsed="false">
      <c r="B43" s="509" t="n">
        <f aca="false">B35</f>
        <v>43266</v>
      </c>
      <c r="C43" s="518" t="n">
        <v>0</v>
      </c>
      <c r="D43" s="516" t="n">
        <f aca="false">IF(OR(D34=0,D34=""),0,D35/D34-1)</f>
        <v>-0.000867625185919763</v>
      </c>
      <c r="E43" s="516" t="n">
        <f aca="false">IF(OR(E34=0,E34=""),0,E35/E34-1)</f>
        <v>-0.0233110295704727</v>
      </c>
      <c r="F43" s="516" t="n">
        <f aca="false">IF(OR(F34=0,F34=""),0,F35/F34-1)</f>
        <v>-0.00582303650049709</v>
      </c>
      <c r="G43" s="516" t="n">
        <f aca="false">IF(OR(G34=0,G34=""),0,G35/G34-1)</f>
        <v>0.0053700677095494</v>
      </c>
      <c r="H43" s="516" t="n">
        <f aca="false">IF(OR(H34=0,H34=""),0,H35/H34-1)</f>
        <v>0.00117982499262603</v>
      </c>
      <c r="I43" s="516" t="n">
        <f aca="false">IF(OR(I34=0,I34=""),0,I35/I34-1)</f>
        <v>-0.00579199194157654</v>
      </c>
      <c r="J43" s="516" t="n">
        <f aca="false">IF(OR(J34=0,J34=""),0,J35/J34-1)</f>
        <v>0.00173719685914797</v>
      </c>
      <c r="K43" s="516" t="n">
        <f aca="false">IF(OR(K34=0,K34=""),0,K35/K34-1)</f>
        <v>0</v>
      </c>
      <c r="L43" s="516" t="n">
        <f aca="false">IF(OR(L34=0,L34=""),0,L35/L34-1)</f>
        <v>0</v>
      </c>
      <c r="M43" s="516" t="n">
        <f aca="false">IF(OR(M34=0,M34=""),0,M35/M34-1)</f>
        <v>0</v>
      </c>
      <c r="N43" s="516" t="n">
        <f aca="false">IF(OR(N34=0,N34=""),0,N35/N34-1)</f>
        <v>0</v>
      </c>
      <c r="O43" s="516" t="n">
        <f aca="false">IF(OR(O34=0,O34=""),0,O35/O34-1)</f>
        <v>0</v>
      </c>
      <c r="P43" s="516" t="n">
        <f aca="false">IF(OR(P34=0,P34=""),0,P35/P34-1)</f>
        <v>0</v>
      </c>
      <c r="Q43" s="516" t="n">
        <f aca="false">IF(OR(Q34=0,Q34=""),0,Q35/Q34-1)</f>
        <v>0</v>
      </c>
      <c r="R43" s="516" t="n">
        <f aca="false">IF(OR(R34=0,R34=""),0,R35/R34-1)</f>
        <v>0</v>
      </c>
      <c r="S43" s="516" t="n">
        <f aca="false">IF(OR(S34=0,S34=""),0,S35/S34-1)</f>
        <v>0</v>
      </c>
      <c r="T43" s="516" t="n">
        <f aca="false">IF(OR(T34=0,T34=""),0,T35/T34-1)</f>
        <v>0</v>
      </c>
      <c r="U43" s="516" t="n">
        <f aca="false">IF(OR(U34=0,U34=""),0,U35/U34-1)</f>
        <v>0</v>
      </c>
      <c r="V43" s="516" t="n">
        <f aca="false">IF(OR(V34=0,V34=""),0,V35/V34-1)</f>
        <v>0</v>
      </c>
      <c r="W43" s="516" t="n">
        <f aca="false">IF(OR(W34=0,W34=""),0,W35/W34-1)</f>
        <v>0</v>
      </c>
      <c r="X43" s="516" t="n">
        <f aca="false">IF(OR(X34=0,X34=""),0,X35/X34-1)</f>
        <v>0</v>
      </c>
      <c r="Y43" s="516" t="n">
        <f aca="false">IF(OR(Y34=0,Y34=""),0,Y35/Y34-1)</f>
        <v>0</v>
      </c>
      <c r="Z43" s="516" t="n">
        <f aca="false">IF(OR(Z34=0,Z34=""),0,Z35/Z34-1)</f>
        <v>0</v>
      </c>
      <c r="AA43" s="516" t="n">
        <f aca="false">IF(OR(AA34=0,AA34=""),0,AA35/AA34-1)</f>
        <v>0</v>
      </c>
      <c r="AB43" s="516" t="n">
        <f aca="false">IF(OR(AB34=0,AB34=""),0,AB35/AB34-1)</f>
        <v>0</v>
      </c>
      <c r="AC43" s="516" t="n">
        <f aca="false">IF(OR(AC34=0,AC34=""),0,AC35/AC34-1)</f>
        <v>0</v>
      </c>
      <c r="AD43" s="516" t="n">
        <f aca="false">IF(OR(AD34=0,AD34=""),0,AD35/AD34-1)</f>
        <v>0</v>
      </c>
      <c r="AE43" s="516" t="n">
        <f aca="false">IF(OR(AE34=0,AE34=""),0,AE35/AE34-1)</f>
        <v>0</v>
      </c>
      <c r="AF43" s="516" t="n">
        <f aca="false">IF(OR(AF34=0,AF34=""),0,AF35/AF34-1)</f>
        <v>0</v>
      </c>
      <c r="AG43" s="516" t="n">
        <f aca="false">IF(OR(AG34=0,AG34=""),0,AG35/AG34-1)</f>
        <v>0</v>
      </c>
    </row>
    <row r="44" customFormat="false" ht="15" hidden="false" customHeight="false" outlineLevel="0" collapsed="false">
      <c r="B44" s="509" t="n">
        <f aca="false">B36</f>
        <v>43273</v>
      </c>
      <c r="C44" s="518" t="n">
        <v>0</v>
      </c>
      <c r="D44" s="516" t="n">
        <f aca="false">IF(OR(D35=0,D35=""),0,D36/D35-1)</f>
        <v>0.000620270437910797</v>
      </c>
      <c r="E44" s="516" t="n">
        <f aca="false">IF(OR(E35=0,E35=""),0,E36/E35-1)</f>
        <v>-0.0296132596685084</v>
      </c>
      <c r="F44" s="516" t="n">
        <f aca="false">IF(OR(F35=0,F35=""),0,F36/F35-1)</f>
        <v>-0.0314285714285715</v>
      </c>
      <c r="G44" s="516" t="n">
        <f aca="false">IF(OR(G35=0,G35=""),0,G36/G35-1)</f>
        <v>-0.00243845796562947</v>
      </c>
      <c r="H44" s="516" t="n">
        <f aca="false">IF(OR(H35=0,H35=""),0,H36/H35-1)</f>
        <v>0.00274968084061666</v>
      </c>
      <c r="I44" s="516" t="n">
        <f aca="false">IF(OR(I35=0,I35=""),0,I36/I35-1)</f>
        <v>0.0220364741641339</v>
      </c>
      <c r="J44" s="516" t="n">
        <f aca="false">IF(OR(J35=0,J35=""),0,J36/J35-1)</f>
        <v>-0.0118618201997781</v>
      </c>
      <c r="K44" s="516" t="n">
        <f aca="false">IF(OR(K35=0,K35=""),0,K36/K35-1)</f>
        <v>0</v>
      </c>
      <c r="L44" s="516" t="n">
        <f aca="false">IF(OR(L35=0,L35=""),0,L36/L35-1)</f>
        <v>0</v>
      </c>
      <c r="M44" s="516" t="n">
        <f aca="false">IF(OR(M35=0,M35=""),0,M36/M35-1)</f>
        <v>0</v>
      </c>
      <c r="N44" s="516" t="n">
        <f aca="false">IF(OR(N35=0,N35=""),0,N36/N35-1)</f>
        <v>0</v>
      </c>
      <c r="O44" s="516" t="n">
        <f aca="false">IF(OR(O35=0,O35=""),0,O36/O35-1)</f>
        <v>0</v>
      </c>
      <c r="P44" s="516" t="n">
        <f aca="false">IF(OR(P35=0,P35=""),0,P36/P35-1)</f>
        <v>0</v>
      </c>
      <c r="Q44" s="516" t="n">
        <f aca="false">IF(OR(Q35=0,Q35=""),0,Q36/Q35-1)</f>
        <v>0</v>
      </c>
      <c r="R44" s="516" t="n">
        <f aca="false">IF(OR(R35=0,R35=""),0,R36/R35-1)</f>
        <v>0</v>
      </c>
      <c r="S44" s="516" t="n">
        <f aca="false">IF(OR(S35=0,S35=""),0,S36/S35-1)</f>
        <v>0</v>
      </c>
      <c r="T44" s="516" t="n">
        <f aca="false">IF(OR(T35=0,T35=""),0,T36/T35-1)</f>
        <v>0</v>
      </c>
      <c r="U44" s="516" t="n">
        <f aca="false">IF(OR(U35=0,U35=""),0,U36/U35-1)</f>
        <v>0</v>
      </c>
      <c r="V44" s="516" t="n">
        <f aca="false">IF(OR(V35=0,V35=""),0,V36/V35-1)</f>
        <v>0</v>
      </c>
      <c r="W44" s="516" t="n">
        <f aca="false">IF(OR(W35=0,W35=""),0,W36/W35-1)</f>
        <v>0</v>
      </c>
      <c r="X44" s="516" t="n">
        <f aca="false">IF(OR(X35=0,X35=""),0,X36/X35-1)</f>
        <v>0</v>
      </c>
      <c r="Y44" s="516" t="n">
        <f aca="false">IF(OR(Y35=0,Y35=""),0,Y36/Y35-1)</f>
        <v>0</v>
      </c>
      <c r="Z44" s="516" t="n">
        <f aca="false">IF(OR(Z35=0,Z35=""),0,Z36/Z35-1)</f>
        <v>0</v>
      </c>
      <c r="AA44" s="516" t="n">
        <f aca="false">IF(OR(AA35=0,AA35=""),0,AA36/AA35-1)</f>
        <v>0</v>
      </c>
      <c r="AB44" s="516" t="n">
        <f aca="false">IF(OR(AB35=0,AB35=""),0,AB36/AB35-1)</f>
        <v>0</v>
      </c>
      <c r="AC44" s="516" t="n">
        <f aca="false">IF(OR(AC35=0,AC35=""),0,AC36/AC35-1)</f>
        <v>0</v>
      </c>
      <c r="AD44" s="516" t="n">
        <f aca="false">IF(OR(AD35=0,AD35=""),0,AD36/AD35-1)</f>
        <v>0</v>
      </c>
      <c r="AE44" s="516" t="n">
        <f aca="false">IF(OR(AE35=0,AE35=""),0,AE36/AE35-1)</f>
        <v>0</v>
      </c>
      <c r="AF44" s="516" t="n">
        <f aca="false">IF(OR(AF35=0,AF35=""),0,AF36/AF35-1)</f>
        <v>0</v>
      </c>
      <c r="AG44" s="516" t="n">
        <f aca="false">IF(OR(AG35=0,AG35=""),0,AG36/AG35-1)</f>
        <v>0</v>
      </c>
    </row>
    <row r="45" customFormat="false" ht="15" hidden="false" customHeight="false" outlineLevel="0" collapsed="false">
      <c r="B45" s="509" t="n">
        <f aca="false">B37</f>
        <v>43280</v>
      </c>
      <c r="C45" s="518" t="n">
        <v>0</v>
      </c>
      <c r="D45" s="516" t="n">
        <f aca="false">IF(OR(D36=0,D36=""),0,D37/D36-1)</f>
        <v>-1</v>
      </c>
      <c r="E45" s="516" t="n">
        <f aca="false">IF(OR(E36=0,E36=""),0,E37/E36-1)</f>
        <v>-1</v>
      </c>
      <c r="F45" s="516" t="n">
        <f aca="false">IF(OR(F36=0,F36=""),0,F37/F36-1)</f>
        <v>-1</v>
      </c>
      <c r="G45" s="516" t="n">
        <f aca="false">IF(OR(G36=0,G36=""),0,G37/G36-1)</f>
        <v>-1</v>
      </c>
      <c r="H45" s="516" t="n">
        <f aca="false">IF(OR(H36=0,H36=""),0,H37/H36-1)</f>
        <v>-1</v>
      </c>
      <c r="I45" s="516" t="n">
        <f aca="false">IF(OR(I36=0,I36=""),0,I37/I36-1)</f>
        <v>-1</v>
      </c>
      <c r="J45" s="516" t="n">
        <f aca="false">IF(OR(J36=0,J36=""),0,J37/J36-1)</f>
        <v>-1</v>
      </c>
      <c r="K45" s="516" t="n">
        <f aca="false">IF(OR(K36=0,K36=""),0,K37/K36-1)</f>
        <v>0</v>
      </c>
      <c r="L45" s="516" t="n">
        <f aca="false">IF(OR(L36=0,L36=""),0,L37/L36-1)</f>
        <v>0</v>
      </c>
      <c r="M45" s="516" t="n">
        <f aca="false">IF(OR(M36=0,M36=""),0,M37/M36-1)</f>
        <v>0</v>
      </c>
      <c r="N45" s="516" t="n">
        <f aca="false">IF(OR(N36=0,N36=""),0,N37/N36-1)</f>
        <v>0</v>
      </c>
      <c r="O45" s="516" t="n">
        <f aca="false">IF(OR(O36=0,O36=""),0,O37/O36-1)</f>
        <v>0</v>
      </c>
      <c r="P45" s="516" t="n">
        <f aca="false">IF(OR(P36=0,P36=""),0,P37/P36-1)</f>
        <v>0</v>
      </c>
      <c r="Q45" s="516" t="n">
        <f aca="false">IF(OR(Q36=0,Q36=""),0,Q37/Q36-1)</f>
        <v>0</v>
      </c>
      <c r="R45" s="516" t="n">
        <f aca="false">IF(OR(R36=0,R36=""),0,R37/R36-1)</f>
        <v>0</v>
      </c>
      <c r="S45" s="516" t="n">
        <f aca="false">IF(OR(S36=0,S36=""),0,S37/S36-1)</f>
        <v>0</v>
      </c>
      <c r="T45" s="516" t="n">
        <f aca="false">IF(OR(T36=0,T36=""),0,T37/T36-1)</f>
        <v>0</v>
      </c>
      <c r="U45" s="516" t="n">
        <f aca="false">IF(OR(U36=0,U36=""),0,U37/U36-1)</f>
        <v>0</v>
      </c>
      <c r="V45" s="516" t="n">
        <f aca="false">IF(OR(V36=0,V36=""),0,V37/V36-1)</f>
        <v>0</v>
      </c>
      <c r="W45" s="516" t="n">
        <f aca="false">IF(OR(W36=0,W36=""),0,W37/W36-1)</f>
        <v>0</v>
      </c>
      <c r="X45" s="516" t="n">
        <f aca="false">IF(OR(X36=0,X36=""),0,X37/X36-1)</f>
        <v>0</v>
      </c>
      <c r="Y45" s="516" t="n">
        <f aca="false">IF(OR(Y36=0,Y36=""),0,Y37/Y36-1)</f>
        <v>0</v>
      </c>
      <c r="Z45" s="516" t="n">
        <f aca="false">IF(OR(Z36=0,Z36=""),0,Z37/Z36-1)</f>
        <v>0</v>
      </c>
      <c r="AA45" s="516" t="n">
        <f aca="false">IF(OR(AA36=0,AA36=""),0,AA37/AA36-1)</f>
        <v>0</v>
      </c>
      <c r="AB45" s="516" t="n">
        <f aca="false">IF(OR(AB36=0,AB36=""),0,AB37/AB36-1)</f>
        <v>0</v>
      </c>
      <c r="AC45" s="516" t="n">
        <f aca="false">IF(OR(AC36=0,AC36=""),0,AC37/AC36-1)</f>
        <v>0</v>
      </c>
      <c r="AD45" s="516" t="n">
        <f aca="false">IF(OR(AD36=0,AD36=""),0,AD37/AD36-1)</f>
        <v>0</v>
      </c>
      <c r="AE45" s="516" t="n">
        <f aca="false">IF(OR(AE36=0,AE36=""),0,AE37/AE36-1)</f>
        <v>0</v>
      </c>
      <c r="AF45" s="516" t="n">
        <f aca="false">IF(OR(AF36=0,AF36=""),0,AF37/AF36-1)</f>
        <v>0</v>
      </c>
      <c r="AG45" s="516" t="n">
        <f aca="false">IF(OR(AG36=0,AG36=""),0,AG37/AG36-1)</f>
        <v>0</v>
      </c>
    </row>
    <row r="46" customFormat="false" ht="15" hidden="false" customHeight="false" outlineLevel="0" collapsed="false">
      <c r="B46" s="509" t="n">
        <f aca="false">B38</f>
        <v>43287</v>
      </c>
      <c r="C46" s="518" t="n">
        <v>0</v>
      </c>
      <c r="D46" s="516" t="n">
        <f aca="false">IF(OR(D37=0,D37=""),0,D38/D37-1)</f>
        <v>0</v>
      </c>
      <c r="E46" s="516" t="n">
        <f aca="false">IF(OR(E37=0,E37=""),0,E38/E37-1)</f>
        <v>0</v>
      </c>
      <c r="F46" s="516" t="n">
        <f aca="false">IF(OR(F37=0,F37=""),0,F38/F37-1)</f>
        <v>0</v>
      </c>
      <c r="G46" s="516" t="n">
        <f aca="false">IF(OR(G37=0,G37=""),0,G38/G37-1)</f>
        <v>0</v>
      </c>
      <c r="H46" s="516" t="n">
        <f aca="false">IF(OR(H37=0,H37=""),0,H38/H37-1)</f>
        <v>0</v>
      </c>
      <c r="I46" s="516" t="n">
        <f aca="false">IF(OR(I37=0,I37=""),0,I38/I37-1)</f>
        <v>0</v>
      </c>
      <c r="J46" s="516" t="n">
        <f aca="false">IF(OR(J37=0,J37=""),0,J38/J37-1)</f>
        <v>0</v>
      </c>
      <c r="K46" s="516" t="n">
        <f aca="false">IF(OR(K37=0,K37=""),0,K38/K37-1)</f>
        <v>0</v>
      </c>
      <c r="L46" s="516" t="n">
        <f aca="false">IF(OR(L37=0,L37=""),0,L38/L37-1)</f>
        <v>0</v>
      </c>
      <c r="M46" s="516" t="n">
        <f aca="false">IF(OR(M37=0,M37=""),0,M38/M37-1)</f>
        <v>0</v>
      </c>
      <c r="N46" s="516" t="n">
        <f aca="false">IF(OR(N37=0,N37=""),0,N38/N37-1)</f>
        <v>0</v>
      </c>
      <c r="O46" s="516" t="n">
        <f aca="false">IF(OR(O37=0,O37=""),0,O38/O37-1)</f>
        <v>0</v>
      </c>
      <c r="P46" s="516" t="n">
        <f aca="false">IF(OR(P37=0,P37=""),0,P38/P37-1)</f>
        <v>0</v>
      </c>
      <c r="Q46" s="516" t="n">
        <f aca="false">IF(OR(Q37=0,Q37=""),0,Q38/Q37-1)</f>
        <v>0</v>
      </c>
      <c r="R46" s="516" t="n">
        <f aca="false">IF(OR(R37=0,R37=""),0,R38/R37-1)</f>
        <v>0</v>
      </c>
      <c r="S46" s="516" t="n">
        <f aca="false">IF(OR(S37=0,S37=""),0,S38/S37-1)</f>
        <v>0</v>
      </c>
      <c r="T46" s="516" t="n">
        <f aca="false">IF(OR(T37=0,T37=""),0,T38/T37-1)</f>
        <v>0</v>
      </c>
      <c r="U46" s="516" t="n">
        <f aca="false">IF(OR(U37=0,U37=""),0,U38/U37-1)</f>
        <v>0</v>
      </c>
      <c r="V46" s="516" t="n">
        <f aca="false">IF(OR(V37=0,V37=""),0,V38/V37-1)</f>
        <v>0</v>
      </c>
      <c r="W46" s="516" t="n">
        <f aca="false">IF(OR(W37=0,W37=""),0,W38/W37-1)</f>
        <v>0</v>
      </c>
      <c r="X46" s="516" t="n">
        <f aca="false">IF(OR(X37=0,X37=""),0,X38/X37-1)</f>
        <v>0</v>
      </c>
      <c r="Y46" s="516" t="n">
        <f aca="false">IF(OR(Y37=0,Y37=""),0,Y38/Y37-1)</f>
        <v>0</v>
      </c>
      <c r="Z46" s="516" t="n">
        <f aca="false">IF(OR(Z37=0,Z37=""),0,Z38/Z37-1)</f>
        <v>0</v>
      </c>
      <c r="AA46" s="516" t="n">
        <f aca="false">IF(OR(AA37=0,AA37=""),0,AA38/AA37-1)</f>
        <v>0</v>
      </c>
      <c r="AB46" s="516" t="n">
        <f aca="false">IF(OR(AB37=0,AB37=""),0,AB38/AB37-1)</f>
        <v>0</v>
      </c>
      <c r="AC46" s="516" t="n">
        <f aca="false">IF(OR(AC37=0,AC37=""),0,AC38/AC37-1)</f>
        <v>0</v>
      </c>
      <c r="AD46" s="516" t="n">
        <f aca="false">IF(OR(AD37=0,AD37=""),0,AD38/AD37-1)</f>
        <v>0</v>
      </c>
      <c r="AE46" s="516" t="n">
        <f aca="false">IF(OR(AE37=0,AE37=""),0,AE38/AE37-1)</f>
        <v>0</v>
      </c>
      <c r="AF46" s="516" t="n">
        <f aca="false">IF(OR(AF37=0,AF37=""),0,AF38/AF37-1)</f>
        <v>0</v>
      </c>
      <c r="AG46" s="516" t="n">
        <f aca="false">IF(OR(AG37=0,AG37=""),0,AG38/AG37-1)</f>
        <v>0</v>
      </c>
    </row>
    <row r="47" customFormat="false" ht="15" hidden="false" customHeight="false" outlineLevel="0" collapsed="false">
      <c r="B47" s="509" t="n">
        <f aca="false">B39</f>
        <v>43294</v>
      </c>
      <c r="C47" s="518" t="n">
        <v>0</v>
      </c>
      <c r="D47" s="516" t="n">
        <f aca="false">IF(OR(D38=0,D38=""),0,D39/D38-1)</f>
        <v>0</v>
      </c>
      <c r="E47" s="516" t="n">
        <f aca="false">IF(OR(E38=0,E38=""),0,E39/E38-1)</f>
        <v>0</v>
      </c>
      <c r="F47" s="516" t="n">
        <f aca="false">IF(OR(F38=0,F38=""),0,F39/F38-1)</f>
        <v>0</v>
      </c>
      <c r="G47" s="516" t="n">
        <f aca="false">IF(OR(G38=0,G38=""),0,G39/G38-1)</f>
        <v>0</v>
      </c>
      <c r="H47" s="516" t="n">
        <f aca="false">IF(OR(H38=0,H38=""),0,H39/H38-1)</f>
        <v>0</v>
      </c>
      <c r="I47" s="516" t="n">
        <f aca="false">IF(OR(I38=0,I38=""),0,I39/I38-1)</f>
        <v>0</v>
      </c>
      <c r="J47" s="516" t="n">
        <f aca="false">IF(OR(J38=0,J38=""),0,J39/J38-1)</f>
        <v>0</v>
      </c>
      <c r="K47" s="516" t="n">
        <f aca="false">IF(OR(K38=0,K38=""),0,K39/K38-1)</f>
        <v>0</v>
      </c>
      <c r="L47" s="516" t="n">
        <f aca="false">IF(OR(L38=0,L38=""),0,L39/L38-1)</f>
        <v>0</v>
      </c>
      <c r="M47" s="516" t="n">
        <f aca="false">IF(OR(M38=0,M38=""),0,M39/M38-1)</f>
        <v>0</v>
      </c>
      <c r="N47" s="516" t="n">
        <f aca="false">IF(OR(N38=0,N38=""),0,N39/N38-1)</f>
        <v>0</v>
      </c>
      <c r="O47" s="516" t="n">
        <f aca="false">IF(OR(O38=0,O38=""),0,O39/O38-1)</f>
        <v>0</v>
      </c>
      <c r="P47" s="516" t="n">
        <f aca="false">IF(OR(P38=0,P38=""),0,P39/P38-1)</f>
        <v>0</v>
      </c>
      <c r="Q47" s="516" t="n">
        <f aca="false">IF(OR(Q38=0,Q38=""),0,Q39/Q38-1)</f>
        <v>0</v>
      </c>
      <c r="R47" s="516" t="n">
        <f aca="false">IF(OR(R38=0,R38=""),0,R39/R38-1)</f>
        <v>0</v>
      </c>
      <c r="S47" s="516" t="n">
        <f aca="false">IF(OR(S38=0,S38=""),0,S39/S38-1)</f>
        <v>0</v>
      </c>
      <c r="T47" s="516" t="n">
        <f aca="false">IF(OR(T38=0,T38=""),0,T39/T38-1)</f>
        <v>0</v>
      </c>
      <c r="U47" s="516" t="n">
        <f aca="false">IF(OR(U38=0,U38=""),0,U39/U38-1)</f>
        <v>0</v>
      </c>
      <c r="V47" s="516" t="n">
        <f aca="false">IF(OR(V38=0,V38=""),0,V39/V38-1)</f>
        <v>0</v>
      </c>
      <c r="W47" s="516" t="n">
        <f aca="false">IF(OR(W38=0,W38=""),0,W39/W38-1)</f>
        <v>0</v>
      </c>
      <c r="X47" s="516" t="n">
        <f aca="false">IF(OR(X38=0,X38=""),0,X39/X38-1)</f>
        <v>0</v>
      </c>
      <c r="Y47" s="516" t="n">
        <f aca="false">IF(OR(Y38=0,Y38=""),0,Y39/Y38-1)</f>
        <v>0</v>
      </c>
      <c r="Z47" s="516" t="n">
        <f aca="false">IF(OR(Z38=0,Z38=""),0,Z39/Z38-1)</f>
        <v>0</v>
      </c>
      <c r="AA47" s="516" t="n">
        <f aca="false">IF(OR(AA38=0,AA38=""),0,AA39/AA38-1)</f>
        <v>0</v>
      </c>
      <c r="AB47" s="516" t="n">
        <f aca="false">IF(OR(AB38=0,AB38=""),0,AB39/AB38-1)</f>
        <v>0</v>
      </c>
      <c r="AC47" s="516" t="n">
        <f aca="false">IF(OR(AC38=0,AC38=""),0,AC39/AC38-1)</f>
        <v>0</v>
      </c>
      <c r="AD47" s="516" t="n">
        <f aca="false">IF(OR(AD38=0,AD38=""),0,AD39/AD38-1)</f>
        <v>0</v>
      </c>
      <c r="AE47" s="516" t="n">
        <f aca="false">IF(OR(AE38=0,AE38=""),0,AE39/AE38-1)</f>
        <v>0</v>
      </c>
      <c r="AF47" s="516" t="n">
        <f aca="false">IF(OR(AF38=0,AF38=""),0,AF39/AF38-1)</f>
        <v>0</v>
      </c>
      <c r="AG47" s="516" t="n">
        <f aca="false">IF(OR(AG38=0,AG38=""),0,AG39/AG38-1)</f>
        <v>0</v>
      </c>
    </row>
    <row r="50" customFormat="false" ht="15" hidden="false" customHeight="false" outlineLevel="0" collapsed="false">
      <c r="B50" s="0" t="s">
        <v>377</v>
      </c>
      <c r="C50" s="519" t="n">
        <v>0</v>
      </c>
      <c r="D50" s="516" t="n">
        <f aca="false">_xlfn.STDEV.S(D43:D47)</f>
        <v>0.4471862540857</v>
      </c>
      <c r="E50" s="516" t="n">
        <f aca="false">_xlfn.STDEV.S(E43:E47)</f>
        <v>0.441500406985641</v>
      </c>
      <c r="F50" s="516" t="n">
        <f aca="false">_xlfn.STDEV.S(F43:F47)</f>
        <v>0.44323906732875</v>
      </c>
      <c r="G50" s="516" t="n">
        <f aca="false">_xlfn.STDEV.S(G43:G47)</f>
        <v>0.447550474453688</v>
      </c>
      <c r="H50" s="516" t="n">
        <f aca="false">_xlfn.STDEV.S(H43:H47)</f>
        <v>0.447654349599615</v>
      </c>
      <c r="I50" s="516" t="n">
        <f aca="false">_xlfn.STDEV.S(I43:I47)</f>
        <v>0.449155922150851</v>
      </c>
      <c r="J50" s="516" t="n">
        <f aca="false">_xlfn.STDEV.S(J43:J47)</f>
        <v>0.44611471890523</v>
      </c>
      <c r="K50" s="516" t="n">
        <f aca="false">_xlfn.STDEV.S(K43:K47)</f>
        <v>0</v>
      </c>
      <c r="L50" s="516" t="n">
        <f aca="false">_xlfn.STDEV.S(L43:L47)</f>
        <v>0</v>
      </c>
      <c r="M50" s="516" t="n">
        <f aca="false">_xlfn.STDEV.S(M43:M47)</f>
        <v>0</v>
      </c>
      <c r="N50" s="516" t="n">
        <f aca="false">_xlfn.STDEV.S(N43:N47)</f>
        <v>0</v>
      </c>
      <c r="O50" s="516" t="n">
        <f aca="false">_xlfn.STDEV.S(O43:O47)</f>
        <v>0</v>
      </c>
      <c r="P50" s="516" t="n">
        <f aca="false">_xlfn.STDEV.S(P43:P47)</f>
        <v>0</v>
      </c>
      <c r="Q50" s="516" t="n">
        <f aca="false">_xlfn.STDEV.S(Q43:Q47)</f>
        <v>0</v>
      </c>
      <c r="R50" s="516" t="n">
        <f aca="false">_xlfn.STDEV.S(R43:R47)</f>
        <v>0</v>
      </c>
      <c r="S50" s="516" t="n">
        <f aca="false">_xlfn.STDEV.S(S43:S47)</f>
        <v>0</v>
      </c>
      <c r="T50" s="516" t="n">
        <f aca="false">_xlfn.STDEV.S(T43:T47)</f>
        <v>0</v>
      </c>
      <c r="U50" s="516" t="n">
        <f aca="false">_xlfn.STDEV.S(U43:U47)</f>
        <v>0</v>
      </c>
      <c r="V50" s="516" t="n">
        <f aca="false">_xlfn.STDEV.S(V43:V47)</f>
        <v>0</v>
      </c>
      <c r="W50" s="516" t="n">
        <f aca="false">_xlfn.STDEV.S(W43:W47)</f>
        <v>0</v>
      </c>
      <c r="X50" s="516" t="n">
        <f aca="false">_xlfn.STDEV.S(X43:X47)</f>
        <v>0</v>
      </c>
      <c r="Y50" s="516" t="n">
        <f aca="false">_xlfn.STDEV.S(Y43:Y47)</f>
        <v>0</v>
      </c>
      <c r="Z50" s="516" t="n">
        <f aca="false">_xlfn.STDEV.S(Z43:Z47)</f>
        <v>0</v>
      </c>
      <c r="AA50" s="516" t="n">
        <f aca="false">_xlfn.STDEV.S(AA43:AA47)</f>
        <v>0</v>
      </c>
      <c r="AB50" s="516" t="n">
        <f aca="false">_xlfn.STDEV.S(AB43:AB47)</f>
        <v>0</v>
      </c>
      <c r="AC50" s="516" t="n">
        <f aca="false">_xlfn.STDEV.S(AC43:AC47)</f>
        <v>0</v>
      </c>
      <c r="AD50" s="516" t="n">
        <f aca="false">_xlfn.STDEV.S(AD43:AD47)</f>
        <v>0</v>
      </c>
      <c r="AE50" s="516" t="n">
        <f aca="false">_xlfn.STDEV.S(AE43:AE47)</f>
        <v>0</v>
      </c>
      <c r="AF50" s="516" t="n">
        <f aca="false">_xlfn.STDEV.S(AF43:AF47)</f>
        <v>0</v>
      </c>
      <c r="AG50" s="516" t="n">
        <f aca="false">_xlfn.STDEV.S(AG43:AG47)</f>
        <v>0</v>
      </c>
    </row>
    <row r="52" customFormat="false" ht="15" hidden="false" customHeight="false" outlineLevel="0" collapsed="false">
      <c r="B52" s="0" t="s">
        <v>475</v>
      </c>
      <c r="C52" s="0" t="str">
        <f aca="false">C42</f>
        <v>Cash</v>
      </c>
      <c r="D52" s="0" t="str">
        <f aca="false">D42</f>
        <v>BIV</v>
      </c>
      <c r="E52" s="0" t="str">
        <f aca="false">E42</f>
        <v>EEM</v>
      </c>
      <c r="F52" s="0" t="str">
        <f aca="false">F42</f>
        <v>EFA</v>
      </c>
      <c r="G52" s="0" t="str">
        <f aca="false">G42</f>
        <v>HYG</v>
      </c>
      <c r="H52" s="0" t="str">
        <f aca="false">H42</f>
        <v>IEF</v>
      </c>
      <c r="I52" s="0" t="str">
        <f aca="false">I42</f>
        <v>IYR</v>
      </c>
      <c r="J52" s="0" t="str">
        <f aca="false">J42</f>
        <v>VTI</v>
      </c>
      <c r="K52" s="0" t="str">
        <f aca="false">K42</f>
        <v/>
      </c>
      <c r="L52" s="0" t="str">
        <f aca="false">L42</f>
        <v/>
      </c>
      <c r="M52" s="0" t="str">
        <f aca="false">M42</f>
        <v/>
      </c>
      <c r="N52" s="0" t="str">
        <f aca="false">N42</f>
        <v/>
      </c>
      <c r="O52" s="0" t="str">
        <f aca="false">O42</f>
        <v/>
      </c>
      <c r="P52" s="0" t="str">
        <f aca="false">P42</f>
        <v/>
      </c>
      <c r="Q52" s="0" t="str">
        <f aca="false">Q42</f>
        <v/>
      </c>
      <c r="R52" s="0" t="str">
        <f aca="false">R42</f>
        <v/>
      </c>
      <c r="S52" s="0" t="str">
        <f aca="false">S42</f>
        <v/>
      </c>
      <c r="T52" s="0" t="str">
        <f aca="false">T42</f>
        <v/>
      </c>
      <c r="U52" s="0" t="str">
        <f aca="false">U42</f>
        <v/>
      </c>
      <c r="V52" s="0" t="str">
        <f aca="false">V42</f>
        <v/>
      </c>
      <c r="W52" s="0" t="str">
        <f aca="false">W42</f>
        <v/>
      </c>
      <c r="X52" s="0" t="str">
        <f aca="false">X42</f>
        <v/>
      </c>
      <c r="Y52" s="0" t="str">
        <f aca="false">Y42</f>
        <v/>
      </c>
      <c r="Z52" s="0" t="str">
        <f aca="false">Z42</f>
        <v/>
      </c>
      <c r="AA52" s="0" t="str">
        <f aca="false">AA42</f>
        <v/>
      </c>
      <c r="AB52" s="0" t="str">
        <f aca="false">AB42</f>
        <v/>
      </c>
      <c r="AC52" s="0" t="str">
        <f aca="false">AC42</f>
        <v/>
      </c>
      <c r="AD52" s="0" t="str">
        <f aca="false">AD42</f>
        <v/>
      </c>
      <c r="AE52" s="0" t="str">
        <f aca="false">AE42</f>
        <v/>
      </c>
      <c r="AF52" s="0" t="str">
        <f aca="false">AF42</f>
        <v/>
      </c>
      <c r="AG52" s="0" t="str">
        <f aca="false">AG42</f>
        <v/>
      </c>
      <c r="AI52" s="0" t="s">
        <v>476</v>
      </c>
      <c r="AJ52" s="0" t="s">
        <v>269</v>
      </c>
    </row>
    <row r="53" customFormat="false" ht="15" hidden="false" customHeight="false" outlineLevel="0" collapsed="false">
      <c r="B53" s="509" t="n">
        <f aca="false" t="array" ref="B53:B58">TRANSPOSE(Dates)</f>
        <v>43259</v>
      </c>
      <c r="C53" s="330" t="n">
        <f aca="false">'Weekly  Sum'!E8</f>
        <v>10070.74</v>
      </c>
      <c r="D53" s="330" t="n">
        <f aca="false">IF(D$34="","",D34*INDEX('Portfolio Bucket'!$C$2:$I$69,MATCH(Calculations!D$33,'Portfolio Bucket'!$C$2:$C$69,0),MATCH(Calculations!$B53,'Portfolio Bucket'!$C$2:$I$2,0)))</f>
        <v>99962.52</v>
      </c>
      <c r="E53" s="330" t="n">
        <f aca="false">IF(E$34="","",E34*INDEX('Portfolio Bucket'!$C$2:$I$69,MATCH(Calculations!E$33,'Portfolio Bucket'!$C$2:$C$69,0),MATCH(Calculations!$B53,'Portfolio Bucket'!$C$2:$I$2,0)))</f>
        <v>150016.54</v>
      </c>
      <c r="F53" s="330" t="n">
        <f aca="false">IF(F$34="","",F34*INDEX('Portfolio Bucket'!$C$2:$I$69,MATCH(Calculations!F$33,'Portfolio Bucket'!$C$2:$C$69,0),MATCH(Calculations!$B53,'Portfolio Bucket'!$C$2:$I$2,0)))</f>
        <v>149973.3</v>
      </c>
      <c r="G53" s="330" t="n">
        <f aca="false">IF(G$34="","",G34*INDEX('Portfolio Bucket'!$C$2:$I$69,MATCH(Calculations!G$33,'Portfolio Bucket'!$C$2:$C$69,0),MATCH(Calculations!$B53,'Portfolio Bucket'!$C$2:$I$2,0)))</f>
        <v>175003.38</v>
      </c>
      <c r="H53" s="330" t="n">
        <f aca="false">IF(H$34="","",H34*INDEX('Portfolio Bucket'!$C$2:$I$69,MATCH(Calculations!H$33,'Portfolio Bucket'!$C$2:$C$69,0),MATCH(Calculations!$B53,'Portfolio Bucket'!$C$2:$I$2,0)))</f>
        <v>74960.27</v>
      </c>
      <c r="I53" s="330" t="n">
        <f aca="false">IF(I$34="","",I34*INDEX('Portfolio Bucket'!$C$2:$I$69,MATCH(Calculations!I$33,'Portfolio Bucket'!$C$2:$C$69,0),MATCH(Calculations!$B53,'Portfolio Bucket'!$C$2:$I$2,0)))</f>
        <v>50034.6</v>
      </c>
      <c r="J53" s="330" t="n">
        <f aca="false">IF(J$34="","",J34*INDEX('Portfolio Bucket'!$C$2:$I$69,MATCH(Calculations!J$33,'Portfolio Bucket'!$C$2:$C$69,0),MATCH(Calculations!$B53,'Portfolio Bucket'!$C$2:$I$2,0)))</f>
        <v>289978.65</v>
      </c>
      <c r="K53" s="330" t="str">
        <f aca="false">IF(K$34="","",K34*INDEX('Portfolio Bucket'!$C$2:$I$69,MATCH(Calculations!K$33,'Portfolio Bucket'!$C$2:$C$69,0),MATCH(Calculations!$B53,'Portfolio Bucket'!$C$2:$I$2,0)))</f>
        <v/>
      </c>
      <c r="L53" s="330" t="str">
        <f aca="false">IF(L$34="","",L34*INDEX('Portfolio Bucket'!$C$2:$I$69,MATCH(Calculations!L$33,'Portfolio Bucket'!$C$2:$C$69,0),MATCH(Calculations!$B53,'Portfolio Bucket'!$C$2:$I$2,0)))</f>
        <v/>
      </c>
      <c r="M53" s="330" t="str">
        <f aca="false">IF(M$34="","",M34*INDEX('Portfolio Bucket'!$C$2:$I$69,MATCH(Calculations!M$33,'Portfolio Bucket'!$C$2:$C$69,0),MATCH(Calculations!$B53,'Portfolio Bucket'!$C$2:$I$2,0)))</f>
        <v/>
      </c>
      <c r="N53" s="330" t="str">
        <f aca="false">IF(N$34="","",N34*INDEX('Portfolio Bucket'!$C$2:$I$69,MATCH(Calculations!N$33,'Portfolio Bucket'!$C$2:$C$69,0),MATCH(Calculations!$B53,'Portfolio Bucket'!$C$2:$I$2,0)))</f>
        <v/>
      </c>
      <c r="O53" s="330" t="str">
        <f aca="false">IF(O$34="","",O34*INDEX('Portfolio Bucket'!$C$2:$I$69,MATCH(Calculations!O$33,'Portfolio Bucket'!$C$2:$C$69,0),MATCH(Calculations!$B53,'Portfolio Bucket'!$C$2:$I$2,0)))</f>
        <v/>
      </c>
      <c r="P53" s="330" t="str">
        <f aca="false">IF(P$34="","",P34*INDEX('Portfolio Bucket'!$C$2:$I$69,MATCH(Calculations!P$33,'Portfolio Bucket'!$C$2:$C$69,0),MATCH(Calculations!$B53,'Portfolio Bucket'!$C$2:$I$2,0)))</f>
        <v/>
      </c>
      <c r="Q53" s="330" t="str">
        <f aca="false">IF(Q$34="","",Q34*INDEX('Portfolio Bucket'!$C$2:$I$69,MATCH(Calculations!Q$33,'Portfolio Bucket'!$C$2:$C$69,0),MATCH(Calculations!$B53,'Portfolio Bucket'!$C$2:$I$2,0)))</f>
        <v/>
      </c>
      <c r="R53" s="330" t="str">
        <f aca="false">IF(R$34="","",R34*INDEX('Portfolio Bucket'!$C$2:$I$69,MATCH(Calculations!R$33,'Portfolio Bucket'!$C$2:$C$69,0),MATCH(Calculations!$B53,'Portfolio Bucket'!$C$2:$I$2,0)))</f>
        <v/>
      </c>
      <c r="S53" s="330" t="str">
        <f aca="false">IF(S$34="","",S34*INDEX('Portfolio Bucket'!$C$2:$I$69,MATCH(Calculations!S$33,'Portfolio Bucket'!$C$2:$C$69,0),MATCH(Calculations!$B53,'Portfolio Bucket'!$C$2:$I$2,0)))</f>
        <v/>
      </c>
      <c r="T53" s="330" t="str">
        <f aca="false">IF(T$34="","",T34*INDEX('Portfolio Bucket'!$C$2:$I$69,MATCH(Calculations!T$33,'Portfolio Bucket'!$C$2:$C$69,0),MATCH(Calculations!$B53,'Portfolio Bucket'!$C$2:$I$2,0)))</f>
        <v/>
      </c>
      <c r="U53" s="330" t="str">
        <f aca="false">IF(U$34="","",U34*INDEX('Portfolio Bucket'!$C$2:$I$69,MATCH(Calculations!U$33,'Portfolio Bucket'!$C$2:$C$69,0),MATCH(Calculations!$B53,'Portfolio Bucket'!$C$2:$I$2,0)))</f>
        <v/>
      </c>
      <c r="V53" s="330" t="str">
        <f aca="false">IF(V$34="","",V34*INDEX('Portfolio Bucket'!$C$2:$I$69,MATCH(Calculations!V$33,'Portfolio Bucket'!$C$2:$C$69,0),MATCH(Calculations!$B53,'Portfolio Bucket'!$C$2:$I$2,0)))</f>
        <v/>
      </c>
      <c r="W53" s="330" t="str">
        <f aca="false">IF(W$34="","",W34*INDEX('Portfolio Bucket'!$C$2:$I$69,MATCH(Calculations!W$33,'Portfolio Bucket'!$C$2:$C$69,0),MATCH(Calculations!$B53,'Portfolio Bucket'!$C$2:$I$2,0)))</f>
        <v/>
      </c>
      <c r="X53" s="330" t="str">
        <f aca="false">IF(X$34="","",X34*INDEX('Portfolio Bucket'!$C$2:$I$69,MATCH(Calculations!X$33,'Portfolio Bucket'!$C$2:$C$69,0),MATCH(Calculations!$B53,'Portfolio Bucket'!$C$2:$I$2,0)))</f>
        <v/>
      </c>
      <c r="Y53" s="330" t="str">
        <f aca="false">IF(Y$34="","",Y34*INDEX('Portfolio Bucket'!$C$2:$I$69,MATCH(Calculations!Y$33,'Portfolio Bucket'!$C$2:$C$69,0),MATCH(Calculations!$B53,'Portfolio Bucket'!$C$2:$I$2,0)))</f>
        <v/>
      </c>
      <c r="Z53" s="330" t="str">
        <f aca="false">IF(Z$34="","",Z34*INDEX('Portfolio Bucket'!$C$2:$I$69,MATCH(Calculations!Z$33,'Portfolio Bucket'!$C$2:$C$69,0),MATCH(Calculations!$B53,'Portfolio Bucket'!$C$2:$I$2,0)))</f>
        <v/>
      </c>
      <c r="AA53" s="330" t="str">
        <f aca="false">IF(AA$34="","",AA34*INDEX('Portfolio Bucket'!$C$2:$I$69,MATCH(Calculations!AA$33,'Portfolio Bucket'!$C$2:$C$69,0),MATCH(Calculations!$B53,'Portfolio Bucket'!$C$2:$I$2,0)))</f>
        <v/>
      </c>
      <c r="AB53" s="330" t="str">
        <f aca="false">IF(AB$34="","",AB34*INDEX('Portfolio Bucket'!$C$2:$I$69,MATCH(Calculations!AB$33,'Portfolio Bucket'!$C$2:$C$69,0),MATCH(Calculations!$B53,'Portfolio Bucket'!$C$2:$I$2,0)))</f>
        <v/>
      </c>
      <c r="AC53" s="330" t="str">
        <f aca="false">IF(AC$34="","",AC34*INDEX('Portfolio Bucket'!$C$2:$I$69,MATCH(Calculations!AC$33,'Portfolio Bucket'!$C$2:$C$69,0),MATCH(Calculations!$B53,'Portfolio Bucket'!$C$2:$I$2,0)))</f>
        <v/>
      </c>
      <c r="AD53" s="330" t="str">
        <f aca="false">IF(AD$34="","",AD34*INDEX('Portfolio Bucket'!$C$2:$I$69,MATCH(Calculations!AD$33,'Portfolio Bucket'!$C$2:$C$69,0),MATCH(Calculations!$B53,'Portfolio Bucket'!$C$2:$I$2,0)))</f>
        <v/>
      </c>
      <c r="AE53" s="330" t="str">
        <f aca="false">IF(AE$34="","",AE34*INDEX('Portfolio Bucket'!$C$2:$I$69,MATCH(Calculations!AE$33,'Portfolio Bucket'!$C$2:$C$69,0),MATCH(Calculations!$B53,'Portfolio Bucket'!$C$2:$I$2,0)))</f>
        <v/>
      </c>
      <c r="AF53" s="330" t="str">
        <f aca="false">IF(AF$34="","",AF34*INDEX('Portfolio Bucket'!$C$2:$I$69,MATCH(Calculations!AF$33,'Portfolio Bucket'!$C$2:$C$69,0),MATCH(Calculations!$B53,'Portfolio Bucket'!$C$2:$I$2,0)))</f>
        <v/>
      </c>
      <c r="AG53" s="330" t="str">
        <f aca="false">IF(AG$34="","",AG34*INDEX('Portfolio Bucket'!$C$2:$I$69,MATCH(Calculations!AG$33,'Portfolio Bucket'!$C$2:$C$69,0),MATCH(Calculations!$B53,'Portfolio Bucket'!$C$2:$I$2,0)))</f>
        <v/>
      </c>
      <c r="AI53" s="520" t="n">
        <f aca="false">SUMIF(C53:AG53,"&gt;=0",C53:AG53)</f>
        <v>1000000</v>
      </c>
    </row>
    <row r="54" customFormat="false" ht="15" hidden="false" customHeight="false" outlineLevel="0" collapsed="false">
      <c r="B54" s="509" t="n">
        <v>43266</v>
      </c>
      <c r="C54" s="330" t="n">
        <f aca="false">'Weekly  Sum'!I8</f>
        <v>10071.98</v>
      </c>
      <c r="D54" s="330" t="n">
        <f aca="false">IF(D$34="","",D35*INDEX('Portfolio Bucket'!$C$2:$I$69,MATCH(Calculations!D$33,'Portfolio Bucket'!$C$2:$C$69,0),MATCH(Calculations!$B54,'Portfolio Bucket'!$C$2:$I$2,0)))</f>
        <v>99875.79</v>
      </c>
      <c r="E54" s="330" t="n">
        <f aca="false">IF(E$34="","",E35*INDEX('Portfolio Bucket'!$C$2:$I$69,MATCH(Calculations!E$33,'Portfolio Bucket'!$C$2:$C$69,0),MATCH(Calculations!$B54,'Portfolio Bucket'!$C$2:$I$2,0)))</f>
        <v>146519.5</v>
      </c>
      <c r="F54" s="330" t="n">
        <f aca="false">IF(F$34="","",F35*INDEX('Portfolio Bucket'!$C$2:$I$69,MATCH(Calculations!F$33,'Portfolio Bucket'!$C$2:$C$69,0),MATCH(Calculations!$B54,'Portfolio Bucket'!$C$2:$I$2,0)))</f>
        <v>50120</v>
      </c>
      <c r="G54" s="330" t="n">
        <f aca="false">IF(G$34="","",G35*INDEX('Portfolio Bucket'!$C$2:$I$69,MATCH(Calculations!G$33,'Portfolio Bucket'!$C$2:$C$69,0),MATCH(Calculations!$B54,'Portfolio Bucket'!$C$2:$I$2,0)))</f>
        <v>175943.16</v>
      </c>
      <c r="H54" s="330" t="n">
        <f aca="false">IF(H$34="","",H35*INDEX('Portfolio Bucket'!$C$2:$I$69,MATCH(Calculations!H$33,'Portfolio Bucket'!$C$2:$C$69,0),MATCH(Calculations!$B54,'Portfolio Bucket'!$C$2:$I$2,0)))</f>
        <v>174027.47</v>
      </c>
      <c r="I54" s="330" t="n">
        <f aca="false">IF(I$34="","",I35*INDEX('Portfolio Bucket'!$C$2:$I$69,MATCH(Calculations!I$33,'Portfolio Bucket'!$C$2:$C$69,0),MATCH(Calculations!$B54,'Portfolio Bucket'!$C$2:$I$2,0)))</f>
        <v>49744.8</v>
      </c>
      <c r="J54" s="330" t="n">
        <f aca="false">IF(J$34="","",J35*INDEX('Portfolio Bucket'!$C$2:$I$69,MATCH(Calculations!J$33,'Portfolio Bucket'!$C$2:$C$69,0),MATCH(Calculations!$B54,'Portfolio Bucket'!$C$2:$I$2,0)))</f>
        <v>290482.4</v>
      </c>
      <c r="K54" s="330" t="str">
        <f aca="false">IF(K$34="","",K35*INDEX('Portfolio Bucket'!$C$2:$I$69,MATCH(Calculations!K$33,'Portfolio Bucket'!$C$2:$C$69,0),MATCH(Calculations!$B54,'Portfolio Bucket'!$C$2:$I$2,0)))</f>
        <v/>
      </c>
      <c r="L54" s="330" t="str">
        <f aca="false">IF(L$34="","",L35*INDEX('Portfolio Bucket'!$C$2:$I$69,MATCH(Calculations!L$33,'Portfolio Bucket'!$C$2:$C$69,0),MATCH(Calculations!$B54,'Portfolio Bucket'!$C$2:$I$2,0)))</f>
        <v/>
      </c>
      <c r="M54" s="330" t="str">
        <f aca="false">IF(M$34="","",M35*INDEX('Portfolio Bucket'!$C$2:$I$69,MATCH(Calculations!M$33,'Portfolio Bucket'!$C$2:$C$69,0),MATCH(Calculations!$B54,'Portfolio Bucket'!$C$2:$I$2,0)))</f>
        <v/>
      </c>
      <c r="N54" s="330" t="str">
        <f aca="false">IF(N$34="","",N35*INDEX('Portfolio Bucket'!$C$2:$I$69,MATCH(Calculations!N$33,'Portfolio Bucket'!$C$2:$C$69,0),MATCH(Calculations!$B54,'Portfolio Bucket'!$C$2:$I$2,0)))</f>
        <v/>
      </c>
      <c r="O54" s="330" t="str">
        <f aca="false">IF(O$34="","",O35*INDEX('Portfolio Bucket'!$C$2:$I$69,MATCH(Calculations!O$33,'Portfolio Bucket'!$C$2:$C$69,0),MATCH(Calculations!$B54,'Portfolio Bucket'!$C$2:$I$2,0)))</f>
        <v/>
      </c>
      <c r="P54" s="330" t="str">
        <f aca="false">IF(P$34="","",P35*INDEX('Portfolio Bucket'!$C$2:$I$69,MATCH(Calculations!P$33,'Portfolio Bucket'!$C$2:$C$69,0),MATCH(Calculations!$B54,'Portfolio Bucket'!$C$2:$I$2,0)))</f>
        <v/>
      </c>
      <c r="Q54" s="330" t="str">
        <f aca="false">IF(Q$34="","",Q35*INDEX('Portfolio Bucket'!$C$2:$I$69,MATCH(Calculations!Q$33,'Portfolio Bucket'!$C$2:$C$69,0),MATCH(Calculations!$B54,'Portfolio Bucket'!$C$2:$I$2,0)))</f>
        <v/>
      </c>
      <c r="R54" s="330" t="str">
        <f aca="false">IF(R$34="","",R35*INDEX('Portfolio Bucket'!$C$2:$I$69,MATCH(Calculations!R$33,'Portfolio Bucket'!$C$2:$C$69,0),MATCH(Calculations!$B54,'Portfolio Bucket'!$C$2:$I$2,0)))</f>
        <v/>
      </c>
      <c r="S54" s="330" t="str">
        <f aca="false">IF(S$34="","",S35*INDEX('Portfolio Bucket'!$C$2:$I$69,MATCH(Calculations!S$33,'Portfolio Bucket'!$C$2:$C$69,0),MATCH(Calculations!$B54,'Portfolio Bucket'!$C$2:$I$2,0)))</f>
        <v/>
      </c>
      <c r="T54" s="330" t="str">
        <f aca="false">IF(T$34="","",T35*INDEX('Portfolio Bucket'!$C$2:$I$69,MATCH(Calculations!T$33,'Portfolio Bucket'!$C$2:$C$69,0),MATCH(Calculations!$B54,'Portfolio Bucket'!$C$2:$I$2,0)))</f>
        <v/>
      </c>
      <c r="U54" s="330" t="str">
        <f aca="false">IF(U$34="","",U35*INDEX('Portfolio Bucket'!$C$2:$I$69,MATCH(Calculations!U$33,'Portfolio Bucket'!$C$2:$C$69,0),MATCH(Calculations!$B54,'Portfolio Bucket'!$C$2:$I$2,0)))</f>
        <v/>
      </c>
      <c r="V54" s="330" t="str">
        <f aca="false">IF(V$34="","",V35*INDEX('Portfolio Bucket'!$C$2:$I$69,MATCH(Calculations!V$33,'Portfolio Bucket'!$C$2:$C$69,0),MATCH(Calculations!$B54,'Portfolio Bucket'!$C$2:$I$2,0)))</f>
        <v/>
      </c>
      <c r="W54" s="330" t="str">
        <f aca="false">IF(W$34="","",W35*INDEX('Portfolio Bucket'!$C$2:$I$69,MATCH(Calculations!W$33,'Portfolio Bucket'!$C$2:$C$69,0),MATCH(Calculations!$B54,'Portfolio Bucket'!$C$2:$I$2,0)))</f>
        <v/>
      </c>
      <c r="X54" s="330" t="str">
        <f aca="false">IF(X$34="","",X35*INDEX('Portfolio Bucket'!$C$2:$I$69,MATCH(Calculations!X$33,'Portfolio Bucket'!$C$2:$C$69,0),MATCH(Calculations!$B54,'Portfolio Bucket'!$C$2:$I$2,0)))</f>
        <v/>
      </c>
      <c r="Y54" s="330" t="str">
        <f aca="false">IF(Y$34="","",Y35*INDEX('Portfolio Bucket'!$C$2:$I$69,MATCH(Calculations!Y$33,'Portfolio Bucket'!$C$2:$C$69,0),MATCH(Calculations!$B54,'Portfolio Bucket'!$C$2:$I$2,0)))</f>
        <v/>
      </c>
      <c r="Z54" s="330" t="str">
        <f aca="false">IF(Z$34="","",Z35*INDEX('Portfolio Bucket'!$C$2:$I$69,MATCH(Calculations!Z$33,'Portfolio Bucket'!$C$2:$C$69,0),MATCH(Calculations!$B54,'Portfolio Bucket'!$C$2:$I$2,0)))</f>
        <v/>
      </c>
      <c r="AA54" s="330" t="str">
        <f aca="false">IF(AA$34="","",AA35*INDEX('Portfolio Bucket'!$C$2:$I$69,MATCH(Calculations!AA$33,'Portfolio Bucket'!$C$2:$C$69,0),MATCH(Calculations!$B54,'Portfolio Bucket'!$C$2:$I$2,0)))</f>
        <v/>
      </c>
      <c r="AB54" s="330" t="str">
        <f aca="false">IF(AB$34="","",AB35*INDEX('Portfolio Bucket'!$C$2:$I$69,MATCH(Calculations!AB$33,'Portfolio Bucket'!$C$2:$C$69,0),MATCH(Calculations!$B54,'Portfolio Bucket'!$C$2:$I$2,0)))</f>
        <v/>
      </c>
      <c r="AC54" s="330" t="str">
        <f aca="false">IF(AC$34="","",AC35*INDEX('Portfolio Bucket'!$C$2:$I$69,MATCH(Calculations!AC$33,'Portfolio Bucket'!$C$2:$C$69,0),MATCH(Calculations!$B54,'Portfolio Bucket'!$C$2:$I$2,0)))</f>
        <v/>
      </c>
      <c r="AD54" s="330" t="str">
        <f aca="false">IF(AD$34="","",AD35*INDEX('Portfolio Bucket'!$C$2:$I$69,MATCH(Calculations!AD$33,'Portfolio Bucket'!$C$2:$C$69,0),MATCH(Calculations!$B54,'Portfolio Bucket'!$C$2:$I$2,0)))</f>
        <v/>
      </c>
      <c r="AE54" s="330" t="str">
        <f aca="false">IF(AE$34="","",AE35*INDEX('Portfolio Bucket'!$C$2:$I$69,MATCH(Calculations!AE$33,'Portfolio Bucket'!$C$2:$C$69,0),MATCH(Calculations!$B54,'Portfolio Bucket'!$C$2:$I$2,0)))</f>
        <v/>
      </c>
      <c r="AF54" s="330" t="str">
        <f aca="false">IF(AF$34="","",AF35*INDEX('Portfolio Bucket'!$C$2:$I$69,MATCH(Calculations!AF$33,'Portfolio Bucket'!$C$2:$C$69,0),MATCH(Calculations!$B54,'Portfolio Bucket'!$C$2:$I$2,0)))</f>
        <v/>
      </c>
      <c r="AG54" s="330" t="str">
        <f aca="false">IF(AG$34="","",AG35*INDEX('Portfolio Bucket'!$C$2:$I$69,MATCH(Calculations!AG$33,'Portfolio Bucket'!$C$2:$C$69,0),MATCH(Calculations!$B54,'Portfolio Bucket'!$C$2:$I$2,0)))</f>
        <v/>
      </c>
      <c r="AI54" s="520" t="n">
        <f aca="false">SUMIF(C54:AG54,"&gt;=0",C54:AG54)</f>
        <v>996785.1</v>
      </c>
      <c r="AJ54" s="517" t="n">
        <f aca="false">AI54/AI53-1</f>
        <v>-0.00321490000000013</v>
      </c>
    </row>
    <row r="55" customFormat="false" ht="15" hidden="false" customHeight="false" outlineLevel="0" collapsed="false">
      <c r="B55" s="509" t="n">
        <v>43273</v>
      </c>
      <c r="C55" s="330" t="n">
        <f aca="false">'Weekly  Sum'!M8</f>
        <v>10071.98</v>
      </c>
      <c r="D55" s="330" t="n">
        <f aca="false">IF(D$34="","",D36*INDEX('Portfolio Bucket'!$C$2:$I$69,MATCH(Calculations!D$33,'Portfolio Bucket'!$C$2:$C$69,0),MATCH(Calculations!$B55,'Portfolio Bucket'!$C$2:$I$2,0)))</f>
        <v>99937.74</v>
      </c>
      <c r="E55" s="330" t="n">
        <f aca="false">IF(E$34="","",E36*INDEX('Portfolio Bucket'!$C$2:$I$69,MATCH(Calculations!E$33,'Portfolio Bucket'!$C$2:$C$69,0),MATCH(Calculations!$B55,'Portfolio Bucket'!$C$2:$I$2,0)))</f>
        <v>142180.58</v>
      </c>
      <c r="F55" s="330" t="n">
        <f aca="false">IF(F$34="","",F36*INDEX('Portfolio Bucket'!$C$2:$I$69,MATCH(Calculations!F$33,'Portfolio Bucket'!$C$2:$C$69,0),MATCH(Calculations!$B55,'Portfolio Bucket'!$C$2:$I$2,0)))</f>
        <v>48544.8</v>
      </c>
      <c r="G55" s="330" t="n">
        <f aca="false">IF(G$34="","",G36*INDEX('Portfolio Bucket'!$C$2:$I$69,MATCH(Calculations!G$33,'Portfolio Bucket'!$C$2:$C$69,0),MATCH(Calculations!$B55,'Portfolio Bucket'!$C$2:$I$2,0)))</f>
        <v>175514.13</v>
      </c>
      <c r="H55" s="330" t="n">
        <f aca="false">IF(H$34="","",H36*INDEX('Portfolio Bucket'!$C$2:$I$69,MATCH(Calculations!H$33,'Portfolio Bucket'!$C$2:$C$69,0),MATCH(Calculations!$B55,'Portfolio Bucket'!$C$2:$I$2,0)))</f>
        <v>174505.99</v>
      </c>
      <c r="I55" s="330" t="n">
        <f aca="false">IF(I$34="","",I36*INDEX('Portfolio Bucket'!$C$2:$I$69,MATCH(Calculations!I$33,'Portfolio Bucket'!$C$2:$C$69,0),MATCH(Calculations!$B55,'Portfolio Bucket'!$C$2:$I$2,0)))</f>
        <v>50841</v>
      </c>
      <c r="J55" s="330" t="n">
        <f aca="false">IF(J$34="","",J36*INDEX('Portfolio Bucket'!$C$2:$I$69,MATCH(Calculations!J$33,'Portfolio Bucket'!$C$2:$C$69,0),MATCH(Calculations!$B55,'Portfolio Bucket'!$C$2:$I$2,0)))</f>
        <v>287036.75</v>
      </c>
      <c r="K55" s="330" t="str">
        <f aca="false">IF(K$34="","",K36*INDEX('Portfolio Bucket'!$C$2:$I$69,MATCH(Calculations!K$33,'Portfolio Bucket'!$C$2:$C$69,0),MATCH(Calculations!$B55,'Portfolio Bucket'!$C$2:$I$2,0)))</f>
        <v/>
      </c>
      <c r="L55" s="330" t="str">
        <f aca="false">IF(L$34="","",L36*INDEX('Portfolio Bucket'!$C$2:$I$69,MATCH(Calculations!L$33,'Portfolio Bucket'!$C$2:$C$69,0),MATCH(Calculations!$B55,'Portfolio Bucket'!$C$2:$I$2,0)))</f>
        <v/>
      </c>
      <c r="M55" s="330" t="str">
        <f aca="false">IF(M$34="","",M36*INDEX('Portfolio Bucket'!$C$2:$I$69,MATCH(Calculations!M$33,'Portfolio Bucket'!$C$2:$C$69,0),MATCH(Calculations!$B55,'Portfolio Bucket'!$C$2:$I$2,0)))</f>
        <v/>
      </c>
      <c r="N55" s="330" t="str">
        <f aca="false">IF(N$34="","",N36*INDEX('Portfolio Bucket'!$C$2:$I$69,MATCH(Calculations!N$33,'Portfolio Bucket'!$C$2:$C$69,0),MATCH(Calculations!$B55,'Portfolio Bucket'!$C$2:$I$2,0)))</f>
        <v/>
      </c>
      <c r="O55" s="330" t="str">
        <f aca="false">IF(O$34="","",O36*INDEX('Portfolio Bucket'!$C$2:$I$69,MATCH(Calculations!O$33,'Portfolio Bucket'!$C$2:$C$69,0),MATCH(Calculations!$B55,'Portfolio Bucket'!$C$2:$I$2,0)))</f>
        <v/>
      </c>
      <c r="P55" s="330" t="str">
        <f aca="false">IF(P$34="","",P36*INDEX('Portfolio Bucket'!$C$2:$I$69,MATCH(Calculations!P$33,'Portfolio Bucket'!$C$2:$C$69,0),MATCH(Calculations!$B55,'Portfolio Bucket'!$C$2:$I$2,0)))</f>
        <v/>
      </c>
      <c r="Q55" s="330" t="str">
        <f aca="false">IF(Q$34="","",Q36*INDEX('Portfolio Bucket'!$C$2:$I$69,MATCH(Calculations!Q$33,'Portfolio Bucket'!$C$2:$C$69,0),MATCH(Calculations!$B55,'Portfolio Bucket'!$C$2:$I$2,0)))</f>
        <v/>
      </c>
      <c r="R55" s="330" t="str">
        <f aca="false">IF(R$34="","",R36*INDEX('Portfolio Bucket'!$C$2:$I$69,MATCH(Calculations!R$33,'Portfolio Bucket'!$C$2:$C$69,0),MATCH(Calculations!$B55,'Portfolio Bucket'!$C$2:$I$2,0)))</f>
        <v/>
      </c>
      <c r="S55" s="330" t="str">
        <f aca="false">IF(S$34="","",S36*INDEX('Portfolio Bucket'!$C$2:$I$69,MATCH(Calculations!S$33,'Portfolio Bucket'!$C$2:$C$69,0),MATCH(Calculations!$B55,'Portfolio Bucket'!$C$2:$I$2,0)))</f>
        <v/>
      </c>
      <c r="T55" s="330" t="str">
        <f aca="false">IF(T$34="","",T36*INDEX('Portfolio Bucket'!$C$2:$I$69,MATCH(Calculations!T$33,'Portfolio Bucket'!$C$2:$C$69,0),MATCH(Calculations!$B55,'Portfolio Bucket'!$C$2:$I$2,0)))</f>
        <v/>
      </c>
      <c r="U55" s="330" t="str">
        <f aca="false">IF(U$34="","",U36*INDEX('Portfolio Bucket'!$C$2:$I$69,MATCH(Calculations!U$33,'Portfolio Bucket'!$C$2:$C$69,0),MATCH(Calculations!$B55,'Portfolio Bucket'!$C$2:$I$2,0)))</f>
        <v/>
      </c>
      <c r="V55" s="330" t="str">
        <f aca="false">IF(V$34="","",V36*INDEX('Portfolio Bucket'!$C$2:$I$69,MATCH(Calculations!V$33,'Portfolio Bucket'!$C$2:$C$69,0),MATCH(Calculations!$B55,'Portfolio Bucket'!$C$2:$I$2,0)))</f>
        <v/>
      </c>
      <c r="W55" s="330" t="str">
        <f aca="false">IF(W$34="","",W36*INDEX('Portfolio Bucket'!$C$2:$I$69,MATCH(Calculations!W$33,'Portfolio Bucket'!$C$2:$C$69,0),MATCH(Calculations!$B55,'Portfolio Bucket'!$C$2:$I$2,0)))</f>
        <v/>
      </c>
      <c r="X55" s="330" t="str">
        <f aca="false">IF(X$34="","",X36*INDEX('Portfolio Bucket'!$C$2:$I$69,MATCH(Calculations!X$33,'Portfolio Bucket'!$C$2:$C$69,0),MATCH(Calculations!$B55,'Portfolio Bucket'!$C$2:$I$2,0)))</f>
        <v/>
      </c>
      <c r="Y55" s="330" t="str">
        <f aca="false">IF(Y$34="","",Y36*INDEX('Portfolio Bucket'!$C$2:$I$69,MATCH(Calculations!Y$33,'Portfolio Bucket'!$C$2:$C$69,0),MATCH(Calculations!$B55,'Portfolio Bucket'!$C$2:$I$2,0)))</f>
        <v/>
      </c>
      <c r="Z55" s="330" t="str">
        <f aca="false">IF(Z$34="","",Z36*INDEX('Portfolio Bucket'!$C$2:$I$69,MATCH(Calculations!Z$33,'Portfolio Bucket'!$C$2:$C$69,0),MATCH(Calculations!$B55,'Portfolio Bucket'!$C$2:$I$2,0)))</f>
        <v/>
      </c>
      <c r="AA55" s="330" t="str">
        <f aca="false">IF(AA$34="","",AA36*INDEX('Portfolio Bucket'!$C$2:$I$69,MATCH(Calculations!AA$33,'Portfolio Bucket'!$C$2:$C$69,0),MATCH(Calculations!$B55,'Portfolio Bucket'!$C$2:$I$2,0)))</f>
        <v/>
      </c>
      <c r="AB55" s="330" t="str">
        <f aca="false">IF(AB$34="","",AB36*INDEX('Portfolio Bucket'!$C$2:$I$69,MATCH(Calculations!AB$33,'Portfolio Bucket'!$C$2:$C$69,0),MATCH(Calculations!$B55,'Portfolio Bucket'!$C$2:$I$2,0)))</f>
        <v/>
      </c>
      <c r="AC55" s="330" t="str">
        <f aca="false">IF(AC$34="","",AC36*INDEX('Portfolio Bucket'!$C$2:$I$69,MATCH(Calculations!AC$33,'Portfolio Bucket'!$C$2:$C$69,0),MATCH(Calculations!$B55,'Portfolio Bucket'!$C$2:$I$2,0)))</f>
        <v/>
      </c>
      <c r="AD55" s="330" t="str">
        <f aca="false">IF(AD$34="","",AD36*INDEX('Portfolio Bucket'!$C$2:$I$69,MATCH(Calculations!AD$33,'Portfolio Bucket'!$C$2:$C$69,0),MATCH(Calculations!$B55,'Portfolio Bucket'!$C$2:$I$2,0)))</f>
        <v/>
      </c>
      <c r="AE55" s="330" t="str">
        <f aca="false">IF(AE$34="","",AE36*INDEX('Portfolio Bucket'!$C$2:$I$69,MATCH(Calculations!AE$33,'Portfolio Bucket'!$C$2:$C$69,0),MATCH(Calculations!$B55,'Portfolio Bucket'!$C$2:$I$2,0)))</f>
        <v/>
      </c>
      <c r="AF55" s="330" t="str">
        <f aca="false">IF(AF$34="","",AF36*INDEX('Portfolio Bucket'!$C$2:$I$69,MATCH(Calculations!AF$33,'Portfolio Bucket'!$C$2:$C$69,0),MATCH(Calculations!$B55,'Portfolio Bucket'!$C$2:$I$2,0)))</f>
        <v/>
      </c>
      <c r="AG55" s="330" t="str">
        <f aca="false">IF(AG$34="","",AG36*INDEX('Portfolio Bucket'!$C$2:$I$69,MATCH(Calculations!AG$33,'Portfolio Bucket'!$C$2:$C$69,0),MATCH(Calculations!$B55,'Portfolio Bucket'!$C$2:$I$2,0)))</f>
        <v/>
      </c>
      <c r="AI55" s="520" t="n">
        <f aca="false">SUMIF(C55:AG55,"&gt;=0",C55:AG55)</f>
        <v>988632.97</v>
      </c>
      <c r="AJ55" s="517" t="n">
        <f aca="false">AI55/AI54-1</f>
        <v>-0.00817842281149661</v>
      </c>
    </row>
    <row r="56" customFormat="false" ht="15" hidden="false" customHeight="false" outlineLevel="0" collapsed="false">
      <c r="B56" s="509" t="n">
        <v>43280</v>
      </c>
      <c r="C56" s="330" t="n">
        <f aca="false">'Weekly  Sum'!Q8</f>
        <v>10071.98</v>
      </c>
      <c r="D56" s="330" t="n">
        <f aca="false">IF(D$34="","",D37*INDEX('Portfolio Bucket'!$C$2:$I$69,MATCH(Calculations!D$33,'Portfolio Bucket'!$C$2:$C$69,0),MATCH(Calculations!$B56,'Portfolio Bucket'!$C$2:$I$2,0)))</f>
        <v>0</v>
      </c>
      <c r="E56" s="330" t="n">
        <f aca="false">IF(E$34="","",E37*INDEX('Portfolio Bucket'!$C$2:$I$69,MATCH(Calculations!E$33,'Portfolio Bucket'!$C$2:$C$69,0),MATCH(Calculations!$B56,'Portfolio Bucket'!$C$2:$I$2,0)))</f>
        <v>0</v>
      </c>
      <c r="F56" s="330" t="n">
        <f aca="false">IF(F$34="","",F37*INDEX('Portfolio Bucket'!$C$2:$I$69,MATCH(Calculations!F$33,'Portfolio Bucket'!$C$2:$C$69,0),MATCH(Calculations!$B56,'Portfolio Bucket'!$C$2:$I$2,0)))</f>
        <v>0</v>
      </c>
      <c r="G56" s="330" t="n">
        <f aca="false">IF(G$34="","",G37*INDEX('Portfolio Bucket'!$C$2:$I$69,MATCH(Calculations!G$33,'Portfolio Bucket'!$C$2:$C$69,0),MATCH(Calculations!$B56,'Portfolio Bucket'!$C$2:$I$2,0)))</f>
        <v>0</v>
      </c>
      <c r="H56" s="330" t="n">
        <f aca="false">IF(H$34="","",H37*INDEX('Portfolio Bucket'!$C$2:$I$69,MATCH(Calculations!H$33,'Portfolio Bucket'!$C$2:$C$69,0),MATCH(Calculations!$B56,'Portfolio Bucket'!$C$2:$I$2,0)))</f>
        <v>0</v>
      </c>
      <c r="I56" s="330" t="n">
        <f aca="false">IF(I$34="","",I37*INDEX('Portfolio Bucket'!$C$2:$I$69,MATCH(Calculations!I$33,'Portfolio Bucket'!$C$2:$C$69,0),MATCH(Calculations!$B56,'Portfolio Bucket'!$C$2:$I$2,0)))</f>
        <v>0</v>
      </c>
      <c r="J56" s="330" t="n">
        <f aca="false">IF(J$34="","",J37*INDEX('Portfolio Bucket'!$C$2:$I$69,MATCH(Calculations!J$33,'Portfolio Bucket'!$C$2:$C$69,0),MATCH(Calculations!$B56,'Portfolio Bucket'!$C$2:$I$2,0)))</f>
        <v>0</v>
      </c>
      <c r="K56" s="330" t="str">
        <f aca="false">IF(K$34="","",K37*INDEX('Portfolio Bucket'!$C$2:$I$69,MATCH(Calculations!K$33,'Portfolio Bucket'!$C$2:$C$69,0),MATCH(Calculations!$B56,'Portfolio Bucket'!$C$2:$I$2,0)))</f>
        <v/>
      </c>
      <c r="L56" s="330" t="str">
        <f aca="false">IF(L$34="","",L37*INDEX('Portfolio Bucket'!$C$2:$I$69,MATCH(Calculations!L$33,'Portfolio Bucket'!$C$2:$C$69,0),MATCH(Calculations!$B56,'Portfolio Bucket'!$C$2:$I$2,0)))</f>
        <v/>
      </c>
      <c r="M56" s="330" t="str">
        <f aca="false">IF(M$34="","",M37*INDEX('Portfolio Bucket'!$C$2:$I$69,MATCH(Calculations!M$33,'Portfolio Bucket'!$C$2:$C$69,0),MATCH(Calculations!$B56,'Portfolio Bucket'!$C$2:$I$2,0)))</f>
        <v/>
      </c>
      <c r="N56" s="330" t="str">
        <f aca="false">IF(N$34="","",N37*INDEX('Portfolio Bucket'!$C$2:$I$69,MATCH(Calculations!N$33,'Portfolio Bucket'!$C$2:$C$69,0),MATCH(Calculations!$B56,'Portfolio Bucket'!$C$2:$I$2,0)))</f>
        <v/>
      </c>
      <c r="O56" s="330" t="str">
        <f aca="false">IF(O$34="","",O37*INDEX('Portfolio Bucket'!$C$2:$I$69,MATCH(Calculations!O$33,'Portfolio Bucket'!$C$2:$C$69,0),MATCH(Calculations!$B56,'Portfolio Bucket'!$C$2:$I$2,0)))</f>
        <v/>
      </c>
      <c r="P56" s="330" t="str">
        <f aca="false">IF(P$34="","",P37*INDEX('Portfolio Bucket'!$C$2:$I$69,MATCH(Calculations!P$33,'Portfolio Bucket'!$C$2:$C$69,0),MATCH(Calculations!$B56,'Portfolio Bucket'!$C$2:$I$2,0)))</f>
        <v/>
      </c>
      <c r="Q56" s="330" t="str">
        <f aca="false">IF(Q$34="","",Q37*INDEX('Portfolio Bucket'!$C$2:$I$69,MATCH(Calculations!Q$33,'Portfolio Bucket'!$C$2:$C$69,0),MATCH(Calculations!$B56,'Portfolio Bucket'!$C$2:$I$2,0)))</f>
        <v/>
      </c>
      <c r="R56" s="330" t="str">
        <f aca="false">IF(R$34="","",R37*INDEX('Portfolio Bucket'!$C$2:$I$69,MATCH(Calculations!R$33,'Portfolio Bucket'!$C$2:$C$69,0),MATCH(Calculations!$B56,'Portfolio Bucket'!$C$2:$I$2,0)))</f>
        <v/>
      </c>
      <c r="S56" s="330" t="str">
        <f aca="false">IF(S$34="","",S37*INDEX('Portfolio Bucket'!$C$2:$I$69,MATCH(Calculations!S$33,'Portfolio Bucket'!$C$2:$C$69,0),MATCH(Calculations!$B56,'Portfolio Bucket'!$C$2:$I$2,0)))</f>
        <v/>
      </c>
      <c r="T56" s="330" t="str">
        <f aca="false">IF(T$34="","",T37*INDEX('Portfolio Bucket'!$C$2:$I$69,MATCH(Calculations!T$33,'Portfolio Bucket'!$C$2:$C$69,0),MATCH(Calculations!$B56,'Portfolio Bucket'!$C$2:$I$2,0)))</f>
        <v/>
      </c>
      <c r="U56" s="330" t="str">
        <f aca="false">IF(U$34="","",U37*INDEX('Portfolio Bucket'!$C$2:$I$69,MATCH(Calculations!U$33,'Portfolio Bucket'!$C$2:$C$69,0),MATCH(Calculations!$B56,'Portfolio Bucket'!$C$2:$I$2,0)))</f>
        <v/>
      </c>
      <c r="V56" s="330" t="str">
        <f aca="false">IF(V$34="","",V37*INDEX('Portfolio Bucket'!$C$2:$I$69,MATCH(Calculations!V$33,'Portfolio Bucket'!$C$2:$C$69,0),MATCH(Calculations!$B56,'Portfolio Bucket'!$C$2:$I$2,0)))</f>
        <v/>
      </c>
      <c r="W56" s="330" t="str">
        <f aca="false">IF(W$34="","",W37*INDEX('Portfolio Bucket'!$C$2:$I$69,MATCH(Calculations!W$33,'Portfolio Bucket'!$C$2:$C$69,0),MATCH(Calculations!$B56,'Portfolio Bucket'!$C$2:$I$2,0)))</f>
        <v/>
      </c>
      <c r="X56" s="330" t="str">
        <f aca="false">IF(X$34="","",X37*INDEX('Portfolio Bucket'!$C$2:$I$69,MATCH(Calculations!X$33,'Portfolio Bucket'!$C$2:$C$69,0),MATCH(Calculations!$B56,'Portfolio Bucket'!$C$2:$I$2,0)))</f>
        <v/>
      </c>
      <c r="Y56" s="330" t="str">
        <f aca="false">IF(Y$34="","",Y37*INDEX('Portfolio Bucket'!$C$2:$I$69,MATCH(Calculations!Y$33,'Portfolio Bucket'!$C$2:$C$69,0),MATCH(Calculations!$B56,'Portfolio Bucket'!$C$2:$I$2,0)))</f>
        <v/>
      </c>
      <c r="Z56" s="330" t="str">
        <f aca="false">IF(Z$34="","",Z37*INDEX('Portfolio Bucket'!$C$2:$I$69,MATCH(Calculations!Z$33,'Portfolio Bucket'!$C$2:$C$69,0),MATCH(Calculations!$B56,'Portfolio Bucket'!$C$2:$I$2,0)))</f>
        <v/>
      </c>
      <c r="AA56" s="330" t="str">
        <f aca="false">IF(AA$34="","",AA37*INDEX('Portfolio Bucket'!$C$2:$I$69,MATCH(Calculations!AA$33,'Portfolio Bucket'!$C$2:$C$69,0),MATCH(Calculations!$B56,'Portfolio Bucket'!$C$2:$I$2,0)))</f>
        <v/>
      </c>
      <c r="AB56" s="330" t="str">
        <f aca="false">IF(AB$34="","",AB37*INDEX('Portfolio Bucket'!$C$2:$I$69,MATCH(Calculations!AB$33,'Portfolio Bucket'!$C$2:$C$69,0),MATCH(Calculations!$B56,'Portfolio Bucket'!$C$2:$I$2,0)))</f>
        <v/>
      </c>
      <c r="AC56" s="330" t="str">
        <f aca="false">IF(AC$34="","",AC37*INDEX('Portfolio Bucket'!$C$2:$I$69,MATCH(Calculations!AC$33,'Portfolio Bucket'!$C$2:$C$69,0),MATCH(Calculations!$B56,'Portfolio Bucket'!$C$2:$I$2,0)))</f>
        <v/>
      </c>
      <c r="AD56" s="330" t="str">
        <f aca="false">IF(AD$34="","",AD37*INDEX('Portfolio Bucket'!$C$2:$I$69,MATCH(Calculations!AD$33,'Portfolio Bucket'!$C$2:$C$69,0),MATCH(Calculations!$B56,'Portfolio Bucket'!$C$2:$I$2,0)))</f>
        <v/>
      </c>
      <c r="AE56" s="330" t="str">
        <f aca="false">IF(AE$34="","",AE37*INDEX('Portfolio Bucket'!$C$2:$I$69,MATCH(Calculations!AE$33,'Portfolio Bucket'!$C$2:$C$69,0),MATCH(Calculations!$B56,'Portfolio Bucket'!$C$2:$I$2,0)))</f>
        <v/>
      </c>
      <c r="AF56" s="330" t="str">
        <f aca="false">IF(AF$34="","",AF37*INDEX('Portfolio Bucket'!$C$2:$I$69,MATCH(Calculations!AF$33,'Portfolio Bucket'!$C$2:$C$69,0),MATCH(Calculations!$B56,'Portfolio Bucket'!$C$2:$I$2,0)))</f>
        <v/>
      </c>
      <c r="AG56" s="330" t="str">
        <f aca="false">IF(AG$34="","",AG37*INDEX('Portfolio Bucket'!$C$2:$I$69,MATCH(Calculations!AG$33,'Portfolio Bucket'!$C$2:$C$69,0),MATCH(Calculations!$B56,'Portfolio Bucket'!$C$2:$I$2,0)))</f>
        <v/>
      </c>
      <c r="AI56" s="520" t="n">
        <f aca="false">SUMIF(C56:AG56,"&gt;=0",C56:AG56)</f>
        <v>10071.98</v>
      </c>
      <c r="AJ56" s="517" t="n">
        <f aca="false">AI56/AI55-1</f>
        <v>-0.989812215143907</v>
      </c>
    </row>
    <row r="57" customFormat="false" ht="15" hidden="false" customHeight="false" outlineLevel="0" collapsed="false">
      <c r="B57" s="509" t="n">
        <v>43287</v>
      </c>
      <c r="C57" s="330" t="n">
        <f aca="false">'Weekly  Sum'!U8</f>
        <v>10071.98</v>
      </c>
      <c r="D57" s="330" t="n">
        <f aca="false">IF(D$34="","",D38*INDEX('Portfolio Bucket'!$C$2:$I$69,MATCH(Calculations!D$33,'Portfolio Bucket'!$C$2:$C$69,0),MATCH(Calculations!$B57,'Portfolio Bucket'!$C$2:$I$2,0)))</f>
        <v>0</v>
      </c>
      <c r="E57" s="330" t="n">
        <f aca="false">IF(E$34="","",E38*INDEX('Portfolio Bucket'!$C$2:$I$69,MATCH(Calculations!E$33,'Portfolio Bucket'!$C$2:$C$69,0),MATCH(Calculations!$B57,'Portfolio Bucket'!$C$2:$I$2,0)))</f>
        <v>0</v>
      </c>
      <c r="F57" s="330" t="n">
        <f aca="false">IF(F$34="","",F38*INDEX('Portfolio Bucket'!$C$2:$I$69,MATCH(Calculations!F$33,'Portfolio Bucket'!$C$2:$C$69,0),MATCH(Calculations!$B57,'Portfolio Bucket'!$C$2:$I$2,0)))</f>
        <v>0</v>
      </c>
      <c r="G57" s="330" t="n">
        <f aca="false">IF(G$34="","",G38*INDEX('Portfolio Bucket'!$C$2:$I$69,MATCH(Calculations!G$33,'Portfolio Bucket'!$C$2:$C$69,0),MATCH(Calculations!$B57,'Portfolio Bucket'!$C$2:$I$2,0)))</f>
        <v>0</v>
      </c>
      <c r="H57" s="330" t="n">
        <f aca="false">IF(H$34="","",H38*INDEX('Portfolio Bucket'!$C$2:$I$69,MATCH(Calculations!H$33,'Portfolio Bucket'!$C$2:$C$69,0),MATCH(Calculations!$B57,'Portfolio Bucket'!$C$2:$I$2,0)))</f>
        <v>0</v>
      </c>
      <c r="I57" s="330" t="n">
        <f aca="false">IF(I$34="","",I38*INDEX('Portfolio Bucket'!$C$2:$I$69,MATCH(Calculations!I$33,'Portfolio Bucket'!$C$2:$C$69,0),MATCH(Calculations!$B57,'Portfolio Bucket'!$C$2:$I$2,0)))</f>
        <v>0</v>
      </c>
      <c r="J57" s="330" t="n">
        <f aca="false">IF(J$34="","",J38*INDEX('Portfolio Bucket'!$C$2:$I$69,MATCH(Calculations!J$33,'Portfolio Bucket'!$C$2:$C$69,0),MATCH(Calculations!$B57,'Portfolio Bucket'!$C$2:$I$2,0)))</f>
        <v>0</v>
      </c>
      <c r="K57" s="330" t="str">
        <f aca="false">IF(K$34="","",K38*INDEX('Portfolio Bucket'!$C$2:$I$69,MATCH(Calculations!K$33,'Portfolio Bucket'!$C$2:$C$69,0),MATCH(Calculations!$B57,'Portfolio Bucket'!$C$2:$I$2,0)))</f>
        <v/>
      </c>
      <c r="L57" s="330" t="str">
        <f aca="false">IF(L$34="","",L38*INDEX('Portfolio Bucket'!$C$2:$I$69,MATCH(Calculations!L$33,'Portfolio Bucket'!$C$2:$C$69,0),MATCH(Calculations!$B57,'Portfolio Bucket'!$C$2:$I$2,0)))</f>
        <v/>
      </c>
      <c r="M57" s="330" t="str">
        <f aca="false">IF(M$34="","",M38*INDEX('Portfolio Bucket'!$C$2:$I$69,MATCH(Calculations!M$33,'Portfolio Bucket'!$C$2:$C$69,0),MATCH(Calculations!$B57,'Portfolio Bucket'!$C$2:$I$2,0)))</f>
        <v/>
      </c>
      <c r="N57" s="330" t="str">
        <f aca="false">IF(N$34="","",N38*INDEX('Portfolio Bucket'!$C$2:$I$69,MATCH(Calculations!N$33,'Portfolio Bucket'!$C$2:$C$69,0),MATCH(Calculations!$B57,'Portfolio Bucket'!$C$2:$I$2,0)))</f>
        <v/>
      </c>
      <c r="O57" s="330" t="str">
        <f aca="false">IF(O$34="","",O38*INDEX('Portfolio Bucket'!$C$2:$I$69,MATCH(Calculations!O$33,'Portfolio Bucket'!$C$2:$C$69,0),MATCH(Calculations!$B57,'Portfolio Bucket'!$C$2:$I$2,0)))</f>
        <v/>
      </c>
      <c r="P57" s="330" t="str">
        <f aca="false">IF(P$34="","",P38*INDEX('Portfolio Bucket'!$C$2:$I$69,MATCH(Calculations!P$33,'Portfolio Bucket'!$C$2:$C$69,0),MATCH(Calculations!$B57,'Portfolio Bucket'!$C$2:$I$2,0)))</f>
        <v/>
      </c>
      <c r="Q57" s="330" t="str">
        <f aca="false">IF(Q$34="","",Q38*INDEX('Portfolio Bucket'!$C$2:$I$69,MATCH(Calculations!Q$33,'Portfolio Bucket'!$C$2:$C$69,0),MATCH(Calculations!$B57,'Portfolio Bucket'!$C$2:$I$2,0)))</f>
        <v/>
      </c>
      <c r="R57" s="330" t="str">
        <f aca="false">IF(R$34="","",R38*INDEX('Portfolio Bucket'!$C$2:$I$69,MATCH(Calculations!R$33,'Portfolio Bucket'!$C$2:$C$69,0),MATCH(Calculations!$B57,'Portfolio Bucket'!$C$2:$I$2,0)))</f>
        <v/>
      </c>
      <c r="S57" s="330" t="str">
        <f aca="false">IF(S$34="","",S38*INDEX('Portfolio Bucket'!$C$2:$I$69,MATCH(Calculations!S$33,'Portfolio Bucket'!$C$2:$C$69,0),MATCH(Calculations!$B57,'Portfolio Bucket'!$C$2:$I$2,0)))</f>
        <v/>
      </c>
      <c r="T57" s="330" t="str">
        <f aca="false">IF(T$34="","",T38*INDEX('Portfolio Bucket'!$C$2:$I$69,MATCH(Calculations!T$33,'Portfolio Bucket'!$C$2:$C$69,0),MATCH(Calculations!$B57,'Portfolio Bucket'!$C$2:$I$2,0)))</f>
        <v/>
      </c>
      <c r="U57" s="330" t="str">
        <f aca="false">IF(U$34="","",U38*INDEX('Portfolio Bucket'!$C$2:$I$69,MATCH(Calculations!U$33,'Portfolio Bucket'!$C$2:$C$69,0),MATCH(Calculations!$B57,'Portfolio Bucket'!$C$2:$I$2,0)))</f>
        <v/>
      </c>
      <c r="V57" s="330" t="str">
        <f aca="false">IF(V$34="","",V38*INDEX('Portfolio Bucket'!$C$2:$I$69,MATCH(Calculations!V$33,'Portfolio Bucket'!$C$2:$C$69,0),MATCH(Calculations!$B57,'Portfolio Bucket'!$C$2:$I$2,0)))</f>
        <v/>
      </c>
      <c r="W57" s="330" t="str">
        <f aca="false">IF(W$34="","",W38*INDEX('Portfolio Bucket'!$C$2:$I$69,MATCH(Calculations!W$33,'Portfolio Bucket'!$C$2:$C$69,0),MATCH(Calculations!$B57,'Portfolio Bucket'!$C$2:$I$2,0)))</f>
        <v/>
      </c>
      <c r="X57" s="330" t="str">
        <f aca="false">IF(X$34="","",X38*INDEX('Portfolio Bucket'!$C$2:$I$69,MATCH(Calculations!X$33,'Portfolio Bucket'!$C$2:$C$69,0),MATCH(Calculations!$B57,'Portfolio Bucket'!$C$2:$I$2,0)))</f>
        <v/>
      </c>
      <c r="Y57" s="330" t="str">
        <f aca="false">IF(Y$34="","",Y38*INDEX('Portfolio Bucket'!$C$2:$I$69,MATCH(Calculations!Y$33,'Portfolio Bucket'!$C$2:$C$69,0),MATCH(Calculations!$B57,'Portfolio Bucket'!$C$2:$I$2,0)))</f>
        <v/>
      </c>
      <c r="Z57" s="330" t="str">
        <f aca="false">IF(Z$34="","",Z38*INDEX('Portfolio Bucket'!$C$2:$I$69,MATCH(Calculations!Z$33,'Portfolio Bucket'!$C$2:$C$69,0),MATCH(Calculations!$B57,'Portfolio Bucket'!$C$2:$I$2,0)))</f>
        <v/>
      </c>
      <c r="AA57" s="330" t="str">
        <f aca="false">IF(AA$34="","",AA38*INDEX('Portfolio Bucket'!$C$2:$I$69,MATCH(Calculations!AA$33,'Portfolio Bucket'!$C$2:$C$69,0),MATCH(Calculations!$B57,'Portfolio Bucket'!$C$2:$I$2,0)))</f>
        <v/>
      </c>
      <c r="AB57" s="330" t="str">
        <f aca="false">IF(AB$34="","",AB38*INDEX('Portfolio Bucket'!$C$2:$I$69,MATCH(Calculations!AB$33,'Portfolio Bucket'!$C$2:$C$69,0),MATCH(Calculations!$B57,'Portfolio Bucket'!$C$2:$I$2,0)))</f>
        <v/>
      </c>
      <c r="AC57" s="330" t="str">
        <f aca="false">IF(AC$34="","",AC38*INDEX('Portfolio Bucket'!$C$2:$I$69,MATCH(Calculations!AC$33,'Portfolio Bucket'!$C$2:$C$69,0),MATCH(Calculations!$B57,'Portfolio Bucket'!$C$2:$I$2,0)))</f>
        <v/>
      </c>
      <c r="AD57" s="330" t="str">
        <f aca="false">IF(AD$34="","",AD38*INDEX('Portfolio Bucket'!$C$2:$I$69,MATCH(Calculations!AD$33,'Portfolio Bucket'!$C$2:$C$69,0),MATCH(Calculations!$B57,'Portfolio Bucket'!$C$2:$I$2,0)))</f>
        <v/>
      </c>
      <c r="AE57" s="330" t="str">
        <f aca="false">IF(AE$34="","",AE38*INDEX('Portfolio Bucket'!$C$2:$I$69,MATCH(Calculations!AE$33,'Portfolio Bucket'!$C$2:$C$69,0),MATCH(Calculations!$B57,'Portfolio Bucket'!$C$2:$I$2,0)))</f>
        <v/>
      </c>
      <c r="AF57" s="330" t="str">
        <f aca="false">IF(AF$34="","",AF38*INDEX('Portfolio Bucket'!$C$2:$I$69,MATCH(Calculations!AF$33,'Portfolio Bucket'!$C$2:$C$69,0),MATCH(Calculations!$B57,'Portfolio Bucket'!$C$2:$I$2,0)))</f>
        <v/>
      </c>
      <c r="AG57" s="330" t="str">
        <f aca="false">IF(AG$34="","",AG38*INDEX('Portfolio Bucket'!$C$2:$I$69,MATCH(Calculations!AG$33,'Portfolio Bucket'!$C$2:$C$69,0),MATCH(Calculations!$B57,'Portfolio Bucket'!$C$2:$I$2,0)))</f>
        <v/>
      </c>
      <c r="AI57" s="520" t="n">
        <f aca="false">SUMIF(C57:AG57,"&gt;=0",C57:AG57)</f>
        <v>10071.98</v>
      </c>
      <c r="AJ57" s="517" t="n">
        <f aca="false">AI57/AI56-1</f>
        <v>0</v>
      </c>
    </row>
    <row r="58" customFormat="false" ht="15" hidden="false" customHeight="false" outlineLevel="0" collapsed="false">
      <c r="B58" s="509" t="n">
        <v>43294</v>
      </c>
      <c r="C58" s="330" t="n">
        <f aca="false">'Weekly  Sum'!Y8</f>
        <v>10071.98</v>
      </c>
      <c r="D58" s="330" t="n">
        <f aca="false">IF(D$34="","",D39*INDEX('Portfolio Bucket'!$C$2:$I$69,MATCH(Calculations!D$33,'Portfolio Bucket'!$C$2:$C$69,0),MATCH(Calculations!$B58,'Portfolio Bucket'!$C$2:$I$2,0)))</f>
        <v>0</v>
      </c>
      <c r="E58" s="330" t="n">
        <f aca="false">IF(E$34="","",E39*INDEX('Portfolio Bucket'!$C$2:$I$69,MATCH(Calculations!E$33,'Portfolio Bucket'!$C$2:$C$69,0),MATCH(Calculations!$B58,'Portfolio Bucket'!$C$2:$I$2,0)))</f>
        <v>0</v>
      </c>
      <c r="F58" s="330" t="n">
        <f aca="false">IF(F$34="","",F39*INDEX('Portfolio Bucket'!$C$2:$I$69,MATCH(Calculations!F$33,'Portfolio Bucket'!$C$2:$C$69,0),MATCH(Calculations!$B58,'Portfolio Bucket'!$C$2:$I$2,0)))</f>
        <v>0</v>
      </c>
      <c r="G58" s="330" t="n">
        <f aca="false">IF(G$34="","",G39*INDEX('Portfolio Bucket'!$C$2:$I$69,MATCH(Calculations!G$33,'Portfolio Bucket'!$C$2:$C$69,0),MATCH(Calculations!$B58,'Portfolio Bucket'!$C$2:$I$2,0)))</f>
        <v>0</v>
      </c>
      <c r="H58" s="330" t="n">
        <f aca="false">IF(H$34="","",H39*INDEX('Portfolio Bucket'!$C$2:$I$69,MATCH(Calculations!H$33,'Portfolio Bucket'!$C$2:$C$69,0),MATCH(Calculations!$B58,'Portfolio Bucket'!$C$2:$I$2,0)))</f>
        <v>0</v>
      </c>
      <c r="I58" s="330" t="n">
        <f aca="false">IF(I$34="","",I39*INDEX('Portfolio Bucket'!$C$2:$I$69,MATCH(Calculations!I$33,'Portfolio Bucket'!$C$2:$C$69,0),MATCH(Calculations!$B58,'Portfolio Bucket'!$C$2:$I$2,0)))</f>
        <v>0</v>
      </c>
      <c r="J58" s="330" t="n">
        <f aca="false">IF(J$34="","",J39*INDEX('Portfolio Bucket'!$C$2:$I$69,MATCH(Calculations!J$33,'Portfolio Bucket'!$C$2:$C$69,0),MATCH(Calculations!$B58,'Portfolio Bucket'!$C$2:$I$2,0)))</f>
        <v>0</v>
      </c>
      <c r="K58" s="330" t="str">
        <f aca="false">IF(K$34="","",K39*INDEX('Portfolio Bucket'!$C$2:$I$69,MATCH(Calculations!K$33,'Portfolio Bucket'!$C$2:$C$69,0),MATCH(Calculations!$B58,'Portfolio Bucket'!$C$2:$I$2,0)))</f>
        <v/>
      </c>
      <c r="L58" s="330" t="str">
        <f aca="false">IF(L$34="","",L39*INDEX('Portfolio Bucket'!$C$2:$I$69,MATCH(Calculations!L$33,'Portfolio Bucket'!$C$2:$C$69,0),MATCH(Calculations!$B58,'Portfolio Bucket'!$C$2:$I$2,0)))</f>
        <v/>
      </c>
      <c r="M58" s="330" t="str">
        <f aca="false">IF(M$34="","",M39*INDEX('Portfolio Bucket'!$C$2:$I$69,MATCH(Calculations!M$33,'Portfolio Bucket'!$C$2:$C$69,0),MATCH(Calculations!$B58,'Portfolio Bucket'!$C$2:$I$2,0)))</f>
        <v/>
      </c>
      <c r="N58" s="330" t="str">
        <f aca="false">IF(N$34="","",N39*INDEX('Portfolio Bucket'!$C$2:$I$69,MATCH(Calculations!N$33,'Portfolio Bucket'!$C$2:$C$69,0),MATCH(Calculations!$B58,'Portfolio Bucket'!$C$2:$I$2,0)))</f>
        <v/>
      </c>
      <c r="O58" s="330" t="str">
        <f aca="false">IF(O$34="","",O39*INDEX('Portfolio Bucket'!$C$2:$I$69,MATCH(Calculations!O$33,'Portfolio Bucket'!$C$2:$C$69,0),MATCH(Calculations!$B58,'Portfolio Bucket'!$C$2:$I$2,0)))</f>
        <v/>
      </c>
      <c r="P58" s="330" t="str">
        <f aca="false">IF(P$34="","",P39*INDEX('Portfolio Bucket'!$C$2:$I$69,MATCH(Calculations!P$33,'Portfolio Bucket'!$C$2:$C$69,0),MATCH(Calculations!$B58,'Portfolio Bucket'!$C$2:$I$2,0)))</f>
        <v/>
      </c>
      <c r="Q58" s="330" t="str">
        <f aca="false">IF(Q$34="","",Q39*INDEX('Portfolio Bucket'!$C$2:$I$69,MATCH(Calculations!Q$33,'Portfolio Bucket'!$C$2:$C$69,0),MATCH(Calculations!$B58,'Portfolio Bucket'!$C$2:$I$2,0)))</f>
        <v/>
      </c>
      <c r="R58" s="330" t="str">
        <f aca="false">IF(R$34="","",R39*INDEX('Portfolio Bucket'!$C$2:$I$69,MATCH(Calculations!R$33,'Portfolio Bucket'!$C$2:$C$69,0),MATCH(Calculations!$B58,'Portfolio Bucket'!$C$2:$I$2,0)))</f>
        <v/>
      </c>
      <c r="S58" s="330" t="str">
        <f aca="false">IF(S$34="","",S39*INDEX('Portfolio Bucket'!$C$2:$I$69,MATCH(Calculations!S$33,'Portfolio Bucket'!$C$2:$C$69,0),MATCH(Calculations!$B58,'Portfolio Bucket'!$C$2:$I$2,0)))</f>
        <v/>
      </c>
      <c r="T58" s="330" t="str">
        <f aca="false">IF(T$34="","",T39*INDEX('Portfolio Bucket'!$C$2:$I$69,MATCH(Calculations!T$33,'Portfolio Bucket'!$C$2:$C$69,0),MATCH(Calculations!$B58,'Portfolio Bucket'!$C$2:$I$2,0)))</f>
        <v/>
      </c>
      <c r="U58" s="330" t="str">
        <f aca="false">IF(U$34="","",U39*INDEX('Portfolio Bucket'!$C$2:$I$69,MATCH(Calculations!U$33,'Portfolio Bucket'!$C$2:$C$69,0),MATCH(Calculations!$B58,'Portfolio Bucket'!$C$2:$I$2,0)))</f>
        <v/>
      </c>
      <c r="V58" s="330" t="str">
        <f aca="false">IF(V$34="","",V39*INDEX('Portfolio Bucket'!$C$2:$I$69,MATCH(Calculations!V$33,'Portfolio Bucket'!$C$2:$C$69,0),MATCH(Calculations!$B58,'Portfolio Bucket'!$C$2:$I$2,0)))</f>
        <v/>
      </c>
      <c r="W58" s="330" t="str">
        <f aca="false">IF(W$34="","",W39*INDEX('Portfolio Bucket'!$C$2:$I$69,MATCH(Calculations!W$33,'Portfolio Bucket'!$C$2:$C$69,0),MATCH(Calculations!$B58,'Portfolio Bucket'!$C$2:$I$2,0)))</f>
        <v/>
      </c>
      <c r="X58" s="330" t="str">
        <f aca="false">IF(X$34="","",X39*INDEX('Portfolio Bucket'!$C$2:$I$69,MATCH(Calculations!X$33,'Portfolio Bucket'!$C$2:$C$69,0),MATCH(Calculations!$B58,'Portfolio Bucket'!$C$2:$I$2,0)))</f>
        <v/>
      </c>
      <c r="Y58" s="330" t="str">
        <f aca="false">IF(Y$34="","",Y39*INDEX('Portfolio Bucket'!$C$2:$I$69,MATCH(Calculations!Y$33,'Portfolio Bucket'!$C$2:$C$69,0),MATCH(Calculations!$B58,'Portfolio Bucket'!$C$2:$I$2,0)))</f>
        <v/>
      </c>
      <c r="Z58" s="330" t="str">
        <f aca="false">IF(Z$34="","",Z39*INDEX('Portfolio Bucket'!$C$2:$I$69,MATCH(Calculations!Z$33,'Portfolio Bucket'!$C$2:$C$69,0),MATCH(Calculations!$B58,'Portfolio Bucket'!$C$2:$I$2,0)))</f>
        <v/>
      </c>
      <c r="AA58" s="330" t="str">
        <f aca="false">IF(AA$34="","",AA39*INDEX('Portfolio Bucket'!$C$2:$I$69,MATCH(Calculations!AA$33,'Portfolio Bucket'!$C$2:$C$69,0),MATCH(Calculations!$B58,'Portfolio Bucket'!$C$2:$I$2,0)))</f>
        <v/>
      </c>
      <c r="AB58" s="330" t="str">
        <f aca="false">IF(AB$34="","",AB39*INDEX('Portfolio Bucket'!$C$2:$I$69,MATCH(Calculations!AB$33,'Portfolio Bucket'!$C$2:$C$69,0),MATCH(Calculations!$B58,'Portfolio Bucket'!$C$2:$I$2,0)))</f>
        <v/>
      </c>
      <c r="AC58" s="330" t="str">
        <f aca="false">IF(AC$34="","",AC39*INDEX('Portfolio Bucket'!$C$2:$I$69,MATCH(Calculations!AC$33,'Portfolio Bucket'!$C$2:$C$69,0),MATCH(Calculations!$B58,'Portfolio Bucket'!$C$2:$I$2,0)))</f>
        <v/>
      </c>
      <c r="AD58" s="330" t="str">
        <f aca="false">IF(AD$34="","",AD39*INDEX('Portfolio Bucket'!$C$2:$I$69,MATCH(Calculations!AD$33,'Portfolio Bucket'!$C$2:$C$69,0),MATCH(Calculations!$B58,'Portfolio Bucket'!$C$2:$I$2,0)))</f>
        <v/>
      </c>
      <c r="AE58" s="330" t="str">
        <f aca="false">IF(AE$34="","",AE39*INDEX('Portfolio Bucket'!$C$2:$I$69,MATCH(Calculations!AE$33,'Portfolio Bucket'!$C$2:$C$69,0),MATCH(Calculations!$B58,'Portfolio Bucket'!$C$2:$I$2,0)))</f>
        <v/>
      </c>
      <c r="AF58" s="330" t="str">
        <f aca="false">IF(AF$34="","",AF39*INDEX('Portfolio Bucket'!$C$2:$I$69,MATCH(Calculations!AF$33,'Portfolio Bucket'!$C$2:$C$69,0),MATCH(Calculations!$B58,'Portfolio Bucket'!$C$2:$I$2,0)))</f>
        <v/>
      </c>
      <c r="AG58" s="330" t="str">
        <f aca="false">IF(AG$34="","",AG39*INDEX('Portfolio Bucket'!$C$2:$I$69,MATCH(Calculations!AG$33,'Portfolio Bucket'!$C$2:$C$69,0),MATCH(Calculations!$B58,'Portfolio Bucket'!$C$2:$I$2,0)))</f>
        <v/>
      </c>
      <c r="AI58" s="520" t="n">
        <f aca="false">SUMIF(C58:AG58,"&gt;=0",C58:AG58)</f>
        <v>10071.98</v>
      </c>
      <c r="AJ58" s="517" t="n">
        <f aca="false">AI58/AI57-1</f>
        <v>0</v>
      </c>
    </row>
    <row r="60" customFormat="false" ht="15" hidden="false" customHeight="false" outlineLevel="0" collapsed="false">
      <c r="AJ60" s="517" t="n">
        <f aca="false">AI58/AI53-1</f>
        <v>-0.98992802</v>
      </c>
    </row>
    <row r="61" customFormat="false" ht="15" hidden="false" customHeight="false" outlineLevel="0" collapsed="false">
      <c r="B61" s="134" t="s">
        <v>477</v>
      </c>
      <c r="C61" s="134" t="str">
        <f aca="false">C52</f>
        <v>Cash</v>
      </c>
      <c r="D61" s="134" t="str">
        <f aca="false">D52</f>
        <v>BIV</v>
      </c>
      <c r="E61" s="134" t="str">
        <f aca="false">E52</f>
        <v>EEM</v>
      </c>
      <c r="F61" s="134" t="str">
        <f aca="false">F52</f>
        <v>EFA</v>
      </c>
      <c r="G61" s="134" t="str">
        <f aca="false">G52</f>
        <v>HYG</v>
      </c>
      <c r="H61" s="134" t="str">
        <f aca="false">H52</f>
        <v>IEF</v>
      </c>
      <c r="I61" s="134" t="str">
        <f aca="false">I52</f>
        <v>IYR</v>
      </c>
      <c r="J61" s="134" t="str">
        <f aca="false">J52</f>
        <v>VTI</v>
      </c>
      <c r="K61" s="134" t="str">
        <f aca="false">K52</f>
        <v/>
      </c>
      <c r="L61" s="134" t="str">
        <f aca="false">L52</f>
        <v/>
      </c>
      <c r="M61" s="134" t="str">
        <f aca="false">M52</f>
        <v/>
      </c>
      <c r="N61" s="134" t="str">
        <f aca="false">N52</f>
        <v/>
      </c>
      <c r="O61" s="134" t="str">
        <f aca="false">O52</f>
        <v/>
      </c>
      <c r="P61" s="134" t="str">
        <f aca="false">P52</f>
        <v/>
      </c>
      <c r="Q61" s="134" t="str">
        <f aca="false">Q52</f>
        <v/>
      </c>
      <c r="R61" s="134" t="str">
        <f aca="false">R52</f>
        <v/>
      </c>
      <c r="S61" s="134" t="str">
        <f aca="false">S52</f>
        <v/>
      </c>
      <c r="T61" s="134" t="str">
        <f aca="false">T52</f>
        <v/>
      </c>
      <c r="U61" s="134" t="str">
        <f aca="false">U52</f>
        <v/>
      </c>
      <c r="V61" s="134" t="str">
        <f aca="false">V52</f>
        <v/>
      </c>
      <c r="W61" s="134" t="str">
        <f aca="false">W52</f>
        <v/>
      </c>
      <c r="X61" s="134" t="str">
        <f aca="false">X52</f>
        <v/>
      </c>
      <c r="Y61" s="134" t="str">
        <f aca="false">Y52</f>
        <v/>
      </c>
      <c r="Z61" s="134" t="str">
        <f aca="false">Z52</f>
        <v/>
      </c>
      <c r="AA61" s="134" t="str">
        <f aca="false">AA52</f>
        <v/>
      </c>
      <c r="AB61" s="134" t="str">
        <f aca="false">AB52</f>
        <v/>
      </c>
      <c r="AC61" s="0" t="str">
        <f aca="false">AC52</f>
        <v/>
      </c>
      <c r="AD61" s="0" t="str">
        <f aca="false">AD52</f>
        <v/>
      </c>
      <c r="AE61" s="0" t="str">
        <f aca="false">AE52</f>
        <v/>
      </c>
      <c r="AF61" s="0" t="str">
        <f aca="false">AF52</f>
        <v/>
      </c>
      <c r="AG61" s="0" t="str">
        <f aca="false">AG52</f>
        <v/>
      </c>
    </row>
    <row r="62" customFormat="false" ht="15" hidden="false" customHeight="false" outlineLevel="0" collapsed="false">
      <c r="B62" s="509" t="n">
        <f aca="false">B53</f>
        <v>43259</v>
      </c>
      <c r="C62" s="521" t="n">
        <f aca="false">C53/$AI53</f>
        <v>0.01007074</v>
      </c>
      <c r="D62" s="522" t="n">
        <f aca="false">D53/$AI53</f>
        <v>0.09996252</v>
      </c>
      <c r="E62" s="522" t="n">
        <f aca="false">E53/$AI53</f>
        <v>0.15001654</v>
      </c>
      <c r="F62" s="522" t="n">
        <f aca="false">F53/$AI53</f>
        <v>0.1499733</v>
      </c>
      <c r="G62" s="522" t="n">
        <f aca="false">G53/$AI53</f>
        <v>0.17500338</v>
      </c>
      <c r="H62" s="522" t="n">
        <f aca="false">H53/$AI53</f>
        <v>0.07496027</v>
      </c>
      <c r="I62" s="522" t="n">
        <f aca="false">I53/$AI53</f>
        <v>0.0500346</v>
      </c>
      <c r="J62" s="522" t="n">
        <f aca="false">J53/$AI53</f>
        <v>0.28997865</v>
      </c>
      <c r="K62" s="522" t="e">
        <f aca="false">K53/$AI53</f>
        <v>#VALUE!</v>
      </c>
      <c r="L62" s="522" t="e">
        <f aca="false">L53/$AI53</f>
        <v>#VALUE!</v>
      </c>
      <c r="M62" s="522" t="e">
        <f aca="false">M53/$AI53</f>
        <v>#VALUE!</v>
      </c>
      <c r="N62" s="522" t="e">
        <f aca="false">N53/$AI53</f>
        <v>#VALUE!</v>
      </c>
      <c r="O62" s="522" t="e">
        <f aca="false">O53/$AI53</f>
        <v>#VALUE!</v>
      </c>
      <c r="P62" s="522" t="e">
        <f aca="false">P53/$AI53</f>
        <v>#VALUE!</v>
      </c>
      <c r="Q62" s="522" t="e">
        <f aca="false">Q53/$AI53</f>
        <v>#VALUE!</v>
      </c>
      <c r="R62" s="522" t="e">
        <f aca="false">R53/$AI53</f>
        <v>#VALUE!</v>
      </c>
      <c r="S62" s="522" t="e">
        <f aca="false">S53/$AI53</f>
        <v>#VALUE!</v>
      </c>
      <c r="T62" s="522" t="e">
        <f aca="false">T53/$AI53</f>
        <v>#VALUE!</v>
      </c>
      <c r="U62" s="522" t="e">
        <f aca="false">U53/$AI53</f>
        <v>#VALUE!</v>
      </c>
      <c r="V62" s="522" t="e">
        <f aca="false">V53/$AI53</f>
        <v>#VALUE!</v>
      </c>
      <c r="W62" s="522" t="e">
        <f aca="false">W53/$AI53</f>
        <v>#VALUE!</v>
      </c>
      <c r="X62" s="522" t="e">
        <f aca="false">X53/$AI53</f>
        <v>#VALUE!</v>
      </c>
      <c r="Y62" s="522" t="e">
        <f aca="false">Y53/$AI53</f>
        <v>#VALUE!</v>
      </c>
      <c r="Z62" s="522" t="e">
        <f aca="false">Z53/$AI53</f>
        <v>#VALUE!</v>
      </c>
      <c r="AA62" s="522" t="e">
        <f aca="false">AA53/$AI53</f>
        <v>#VALUE!</v>
      </c>
      <c r="AB62" s="522" t="e">
        <f aca="false">AB53/$AI53</f>
        <v>#VALUE!</v>
      </c>
      <c r="AC62" s="522" t="e">
        <f aca="false">AC53/$AI53</f>
        <v>#VALUE!</v>
      </c>
      <c r="AD62" s="522" t="e">
        <f aca="false">AD53/$AI53</f>
        <v>#VALUE!</v>
      </c>
      <c r="AE62" s="522" t="e">
        <f aca="false">AE53/$AI53</f>
        <v>#VALUE!</v>
      </c>
      <c r="AF62" s="522" t="e">
        <f aca="false">AF53/$AI53</f>
        <v>#VALUE!</v>
      </c>
      <c r="AG62" s="523" t="e">
        <f aca="false">AG53/$AI53</f>
        <v>#VALUE!</v>
      </c>
    </row>
    <row r="63" customFormat="false" ht="15" hidden="false" customHeight="false" outlineLevel="0" collapsed="false">
      <c r="B63" s="509" t="n">
        <f aca="false">B54</f>
        <v>43266</v>
      </c>
      <c r="C63" s="524" t="n">
        <f aca="false">C54/$AI54</f>
        <v>0.0101044648440271</v>
      </c>
      <c r="D63" s="516" t="n">
        <f aca="false">D54/$AI54</f>
        <v>0.100197916281052</v>
      </c>
      <c r="E63" s="516" t="n">
        <f aca="false">E54/$AI54</f>
        <v>0.14699206478909</v>
      </c>
      <c r="F63" s="516" t="n">
        <f aca="false">F54/$AI54</f>
        <v>0.0502816504781221</v>
      </c>
      <c r="G63" s="516" t="n">
        <f aca="false">G54/$AI54</f>
        <v>0.176510624005114</v>
      </c>
      <c r="H63" s="516" t="n">
        <f aca="false">H54/$AI54</f>
        <v>0.174588755389702</v>
      </c>
      <c r="I63" s="516" t="n">
        <f aca="false">I54/$AI54</f>
        <v>0.0499052403572244</v>
      </c>
      <c r="J63" s="516" t="n">
        <f aca="false">J54/$AI54</f>
        <v>0.291419283855668</v>
      </c>
      <c r="K63" s="516" t="e">
        <f aca="false">K54/$AI54</f>
        <v>#VALUE!</v>
      </c>
      <c r="L63" s="516" t="e">
        <f aca="false">L54/$AI54</f>
        <v>#VALUE!</v>
      </c>
      <c r="M63" s="516" t="e">
        <f aca="false">M54/$AI54</f>
        <v>#VALUE!</v>
      </c>
      <c r="N63" s="516" t="e">
        <f aca="false">N54/$AI54</f>
        <v>#VALUE!</v>
      </c>
      <c r="O63" s="516" t="e">
        <f aca="false">O54/$AI54</f>
        <v>#VALUE!</v>
      </c>
      <c r="P63" s="516" t="e">
        <f aca="false">P54/$AI54</f>
        <v>#VALUE!</v>
      </c>
      <c r="Q63" s="516" t="e">
        <f aca="false">Q54/$AI54</f>
        <v>#VALUE!</v>
      </c>
      <c r="R63" s="516" t="e">
        <f aca="false">R54/$AI54</f>
        <v>#VALUE!</v>
      </c>
      <c r="S63" s="516" t="e">
        <f aca="false">S54/$AI54</f>
        <v>#VALUE!</v>
      </c>
      <c r="T63" s="516" t="e">
        <f aca="false">T54/$AI54</f>
        <v>#VALUE!</v>
      </c>
      <c r="U63" s="516" t="e">
        <f aca="false">U54/$AI54</f>
        <v>#VALUE!</v>
      </c>
      <c r="V63" s="516" t="e">
        <f aca="false">V54/$AI54</f>
        <v>#VALUE!</v>
      </c>
      <c r="W63" s="516" t="e">
        <f aca="false">W54/$AI54</f>
        <v>#VALUE!</v>
      </c>
      <c r="X63" s="516" t="e">
        <f aca="false">X54/$AI54</f>
        <v>#VALUE!</v>
      </c>
      <c r="Y63" s="516" t="e">
        <f aca="false">Y54/$AI54</f>
        <v>#VALUE!</v>
      </c>
      <c r="Z63" s="516" t="e">
        <f aca="false">Z54/$AI54</f>
        <v>#VALUE!</v>
      </c>
      <c r="AA63" s="516" t="e">
        <f aca="false">AA54/$AI54</f>
        <v>#VALUE!</v>
      </c>
      <c r="AB63" s="516" t="e">
        <f aca="false">AB54/$AI54</f>
        <v>#VALUE!</v>
      </c>
      <c r="AC63" s="516" t="e">
        <f aca="false">AC54/$AI54</f>
        <v>#VALUE!</v>
      </c>
      <c r="AD63" s="516" t="e">
        <f aca="false">AD54/$AI54</f>
        <v>#VALUE!</v>
      </c>
      <c r="AE63" s="516" t="e">
        <f aca="false">AE54/$AI54</f>
        <v>#VALUE!</v>
      </c>
      <c r="AF63" s="516" t="e">
        <f aca="false">AF54/$AI54</f>
        <v>#VALUE!</v>
      </c>
      <c r="AG63" s="525" t="e">
        <f aca="false">AG54/$AI54</f>
        <v>#VALUE!</v>
      </c>
    </row>
    <row r="64" customFormat="false" ht="15" hidden="false" customHeight="false" outlineLevel="0" collapsed="false">
      <c r="B64" s="509" t="n">
        <f aca="false">B55</f>
        <v>43273</v>
      </c>
      <c r="C64" s="524" t="n">
        <f aca="false">C55/$AI55</f>
        <v>0.0101877848560928</v>
      </c>
      <c r="D64" s="516" t="n">
        <f aca="false">D55/$AI55</f>
        <v>0.101086796650126</v>
      </c>
      <c r="E64" s="516" t="n">
        <f aca="false">E55/$AI55</f>
        <v>0.143815333207024</v>
      </c>
      <c r="F64" s="516" t="n">
        <f aca="false">F55/$AI55</f>
        <v>0.0491029547598438</v>
      </c>
      <c r="G64" s="516" t="n">
        <f aca="false">G55/$AI55</f>
        <v>0.177532143197692</v>
      </c>
      <c r="H64" s="516" t="n">
        <f aca="false">H55/$AI55</f>
        <v>0.176512411881226</v>
      </c>
      <c r="I64" s="516" t="n">
        <f aca="false">I55/$AI55</f>
        <v>0.051425555835954</v>
      </c>
      <c r="J64" s="516" t="n">
        <f aca="false">J55/$AI55</f>
        <v>0.290337019612041</v>
      </c>
      <c r="K64" s="516" t="e">
        <f aca="false">K55/$AI55</f>
        <v>#VALUE!</v>
      </c>
      <c r="L64" s="516" t="e">
        <f aca="false">L55/$AI55</f>
        <v>#VALUE!</v>
      </c>
      <c r="M64" s="516" t="e">
        <f aca="false">M55/$AI55</f>
        <v>#VALUE!</v>
      </c>
      <c r="N64" s="516" t="e">
        <f aca="false">N55/$AI55</f>
        <v>#VALUE!</v>
      </c>
      <c r="O64" s="516" t="e">
        <f aca="false">O55/$AI55</f>
        <v>#VALUE!</v>
      </c>
      <c r="P64" s="516" t="e">
        <f aca="false">P55/$AI55</f>
        <v>#VALUE!</v>
      </c>
      <c r="Q64" s="516" t="e">
        <f aca="false">Q55/$AI55</f>
        <v>#VALUE!</v>
      </c>
      <c r="R64" s="516" t="e">
        <f aca="false">R55/$AI55</f>
        <v>#VALUE!</v>
      </c>
      <c r="S64" s="516" t="e">
        <f aca="false">S55/$AI55</f>
        <v>#VALUE!</v>
      </c>
      <c r="T64" s="516" t="e">
        <f aca="false">T55/$AI55</f>
        <v>#VALUE!</v>
      </c>
      <c r="U64" s="516" t="e">
        <f aca="false">U55/$AI55</f>
        <v>#VALUE!</v>
      </c>
      <c r="V64" s="516" t="e">
        <f aca="false">V55/$AI55</f>
        <v>#VALUE!</v>
      </c>
      <c r="W64" s="516" t="e">
        <f aca="false">W55/$AI55</f>
        <v>#VALUE!</v>
      </c>
      <c r="X64" s="516" t="e">
        <f aca="false">X55/$AI55</f>
        <v>#VALUE!</v>
      </c>
      <c r="Y64" s="516" t="e">
        <f aca="false">Y55/$AI55</f>
        <v>#VALUE!</v>
      </c>
      <c r="Z64" s="516" t="e">
        <f aca="false">Z55/$AI55</f>
        <v>#VALUE!</v>
      </c>
      <c r="AA64" s="516" t="e">
        <f aca="false">AA55/$AI55</f>
        <v>#VALUE!</v>
      </c>
      <c r="AB64" s="516" t="e">
        <f aca="false">AB55/$AI55</f>
        <v>#VALUE!</v>
      </c>
      <c r="AC64" s="516" t="e">
        <f aca="false">AC55/$AI55</f>
        <v>#VALUE!</v>
      </c>
      <c r="AD64" s="516" t="e">
        <f aca="false">AD55/$AI55</f>
        <v>#VALUE!</v>
      </c>
      <c r="AE64" s="516" t="e">
        <f aca="false">AE55/$AI55</f>
        <v>#VALUE!</v>
      </c>
      <c r="AF64" s="516" t="e">
        <f aca="false">AF55/$AI55</f>
        <v>#VALUE!</v>
      </c>
      <c r="AG64" s="525" t="e">
        <f aca="false">AG55/$AI55</f>
        <v>#VALUE!</v>
      </c>
    </row>
    <row r="65" customFormat="false" ht="15" hidden="false" customHeight="false" outlineLevel="0" collapsed="false">
      <c r="B65" s="509" t="n">
        <f aca="false">B56</f>
        <v>43280</v>
      </c>
      <c r="C65" s="524" t="n">
        <f aca="false">C56/$AI56</f>
        <v>1</v>
      </c>
      <c r="D65" s="516" t="n">
        <f aca="false">D56/$AI56</f>
        <v>0</v>
      </c>
      <c r="E65" s="516" t="n">
        <f aca="false">E56/$AI56</f>
        <v>0</v>
      </c>
      <c r="F65" s="516" t="n">
        <f aca="false">F56/$AI56</f>
        <v>0</v>
      </c>
      <c r="G65" s="516" t="n">
        <f aca="false">G56/$AI56</f>
        <v>0</v>
      </c>
      <c r="H65" s="516" t="n">
        <f aca="false">H56/$AI56</f>
        <v>0</v>
      </c>
      <c r="I65" s="516" t="n">
        <f aca="false">I56/$AI56</f>
        <v>0</v>
      </c>
      <c r="J65" s="516" t="n">
        <f aca="false">J56/$AI56</f>
        <v>0</v>
      </c>
      <c r="K65" s="516" t="e">
        <f aca="false">K56/$AI56</f>
        <v>#VALUE!</v>
      </c>
      <c r="L65" s="516" t="e">
        <f aca="false">L56/$AI56</f>
        <v>#VALUE!</v>
      </c>
      <c r="M65" s="516" t="e">
        <f aca="false">M56/$AI56</f>
        <v>#VALUE!</v>
      </c>
      <c r="N65" s="516" t="e">
        <f aca="false">N56/$AI56</f>
        <v>#VALUE!</v>
      </c>
      <c r="O65" s="516" t="e">
        <f aca="false">O56/$AI56</f>
        <v>#VALUE!</v>
      </c>
      <c r="P65" s="516" t="e">
        <f aca="false">P56/$AI56</f>
        <v>#VALUE!</v>
      </c>
      <c r="Q65" s="516" t="e">
        <f aca="false">Q56/$AI56</f>
        <v>#VALUE!</v>
      </c>
      <c r="R65" s="516" t="e">
        <f aca="false">R56/$AI56</f>
        <v>#VALUE!</v>
      </c>
      <c r="S65" s="516" t="e">
        <f aca="false">S56/$AI56</f>
        <v>#VALUE!</v>
      </c>
      <c r="T65" s="516" t="e">
        <f aca="false">T56/$AI56</f>
        <v>#VALUE!</v>
      </c>
      <c r="U65" s="516" t="e">
        <f aca="false">U56/$AI56</f>
        <v>#VALUE!</v>
      </c>
      <c r="V65" s="516" t="e">
        <f aca="false">V56/$AI56</f>
        <v>#VALUE!</v>
      </c>
      <c r="W65" s="516" t="e">
        <f aca="false">W56/$AI56</f>
        <v>#VALUE!</v>
      </c>
      <c r="X65" s="516" t="e">
        <f aca="false">X56/$AI56</f>
        <v>#VALUE!</v>
      </c>
      <c r="Y65" s="516" t="e">
        <f aca="false">Y56/$AI56</f>
        <v>#VALUE!</v>
      </c>
      <c r="Z65" s="516" t="e">
        <f aca="false">Z56/$AI56</f>
        <v>#VALUE!</v>
      </c>
      <c r="AA65" s="516" t="e">
        <f aca="false">AA56/$AI56</f>
        <v>#VALUE!</v>
      </c>
      <c r="AB65" s="516" t="e">
        <f aca="false">AB56/$AI56</f>
        <v>#VALUE!</v>
      </c>
      <c r="AC65" s="516" t="e">
        <f aca="false">AC56/$AI56</f>
        <v>#VALUE!</v>
      </c>
      <c r="AD65" s="516" t="e">
        <f aca="false">AD56/$AI56</f>
        <v>#VALUE!</v>
      </c>
      <c r="AE65" s="516" t="e">
        <f aca="false">AE56/$AI56</f>
        <v>#VALUE!</v>
      </c>
      <c r="AF65" s="516" t="e">
        <f aca="false">AF56/$AI56</f>
        <v>#VALUE!</v>
      </c>
      <c r="AG65" s="525" t="e">
        <f aca="false">AG56/$AI56</f>
        <v>#VALUE!</v>
      </c>
    </row>
    <row r="66" customFormat="false" ht="15" hidden="false" customHeight="false" outlineLevel="0" collapsed="false">
      <c r="B66" s="509" t="n">
        <f aca="false">B57</f>
        <v>43287</v>
      </c>
      <c r="C66" s="524" t="n">
        <f aca="false">C57/$AI57</f>
        <v>1</v>
      </c>
      <c r="D66" s="516" t="n">
        <f aca="false">D57/$AI57</f>
        <v>0</v>
      </c>
      <c r="E66" s="516" t="n">
        <f aca="false">E57/$AI57</f>
        <v>0</v>
      </c>
      <c r="F66" s="516" t="n">
        <f aca="false">F57/$AI57</f>
        <v>0</v>
      </c>
      <c r="G66" s="516" t="n">
        <f aca="false">G57/$AI57</f>
        <v>0</v>
      </c>
      <c r="H66" s="516" t="n">
        <f aca="false">H57/$AI57</f>
        <v>0</v>
      </c>
      <c r="I66" s="516" t="n">
        <f aca="false">I57/$AI57</f>
        <v>0</v>
      </c>
      <c r="J66" s="516" t="n">
        <f aca="false">J57/$AI57</f>
        <v>0</v>
      </c>
      <c r="K66" s="516" t="e">
        <f aca="false">K57/$AI57</f>
        <v>#VALUE!</v>
      </c>
      <c r="L66" s="516" t="e">
        <f aca="false">L57/$AI57</f>
        <v>#VALUE!</v>
      </c>
      <c r="M66" s="516" t="e">
        <f aca="false">M57/$AI57</f>
        <v>#VALUE!</v>
      </c>
      <c r="N66" s="516" t="e">
        <f aca="false">N57/$AI57</f>
        <v>#VALUE!</v>
      </c>
      <c r="O66" s="516" t="e">
        <f aca="false">O57/$AI57</f>
        <v>#VALUE!</v>
      </c>
      <c r="P66" s="516" t="e">
        <f aca="false">P57/$AI57</f>
        <v>#VALUE!</v>
      </c>
      <c r="Q66" s="516" t="e">
        <f aca="false">Q57/$AI57</f>
        <v>#VALUE!</v>
      </c>
      <c r="R66" s="516" t="e">
        <f aca="false">R57/$AI57</f>
        <v>#VALUE!</v>
      </c>
      <c r="S66" s="516" t="e">
        <f aca="false">S57/$AI57</f>
        <v>#VALUE!</v>
      </c>
      <c r="T66" s="516" t="e">
        <f aca="false">T57/$AI57</f>
        <v>#VALUE!</v>
      </c>
      <c r="U66" s="516" t="e">
        <f aca="false">U57/$AI57</f>
        <v>#VALUE!</v>
      </c>
      <c r="V66" s="516" t="e">
        <f aca="false">V57/$AI57</f>
        <v>#VALUE!</v>
      </c>
      <c r="W66" s="516" t="e">
        <f aca="false">W57/$AI57</f>
        <v>#VALUE!</v>
      </c>
      <c r="X66" s="516" t="e">
        <f aca="false">X57/$AI57</f>
        <v>#VALUE!</v>
      </c>
      <c r="Y66" s="516" t="e">
        <f aca="false">Y57/$AI57</f>
        <v>#VALUE!</v>
      </c>
      <c r="Z66" s="516" t="e">
        <f aca="false">Z57/$AI57</f>
        <v>#VALUE!</v>
      </c>
      <c r="AA66" s="516" t="e">
        <f aca="false">AA57/$AI57</f>
        <v>#VALUE!</v>
      </c>
      <c r="AB66" s="516" t="e">
        <f aca="false">AB57/$AI57</f>
        <v>#VALUE!</v>
      </c>
      <c r="AC66" s="516" t="e">
        <f aca="false">AC57/$AI57</f>
        <v>#VALUE!</v>
      </c>
      <c r="AD66" s="516" t="e">
        <f aca="false">AD57/$AI57</f>
        <v>#VALUE!</v>
      </c>
      <c r="AE66" s="516" t="e">
        <f aca="false">AE57/$AI57</f>
        <v>#VALUE!</v>
      </c>
      <c r="AF66" s="516" t="e">
        <f aca="false">AF57/$AI57</f>
        <v>#VALUE!</v>
      </c>
      <c r="AG66" s="525" t="e">
        <f aca="false">AG57/$AI57</f>
        <v>#VALUE!</v>
      </c>
    </row>
    <row r="67" customFormat="false" ht="15" hidden="false" customHeight="false" outlineLevel="0" collapsed="false">
      <c r="B67" s="509" t="n">
        <f aca="false">B58</f>
        <v>43294</v>
      </c>
      <c r="C67" s="526" t="n">
        <f aca="false">C58/$AI58</f>
        <v>1</v>
      </c>
      <c r="D67" s="527" t="n">
        <f aca="false">D58/$AI58</f>
        <v>0</v>
      </c>
      <c r="E67" s="527" t="n">
        <f aca="false">E58/$AI58</f>
        <v>0</v>
      </c>
      <c r="F67" s="527" t="n">
        <f aca="false">F58/$AI58</f>
        <v>0</v>
      </c>
      <c r="G67" s="527" t="n">
        <f aca="false">G58/$AI58</f>
        <v>0</v>
      </c>
      <c r="H67" s="527" t="n">
        <f aca="false">H58/$AI58</f>
        <v>0</v>
      </c>
      <c r="I67" s="527" t="n">
        <f aca="false">I58/$AI58</f>
        <v>0</v>
      </c>
      <c r="J67" s="527" t="n">
        <f aca="false">J58/$AI58</f>
        <v>0</v>
      </c>
      <c r="K67" s="527" t="e">
        <f aca="false">K58/$AI58</f>
        <v>#VALUE!</v>
      </c>
      <c r="L67" s="527" t="e">
        <f aca="false">L58/$AI58</f>
        <v>#VALUE!</v>
      </c>
      <c r="M67" s="527" t="e">
        <f aca="false">M58/$AI58</f>
        <v>#VALUE!</v>
      </c>
      <c r="N67" s="527" t="e">
        <f aca="false">N58/$AI58</f>
        <v>#VALUE!</v>
      </c>
      <c r="O67" s="527" t="e">
        <f aca="false">O58/$AI58</f>
        <v>#VALUE!</v>
      </c>
      <c r="P67" s="527" t="e">
        <f aca="false">P58/$AI58</f>
        <v>#VALUE!</v>
      </c>
      <c r="Q67" s="527" t="e">
        <f aca="false">Q58/$AI58</f>
        <v>#VALUE!</v>
      </c>
      <c r="R67" s="527" t="e">
        <f aca="false">R58/$AI58</f>
        <v>#VALUE!</v>
      </c>
      <c r="S67" s="527" t="e">
        <f aca="false">S58/$AI58</f>
        <v>#VALUE!</v>
      </c>
      <c r="T67" s="527" t="e">
        <f aca="false">T58/$AI58</f>
        <v>#VALUE!</v>
      </c>
      <c r="U67" s="527" t="e">
        <f aca="false">U58/$AI58</f>
        <v>#VALUE!</v>
      </c>
      <c r="V67" s="527" t="e">
        <f aca="false">V58/$AI58</f>
        <v>#VALUE!</v>
      </c>
      <c r="W67" s="527" t="e">
        <f aca="false">W58/$AI58</f>
        <v>#VALUE!</v>
      </c>
      <c r="X67" s="527" t="e">
        <f aca="false">X58/$AI58</f>
        <v>#VALUE!</v>
      </c>
      <c r="Y67" s="527" t="e">
        <f aca="false">Y58/$AI58</f>
        <v>#VALUE!</v>
      </c>
      <c r="Z67" s="527" t="e">
        <f aca="false">Z58/$AI58</f>
        <v>#VALUE!</v>
      </c>
      <c r="AA67" s="527" t="e">
        <f aca="false">AA58/$AI58</f>
        <v>#VALUE!</v>
      </c>
      <c r="AB67" s="527" t="e">
        <f aca="false">AB58/$AI58</f>
        <v>#VALUE!</v>
      </c>
      <c r="AC67" s="527" t="e">
        <f aca="false">AC58/$AI58</f>
        <v>#VALUE!</v>
      </c>
      <c r="AD67" s="527" t="e">
        <f aca="false">AD58/$AI58</f>
        <v>#VALUE!</v>
      </c>
      <c r="AE67" s="527" t="e">
        <f aca="false">AE58/$AI58</f>
        <v>#VALUE!</v>
      </c>
      <c r="AF67" s="527" t="e">
        <f aca="false">AF58/$AI58</f>
        <v>#VALUE!</v>
      </c>
      <c r="AG67" s="528" t="e">
        <f aca="false">AG58/$AI58</f>
        <v>#VALUE!</v>
      </c>
    </row>
    <row r="68" customFormat="false" ht="15" hidden="false" customHeight="false" outlineLevel="0" collapsed="false">
      <c r="B68" s="509" t="s">
        <v>478</v>
      </c>
      <c r="C68" s="516" t="n">
        <f aca="false">AVERAGE(C62:C67)</f>
        <v>0.505060498283353</v>
      </c>
      <c r="D68" s="516" t="n">
        <f aca="false">AVERAGE(D62:D67)</f>
        <v>0.0502078721551963</v>
      </c>
      <c r="E68" s="516" t="n">
        <f aca="false">AVERAGE(E62:E67)</f>
        <v>0.0734706563326858</v>
      </c>
      <c r="F68" s="516" t="n">
        <f aca="false">AVERAGE(F62:F67)</f>
        <v>0.0415596508729943</v>
      </c>
      <c r="G68" s="516" t="n">
        <f aca="false">AVERAGE(G62:G67)</f>
        <v>0.0881743578671344</v>
      </c>
      <c r="H68" s="516" t="n">
        <f aca="false">AVERAGE(H62:H67)</f>
        <v>0.0710102395451548</v>
      </c>
      <c r="I68" s="516" t="n">
        <f aca="false">AVERAGE(I62:I67)</f>
        <v>0.0252275660321964</v>
      </c>
      <c r="J68" s="516" t="n">
        <f aca="false">AVERAGE(J62:J67)</f>
        <v>0.145289158911285</v>
      </c>
      <c r="K68" s="516" t="e">
        <f aca="false">AVERAGE(K62:K67)</f>
        <v>#VALUE!</v>
      </c>
      <c r="L68" s="516" t="e">
        <f aca="false">AVERAGE(L62:L67)</f>
        <v>#VALUE!</v>
      </c>
      <c r="M68" s="516" t="e">
        <f aca="false">AVERAGE(M62:M67)</f>
        <v>#VALUE!</v>
      </c>
      <c r="N68" s="516" t="e">
        <f aca="false">AVERAGE(N62:N67)</f>
        <v>#VALUE!</v>
      </c>
      <c r="O68" s="516" t="e">
        <f aca="false">AVERAGE(O62:O67)</f>
        <v>#VALUE!</v>
      </c>
      <c r="P68" s="516" t="e">
        <f aca="false">AVERAGE(P62:P67)</f>
        <v>#VALUE!</v>
      </c>
      <c r="Q68" s="516" t="e">
        <f aca="false">AVERAGE(Q62:Q67)</f>
        <v>#VALUE!</v>
      </c>
      <c r="R68" s="516" t="e">
        <f aca="false">AVERAGE(R62:R67)</f>
        <v>#VALUE!</v>
      </c>
      <c r="S68" s="516" t="e">
        <f aca="false">AVERAGE(S62:S67)</f>
        <v>#VALUE!</v>
      </c>
      <c r="T68" s="516" t="e">
        <f aca="false">AVERAGE(T62:T67)</f>
        <v>#VALUE!</v>
      </c>
      <c r="U68" s="516" t="e">
        <f aca="false">AVERAGE(U62:U67)</f>
        <v>#VALUE!</v>
      </c>
      <c r="V68" s="516" t="e">
        <f aca="false">AVERAGE(V62:V67)</f>
        <v>#VALUE!</v>
      </c>
      <c r="W68" s="516" t="e">
        <f aca="false">AVERAGE(W62:W67)</f>
        <v>#VALUE!</v>
      </c>
      <c r="X68" s="516" t="e">
        <f aca="false">AVERAGE(X62:X67)</f>
        <v>#VALUE!</v>
      </c>
      <c r="Y68" s="516" t="e">
        <f aca="false">AVERAGE(Y62:Y67)</f>
        <v>#VALUE!</v>
      </c>
      <c r="Z68" s="516" t="e">
        <f aca="false">AVERAGE(Z62:Z67)</f>
        <v>#VALUE!</v>
      </c>
      <c r="AA68" s="516" t="e">
        <f aca="false">AVERAGE(AA62:AA67)</f>
        <v>#VALUE!</v>
      </c>
      <c r="AB68" s="516" t="e">
        <f aca="false">AVERAGE(AB62:AB67)</f>
        <v>#VALUE!</v>
      </c>
      <c r="AC68" s="518" t="e">
        <f aca="false">AVERAGE(AC62:AC67)</f>
        <v>#VALUE!</v>
      </c>
      <c r="AD68" s="518" t="e">
        <f aca="false">AVERAGE(AD62:AD67)</f>
        <v>#VALUE!</v>
      </c>
      <c r="AE68" s="518" t="e">
        <f aca="false">AVERAGE(AE62:AE67)</f>
        <v>#VALUE!</v>
      </c>
      <c r="AF68" s="518" t="e">
        <f aca="false">AVERAGE(AF62:AF67)</f>
        <v>#VALUE!</v>
      </c>
      <c r="AG68" s="518" t="e">
        <f aca="false">AVERAGE(AG62:AG67)</f>
        <v>#VALUE!</v>
      </c>
    </row>
    <row r="69" customFormat="false" ht="15" hidden="false" customHeight="false" outlineLevel="0" collapsed="false">
      <c r="B69" s="509"/>
      <c r="C69" s="518"/>
      <c r="D69" s="518"/>
      <c r="E69" s="518"/>
      <c r="F69" s="518"/>
      <c r="G69" s="518"/>
      <c r="H69" s="518"/>
      <c r="I69" s="518"/>
    </row>
    <row r="73" customFormat="false" ht="15" hidden="false" customHeight="false" outlineLevel="0" collapsed="false">
      <c r="B73" s="172" t="s">
        <v>376</v>
      </c>
      <c r="C73" s="172" t="s">
        <v>479</v>
      </c>
      <c r="D73" s="172" t="s">
        <v>269</v>
      </c>
      <c r="E73" s="172" t="s">
        <v>480</v>
      </c>
      <c r="F73" s="172" t="s">
        <v>481</v>
      </c>
      <c r="G73" s="172" t="s">
        <v>269</v>
      </c>
      <c r="H73" s="172" t="s">
        <v>480</v>
      </c>
    </row>
    <row r="74" customFormat="false" ht="15" hidden="false" customHeight="false" outlineLevel="0" collapsed="false">
      <c r="B74" s="529" t="n">
        <f aca="false" t="array" ref="B74:B79">TRANSPOSE(Dates)</f>
        <v>43259</v>
      </c>
      <c r="C74" s="530" t="n">
        <f aca="false">AI53/1000000</f>
        <v>1</v>
      </c>
      <c r="D74" s="531"/>
      <c r="E74" s="532" t="n">
        <f aca="false">C74-1</f>
        <v>0</v>
      </c>
      <c r="F74" s="530" t="n">
        <f aca="false">Z7</f>
        <v>1</v>
      </c>
      <c r="G74" s="531"/>
      <c r="H74" s="533" t="n">
        <f aca="false">F74-1</f>
        <v>0</v>
      </c>
    </row>
    <row r="75" customFormat="false" ht="15" hidden="false" customHeight="false" outlineLevel="0" collapsed="false">
      <c r="B75" s="534" t="n">
        <v>43266</v>
      </c>
      <c r="C75" s="535" t="n">
        <f aca="false">AI54/1000000</f>
        <v>0.9967851</v>
      </c>
      <c r="D75" s="536" t="n">
        <f aca="false">C75/C74-1</f>
        <v>-0.00321490000000013</v>
      </c>
      <c r="E75" s="536" t="n">
        <f aca="false">C75-1</f>
        <v>-0.00321490000000013</v>
      </c>
      <c r="F75" s="535" t="n">
        <f aca="false">Z8</f>
        <v>0.996785563786455</v>
      </c>
      <c r="G75" s="537" t="n">
        <f aca="false">F75/F74-1</f>
        <v>-0.00321443621354522</v>
      </c>
      <c r="H75" s="538" t="n">
        <f aca="false">F75-1</f>
        <v>-0.00321443621354522</v>
      </c>
    </row>
    <row r="76" customFormat="false" ht="15" hidden="false" customHeight="false" outlineLevel="0" collapsed="false">
      <c r="B76" s="534" t="n">
        <v>43273</v>
      </c>
      <c r="C76" s="535" t="n">
        <f aca="false">AI55/1000000</f>
        <v>0.98863297</v>
      </c>
      <c r="D76" s="536" t="n">
        <f aca="false">C76/C75-1</f>
        <v>-0.00817842281149661</v>
      </c>
      <c r="E76" s="536" t="n">
        <f aca="false">C76-1</f>
        <v>-0.0113670300000001</v>
      </c>
      <c r="F76" s="535" t="n">
        <f aca="false">Z9</f>
        <v>0.985249247067337</v>
      </c>
      <c r="G76" s="537" t="n">
        <f aca="false">F76/F75-1</f>
        <v>-0.0115735190578956</v>
      </c>
      <c r="H76" s="538" t="n">
        <f aca="false">F76-1</f>
        <v>-0.0147507529326629</v>
      </c>
    </row>
    <row r="77" customFormat="false" ht="15" hidden="false" customHeight="false" outlineLevel="0" collapsed="false">
      <c r="B77" s="534" t="n">
        <v>43280</v>
      </c>
      <c r="C77" s="535" t="n">
        <f aca="false">AI56/1000000</f>
        <v>0.01007198</v>
      </c>
      <c r="D77" s="536" t="n">
        <f aca="false">C77/C76-1</f>
        <v>-0.989812215143907</v>
      </c>
      <c r="E77" s="536" t="n">
        <f aca="false">C77-1</f>
        <v>-0.98992802</v>
      </c>
      <c r="F77" s="535" t="n">
        <f aca="false">Z10</f>
        <v>0.01</v>
      </c>
      <c r="G77" s="537" t="n">
        <f aca="false">F77/F76-1</f>
        <v>-0.98985028404765</v>
      </c>
      <c r="H77" s="538" t="n">
        <f aca="false">F77-1</f>
        <v>-0.99</v>
      </c>
    </row>
    <row r="78" customFormat="false" ht="15" hidden="false" customHeight="false" outlineLevel="0" collapsed="false">
      <c r="B78" s="534" t="n">
        <v>43287</v>
      </c>
      <c r="C78" s="535" t="n">
        <f aca="false">AI57/1000000</f>
        <v>0.01007198</v>
      </c>
      <c r="D78" s="536" t="n">
        <f aca="false">C78/C77-1</f>
        <v>0</v>
      </c>
      <c r="E78" s="536" t="n">
        <f aca="false">C78-1</f>
        <v>-0.98992802</v>
      </c>
      <c r="F78" s="535" t="n">
        <f aca="false">Z11</f>
        <v>0.01</v>
      </c>
      <c r="G78" s="537" t="n">
        <f aca="false">F78/F77-1</f>
        <v>0</v>
      </c>
      <c r="H78" s="538" t="n">
        <f aca="false">F78-1</f>
        <v>-0.99</v>
      </c>
    </row>
    <row r="79" customFormat="false" ht="15" hidden="false" customHeight="false" outlineLevel="0" collapsed="false">
      <c r="B79" s="539" t="n">
        <v>43294</v>
      </c>
      <c r="C79" s="540" t="n">
        <f aca="false">AI58/1000000</f>
        <v>0.01007198</v>
      </c>
      <c r="D79" s="541" t="n">
        <f aca="false">C79/C78-1</f>
        <v>0</v>
      </c>
      <c r="E79" s="541" t="n">
        <f aca="false">C79-1</f>
        <v>-0.98992802</v>
      </c>
      <c r="F79" s="540" t="n">
        <f aca="false">Z12</f>
        <v>0.01</v>
      </c>
      <c r="G79" s="542" t="n">
        <f aca="false">F79/F78-1</f>
        <v>0</v>
      </c>
      <c r="H79" s="543" t="n">
        <f aca="false">F79-1</f>
        <v>-0.99</v>
      </c>
    </row>
    <row r="80" customFormat="false" ht="15" hidden="false" customHeight="false" outlineLevel="0" collapsed="false">
      <c r="B80" s="544"/>
      <c r="C80" s="11"/>
      <c r="D80" s="11"/>
      <c r="E80" s="11"/>
      <c r="F80" s="11"/>
      <c r="G80" s="11"/>
      <c r="H80" s="545"/>
    </row>
    <row r="81" customFormat="false" ht="15" hidden="false" customHeight="false" outlineLevel="0" collapsed="false">
      <c r="B81" s="544" t="s">
        <v>482</v>
      </c>
      <c r="C81" s="11"/>
      <c r="D81" s="546" t="n">
        <f aca="false">CORREL(D75:D79,G75:G79)</f>
        <v>0.999994425341211</v>
      </c>
      <c r="E81" s="11"/>
      <c r="F81" s="11"/>
      <c r="G81" s="11"/>
      <c r="H81" s="545"/>
    </row>
    <row r="82" customFormat="false" ht="15" hidden="false" customHeight="false" outlineLevel="0" collapsed="false">
      <c r="B82" s="544" t="s">
        <v>483</v>
      </c>
      <c r="C82" s="11"/>
      <c r="D82" s="547" t="n">
        <f aca="false">_xlfn.COVARIANCE.S(D75:D79,G75:G79)/_xlfn.VAR.S(G75:G79)</f>
        <v>1.00078750753943</v>
      </c>
      <c r="E82" s="11"/>
      <c r="F82" s="11"/>
      <c r="G82" s="11"/>
      <c r="H82" s="545"/>
    </row>
    <row r="83" customFormat="false" ht="15" hidden="false" customHeight="false" outlineLevel="0" collapsed="false">
      <c r="B83" s="548" t="s">
        <v>377</v>
      </c>
      <c r="C83" s="549"/>
      <c r="D83" s="550" t="n">
        <f aca="false">_xlfn.STDEV.S(D75:D79)</f>
        <v>0.441396346151412</v>
      </c>
      <c r="E83" s="549"/>
      <c r="F83" s="549"/>
      <c r="G83" s="549"/>
      <c r="H83" s="55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sheetPr filterMode="false">
    <pageSetUpPr fitToPage="false"/>
  </sheetPr>
  <dimension ref="A1:Z79"/>
  <sheetViews>
    <sheetView showFormulas="false" showGridLines="true" showRowColHeaders="true" showZeros="true" rightToLeft="false" tabSelected="false" showOutlineSymbols="true" defaultGridColor="true" view="normal" topLeftCell="C55" colorId="64" zoomScale="80" zoomScaleNormal="80" zoomScalePageLayoutView="100" workbookViewId="0">
      <selection pane="topLeft" activeCell="AA21" activeCellId="0" sqref="AA21"/>
    </sheetView>
  </sheetViews>
  <sheetFormatPr defaultRowHeight="15" zeroHeight="false" outlineLevelRow="0" outlineLevelCol="0"/>
  <cols>
    <col collapsed="false" customWidth="true" hidden="false" outlineLevel="0" max="1" min="1" style="0" width="2.99"/>
    <col collapsed="false" customWidth="true" hidden="false" outlineLevel="0" max="2" min="2" style="0" width="17.29"/>
    <col collapsed="false" customWidth="true" hidden="false" outlineLevel="0" max="3" min="3" style="0" width="14.15"/>
    <col collapsed="false" customWidth="true" hidden="false" outlineLevel="0" max="4" min="4" style="0" width="12.29"/>
    <col collapsed="false" customWidth="true" hidden="false" outlineLevel="0" max="5" min="5" style="0" width="14.43"/>
    <col collapsed="false" customWidth="true" hidden="false" outlineLevel="0" max="6" min="6" style="0" width="8.86"/>
    <col collapsed="false" customWidth="true" hidden="false" outlineLevel="0" max="7" min="7" style="0" width="16"/>
    <col collapsed="false" customWidth="true" hidden="false" outlineLevel="0" max="8" min="8" style="0" width="12.29"/>
    <col collapsed="false" customWidth="true" hidden="false" outlineLevel="0" max="9" min="9" style="0" width="14.43"/>
    <col collapsed="false" customWidth="true" hidden="false" outlineLevel="0" max="10" min="10" style="0" width="8.86"/>
    <col collapsed="false" customWidth="true" hidden="false" outlineLevel="0" max="11" min="11" style="0" width="16"/>
    <col collapsed="false" customWidth="true" hidden="false" outlineLevel="0" max="12" min="12" style="0" width="15.15"/>
    <col collapsed="false" customWidth="true" hidden="false" outlineLevel="0" max="13" min="13" style="0" width="14.43"/>
    <col collapsed="false" customWidth="true" hidden="false" outlineLevel="0" max="14" min="14" style="0" width="8.14"/>
    <col collapsed="false" customWidth="true" hidden="false" outlineLevel="0" max="15" min="15" style="0" width="16"/>
    <col collapsed="false" customWidth="true" hidden="false" outlineLevel="0" max="16" min="16" style="0" width="12.29"/>
    <col collapsed="false" customWidth="true" hidden="false" outlineLevel="0" max="17" min="17" style="0" width="14.43"/>
    <col collapsed="false" customWidth="true" hidden="false" outlineLevel="0" max="18" min="18" style="0" width="8.14"/>
    <col collapsed="false" customWidth="true" hidden="false" outlineLevel="0" max="19" min="19" style="0" width="16"/>
    <col collapsed="false" customWidth="true" hidden="false" outlineLevel="0" max="20" min="20" style="0" width="12.29"/>
    <col collapsed="false" customWidth="true" hidden="false" outlineLevel="0" max="21" min="21" style="0" width="15.15"/>
    <col collapsed="false" customWidth="true" hidden="false" outlineLevel="0" max="22" min="22" style="0" width="8.14"/>
    <col collapsed="false" customWidth="true" hidden="false" outlineLevel="0" max="23" min="23" style="0" width="16"/>
    <col collapsed="false" customWidth="true" hidden="false" outlineLevel="0" max="24" min="24" style="0" width="12.29"/>
    <col collapsed="false" customWidth="true" hidden="false" outlineLevel="0" max="25" min="25" style="0" width="15.15"/>
    <col collapsed="false" customWidth="true" hidden="false" outlineLevel="0" max="26" min="26" style="0" width="8.14"/>
    <col collapsed="false" customWidth="true" hidden="false" outlineLevel="0" max="1025" min="27" style="0" width="8.54"/>
  </cols>
  <sheetData>
    <row r="1" customFormat="false" ht="18.75" hidden="false" customHeight="false" outlineLevel="0" collapsed="false">
      <c r="A1" s="136" t="s">
        <v>484</v>
      </c>
    </row>
    <row r="2" customFormat="false" ht="18.75" hidden="false" customHeight="false" outlineLevel="0" collapsed="false">
      <c r="A2" s="136"/>
    </row>
    <row r="3" customFormat="false" ht="15" hidden="false" customHeight="false" outlineLevel="0" collapsed="false">
      <c r="C3" s="0" t="s">
        <v>410</v>
      </c>
      <c r="G3" s="0" t="s">
        <v>347</v>
      </c>
      <c r="K3" s="0" t="s">
        <v>348</v>
      </c>
      <c r="O3" s="0" t="s">
        <v>349</v>
      </c>
      <c r="S3" s="0" t="s">
        <v>350</v>
      </c>
      <c r="W3" s="0" t="s">
        <v>351</v>
      </c>
    </row>
    <row r="4" customFormat="false" ht="15" hidden="false" customHeight="false" outlineLevel="0" collapsed="false">
      <c r="C4" s="552" t="n">
        <f aca="false">'Price Inputs'!E4</f>
        <v>43259</v>
      </c>
      <c r="E4" s="509"/>
      <c r="F4" s="509"/>
      <c r="G4" s="509" t="n">
        <f aca="false">C4+7</f>
        <v>43266</v>
      </c>
      <c r="I4" s="509"/>
      <c r="J4" s="509"/>
      <c r="K4" s="509" t="n">
        <f aca="false">G4+7</f>
        <v>43273</v>
      </c>
      <c r="M4" s="509"/>
      <c r="N4" s="509"/>
      <c r="O4" s="509" t="n">
        <f aca="false">K4+7</f>
        <v>43280</v>
      </c>
      <c r="Q4" s="509"/>
      <c r="R4" s="509"/>
      <c r="S4" s="509" t="n">
        <f aca="false">O4+7</f>
        <v>43287</v>
      </c>
      <c r="V4" s="509"/>
      <c r="W4" s="509" t="n">
        <f aca="false">S4+7</f>
        <v>43294</v>
      </c>
      <c r="Y4" s="509"/>
      <c r="Z4" s="509"/>
    </row>
    <row r="5" customFormat="false" ht="15" hidden="false" customHeight="false" outlineLevel="0" collapsed="false">
      <c r="B5" s="509" t="s">
        <v>485</v>
      </c>
      <c r="C5" s="553" t="n">
        <f aca="false">SUM(E8:E38)</f>
        <v>1000000</v>
      </c>
      <c r="F5" s="509"/>
      <c r="G5" s="553" t="n">
        <f aca="false">SUM(I8:I38)</f>
        <v>996785.1</v>
      </c>
      <c r="I5" s="509"/>
      <c r="J5" s="509"/>
      <c r="K5" s="330" t="n">
        <f aca="false">SUM(M8:M38)</f>
        <v>988632.97</v>
      </c>
      <c r="M5" s="509"/>
      <c r="N5" s="509"/>
      <c r="O5" s="553" t="n">
        <f aca="false">SUM(Q8:Q38)</f>
        <v>10071.98</v>
      </c>
      <c r="Q5" s="509"/>
      <c r="R5" s="509"/>
      <c r="S5" s="553" t="n">
        <f aca="false">SUM(U8:U38)</f>
        <v>10071.98</v>
      </c>
      <c r="W5" s="553" t="n">
        <f aca="false">SUM(Y8:Y38)</f>
        <v>10071.98</v>
      </c>
    </row>
    <row r="6" customFormat="false" ht="15" hidden="false" customHeight="false" outlineLevel="0" collapsed="false">
      <c r="C6" s="554" t="s">
        <v>394</v>
      </c>
      <c r="D6" s="555" t="s">
        <v>405</v>
      </c>
      <c r="E6" s="555" t="s">
        <v>423</v>
      </c>
      <c r="F6" s="178" t="s">
        <v>267</v>
      </c>
      <c r="G6" s="556" t="str">
        <f aca="false">C6</f>
        <v># of Shares</v>
      </c>
      <c r="H6" s="557" t="str">
        <f aca="false">D6</f>
        <v>Price</v>
      </c>
      <c r="I6" s="557" t="str">
        <f aca="false">E6</f>
        <v>Market Value</v>
      </c>
      <c r="J6" s="558" t="str">
        <f aca="false">F6</f>
        <v>Weight</v>
      </c>
      <c r="K6" s="554" t="str">
        <f aca="false">G6</f>
        <v># of Shares</v>
      </c>
      <c r="L6" s="555" t="str">
        <f aca="false">H6</f>
        <v>Price</v>
      </c>
      <c r="M6" s="555" t="str">
        <f aca="false">I6</f>
        <v>Market Value</v>
      </c>
      <c r="N6" s="178" t="str">
        <f aca="false">J6</f>
        <v>Weight</v>
      </c>
      <c r="O6" s="559" t="str">
        <f aca="false">K6</f>
        <v># of Shares</v>
      </c>
      <c r="P6" s="559" t="str">
        <f aca="false">L6</f>
        <v>Price</v>
      </c>
      <c r="Q6" s="559" t="str">
        <f aca="false">M6</f>
        <v>Market Value</v>
      </c>
      <c r="R6" s="559" t="str">
        <f aca="false">N6</f>
        <v>Weight</v>
      </c>
      <c r="S6" s="554" t="str">
        <f aca="false">O6</f>
        <v># of Shares</v>
      </c>
      <c r="T6" s="555" t="str">
        <f aca="false">P6</f>
        <v>Price</v>
      </c>
      <c r="U6" s="555" t="str">
        <f aca="false">Q6</f>
        <v>Market Value</v>
      </c>
      <c r="V6" s="178" t="str">
        <f aca="false">R6</f>
        <v>Weight</v>
      </c>
      <c r="W6" s="556" t="str">
        <f aca="false">S6</f>
        <v># of Shares</v>
      </c>
      <c r="X6" s="557" t="str">
        <f aca="false">T6</f>
        <v>Price</v>
      </c>
      <c r="Y6" s="557" t="str">
        <f aca="false">U6</f>
        <v>Market Value</v>
      </c>
      <c r="Z6" s="558" t="str">
        <f aca="false">V6</f>
        <v>Weight</v>
      </c>
    </row>
    <row r="7" customFormat="false" ht="15" hidden="false" customHeight="false" outlineLevel="0" collapsed="false">
      <c r="B7" s="0" t="s">
        <v>418</v>
      </c>
      <c r="C7" s="544"/>
      <c r="D7" s="11"/>
      <c r="E7" s="11"/>
      <c r="F7" s="545"/>
      <c r="G7" s="560"/>
      <c r="H7" s="469"/>
      <c r="I7" s="469"/>
      <c r="J7" s="561"/>
      <c r="K7" s="544"/>
      <c r="L7" s="11"/>
      <c r="M7" s="11"/>
      <c r="N7" s="545"/>
      <c r="O7" s="559"/>
      <c r="P7" s="559"/>
      <c r="Q7" s="559"/>
      <c r="R7" s="559"/>
      <c r="S7" s="544"/>
      <c r="T7" s="11"/>
      <c r="U7" s="11"/>
      <c r="V7" s="545"/>
      <c r="W7" s="560"/>
      <c r="X7" s="469"/>
      <c r="Y7" s="469"/>
      <c r="Z7" s="561"/>
    </row>
    <row r="8" customFormat="false" ht="15" hidden="false" customHeight="false" outlineLevel="0" collapsed="false">
      <c r="A8" s="0" t="n">
        <v>1</v>
      </c>
      <c r="B8" s="0" t="str">
        <f aca="false">'Current Portfolio'!$D$10</f>
        <v>Cash</v>
      </c>
      <c r="C8" s="562" t="n">
        <f aca="false">Initial_Cash+Extra_Cash+SUMIFS(Trades!$O$9:$O$17,Trades!$K$9:$K$17,"&lt;="&amp;HLOOKUP(C3,'Portfolio Bucket'!$D$1:$I$2,2,0))+SUMIFS(Trades!$O$32:$O$59,Trades!$K$32:$K$59,"&lt;="&amp;HLOOKUP(C3,'Portfolio Bucket'!$D$1:$I$2,2,0))+SUMIFS(Trades!$O$32:$O$59,Trades!$M$32:$M$59,"&lt;="&amp;HLOOKUP(C3,'Portfolio Bucket'!$D$1:$I$2,2,0))</f>
        <v>10070.74</v>
      </c>
      <c r="D8" s="563" t="n">
        <v>1</v>
      </c>
      <c r="E8" s="564" t="n">
        <f aca="false">C8*D8</f>
        <v>10070.74</v>
      </c>
      <c r="F8" s="565" t="n">
        <f aca="false">IF($B8="",0,E8/$C$5)</f>
        <v>0.01007074</v>
      </c>
      <c r="G8" s="562" t="n">
        <f aca="false">Initial_Cash+Extra_Cash+SUMIFS(Trades!$O$9:$O$17,Trades!$K$9:$K$17,"&lt;="&amp;HLOOKUP(G3,'Portfolio Bucket'!$D$1:$I$2,2,0))+SUMIFS(Trades!$O$32:$O$59,Trades!$K$32:$K$59,"&lt;="&amp;HLOOKUP(G3,'Portfolio Bucket'!$D$1:$I$2,2,0))+SUMIFS(Trades!$O$32:$O$59,Trades!$M$32:$M$59,"&lt;="&amp;HLOOKUP(G3,'Portfolio Bucket'!$D$1:$I$2,2,0))</f>
        <v>10071.98</v>
      </c>
      <c r="H8" s="566" t="n">
        <v>1</v>
      </c>
      <c r="I8" s="567" t="n">
        <f aca="false">G8*H8</f>
        <v>10071.98</v>
      </c>
      <c r="J8" s="568" t="n">
        <f aca="false">IF($B8="",0,I8/$G$5)</f>
        <v>0.0101044648440271</v>
      </c>
      <c r="K8" s="569" t="n">
        <f aca="false">Initial_Cash+Extra_Cash+SUMIFS(Trades!$O$9:$O$17,Trades!$K$9:$K$17,"&lt;="&amp;HLOOKUP(K3,'Portfolio Bucket'!$D$1:$I$2,2,0))+SUMIFS(Trades!$O$32:$O$59,Trades!$K$32:$K$59,"&lt;="&amp;HLOOKUP(K3,'Portfolio Bucket'!$D$1:$I$2,2,0))+SUMIFS(Trades!$O$32:$O$59,Trades!$M$32:$M$59,"&lt;="&amp;HLOOKUP(K3,'Portfolio Bucket'!$D$1:$I$2,2,0))</f>
        <v>10071.98</v>
      </c>
      <c r="L8" s="563" t="n">
        <v>1</v>
      </c>
      <c r="M8" s="564" t="n">
        <f aca="false">K8*L8</f>
        <v>10071.98</v>
      </c>
      <c r="N8" s="570" t="n">
        <f aca="false">IF($B8="",0,M8/$K$5)</f>
        <v>0.0101877848560928</v>
      </c>
      <c r="O8" s="569" t="n">
        <f aca="false">Initial_Cash+Extra_Cash+SUMIFS(Trades!$O$9:$O$17,Trades!$K$9:$K$17,"&lt;="&amp;HLOOKUP(O3,'Portfolio Bucket'!$D$1:$I$2,2,0))+SUMIFS(Trades!$O$32:$O$59,Trades!$K$32:$K$59,"&lt;="&amp;HLOOKUP(O3,'Portfolio Bucket'!$D$1:$I$2,2,0))+SUMIFS(Trades!$O$32:$O$59,Trades!$M$32:$M$59,"&lt;="&amp;HLOOKUP(O3,'Portfolio Bucket'!$D$1:$I$2,2,0))</f>
        <v>10071.98</v>
      </c>
      <c r="P8" s="566" t="n">
        <v>1</v>
      </c>
      <c r="Q8" s="567" t="n">
        <f aca="false">O8*P8</f>
        <v>10071.98</v>
      </c>
      <c r="R8" s="571" t="n">
        <f aca="false">IF($B8="",0,Q8/$O$5)</f>
        <v>1</v>
      </c>
      <c r="S8" s="569" t="n">
        <f aca="false">Initial_Cash+Extra_Cash+SUMIFS(Trades!$O$9:$O$17,Trades!$K$9:$K$17,"&lt;="&amp;HLOOKUP(S3,'Portfolio Bucket'!$D$1:$I$2,2,0))+SUMIFS(Trades!$O$32:$O$59,Trades!$K$32:$K$59,"&lt;="&amp;HLOOKUP(S3,'Portfolio Bucket'!$D$1:$I$2,2,0))+SUMIFS(Trades!$O$32:$O$59,Trades!$M$32:$M$59,"&lt;="&amp;HLOOKUP(S3,'Portfolio Bucket'!$D$1:$I$2,2,0))</f>
        <v>10071.98</v>
      </c>
      <c r="T8" s="563" t="n">
        <v>1</v>
      </c>
      <c r="U8" s="564" t="n">
        <f aca="false">S8*T8</f>
        <v>10071.98</v>
      </c>
      <c r="V8" s="570" t="n">
        <f aca="false">IF($B8="",0,U8/$S$5)</f>
        <v>1</v>
      </c>
      <c r="W8" s="572" t="n">
        <f aca="false">Initial_Cash+Extra_Cash+SUMIFS(Trades!$O$9:$O$17,Trades!$K$9:$K$17,"&lt;="&amp;HLOOKUP(W3,'Portfolio Bucket'!$D$1:$I$2,2,0))+SUMIFS(Trades!$O$32:$O$59,Trades!$K$32:$K$59,"&lt;="&amp;HLOOKUP(W3,'Portfolio Bucket'!$D$1:$I$2,2,0))+SUMIFS(Trades!$O$32:$O$59,Trades!$M$32:$M$59,"&lt;="&amp;HLOOKUP(W3,'Portfolio Bucket'!$D$1:$I$2,2,0))</f>
        <v>10071.98</v>
      </c>
      <c r="X8" s="566" t="n">
        <v>1</v>
      </c>
      <c r="Y8" s="567" t="n">
        <f aca="false">W8*X8</f>
        <v>10071.98</v>
      </c>
      <c r="Z8" s="568" t="n">
        <f aca="false">IF($B8="",0,Y8/$W$5)</f>
        <v>1</v>
      </c>
    </row>
    <row r="9" customFormat="false" ht="15" hidden="false" customHeight="false" outlineLevel="0" collapsed="false">
      <c r="A9" s="0" t="n">
        <v>2</v>
      </c>
      <c r="B9" s="0" t="str">
        <f aca="false">'Current Portfolio'!C11</f>
        <v>BIV</v>
      </c>
      <c r="C9" s="562" t="n">
        <f aca="false">IF(B9="","",INDEX('Portfolio Bucket'!$C$2:$I$69,MATCH(B9,'Portfolio Bucket'!$C$2:$C$69,0),MATCH($C$4,'Portfolio Bucket'!$C$2:$I$2,0)))</f>
        <v>1239</v>
      </c>
      <c r="D9" s="563" t="n">
        <f aca="false">INDEX('Price Inputs'!$C$4:$J$49,MATCH($B9,'Price Inputs'!$C$4:$C$49,0),MATCH(C$4,'Price Inputs'!$C$4:$J$4,0))</f>
        <v>80.68</v>
      </c>
      <c r="E9" s="564" t="n">
        <f aca="false">IF($B9="","",C9*D9)</f>
        <v>99962.52</v>
      </c>
      <c r="F9" s="565" t="n">
        <f aca="false">IF($B9="",0,E9/$C$5)</f>
        <v>0.09996252</v>
      </c>
      <c r="G9" s="573" t="n">
        <f aca="false">IF($B9="","",INDEX('Portfolio Bucket'!$C$2:$I$69,MATCH($B9,'Portfolio Bucket'!$C$2:$C$69,0),MATCH($G$4,'Portfolio Bucket'!$C$2:$I$2,0)))</f>
        <v>1239</v>
      </c>
      <c r="H9" s="566" t="n">
        <f aca="false">INDEX('Price Inputs'!$C$4:$J$49,MATCH($B9,'Price Inputs'!$C$4:$C$49,0),MATCH(G$4,'Price Inputs'!$C$4:$J$4,0))</f>
        <v>80.61</v>
      </c>
      <c r="I9" s="567" t="n">
        <f aca="false">IF($B9="","",G9*H9)</f>
        <v>99875.79</v>
      </c>
      <c r="J9" s="568" t="n">
        <f aca="false">IF($B9="",0,I9/$G$5)</f>
        <v>0.100197916281052</v>
      </c>
      <c r="K9" s="569" t="n">
        <f aca="false">IF($B9="","",INDEX('Portfolio Bucket'!$C$2:$I$69,MATCH($B9,'Portfolio Bucket'!$C$2:$C$69,0),MATCH($K$4,'Portfolio Bucket'!$C$2:$I$2,0)))</f>
        <v>1239</v>
      </c>
      <c r="L9" s="563" t="n">
        <f aca="false">INDEX('Price Inputs'!$C$4:$J$49,MATCH($B9,'Price Inputs'!$C$4:$C$49,0),MATCH(K$4,'Price Inputs'!$C$4:$J$4,0))</f>
        <v>80.66</v>
      </c>
      <c r="M9" s="564" t="n">
        <f aca="false">IF($B9="","",K9*L9)</f>
        <v>99937.74</v>
      </c>
      <c r="N9" s="570" t="n">
        <f aca="false">IF($B9="",0,M9/$K$5)</f>
        <v>0.101086796650126</v>
      </c>
      <c r="O9" s="573" t="n">
        <f aca="false">IF($B9="","",INDEX('Portfolio Bucket'!$C$2:$I$69,MATCH($B9,'Portfolio Bucket'!$C$2:$C$69,0),MATCH($O$4,'Portfolio Bucket'!$C$2:$I$2,0)))</f>
        <v>1239</v>
      </c>
      <c r="P9" s="566" t="n">
        <f aca="false">INDEX('Price Inputs'!$C$4:$J$49,MATCH($B9,'Price Inputs'!$C$4:$C$49,0),MATCH(O$4,'Price Inputs'!$C$4:$J$4,0))</f>
        <v>0</v>
      </c>
      <c r="Q9" s="567" t="n">
        <f aca="false">IF($B9="","",O9*P9)</f>
        <v>0</v>
      </c>
      <c r="R9" s="571" t="n">
        <f aca="false">IF($B9="",0,Q9/$O$5)</f>
        <v>0</v>
      </c>
      <c r="S9" s="569" t="n">
        <f aca="false">IF($B9="","",INDEX('Portfolio Bucket'!$C$2:$I$69,MATCH($B9,'Portfolio Bucket'!$C$2:$C$69,0),MATCH($S$4,'Portfolio Bucket'!$C$2:$I$2,0)))</f>
        <v>1239</v>
      </c>
      <c r="T9" s="563" t="n">
        <f aca="false">INDEX('Price Inputs'!$C$4:$J$49,MATCH($B9,'Price Inputs'!$C$4:$C$49,0),MATCH(S$4,'Price Inputs'!$C$4:$J$4,0))</f>
        <v>0</v>
      </c>
      <c r="U9" s="564" t="n">
        <f aca="false">IF($B9="","",S9*T9)</f>
        <v>0</v>
      </c>
      <c r="V9" s="570" t="n">
        <f aca="false">IF($B9="",0,U9/$S$5)</f>
        <v>0</v>
      </c>
      <c r="W9" s="572" t="n">
        <f aca="false">IF($B9="","",INDEX('Portfolio Bucket'!$C$2:$I$69,MATCH($B9,'Portfolio Bucket'!$C$2:$C$69,0),MATCH($W$4,'Portfolio Bucket'!$C$2:$I$2,0)))</f>
        <v>1239</v>
      </c>
      <c r="X9" s="566" t="n">
        <f aca="false">INDEX('Price Inputs'!$C$4:$J$49,MATCH($B9,'Price Inputs'!$C$4:$C$49,0),MATCH(W$4,'Price Inputs'!$C$4:$J$4,0))</f>
        <v>0</v>
      </c>
      <c r="Y9" s="567" t="n">
        <f aca="false">IF($B9="","",W9*X9)</f>
        <v>0</v>
      </c>
      <c r="Z9" s="568" t="n">
        <f aca="false">IF($B9="",0,Y9/$W$5)</f>
        <v>0</v>
      </c>
    </row>
    <row r="10" customFormat="false" ht="15" hidden="false" customHeight="false" outlineLevel="0" collapsed="false">
      <c r="A10" s="0" t="n">
        <v>3</v>
      </c>
      <c r="B10" s="0" t="str">
        <f aca="false">'Current Portfolio'!C12</f>
        <v>EEM</v>
      </c>
      <c r="C10" s="562" t="n">
        <f aca="false">IF(B10="","",INDEX('Portfolio Bucket'!$C$2:$I$69,MATCH(B10,'Portfolio Bucket'!$C$2:$C$69,0),MATCH($C$4,'Portfolio Bucket'!$C$2:$I$2,0)))</f>
        <v>3238</v>
      </c>
      <c r="D10" s="563" t="n">
        <f aca="false">INDEX('Price Inputs'!$C$4:$J$49,MATCH($B10,'Price Inputs'!$C$4:$C$49,0),MATCH(C$4,'Price Inputs'!$C$4:$J$4,0))</f>
        <v>46.33</v>
      </c>
      <c r="E10" s="564" t="n">
        <f aca="false">IF($B10="","",C10*D10)</f>
        <v>150016.54</v>
      </c>
      <c r="F10" s="565" t="n">
        <f aca="false">IF($B10="",0,E10/$C$5)</f>
        <v>0.15001654</v>
      </c>
      <c r="G10" s="573" t="n">
        <f aca="false">IF($B10="","",INDEX('Portfolio Bucket'!$C$2:$I$69,MATCH($B10,'Portfolio Bucket'!$C$2:$C$69,0),MATCH($G$4,'Portfolio Bucket'!$C$2:$I$2,0)))</f>
        <v>3238</v>
      </c>
      <c r="H10" s="566" t="n">
        <f aca="false">INDEX('Price Inputs'!$C$4:$J$49,MATCH($B10,'Price Inputs'!$C$4:$C$49,0),MATCH(G$4,'Price Inputs'!$C$4:$J$4,0))</f>
        <v>45.25</v>
      </c>
      <c r="I10" s="567" t="n">
        <f aca="false">IF($B10="","",G10*H10)</f>
        <v>146519.5</v>
      </c>
      <c r="J10" s="568" t="n">
        <f aca="false">IF($B10="",0,I10/$G$5)</f>
        <v>0.14699206478909</v>
      </c>
      <c r="K10" s="569" t="n">
        <f aca="false">IF($B10="","",INDEX('Portfolio Bucket'!$C$2:$I$69,MATCH($B10,'Portfolio Bucket'!$C$2:$C$69,0),MATCH($K$4,'Portfolio Bucket'!$C$2:$I$2,0)))</f>
        <v>3238</v>
      </c>
      <c r="L10" s="563" t="n">
        <f aca="false">INDEX('Price Inputs'!$C$4:$J$49,MATCH($B10,'Price Inputs'!$C$4:$C$49,0),MATCH(K$4,'Price Inputs'!$C$4:$J$4,0))</f>
        <v>43.91</v>
      </c>
      <c r="M10" s="564" t="n">
        <f aca="false">IF($B10="","",K10*L10)</f>
        <v>142180.58</v>
      </c>
      <c r="N10" s="570" t="n">
        <f aca="false">IF($B10="",0,M10/$K$5)</f>
        <v>0.143815333207024</v>
      </c>
      <c r="O10" s="573" t="n">
        <f aca="false">IF($B10="","",INDEX('Portfolio Bucket'!$C$2:$I$69,MATCH($B10,'Portfolio Bucket'!$C$2:$C$69,0),MATCH($O$4,'Portfolio Bucket'!$C$2:$I$2,0)))</f>
        <v>3238</v>
      </c>
      <c r="P10" s="566" t="n">
        <f aca="false">INDEX('Price Inputs'!$C$4:$J$49,MATCH($B10,'Price Inputs'!$C$4:$C$49,0),MATCH(O$4,'Price Inputs'!$C$4:$J$4,0))</f>
        <v>0</v>
      </c>
      <c r="Q10" s="567" t="n">
        <f aca="false">IF($B10="","",O10*P10)</f>
        <v>0</v>
      </c>
      <c r="R10" s="571" t="n">
        <f aca="false">IF($B10="",0,Q10/$O$5)</f>
        <v>0</v>
      </c>
      <c r="S10" s="569" t="n">
        <f aca="false">IF($B10="","",INDEX('Portfolio Bucket'!$C$2:$I$69,MATCH($B10,'Portfolio Bucket'!$C$2:$C$69,0),MATCH($S$4,'Portfolio Bucket'!$C$2:$I$2,0)))</f>
        <v>3238</v>
      </c>
      <c r="T10" s="563" t="n">
        <f aca="false">INDEX('Price Inputs'!$C$4:$J$49,MATCH($B10,'Price Inputs'!$C$4:$C$49,0),MATCH(S$4,'Price Inputs'!$C$4:$J$4,0))</f>
        <v>0</v>
      </c>
      <c r="U10" s="564" t="n">
        <f aca="false">IF($B10="","",S10*T10)</f>
        <v>0</v>
      </c>
      <c r="V10" s="570" t="n">
        <f aca="false">IF($B10="",0,U10/$S$5)</f>
        <v>0</v>
      </c>
      <c r="W10" s="572" t="n">
        <f aca="false">IF($B10="","",INDEX('Portfolio Bucket'!$C$2:$I$69,MATCH($B10,'Portfolio Bucket'!$C$2:$C$69,0),MATCH($W$4,'Portfolio Bucket'!$C$2:$I$2,0)))</f>
        <v>3238</v>
      </c>
      <c r="X10" s="566" t="n">
        <f aca="false">INDEX('Price Inputs'!$C$4:$J$49,MATCH($B10,'Price Inputs'!$C$4:$C$49,0),MATCH(W$4,'Price Inputs'!$C$4:$J$4,0))</f>
        <v>0</v>
      </c>
      <c r="Y10" s="567" t="n">
        <f aca="false">IF($B10="","",W10*X10)</f>
        <v>0</v>
      </c>
      <c r="Z10" s="568" t="n">
        <f aca="false">IF($B10="",0,Y10/$W$5)</f>
        <v>0</v>
      </c>
    </row>
    <row r="11" customFormat="false" ht="15" hidden="false" customHeight="false" outlineLevel="0" collapsed="false">
      <c r="A11" s="0" t="n">
        <v>4</v>
      </c>
      <c r="B11" s="0" t="str">
        <f aca="false">'Current Portfolio'!C13</f>
        <v>EFA</v>
      </c>
      <c r="C11" s="562" t="n">
        <f aca="false">IF(B11="","",INDEX('Portfolio Bucket'!$C$2:$I$69,MATCH(B11,'Portfolio Bucket'!$C$2:$C$69,0),MATCH($C$4,'Portfolio Bucket'!$C$2:$I$2,0)))</f>
        <v>2130</v>
      </c>
      <c r="D11" s="563" t="n">
        <f aca="false">INDEX('Price Inputs'!$C$4:$J$49,MATCH($B11,'Price Inputs'!$C$4:$C$49,0),MATCH(C$4,'Price Inputs'!$C$4:$J$4,0))</f>
        <v>70.41</v>
      </c>
      <c r="E11" s="564" t="n">
        <f aca="false">IF($B11="","",C11*D11)</f>
        <v>149973.3</v>
      </c>
      <c r="F11" s="565" t="n">
        <f aca="false">IF($B11="",0,E11/$C$5)</f>
        <v>0.1499733</v>
      </c>
      <c r="G11" s="573" t="n">
        <f aca="false">IF($B11="","",INDEX('Portfolio Bucket'!$C$2:$I$69,MATCH($B11,'Portfolio Bucket'!$C$2:$C$69,0),MATCH($G$4,'Portfolio Bucket'!$C$2:$I$2,0)))</f>
        <v>716</v>
      </c>
      <c r="H11" s="566" t="n">
        <f aca="false">INDEX('Price Inputs'!$C$4:$J$49,MATCH($B11,'Price Inputs'!$C$4:$C$49,0),MATCH(G$4,'Price Inputs'!$C$4:$J$4,0))</f>
        <v>70</v>
      </c>
      <c r="I11" s="567" t="n">
        <f aca="false">IF($B11="","",G11*H11)</f>
        <v>50120</v>
      </c>
      <c r="J11" s="568" t="n">
        <f aca="false">IF($B11="",0,I11/$G$5)</f>
        <v>0.0502816504781221</v>
      </c>
      <c r="K11" s="569" t="n">
        <f aca="false">IF($B11="","",INDEX('Portfolio Bucket'!$C$2:$I$69,MATCH($B11,'Portfolio Bucket'!$C$2:$C$69,0),MATCH($K$4,'Portfolio Bucket'!$C$2:$I$2,0)))</f>
        <v>716</v>
      </c>
      <c r="L11" s="563" t="n">
        <f aca="false">INDEX('Price Inputs'!$C$4:$J$49,MATCH($B11,'Price Inputs'!$C$4:$C$49,0),MATCH(K$4,'Price Inputs'!$C$4:$J$4,0))</f>
        <v>67.8</v>
      </c>
      <c r="M11" s="564" t="n">
        <f aca="false">IF($B11="","",K11*L11)</f>
        <v>48544.8</v>
      </c>
      <c r="N11" s="570" t="n">
        <f aca="false">IF($B11="",0,M11/$K$5)</f>
        <v>0.0491029547598438</v>
      </c>
      <c r="O11" s="573" t="n">
        <f aca="false">IF($B11="","",INDEX('Portfolio Bucket'!$C$2:$I$69,MATCH($B11,'Portfolio Bucket'!$C$2:$C$69,0),MATCH($O$4,'Portfolio Bucket'!$C$2:$I$2,0)))</f>
        <v>716</v>
      </c>
      <c r="P11" s="566" t="n">
        <f aca="false">INDEX('Price Inputs'!$C$4:$J$49,MATCH($B11,'Price Inputs'!$C$4:$C$49,0),MATCH(O$4,'Price Inputs'!$C$4:$J$4,0))</f>
        <v>0</v>
      </c>
      <c r="Q11" s="567" t="n">
        <f aca="false">IF($B11="","",O11*P11)</f>
        <v>0</v>
      </c>
      <c r="R11" s="571" t="n">
        <f aca="false">IF($B11="",0,Q11/$O$5)</f>
        <v>0</v>
      </c>
      <c r="S11" s="569" t="n">
        <f aca="false">IF($B11="","",INDEX('Portfolio Bucket'!$C$2:$I$69,MATCH($B11,'Portfolio Bucket'!$C$2:$C$69,0),MATCH($S$4,'Portfolio Bucket'!$C$2:$I$2,0)))</f>
        <v>716</v>
      </c>
      <c r="T11" s="563" t="n">
        <f aca="false">INDEX('Price Inputs'!$C$4:$J$49,MATCH($B11,'Price Inputs'!$C$4:$C$49,0),MATCH(S$4,'Price Inputs'!$C$4:$J$4,0))</f>
        <v>0</v>
      </c>
      <c r="U11" s="564" t="n">
        <f aca="false">IF($B11="","",S11*T11)</f>
        <v>0</v>
      </c>
      <c r="V11" s="570" t="n">
        <f aca="false">IF($B11="",0,U11/$S$5)</f>
        <v>0</v>
      </c>
      <c r="W11" s="572" t="n">
        <f aca="false">IF($B11="","",INDEX('Portfolio Bucket'!$C$2:$I$69,MATCH($B11,'Portfolio Bucket'!$C$2:$C$69,0),MATCH($W$4,'Portfolio Bucket'!$C$2:$I$2,0)))</f>
        <v>716</v>
      </c>
      <c r="X11" s="566" t="n">
        <f aca="false">INDEX('Price Inputs'!$C$4:$J$49,MATCH($B11,'Price Inputs'!$C$4:$C$49,0),MATCH(W$4,'Price Inputs'!$C$4:$J$4,0))</f>
        <v>0</v>
      </c>
      <c r="Y11" s="567" t="n">
        <f aca="false">IF($B11="","",W11*X11)</f>
        <v>0</v>
      </c>
      <c r="Z11" s="568" t="n">
        <f aca="false">IF($B11="",0,Y11/$W$5)</f>
        <v>0</v>
      </c>
    </row>
    <row r="12" customFormat="false" ht="15" hidden="false" customHeight="false" outlineLevel="0" collapsed="false">
      <c r="A12" s="0" t="n">
        <v>5</v>
      </c>
      <c r="B12" s="0" t="str">
        <f aca="false">'Current Portfolio'!C14</f>
        <v>HYG</v>
      </c>
      <c r="C12" s="562" t="n">
        <f aca="false">IF(B12="","",INDEX('Portfolio Bucket'!$C$2:$I$69,MATCH(B12,'Portfolio Bucket'!$C$2:$C$69,0),MATCH($C$4,'Portfolio Bucket'!$C$2:$I$2,0)))</f>
        <v>2043</v>
      </c>
      <c r="D12" s="563" t="n">
        <f aca="false">INDEX('Price Inputs'!$C$4:$J$49,MATCH($B12,'Price Inputs'!$C$4:$C$49,0),MATCH(C$4,'Price Inputs'!$C$4:$J$4,0))</f>
        <v>85.66</v>
      </c>
      <c r="E12" s="564" t="n">
        <f aca="false">IF($B12="","",C12*D12)</f>
        <v>175003.38</v>
      </c>
      <c r="F12" s="565" t="n">
        <f aca="false">IF($B12="",0,E12/$C$5)</f>
        <v>0.17500338</v>
      </c>
      <c r="G12" s="573" t="n">
        <f aca="false">IF($B12="","",INDEX('Portfolio Bucket'!$C$2:$I$69,MATCH($B12,'Portfolio Bucket'!$C$2:$C$69,0),MATCH($G$4,'Portfolio Bucket'!$C$2:$I$2,0)))</f>
        <v>2043</v>
      </c>
      <c r="H12" s="566" t="n">
        <f aca="false">INDEX('Price Inputs'!$C$4:$J$49,MATCH($B12,'Price Inputs'!$C$4:$C$49,0),MATCH(G$4,'Price Inputs'!$C$4:$J$4,0))</f>
        <v>86.12</v>
      </c>
      <c r="I12" s="567" t="n">
        <f aca="false">IF($B12="","",G12*H12)</f>
        <v>175943.16</v>
      </c>
      <c r="J12" s="568" t="n">
        <f aca="false">IF($B12="",0,I12/$G$5)</f>
        <v>0.176510624005114</v>
      </c>
      <c r="K12" s="569" t="n">
        <f aca="false">IF($B12="","",INDEX('Portfolio Bucket'!$C$2:$I$69,MATCH($B12,'Portfolio Bucket'!$C$2:$C$69,0),MATCH($K$4,'Portfolio Bucket'!$C$2:$I$2,0)))</f>
        <v>2043</v>
      </c>
      <c r="L12" s="563" t="n">
        <f aca="false">INDEX('Price Inputs'!$C$4:$J$49,MATCH($B12,'Price Inputs'!$C$4:$C$49,0),MATCH(K$4,'Price Inputs'!$C$4:$J$4,0))</f>
        <v>85.91</v>
      </c>
      <c r="M12" s="564" t="n">
        <f aca="false">IF($B12="","",K12*L12)</f>
        <v>175514.13</v>
      </c>
      <c r="N12" s="570" t="n">
        <f aca="false">IF($B12="",0,M12/$K$5)</f>
        <v>0.177532143197692</v>
      </c>
      <c r="O12" s="573" t="n">
        <f aca="false">IF($B12="","",INDEX('Portfolio Bucket'!$C$2:$I$69,MATCH($B12,'Portfolio Bucket'!$C$2:$C$69,0),MATCH($O$4,'Portfolio Bucket'!$C$2:$I$2,0)))</f>
        <v>2043</v>
      </c>
      <c r="P12" s="566" t="n">
        <f aca="false">INDEX('Price Inputs'!$C$4:$J$49,MATCH($B12,'Price Inputs'!$C$4:$C$49,0),MATCH(O$4,'Price Inputs'!$C$4:$J$4,0))</f>
        <v>0</v>
      </c>
      <c r="Q12" s="567" t="n">
        <f aca="false">IF($B12="","",O12*P12)</f>
        <v>0</v>
      </c>
      <c r="R12" s="571" t="n">
        <f aca="false">IF($B12="",0,Q12/$O$5)</f>
        <v>0</v>
      </c>
      <c r="S12" s="569" t="n">
        <f aca="false">IF($B12="","",INDEX('Portfolio Bucket'!$C$2:$I$69,MATCH($B12,'Portfolio Bucket'!$C$2:$C$69,0),MATCH($S$4,'Portfolio Bucket'!$C$2:$I$2,0)))</f>
        <v>2043</v>
      </c>
      <c r="T12" s="563" t="n">
        <f aca="false">INDEX('Price Inputs'!$C$4:$J$49,MATCH($B12,'Price Inputs'!$C$4:$C$49,0),MATCH(S$4,'Price Inputs'!$C$4:$J$4,0))</f>
        <v>0</v>
      </c>
      <c r="U12" s="564" t="n">
        <f aca="false">IF($B12="","",S12*T12)</f>
        <v>0</v>
      </c>
      <c r="V12" s="570" t="n">
        <f aca="false">IF($B12="",0,U12/$S$5)</f>
        <v>0</v>
      </c>
      <c r="W12" s="572" t="n">
        <f aca="false">IF($B12="","",INDEX('Portfolio Bucket'!$C$2:$I$69,MATCH($B12,'Portfolio Bucket'!$C$2:$C$69,0),MATCH($W$4,'Portfolio Bucket'!$C$2:$I$2,0)))</f>
        <v>2043</v>
      </c>
      <c r="X12" s="566" t="n">
        <f aca="false">INDEX('Price Inputs'!$C$4:$J$49,MATCH($B12,'Price Inputs'!$C$4:$C$49,0),MATCH(W$4,'Price Inputs'!$C$4:$J$4,0))</f>
        <v>0</v>
      </c>
      <c r="Y12" s="567" t="n">
        <f aca="false">IF($B12="","",W12*X12)</f>
        <v>0</v>
      </c>
      <c r="Z12" s="568" t="n">
        <f aca="false">IF($B12="",0,Y12/$W$5)</f>
        <v>0</v>
      </c>
    </row>
    <row r="13" customFormat="false" ht="15" hidden="false" customHeight="false" outlineLevel="0" collapsed="false">
      <c r="A13" s="0" t="n">
        <v>6</v>
      </c>
      <c r="B13" s="0" t="str">
        <f aca="false">'Current Portfolio'!C15</f>
        <v>IEF</v>
      </c>
      <c r="C13" s="562" t="n">
        <f aca="false">IF(B13="","",INDEX('Portfolio Bucket'!$C$2:$I$69,MATCH(B13,'Portfolio Bucket'!$C$2:$C$69,0),MATCH($C$4,'Portfolio Bucket'!$C$2:$I$2,0)))</f>
        <v>737</v>
      </c>
      <c r="D13" s="563" t="n">
        <f aca="false">INDEX('Price Inputs'!$C$4:$J$49,MATCH($B13,'Price Inputs'!$C$4:$C$49,0),MATCH(C$4,'Price Inputs'!$C$4:$J$4,0))</f>
        <v>101.71</v>
      </c>
      <c r="E13" s="564" t="n">
        <f aca="false">IF($B13="","",C13*D13)</f>
        <v>74960.27</v>
      </c>
      <c r="F13" s="565" t="n">
        <f aca="false">IF($B13="",0,E13/$C$5)</f>
        <v>0.07496027</v>
      </c>
      <c r="G13" s="573" t="n">
        <f aca="false">IF($B13="","",INDEX('Portfolio Bucket'!$C$2:$I$69,MATCH($B13,'Portfolio Bucket'!$C$2:$C$69,0),MATCH($G$4,'Portfolio Bucket'!$C$2:$I$2,0)))</f>
        <v>1709</v>
      </c>
      <c r="H13" s="566" t="n">
        <f aca="false">INDEX('Price Inputs'!$C$4:$J$49,MATCH($B13,'Price Inputs'!$C$4:$C$49,0),MATCH(G$4,'Price Inputs'!$C$4:$J$4,0))</f>
        <v>101.83</v>
      </c>
      <c r="I13" s="567" t="n">
        <f aca="false">IF($B13="","",G13*H13)</f>
        <v>174027.47</v>
      </c>
      <c r="J13" s="568" t="n">
        <f aca="false">IF($B13="",0,I13/$G$5)</f>
        <v>0.174588755389702</v>
      </c>
      <c r="K13" s="569" t="n">
        <f aca="false">IF($B13="","",INDEX('Portfolio Bucket'!$C$2:$I$69,MATCH($B13,'Portfolio Bucket'!$C$2:$C$69,0),MATCH($K$4,'Portfolio Bucket'!$C$2:$I$2,0)))</f>
        <v>1709</v>
      </c>
      <c r="L13" s="563" t="n">
        <f aca="false">INDEX('Price Inputs'!$C$4:$J$49,MATCH($B13,'Price Inputs'!$C$4:$C$49,0),MATCH(K$4,'Price Inputs'!$C$4:$J$4,0))</f>
        <v>102.11</v>
      </c>
      <c r="M13" s="564" t="n">
        <f aca="false">IF($B13="","",K13*L13)</f>
        <v>174505.99</v>
      </c>
      <c r="N13" s="570" t="n">
        <f aca="false">IF($B13="",0,M13/$K$5)</f>
        <v>0.176512411881226</v>
      </c>
      <c r="O13" s="573" t="n">
        <f aca="false">IF($B13="","",INDEX('Portfolio Bucket'!$C$2:$I$69,MATCH($B13,'Portfolio Bucket'!$C$2:$C$69,0),MATCH($O$4,'Portfolio Bucket'!$C$2:$I$2,0)))</f>
        <v>1709</v>
      </c>
      <c r="P13" s="566" t="n">
        <f aca="false">INDEX('Price Inputs'!$C$4:$J$49,MATCH($B13,'Price Inputs'!$C$4:$C$49,0),MATCH(O$4,'Price Inputs'!$C$4:$J$4,0))</f>
        <v>0</v>
      </c>
      <c r="Q13" s="567" t="n">
        <f aca="false">IF($B13="","",O13*P13)</f>
        <v>0</v>
      </c>
      <c r="R13" s="571" t="n">
        <f aca="false">IF($B13="",0,Q13/$O$5)</f>
        <v>0</v>
      </c>
      <c r="S13" s="569" t="n">
        <f aca="false">IF($B13="","",INDEX('Portfolio Bucket'!$C$2:$I$69,MATCH($B13,'Portfolio Bucket'!$C$2:$C$69,0),MATCH($S$4,'Portfolio Bucket'!$C$2:$I$2,0)))</f>
        <v>1709</v>
      </c>
      <c r="T13" s="563" t="n">
        <f aca="false">INDEX('Price Inputs'!$C$4:$J$49,MATCH($B13,'Price Inputs'!$C$4:$C$49,0),MATCH(S$4,'Price Inputs'!$C$4:$J$4,0))</f>
        <v>0</v>
      </c>
      <c r="U13" s="564" t="n">
        <f aca="false">IF($B13="","",S13*T13)</f>
        <v>0</v>
      </c>
      <c r="V13" s="570" t="n">
        <f aca="false">IF($B13="",0,U13/$S$5)</f>
        <v>0</v>
      </c>
      <c r="W13" s="572" t="n">
        <f aca="false">IF($B13="","",INDEX('Portfolio Bucket'!$C$2:$I$69,MATCH($B13,'Portfolio Bucket'!$C$2:$C$69,0),MATCH($W$4,'Portfolio Bucket'!$C$2:$I$2,0)))</f>
        <v>1709</v>
      </c>
      <c r="X13" s="566" t="n">
        <f aca="false">INDEX('Price Inputs'!$C$4:$J$49,MATCH($B13,'Price Inputs'!$C$4:$C$49,0),MATCH(W$4,'Price Inputs'!$C$4:$J$4,0))</f>
        <v>0</v>
      </c>
      <c r="Y13" s="567" t="n">
        <f aca="false">IF($B13="","",W13*X13)</f>
        <v>0</v>
      </c>
      <c r="Z13" s="568" t="n">
        <f aca="false">IF($B13="",0,Y13/$W$5)</f>
        <v>0</v>
      </c>
    </row>
    <row r="14" customFormat="false" ht="15" hidden="false" customHeight="false" outlineLevel="0" collapsed="false">
      <c r="A14" s="0" t="n">
        <v>7</v>
      </c>
      <c r="B14" s="0" t="str">
        <f aca="false">'Current Portfolio'!C16</f>
        <v>IYR</v>
      </c>
      <c r="C14" s="562" t="n">
        <f aca="false">IF(B14="","",INDEX('Portfolio Bucket'!$C$2:$I$69,MATCH(B14,'Portfolio Bucket'!$C$2:$C$69,0),MATCH($C$4,'Portfolio Bucket'!$C$2:$I$2,0)))</f>
        <v>630</v>
      </c>
      <c r="D14" s="563" t="n">
        <f aca="false">INDEX('Price Inputs'!$C$4:$J$49,MATCH($B14,'Price Inputs'!$C$4:$C$49,0),MATCH(C$4,'Price Inputs'!$C$4:$J$4,0))</f>
        <v>79.42</v>
      </c>
      <c r="E14" s="564" t="n">
        <f aca="false">IF($B14="","",C14*D14)</f>
        <v>50034.6</v>
      </c>
      <c r="F14" s="565" t="n">
        <f aca="false">IF($B14="",0,E14/$C$5)</f>
        <v>0.0500346</v>
      </c>
      <c r="G14" s="573" t="n">
        <f aca="false">IF($B14="","",INDEX('Portfolio Bucket'!$C$2:$I$69,MATCH($B14,'Portfolio Bucket'!$C$2:$C$69,0),MATCH($G$4,'Portfolio Bucket'!$C$2:$I$2,0)))</f>
        <v>630</v>
      </c>
      <c r="H14" s="566" t="n">
        <f aca="false">INDEX('Price Inputs'!$C$4:$J$49,MATCH($B14,'Price Inputs'!$C$4:$C$49,0),MATCH(G$4,'Price Inputs'!$C$4:$J$4,0))</f>
        <v>78.96</v>
      </c>
      <c r="I14" s="567" t="n">
        <f aca="false">IF($B14="","",G14*H14)</f>
        <v>49744.8</v>
      </c>
      <c r="J14" s="568" t="n">
        <f aca="false">IF($B14="",0,I14/$G$5)</f>
        <v>0.0499052403572244</v>
      </c>
      <c r="K14" s="569" t="n">
        <f aca="false">IF($B14="","",INDEX('Portfolio Bucket'!$C$2:$I$69,MATCH($B14,'Portfolio Bucket'!$C$2:$C$69,0),MATCH($K$4,'Portfolio Bucket'!$C$2:$I$2,0)))</f>
        <v>630</v>
      </c>
      <c r="L14" s="563" t="n">
        <f aca="false">INDEX('Price Inputs'!$C$4:$J$49,MATCH($B14,'Price Inputs'!$C$4:$C$49,0),MATCH(K$4,'Price Inputs'!$C$4:$J$4,0))</f>
        <v>80.7</v>
      </c>
      <c r="M14" s="564" t="n">
        <f aca="false">IF($B14="","",K14*L14)</f>
        <v>50841</v>
      </c>
      <c r="N14" s="570" t="n">
        <f aca="false">IF($B14="",0,M14/$K$5)</f>
        <v>0.051425555835954</v>
      </c>
      <c r="O14" s="573" t="n">
        <f aca="false">IF($B14="","",INDEX('Portfolio Bucket'!$C$2:$I$69,MATCH($B14,'Portfolio Bucket'!$C$2:$C$69,0),MATCH($O$4,'Portfolio Bucket'!$C$2:$I$2,0)))</f>
        <v>630</v>
      </c>
      <c r="P14" s="566" t="n">
        <f aca="false">INDEX('Price Inputs'!$C$4:$J$49,MATCH($B14,'Price Inputs'!$C$4:$C$49,0),MATCH(O$4,'Price Inputs'!$C$4:$J$4,0))</f>
        <v>0</v>
      </c>
      <c r="Q14" s="567" t="n">
        <f aca="false">IF($B14="","",O14*P14)</f>
        <v>0</v>
      </c>
      <c r="R14" s="571" t="n">
        <f aca="false">IF($B14="",0,Q14/$O$5)</f>
        <v>0</v>
      </c>
      <c r="S14" s="569" t="n">
        <f aca="false">IF($B14="","",INDEX('Portfolio Bucket'!$C$2:$I$69,MATCH($B14,'Portfolio Bucket'!$C$2:$C$69,0),MATCH($S$4,'Portfolio Bucket'!$C$2:$I$2,0)))</f>
        <v>630</v>
      </c>
      <c r="T14" s="563" t="n">
        <f aca="false">INDEX('Price Inputs'!$C$4:$J$49,MATCH($B14,'Price Inputs'!$C$4:$C$49,0),MATCH(S$4,'Price Inputs'!$C$4:$J$4,0))</f>
        <v>0</v>
      </c>
      <c r="U14" s="564" t="n">
        <f aca="false">IF($B14="","",S14*T14)</f>
        <v>0</v>
      </c>
      <c r="V14" s="570" t="n">
        <f aca="false">IF($B14="",0,U14/$S$5)</f>
        <v>0</v>
      </c>
      <c r="W14" s="572" t="n">
        <f aca="false">IF($B14="","",INDEX('Portfolio Bucket'!$C$2:$I$69,MATCH($B14,'Portfolio Bucket'!$C$2:$C$69,0),MATCH($W$4,'Portfolio Bucket'!$C$2:$I$2,0)))</f>
        <v>630</v>
      </c>
      <c r="X14" s="566" t="n">
        <f aca="false">INDEX('Price Inputs'!$C$4:$J$49,MATCH($B14,'Price Inputs'!$C$4:$C$49,0),MATCH(W$4,'Price Inputs'!$C$4:$J$4,0))</f>
        <v>0</v>
      </c>
      <c r="Y14" s="567" t="n">
        <f aca="false">IF($B14="","",W14*X14)</f>
        <v>0</v>
      </c>
      <c r="Z14" s="568" t="n">
        <f aca="false">IF($B14="",0,Y14/$W$5)</f>
        <v>0</v>
      </c>
    </row>
    <row r="15" customFormat="false" ht="15" hidden="false" customHeight="false" outlineLevel="0" collapsed="false">
      <c r="A15" s="0" t="n">
        <v>8</v>
      </c>
      <c r="B15" s="0" t="str">
        <f aca="false">'Current Portfolio'!C17</f>
        <v>VTI</v>
      </c>
      <c r="C15" s="562" t="n">
        <f aca="false">IF(B15="","",INDEX('Portfolio Bucket'!$C$2:$I$69,MATCH(B15,'Portfolio Bucket'!$C$2:$C$69,0),MATCH($C$4,'Portfolio Bucket'!$C$2:$I$2,0)))</f>
        <v>2015</v>
      </c>
      <c r="D15" s="563" t="n">
        <f aca="false">INDEX('Price Inputs'!$C$4:$J$49,MATCH($B15,'Price Inputs'!$C$4:$C$49,0),MATCH(C$4,'Price Inputs'!$C$4:$J$4,0))</f>
        <v>143.91</v>
      </c>
      <c r="E15" s="564" t="n">
        <f aca="false">IF($B15="","",C15*D15)</f>
        <v>289978.65</v>
      </c>
      <c r="F15" s="565" t="n">
        <f aca="false">IF($B15="",0,E15/$C$5)</f>
        <v>0.28997865</v>
      </c>
      <c r="G15" s="573" t="n">
        <f aca="false">IF($B15="","",INDEX('Portfolio Bucket'!$C$2:$I$69,MATCH($B15,'Portfolio Bucket'!$C$2:$C$69,0),MATCH($G$4,'Portfolio Bucket'!$C$2:$I$2,0)))</f>
        <v>2015</v>
      </c>
      <c r="H15" s="566" t="n">
        <f aca="false">INDEX('Price Inputs'!$C$4:$J$49,MATCH($B15,'Price Inputs'!$C$4:$C$49,0),MATCH(G$4,'Price Inputs'!$C$4:$J$4,0))</f>
        <v>144.16</v>
      </c>
      <c r="I15" s="567" t="n">
        <f aca="false">IF($B15="","",G15*H15)</f>
        <v>290482.4</v>
      </c>
      <c r="J15" s="568" t="n">
        <f aca="false">IF($B15="",0,I15/$G$5)</f>
        <v>0.291419283855668</v>
      </c>
      <c r="K15" s="569" t="n">
        <f aca="false">IF($B15="","",INDEX('Portfolio Bucket'!$C$2:$I$69,MATCH($B15,'Portfolio Bucket'!$C$2:$C$69,0),MATCH($K$4,'Portfolio Bucket'!$C$2:$I$2,0)))</f>
        <v>2015</v>
      </c>
      <c r="L15" s="563" t="n">
        <f aca="false">INDEX('Price Inputs'!$C$4:$J$49,MATCH($B15,'Price Inputs'!$C$4:$C$49,0),MATCH(K$4,'Price Inputs'!$C$4:$J$4,0))</f>
        <v>142.45</v>
      </c>
      <c r="M15" s="564" t="n">
        <f aca="false">IF($B15="","",K15*L15)</f>
        <v>287036.75</v>
      </c>
      <c r="N15" s="570" t="n">
        <f aca="false">IF($B15="",0,M15/$K$5)</f>
        <v>0.290337019612041</v>
      </c>
      <c r="O15" s="573" t="n">
        <f aca="false">IF($B15="","",INDEX('Portfolio Bucket'!$C$2:$I$69,MATCH($B15,'Portfolio Bucket'!$C$2:$C$69,0),MATCH($O$4,'Portfolio Bucket'!$C$2:$I$2,0)))</f>
        <v>2015</v>
      </c>
      <c r="P15" s="566" t="n">
        <f aca="false">INDEX('Price Inputs'!$C$4:$J$49,MATCH($B15,'Price Inputs'!$C$4:$C$49,0),MATCH(O$4,'Price Inputs'!$C$4:$J$4,0))</f>
        <v>0</v>
      </c>
      <c r="Q15" s="567" t="n">
        <f aca="false">IF($B15="","",O15*P15)</f>
        <v>0</v>
      </c>
      <c r="R15" s="571" t="n">
        <f aca="false">IF($B15="",0,Q15/$O$5)</f>
        <v>0</v>
      </c>
      <c r="S15" s="569" t="n">
        <f aca="false">IF($B15="","",INDEX('Portfolio Bucket'!$C$2:$I$69,MATCH($B15,'Portfolio Bucket'!$C$2:$C$69,0),MATCH($S$4,'Portfolio Bucket'!$C$2:$I$2,0)))</f>
        <v>2015</v>
      </c>
      <c r="T15" s="563" t="n">
        <f aca="false">INDEX('Price Inputs'!$C$4:$J$49,MATCH($B15,'Price Inputs'!$C$4:$C$49,0),MATCH(S$4,'Price Inputs'!$C$4:$J$4,0))</f>
        <v>0</v>
      </c>
      <c r="U15" s="564" t="n">
        <f aca="false">IF($B15="","",S15*T15)</f>
        <v>0</v>
      </c>
      <c r="V15" s="570" t="n">
        <f aca="false">IF($B15="",0,U15/$S$5)</f>
        <v>0</v>
      </c>
      <c r="W15" s="572" t="n">
        <f aca="false">IF($B15="","",INDEX('Portfolio Bucket'!$C$2:$I$69,MATCH($B15,'Portfolio Bucket'!$C$2:$C$69,0),MATCH($W$4,'Portfolio Bucket'!$C$2:$I$2,0)))</f>
        <v>2015</v>
      </c>
      <c r="X15" s="566" t="n">
        <f aca="false">INDEX('Price Inputs'!$C$4:$J$49,MATCH($B15,'Price Inputs'!$C$4:$C$49,0),MATCH(W$4,'Price Inputs'!$C$4:$J$4,0))</f>
        <v>0</v>
      </c>
      <c r="Y15" s="567" t="n">
        <f aca="false">IF($B15="","",W15*X15)</f>
        <v>0</v>
      </c>
      <c r="Z15" s="568" t="n">
        <f aca="false">IF($B15="",0,Y15/$W$5)</f>
        <v>0</v>
      </c>
    </row>
    <row r="16" customFormat="false" ht="15" hidden="false" customHeight="false" outlineLevel="0" collapsed="false">
      <c r="A16" s="0" t="n">
        <v>9</v>
      </c>
      <c r="B16" s="0" t="str">
        <f aca="false">'Current Portfolio'!C18</f>
        <v/>
      </c>
      <c r="C16" s="562" t="str">
        <f aca="false">IF(B16="","",INDEX('Portfolio Bucket'!$C$2:$I$69,MATCH(B16,'Portfolio Bucket'!$C$2:$C$69,0),MATCH($C$4,'Portfolio Bucket'!$C$2:$I$2,0)))</f>
        <v/>
      </c>
      <c r="D16" s="563" t="str">
        <f aca="false">INDEX('Price Inputs'!$C$4:$J$49,MATCH($B16,'Price Inputs'!$C$4:$C$49,0),MATCH(C$4,'Price Inputs'!$C$4:$J$4,0))</f>
        <v/>
      </c>
      <c r="E16" s="564" t="str">
        <f aca="false">IF($B16="","",C16*D16)</f>
        <v/>
      </c>
      <c r="F16" s="565" t="n">
        <f aca="false">IF($B16="",0,E16/$C$5)</f>
        <v>0</v>
      </c>
      <c r="G16" s="573" t="str">
        <f aca="false">IF($B16="","",INDEX('Portfolio Bucket'!$C$2:$I$69,MATCH($B16,'Portfolio Bucket'!$C$2:$C$69,0),MATCH($G$4,'Portfolio Bucket'!$C$2:$I$2,0)))</f>
        <v/>
      </c>
      <c r="H16" s="566" t="n">
        <f aca="false">INDEX('Price Inputs'!$C$4:$J$49,MATCH($B16,'Price Inputs'!$C$4:$C$49,0),MATCH(G$4,'Price Inputs'!$C$4:$J$4,0))</f>
        <v>0</v>
      </c>
      <c r="I16" s="567" t="str">
        <f aca="false">IF($B16="","",G16*H16)</f>
        <v/>
      </c>
      <c r="J16" s="568" t="n">
        <f aca="false">IF($B16="",0,I16/$G$5)</f>
        <v>0</v>
      </c>
      <c r="K16" s="569" t="str">
        <f aca="false">IF($B16="","",INDEX('Portfolio Bucket'!$C$2:$I$69,MATCH($B16,'Portfolio Bucket'!$C$2:$C$69,0),MATCH($K$4,'Portfolio Bucket'!$C$2:$I$2,0)))</f>
        <v/>
      </c>
      <c r="L16" s="563" t="n">
        <f aca="false">INDEX('Price Inputs'!$C$4:$J$49,MATCH($B16,'Price Inputs'!$C$4:$C$49,0),MATCH(K$4,'Price Inputs'!$C$4:$J$4,0))</f>
        <v>0</v>
      </c>
      <c r="M16" s="564" t="str">
        <f aca="false">IF($B16="","",K16*L16)</f>
        <v/>
      </c>
      <c r="N16" s="570" t="n">
        <f aca="false">IF($B16="",0,M16/$K$5)</f>
        <v>0</v>
      </c>
      <c r="O16" s="573" t="str">
        <f aca="false">IF($B16="","",INDEX('Portfolio Bucket'!$C$2:$I$69,MATCH($B16,'Portfolio Bucket'!$C$2:$C$69,0),MATCH($O$4,'Portfolio Bucket'!$C$2:$I$2,0)))</f>
        <v/>
      </c>
      <c r="P16" s="566" t="n">
        <f aca="false">INDEX('Price Inputs'!$C$4:$J$49,MATCH($B16,'Price Inputs'!$C$4:$C$49,0),MATCH(O$4,'Price Inputs'!$C$4:$J$4,0))</f>
        <v>0</v>
      </c>
      <c r="Q16" s="567" t="str">
        <f aca="false">IF($B16="","",O16*P16)</f>
        <v/>
      </c>
      <c r="R16" s="571" t="n">
        <f aca="false">IF($B16="",0,Q16/$O$5)</f>
        <v>0</v>
      </c>
      <c r="S16" s="569" t="str">
        <f aca="false">IF($B16="","",INDEX('Portfolio Bucket'!$C$2:$I$69,MATCH($B16,'Portfolio Bucket'!$C$2:$C$69,0),MATCH($S$4,'Portfolio Bucket'!$C$2:$I$2,0)))</f>
        <v/>
      </c>
      <c r="T16" s="563" t="n">
        <f aca="false">INDEX('Price Inputs'!$C$4:$J$49,MATCH($B16,'Price Inputs'!$C$4:$C$49,0),MATCH(S$4,'Price Inputs'!$C$4:$J$4,0))</f>
        <v>0</v>
      </c>
      <c r="U16" s="564" t="str">
        <f aca="false">IF($B16="","",S16*T16)</f>
        <v/>
      </c>
      <c r="V16" s="570" t="n">
        <f aca="false">IF($B16="",0,U16/$S$5)</f>
        <v>0</v>
      </c>
      <c r="W16" s="572" t="str">
        <f aca="false">IF($B16="","",INDEX('Portfolio Bucket'!$C$2:$I$69,MATCH($B16,'Portfolio Bucket'!$C$2:$C$69,0),MATCH($W$4,'Portfolio Bucket'!$C$2:$I$2,0)))</f>
        <v/>
      </c>
      <c r="X16" s="566" t="n">
        <f aca="false">INDEX('Price Inputs'!$C$4:$J$49,MATCH($B16,'Price Inputs'!$C$4:$C$49,0),MATCH(W$4,'Price Inputs'!$C$4:$J$4,0))</f>
        <v>0</v>
      </c>
      <c r="Y16" s="567" t="str">
        <f aca="false">IF($B16="","",W16*X16)</f>
        <v/>
      </c>
      <c r="Z16" s="568" t="n">
        <f aca="false">IF($B16="",0,Y16/$W$5)</f>
        <v>0</v>
      </c>
    </row>
    <row r="17" customFormat="false" ht="15" hidden="false" customHeight="false" outlineLevel="0" collapsed="false">
      <c r="A17" s="0" t="n">
        <v>10</v>
      </c>
      <c r="B17" s="0" t="str">
        <f aca="false">'Current Portfolio'!C19</f>
        <v/>
      </c>
      <c r="C17" s="574" t="str">
        <f aca="false">IF(B17="","",INDEX('Portfolio Bucket'!$C$2:$I$69,MATCH(B17,'Portfolio Bucket'!$C$2:$C$69,0),MATCH($C$4,'Portfolio Bucket'!$C$2:$I$2,0)))</f>
        <v/>
      </c>
      <c r="D17" s="575" t="str">
        <f aca="false">INDEX('Price Inputs'!$C$4:$J$49,MATCH($B17,'Price Inputs'!$C$4:$C$49,0),MATCH(C$4,'Price Inputs'!$C$4:$J$4,0))</f>
        <v/>
      </c>
      <c r="E17" s="576" t="str">
        <f aca="false">IF($B17="","",C17*D17)</f>
        <v/>
      </c>
      <c r="F17" s="577" t="n">
        <f aca="false">IF($B17="",0,E17/$C$5)</f>
        <v>0</v>
      </c>
      <c r="G17" s="578" t="str">
        <f aca="false">IF($B17="","",INDEX('Portfolio Bucket'!$C$2:$I$69,MATCH($B17,'Portfolio Bucket'!$C$2:$C$69,0),MATCH($G$4,'Portfolio Bucket'!$C$2:$I$2,0)))</f>
        <v/>
      </c>
      <c r="H17" s="579" t="n">
        <f aca="false">INDEX('Price Inputs'!$C$4:$J$49,MATCH($B17,'Price Inputs'!$C$4:$C$49,0),MATCH(G$4,'Price Inputs'!$C$4:$J$4,0))</f>
        <v>0</v>
      </c>
      <c r="I17" s="580" t="str">
        <f aca="false">IF($B17="","",G17*H17)</f>
        <v/>
      </c>
      <c r="J17" s="581" t="n">
        <f aca="false">IF($B17="",0,I17/$G$5)</f>
        <v>0</v>
      </c>
      <c r="K17" s="582" t="str">
        <f aca="false">IF($B17="","",INDEX('Portfolio Bucket'!$C$2:$I$69,MATCH($B17,'Portfolio Bucket'!$C$2:$C$69,0),MATCH($K$4,'Portfolio Bucket'!$C$2:$I$2,0)))</f>
        <v/>
      </c>
      <c r="L17" s="575" t="n">
        <f aca="false">INDEX('Price Inputs'!$C$4:$J$49,MATCH($B17,'Price Inputs'!$C$4:$C$49,0),MATCH(K$4,'Price Inputs'!$C$4:$J$4,0))</f>
        <v>0</v>
      </c>
      <c r="M17" s="576" t="str">
        <f aca="false">IF($B17="","",K17*L17)</f>
        <v/>
      </c>
      <c r="N17" s="583" t="n">
        <f aca="false">IF($B17="",0,M17/$K$5)</f>
        <v>0</v>
      </c>
      <c r="O17" s="578" t="str">
        <f aca="false">IF($B17="","",INDEX('Portfolio Bucket'!$C$2:$I$69,MATCH($B17,'Portfolio Bucket'!$C$2:$C$69,0),MATCH($O$4,'Portfolio Bucket'!$C$2:$I$2,0)))</f>
        <v/>
      </c>
      <c r="P17" s="579" t="n">
        <f aca="false">INDEX('Price Inputs'!$C$4:$J$49,MATCH($B17,'Price Inputs'!$C$4:$C$49,0),MATCH(O$4,'Price Inputs'!$C$4:$J$4,0))</f>
        <v>0</v>
      </c>
      <c r="Q17" s="580" t="str">
        <f aca="false">IF($B17="","",O17*P17)</f>
        <v/>
      </c>
      <c r="R17" s="584" t="n">
        <f aca="false">IF($B17="",0,Q17/$O$5)</f>
        <v>0</v>
      </c>
      <c r="S17" s="582" t="str">
        <f aca="false">IF($B17="","",INDEX('Portfolio Bucket'!$C$2:$I$69,MATCH($B17,'Portfolio Bucket'!$C$2:$C$69,0),MATCH($S$4,'Portfolio Bucket'!$C$2:$I$2,0)))</f>
        <v/>
      </c>
      <c r="T17" s="575" t="n">
        <f aca="false">INDEX('Price Inputs'!$C$4:$J$49,MATCH($B17,'Price Inputs'!$C$4:$C$49,0),MATCH(S$4,'Price Inputs'!$C$4:$J$4,0))</f>
        <v>0</v>
      </c>
      <c r="U17" s="576" t="str">
        <f aca="false">IF($B17="","",S17*T17)</f>
        <v/>
      </c>
      <c r="V17" s="583" t="n">
        <f aca="false">IF($B17="",0,U17/$S$5)</f>
        <v>0</v>
      </c>
      <c r="W17" s="585" t="str">
        <f aca="false">IF($B17="","",INDEX('Portfolio Bucket'!$C$2:$I$69,MATCH($B17,'Portfolio Bucket'!$C$2:$C$69,0),MATCH($W$4,'Portfolio Bucket'!$C$2:$I$2,0)))</f>
        <v/>
      </c>
      <c r="X17" s="579" t="n">
        <f aca="false">INDEX('Price Inputs'!$C$4:$J$49,MATCH($B17,'Price Inputs'!$C$4:$C$49,0),MATCH(W$4,'Price Inputs'!$C$4:$J$4,0))</f>
        <v>0</v>
      </c>
      <c r="Y17" s="580" t="str">
        <f aca="false">IF($B17="","",W17*X17)</f>
        <v/>
      </c>
      <c r="Z17" s="581" t="n">
        <f aca="false">IF($B17="",0,Y17/$W$5)</f>
        <v>0</v>
      </c>
    </row>
    <row r="18" customFormat="false" ht="15" hidden="false" customHeight="false" outlineLevel="0" collapsed="false">
      <c r="A18" s="0" t="n">
        <v>11</v>
      </c>
      <c r="B18" s="0" t="str">
        <f aca="false">'Current Portfolio'!C20</f>
        <v/>
      </c>
      <c r="C18" s="562" t="str">
        <f aca="false">IF(B18="","",INDEX('Portfolio Bucket'!$C$2:$I$69,MATCH(B18,'Portfolio Bucket'!$C$2:$C$69,0),MATCH($C$4,'Portfolio Bucket'!$C$2:$I$2,0)))</f>
        <v/>
      </c>
      <c r="D18" s="563" t="str">
        <f aca="false">INDEX('Price Inputs'!$C$4:$J$49,MATCH($B18,'Price Inputs'!$C$4:$C$49,0),MATCH(C$4,'Price Inputs'!$C$4:$J$4,0))</f>
        <v/>
      </c>
      <c r="E18" s="564" t="str">
        <f aca="false">IF($B18="","",C18*D18)</f>
        <v/>
      </c>
      <c r="F18" s="565" t="n">
        <f aca="false">IF($B18="",0,E18/$C$5)</f>
        <v>0</v>
      </c>
      <c r="G18" s="573" t="str">
        <f aca="false">IF($B18="","",INDEX('Portfolio Bucket'!$C$2:$I$69,MATCH($B18,'Portfolio Bucket'!$C$2:$C$69,0),MATCH($G$4,'Portfolio Bucket'!$C$2:$I$2,0)))</f>
        <v/>
      </c>
      <c r="H18" s="566" t="n">
        <f aca="false">INDEX('Price Inputs'!$C$4:$J$49,MATCH($B18,'Price Inputs'!$C$4:$C$49,0),MATCH(G$4,'Price Inputs'!$C$4:$J$4,0))</f>
        <v>0</v>
      </c>
      <c r="I18" s="567" t="str">
        <f aca="false">IF($B18="","",G18*H18)</f>
        <v/>
      </c>
      <c r="J18" s="568" t="n">
        <f aca="false">IF($B18="",0,I18/$G$5)</f>
        <v>0</v>
      </c>
      <c r="K18" s="569" t="str">
        <f aca="false">IF($B18="","",INDEX('Portfolio Bucket'!$C$2:$I$69,MATCH($B18,'Portfolio Bucket'!$C$2:$C$69,0),MATCH($K$4,'Portfolio Bucket'!$C$2:$I$2,0)))</f>
        <v/>
      </c>
      <c r="L18" s="563" t="n">
        <f aca="false">INDEX('Price Inputs'!$C$4:$J$49,MATCH($B18,'Price Inputs'!$C$4:$C$49,0),MATCH(K$4,'Price Inputs'!$C$4:$J$4,0))</f>
        <v>0</v>
      </c>
      <c r="M18" s="564" t="str">
        <f aca="false">IF($B18="","",K18*L18)</f>
        <v/>
      </c>
      <c r="N18" s="570" t="n">
        <f aca="false">IF($B18="",0,M18/$K$5)</f>
        <v>0</v>
      </c>
      <c r="O18" s="573" t="str">
        <f aca="false">IF($B18="","",INDEX('Portfolio Bucket'!$C$2:$I$69,MATCH($B18,'Portfolio Bucket'!$C$2:$C$69,0),MATCH($O$4,'Portfolio Bucket'!$C$2:$I$2,0)))</f>
        <v/>
      </c>
      <c r="P18" s="566" t="n">
        <f aca="false">INDEX('Price Inputs'!$C$4:$J$49,MATCH($B18,'Price Inputs'!$C$4:$C$49,0),MATCH(O$4,'Price Inputs'!$C$4:$J$4,0))</f>
        <v>0</v>
      </c>
      <c r="Q18" s="567" t="str">
        <f aca="false">IF($B18="","",O18*P18)</f>
        <v/>
      </c>
      <c r="R18" s="571" t="n">
        <f aca="false">IF($B18="",0,Q18/$O$5)</f>
        <v>0</v>
      </c>
      <c r="S18" s="569" t="str">
        <f aca="false">IF($B18="","",INDEX('Portfolio Bucket'!$C$2:$I$69,MATCH($B18,'Portfolio Bucket'!$C$2:$C$69,0),MATCH($S$4,'Portfolio Bucket'!$C$2:$I$2,0)))</f>
        <v/>
      </c>
      <c r="T18" s="563" t="n">
        <f aca="false">INDEX('Price Inputs'!$C$4:$J$49,MATCH($B18,'Price Inputs'!$C$4:$C$49,0),MATCH(S$4,'Price Inputs'!$C$4:$J$4,0))</f>
        <v>0</v>
      </c>
      <c r="U18" s="564" t="str">
        <f aca="false">IF($B18="","",S18*T18)</f>
        <v/>
      </c>
      <c r="V18" s="570" t="n">
        <f aca="false">IF($B18="",0,U18/$S$5)</f>
        <v>0</v>
      </c>
      <c r="W18" s="572" t="str">
        <f aca="false">IF($B18="","",INDEX('Portfolio Bucket'!$C$2:$I$69,MATCH($B18,'Portfolio Bucket'!$C$2:$C$69,0),MATCH($W$4,'Portfolio Bucket'!$C$2:$I$2,0)))</f>
        <v/>
      </c>
      <c r="X18" s="566" t="n">
        <f aca="false">INDEX('Price Inputs'!$C$4:$J$49,MATCH($B18,'Price Inputs'!$C$4:$C$49,0),MATCH(W$4,'Price Inputs'!$C$4:$J$4,0))</f>
        <v>0</v>
      </c>
      <c r="Y18" s="567" t="str">
        <f aca="false">IF($B18="","",W18*X18)</f>
        <v/>
      </c>
      <c r="Z18" s="568" t="n">
        <f aca="false">IF($B18="",0,Y18/$W$5)</f>
        <v>0</v>
      </c>
    </row>
    <row r="19" customFormat="false" ht="15" hidden="false" customHeight="false" outlineLevel="0" collapsed="false">
      <c r="A19" s="0" t="n">
        <v>12</v>
      </c>
      <c r="B19" s="0" t="str">
        <f aca="false">'Current Portfolio'!C21</f>
        <v/>
      </c>
      <c r="C19" s="562" t="str">
        <f aca="false">IF(B19="","",INDEX('Portfolio Bucket'!$C$2:$I$69,MATCH(B19,'Portfolio Bucket'!$C$2:$C$69,0),MATCH($C$4,'Portfolio Bucket'!$C$2:$I$2,0)))</f>
        <v/>
      </c>
      <c r="D19" s="563" t="str">
        <f aca="false">INDEX('Price Inputs'!$C$4:$J$49,MATCH($B19,'Price Inputs'!$C$4:$C$49,0),MATCH(C$4,'Price Inputs'!$C$4:$J$4,0))</f>
        <v/>
      </c>
      <c r="E19" s="564" t="str">
        <f aca="false">IF($B19="","",C19*D19)</f>
        <v/>
      </c>
      <c r="F19" s="565" t="n">
        <f aca="false">IF($B19="",0,E19/$C$5)</f>
        <v>0</v>
      </c>
      <c r="G19" s="573" t="str">
        <f aca="false">IF($B19="","",INDEX('Portfolio Bucket'!$C$2:$I$69,MATCH($B19,'Portfolio Bucket'!$C$2:$C$69,0),MATCH($G$4,'Portfolio Bucket'!$C$2:$I$2,0)))</f>
        <v/>
      </c>
      <c r="H19" s="566" t="n">
        <f aca="false">INDEX('Price Inputs'!$C$4:$J$49,MATCH($B19,'Price Inputs'!$C$4:$C$49,0),MATCH(G$4,'Price Inputs'!$C$4:$J$4,0))</f>
        <v>0</v>
      </c>
      <c r="I19" s="567" t="str">
        <f aca="false">IF($B19="","",G19*H19)</f>
        <v/>
      </c>
      <c r="J19" s="568" t="n">
        <f aca="false">IF($B19="",0,I19/$G$5)</f>
        <v>0</v>
      </c>
      <c r="K19" s="569" t="str">
        <f aca="false">IF($B19="","",INDEX('Portfolio Bucket'!$C$2:$I$69,MATCH($B19,'Portfolio Bucket'!$C$2:$C$69,0),MATCH($K$4,'Portfolio Bucket'!$C$2:$I$2,0)))</f>
        <v/>
      </c>
      <c r="L19" s="563" t="n">
        <f aca="false">INDEX('Price Inputs'!$C$4:$J$49,MATCH($B19,'Price Inputs'!$C$4:$C$49,0),MATCH(K$4,'Price Inputs'!$C$4:$J$4,0))</f>
        <v>0</v>
      </c>
      <c r="M19" s="564" t="str">
        <f aca="false">IF($B19="","",K19*L19)</f>
        <v/>
      </c>
      <c r="N19" s="570" t="n">
        <f aca="false">IF($B19="",0,M19/$K$5)</f>
        <v>0</v>
      </c>
      <c r="O19" s="573" t="str">
        <f aca="false">IF($B19="","",INDEX('Portfolio Bucket'!$C$2:$I$69,MATCH($B19,'Portfolio Bucket'!$C$2:$C$69,0),MATCH($O$4,'Portfolio Bucket'!$C$2:$I$2,0)))</f>
        <v/>
      </c>
      <c r="P19" s="567" t="n">
        <f aca="false">INDEX('Price Inputs'!$C$4:$J$49,MATCH($B19,'Price Inputs'!$C$4:$C$49,0),MATCH(O$4,'Price Inputs'!$C$4:$J$4,0))</f>
        <v>0</v>
      </c>
      <c r="Q19" s="567" t="str">
        <f aca="false">IF($B19="","",O19*P19)</f>
        <v/>
      </c>
      <c r="R19" s="571" t="n">
        <f aca="false">IF($B19="",0,Q19/$O$5)</f>
        <v>0</v>
      </c>
      <c r="S19" s="569" t="str">
        <f aca="false">IF($B19="","",INDEX('Portfolio Bucket'!$C$2:$I$69,MATCH($B19,'Portfolio Bucket'!$C$2:$C$69,0),MATCH($S$4,'Portfolio Bucket'!$C$2:$I$2,0)))</f>
        <v/>
      </c>
      <c r="T19" s="563" t="n">
        <f aca="false">INDEX('Price Inputs'!$C$4:$J$49,MATCH($B19,'Price Inputs'!$C$4:$C$49,0),MATCH(S$4,'Price Inputs'!$C$4:$J$4,0))</f>
        <v>0</v>
      </c>
      <c r="U19" s="564" t="str">
        <f aca="false">IF($B19="","",S19*T19)</f>
        <v/>
      </c>
      <c r="V19" s="570" t="n">
        <f aca="false">IF($B19="",0,U19/$S$5)</f>
        <v>0</v>
      </c>
      <c r="W19" s="572" t="str">
        <f aca="false">IF($B19="","",INDEX('Portfolio Bucket'!$C$2:$I$69,MATCH($B19,'Portfolio Bucket'!$C$2:$C$69,0),MATCH($W$4,'Portfolio Bucket'!$C$2:$I$2,0)))</f>
        <v/>
      </c>
      <c r="X19" s="566" t="n">
        <f aca="false">INDEX('Price Inputs'!$C$4:$J$49,MATCH($B19,'Price Inputs'!$C$4:$C$49,0),MATCH(W$4,'Price Inputs'!$C$4:$J$4,0))</f>
        <v>0</v>
      </c>
      <c r="Y19" s="567" t="str">
        <f aca="false">IF($B19="","",W19*X19)</f>
        <v/>
      </c>
      <c r="Z19" s="568" t="n">
        <f aca="false">IF($B19="",0,Y19/$W$5)</f>
        <v>0</v>
      </c>
    </row>
    <row r="20" customFormat="false" ht="15" hidden="false" customHeight="false" outlineLevel="0" collapsed="false">
      <c r="A20" s="0" t="n">
        <v>13</v>
      </c>
      <c r="B20" s="0" t="str">
        <f aca="false">'Current Portfolio'!C22</f>
        <v/>
      </c>
      <c r="C20" s="562" t="str">
        <f aca="false">IF(B20="","",INDEX('Portfolio Bucket'!$C$2:$I$69,MATCH(B20,'Portfolio Bucket'!$C$2:$C$69,0),MATCH($C$4,'Portfolio Bucket'!$C$2:$I$2,0)))</f>
        <v/>
      </c>
      <c r="D20" s="563" t="str">
        <f aca="false">INDEX('Price Inputs'!$C$4:$J$49,MATCH($B20,'Price Inputs'!$C$4:$C$49,0),MATCH(C$4,'Price Inputs'!$C$4:$J$4,0))</f>
        <v/>
      </c>
      <c r="E20" s="564" t="str">
        <f aca="false">IF($B20="","",C20*D20)</f>
        <v/>
      </c>
      <c r="F20" s="565" t="n">
        <f aca="false">IF($B20="",0,E20/$C$5)</f>
        <v>0</v>
      </c>
      <c r="G20" s="573" t="str">
        <f aca="false">IF($B20="","",INDEX('Portfolio Bucket'!$C$2:$I$69,MATCH($B20,'Portfolio Bucket'!$C$2:$C$69,0),MATCH($G$4,'Portfolio Bucket'!$C$2:$I$2,0)))</f>
        <v/>
      </c>
      <c r="H20" s="566" t="n">
        <f aca="false">INDEX('Price Inputs'!$C$4:$J$49,MATCH($B20,'Price Inputs'!$C$4:$C$49,0),MATCH(G$4,'Price Inputs'!$C$4:$J$4,0))</f>
        <v>0</v>
      </c>
      <c r="I20" s="567" t="str">
        <f aca="false">IF($B20="","",G20*H20)</f>
        <v/>
      </c>
      <c r="J20" s="568" t="n">
        <f aca="false">IF($B20="",0,I20/$G$5)</f>
        <v>0</v>
      </c>
      <c r="K20" s="569" t="str">
        <f aca="false">IF($B20="","",INDEX('Portfolio Bucket'!$C$2:$I$69,MATCH($B20,'Portfolio Bucket'!$C$2:$C$69,0),MATCH($K$4,'Portfolio Bucket'!$C$2:$I$2,0)))</f>
        <v/>
      </c>
      <c r="L20" s="563" t="n">
        <f aca="false">INDEX('Price Inputs'!$C$4:$J$49,MATCH($B20,'Price Inputs'!$C$4:$C$49,0),MATCH(K$4,'Price Inputs'!$C$4:$J$4,0))</f>
        <v>0</v>
      </c>
      <c r="M20" s="564" t="str">
        <f aca="false">IF($B20="","",K20*L20)</f>
        <v/>
      </c>
      <c r="N20" s="570" t="n">
        <f aca="false">IF($B20="",0,M20/$K$5)</f>
        <v>0</v>
      </c>
      <c r="O20" s="573" t="str">
        <f aca="false">IF($B20="","",INDEX('Portfolio Bucket'!$C$2:$I$69,MATCH($B20,'Portfolio Bucket'!$C$2:$C$69,0),MATCH($O$4,'Portfolio Bucket'!$C$2:$I$2,0)))</f>
        <v/>
      </c>
      <c r="P20" s="567" t="n">
        <f aca="false">INDEX('Price Inputs'!$C$4:$J$49,MATCH($B20,'Price Inputs'!$C$4:$C$49,0),MATCH(O$4,'Price Inputs'!$C$4:$J$4,0))</f>
        <v>0</v>
      </c>
      <c r="Q20" s="567" t="str">
        <f aca="false">IF($B20="","",O20*P20)</f>
        <v/>
      </c>
      <c r="R20" s="571" t="n">
        <f aca="false">IF($B20="",0,Q20/$O$5)</f>
        <v>0</v>
      </c>
      <c r="S20" s="569" t="str">
        <f aca="false">IF($B20="","",INDEX('Portfolio Bucket'!$C$2:$I$69,MATCH($B20,'Portfolio Bucket'!$C$2:$C$69,0),MATCH($S$4,'Portfolio Bucket'!$C$2:$I$2,0)))</f>
        <v/>
      </c>
      <c r="T20" s="563" t="n">
        <f aca="false">INDEX('Price Inputs'!$C$4:$J$49,MATCH($B20,'Price Inputs'!$C$4:$C$49,0),MATCH(S$4,'Price Inputs'!$C$4:$J$4,0))</f>
        <v>0</v>
      </c>
      <c r="U20" s="564" t="str">
        <f aca="false">IF($B20="","",S20*T20)</f>
        <v/>
      </c>
      <c r="V20" s="570" t="n">
        <f aca="false">IF($B20="",0,U20/$S$5)</f>
        <v>0</v>
      </c>
      <c r="W20" s="572" t="str">
        <f aca="false">IF($B20="","",INDEX('Portfolio Bucket'!$C$2:$I$69,MATCH($B20,'Portfolio Bucket'!$C$2:$C$69,0),MATCH($W$4,'Portfolio Bucket'!$C$2:$I$2,0)))</f>
        <v/>
      </c>
      <c r="X20" s="566" t="n">
        <f aca="false">INDEX('Price Inputs'!$C$4:$J$49,MATCH($B20,'Price Inputs'!$C$4:$C$49,0),MATCH(W$4,'Price Inputs'!$C$4:$J$4,0))</f>
        <v>0</v>
      </c>
      <c r="Y20" s="567" t="str">
        <f aca="false">IF($B20="","",W20*X20)</f>
        <v/>
      </c>
      <c r="Z20" s="568" t="n">
        <f aca="false">IF($B20="",0,Y20/$W$5)</f>
        <v>0</v>
      </c>
    </row>
    <row r="21" customFormat="false" ht="15" hidden="false" customHeight="false" outlineLevel="0" collapsed="false">
      <c r="A21" s="0" t="n">
        <v>14</v>
      </c>
      <c r="B21" s="0" t="str">
        <f aca="false">'Current Portfolio'!C23</f>
        <v/>
      </c>
      <c r="C21" s="562" t="str">
        <f aca="false">IF(B21="","",INDEX('Portfolio Bucket'!$C$2:$I$69,MATCH(B21,'Portfolio Bucket'!$C$2:$C$69,0),MATCH($C$4,'Portfolio Bucket'!$C$2:$I$2,0)))</f>
        <v/>
      </c>
      <c r="D21" s="563" t="str">
        <f aca="false">INDEX('Price Inputs'!$C$4:$J$49,MATCH($B21,'Price Inputs'!$C$4:$C$49,0),MATCH(C$4,'Price Inputs'!$C$4:$J$4,0))</f>
        <v/>
      </c>
      <c r="E21" s="564" t="str">
        <f aca="false">IF($B21="","",C21*D21)</f>
        <v/>
      </c>
      <c r="F21" s="565" t="n">
        <f aca="false">IF($B21="",0,E21/$C$5)</f>
        <v>0</v>
      </c>
      <c r="G21" s="573" t="str">
        <f aca="false">IF($B21="","",INDEX('Portfolio Bucket'!$C$2:$I$69,MATCH($B21,'Portfolio Bucket'!$C$2:$C$69,0),MATCH($G$4,'Portfolio Bucket'!$C$2:$I$2,0)))</f>
        <v/>
      </c>
      <c r="H21" s="566" t="n">
        <f aca="false">INDEX('Price Inputs'!$C$4:$J$49,MATCH($B21,'Price Inputs'!$C$4:$C$49,0),MATCH(G$4,'Price Inputs'!$C$4:$J$4,0))</f>
        <v>0</v>
      </c>
      <c r="I21" s="567" t="str">
        <f aca="false">IF($B21="","",G21*H21)</f>
        <v/>
      </c>
      <c r="J21" s="568" t="n">
        <f aca="false">IF($B21="",0,I21/$G$5)</f>
        <v>0</v>
      </c>
      <c r="K21" s="569" t="str">
        <f aca="false">IF($B21="","",INDEX('Portfolio Bucket'!$C$2:$I$69,MATCH($B21,'Portfolio Bucket'!$C$2:$C$69,0),MATCH($K$4,'Portfolio Bucket'!$C$2:$I$2,0)))</f>
        <v/>
      </c>
      <c r="L21" s="563" t="n">
        <f aca="false">INDEX('Price Inputs'!$C$4:$J$49,MATCH($B21,'Price Inputs'!$C$4:$C$49,0),MATCH(K$4,'Price Inputs'!$C$4:$J$4,0))</f>
        <v>0</v>
      </c>
      <c r="M21" s="564" t="str">
        <f aca="false">IF($B21="","",K21*L21)</f>
        <v/>
      </c>
      <c r="N21" s="570" t="n">
        <f aca="false">IF($B21="",0,M21/$K$5)</f>
        <v>0</v>
      </c>
      <c r="O21" s="573" t="str">
        <f aca="false">IF($B21="","",INDEX('Portfolio Bucket'!$C$2:$I$69,MATCH($B21,'Portfolio Bucket'!$C$2:$C$69,0),MATCH($O$4,'Portfolio Bucket'!$C$2:$I$2,0)))</f>
        <v/>
      </c>
      <c r="P21" s="567" t="n">
        <f aca="false">INDEX('Price Inputs'!$C$4:$J$49,MATCH($B21,'Price Inputs'!$C$4:$C$49,0),MATCH(O$4,'Price Inputs'!$C$4:$J$4,0))</f>
        <v>0</v>
      </c>
      <c r="Q21" s="567" t="str">
        <f aca="false">IF($B21="","",O21*P21)</f>
        <v/>
      </c>
      <c r="R21" s="571" t="n">
        <f aca="false">IF($B21="",0,Q21/$O$5)</f>
        <v>0</v>
      </c>
      <c r="S21" s="569" t="str">
        <f aca="false">IF($B21="","",INDEX('Portfolio Bucket'!$C$2:$I$69,MATCH($B21,'Portfolio Bucket'!$C$2:$C$69,0),MATCH($S$4,'Portfolio Bucket'!$C$2:$I$2,0)))</f>
        <v/>
      </c>
      <c r="T21" s="563" t="n">
        <f aca="false">INDEX('Price Inputs'!$C$4:$J$49,MATCH($B21,'Price Inputs'!$C$4:$C$49,0),MATCH(S$4,'Price Inputs'!$C$4:$J$4,0))</f>
        <v>0</v>
      </c>
      <c r="U21" s="564" t="str">
        <f aca="false">IF($B21="","",S21*T21)</f>
        <v/>
      </c>
      <c r="V21" s="570" t="n">
        <f aca="false">IF($B21="",0,U21/$S$5)</f>
        <v>0</v>
      </c>
      <c r="W21" s="572" t="str">
        <f aca="false">IF($B21="","",INDEX('Portfolio Bucket'!$C$2:$I$69,MATCH($B21,'Portfolio Bucket'!$C$2:$C$69,0),MATCH($W$4,'Portfolio Bucket'!$C$2:$I$2,0)))</f>
        <v/>
      </c>
      <c r="X21" s="566" t="n">
        <f aca="false">INDEX('Price Inputs'!$C$4:$J$49,MATCH($B21,'Price Inputs'!$C$4:$C$49,0),MATCH(W$4,'Price Inputs'!$C$4:$J$4,0))</f>
        <v>0</v>
      </c>
      <c r="Y21" s="567" t="str">
        <f aca="false">IF($B21="","",W21*X21)</f>
        <v/>
      </c>
      <c r="Z21" s="568" t="n">
        <f aca="false">IF($B21="",0,Y21/$W$5)</f>
        <v>0</v>
      </c>
    </row>
    <row r="22" customFormat="false" ht="15" hidden="false" customHeight="false" outlineLevel="0" collapsed="false">
      <c r="A22" s="0" t="n">
        <v>15</v>
      </c>
      <c r="B22" s="0" t="str">
        <f aca="false">'Current Portfolio'!C24</f>
        <v/>
      </c>
      <c r="C22" s="562" t="str">
        <f aca="false">IF(B22="","",INDEX('Portfolio Bucket'!$C$2:$I$69,MATCH(B22,'Portfolio Bucket'!$C$2:$C$69,0),MATCH($C$4,'Portfolio Bucket'!$C$2:$I$2,0)))</f>
        <v/>
      </c>
      <c r="D22" s="563" t="str">
        <f aca="false">INDEX('Price Inputs'!$C$4:$J$49,MATCH($B22,'Price Inputs'!$C$4:$C$49,0),MATCH(C$4,'Price Inputs'!$C$4:$J$4,0))</f>
        <v/>
      </c>
      <c r="E22" s="564" t="str">
        <f aca="false">IF($B22="","",C22*D22)</f>
        <v/>
      </c>
      <c r="F22" s="565" t="n">
        <f aca="false">IF($B22="",0,E22/$C$5)</f>
        <v>0</v>
      </c>
      <c r="G22" s="573" t="str">
        <f aca="false">IF($B22="","",INDEX('Portfolio Bucket'!$C$2:$I$69,MATCH($B22,'Portfolio Bucket'!$C$2:$C$69,0),MATCH($G$4,'Portfolio Bucket'!$C$2:$I$2,0)))</f>
        <v/>
      </c>
      <c r="H22" s="566" t="n">
        <f aca="false">INDEX('Price Inputs'!$C$4:$J$49,MATCH($B22,'Price Inputs'!$C$4:$C$49,0),MATCH(G$4,'Price Inputs'!$C$4:$J$4,0))</f>
        <v>0</v>
      </c>
      <c r="I22" s="567" t="str">
        <f aca="false">IF($B22="","",G22*H22)</f>
        <v/>
      </c>
      <c r="J22" s="568" t="n">
        <f aca="false">IF($B22="",0,I22/$G$5)</f>
        <v>0</v>
      </c>
      <c r="K22" s="569" t="str">
        <f aca="false">IF($B22="","",INDEX('Portfolio Bucket'!$C$2:$I$69,MATCH($B22,'Portfolio Bucket'!$C$2:$C$69,0),MATCH($K$4,'Portfolio Bucket'!$C$2:$I$2,0)))</f>
        <v/>
      </c>
      <c r="L22" s="563" t="n">
        <f aca="false">INDEX('Price Inputs'!$C$4:$J$49,MATCH($B22,'Price Inputs'!$C$4:$C$49,0),MATCH(K$4,'Price Inputs'!$C$4:$J$4,0))</f>
        <v>0</v>
      </c>
      <c r="M22" s="564" t="str">
        <f aca="false">IF($B22="","",K22*L22)</f>
        <v/>
      </c>
      <c r="N22" s="570" t="n">
        <f aca="false">IF($B22="",0,M22/$K$5)</f>
        <v>0</v>
      </c>
      <c r="O22" s="573" t="str">
        <f aca="false">IF($B22="","",INDEX('Portfolio Bucket'!$C$2:$I$69,MATCH($B22,'Portfolio Bucket'!$C$2:$C$69,0),MATCH($O$4,'Portfolio Bucket'!$C$2:$I$2,0)))</f>
        <v/>
      </c>
      <c r="P22" s="567" t="n">
        <f aca="false">INDEX('Price Inputs'!$C$4:$J$49,MATCH($B22,'Price Inputs'!$C$4:$C$49,0),MATCH(O$4,'Price Inputs'!$C$4:$J$4,0))</f>
        <v>0</v>
      </c>
      <c r="Q22" s="567" t="str">
        <f aca="false">IF($B22="","",O22*P22)</f>
        <v/>
      </c>
      <c r="R22" s="571" t="n">
        <f aca="false">IF($B22="",0,Q22/$O$5)</f>
        <v>0</v>
      </c>
      <c r="S22" s="569" t="str">
        <f aca="false">IF($B22="","",INDEX('Portfolio Bucket'!$C$2:$I$69,MATCH($B22,'Portfolio Bucket'!$C$2:$C$69,0),MATCH($S$4,'Portfolio Bucket'!$C$2:$I$2,0)))</f>
        <v/>
      </c>
      <c r="T22" s="563" t="n">
        <f aca="false">INDEX('Price Inputs'!$C$4:$J$49,MATCH($B22,'Price Inputs'!$C$4:$C$49,0),MATCH(S$4,'Price Inputs'!$C$4:$J$4,0))</f>
        <v>0</v>
      </c>
      <c r="U22" s="564" t="str">
        <f aca="false">IF($B22="","",S22*T22)</f>
        <v/>
      </c>
      <c r="V22" s="570" t="n">
        <f aca="false">IF($B22="",0,U22/$S$5)</f>
        <v>0</v>
      </c>
      <c r="W22" s="572" t="str">
        <f aca="false">IF($B22="","",INDEX('Portfolio Bucket'!$C$2:$I$69,MATCH($B22,'Portfolio Bucket'!$C$2:$C$69,0),MATCH($W$4,'Portfolio Bucket'!$C$2:$I$2,0)))</f>
        <v/>
      </c>
      <c r="X22" s="566" t="n">
        <f aca="false">INDEX('Price Inputs'!$C$4:$J$49,MATCH($B22,'Price Inputs'!$C$4:$C$49,0),MATCH(W$4,'Price Inputs'!$C$4:$J$4,0))</f>
        <v>0</v>
      </c>
      <c r="Y22" s="567" t="str">
        <f aca="false">IF($B22="","",W22*X22)</f>
        <v/>
      </c>
      <c r="Z22" s="568" t="n">
        <f aca="false">IF($B22="",0,Y22/$W$5)</f>
        <v>0</v>
      </c>
    </row>
    <row r="23" customFormat="false" ht="15" hidden="false" customHeight="false" outlineLevel="0" collapsed="false">
      <c r="A23" s="0" t="n">
        <v>16</v>
      </c>
      <c r="B23" s="0" t="str">
        <f aca="false">'Current Portfolio'!C25</f>
        <v/>
      </c>
      <c r="C23" s="562" t="str">
        <f aca="false">IF(B23="","",INDEX('Portfolio Bucket'!$C$2:$I$69,MATCH(B23,'Portfolio Bucket'!$C$2:$C$69,0),MATCH($C$4,'Portfolio Bucket'!$C$2:$I$2,0)))</f>
        <v/>
      </c>
      <c r="D23" s="563" t="str">
        <f aca="false">INDEX('Price Inputs'!$C$4:$J$49,MATCH($B23,'Price Inputs'!$C$4:$C$49,0),MATCH(C$4,'Price Inputs'!$C$4:$J$4,0))</f>
        <v/>
      </c>
      <c r="E23" s="564" t="str">
        <f aca="false">IF($B23="","",C23*D23)</f>
        <v/>
      </c>
      <c r="F23" s="565" t="n">
        <f aca="false">IF($B23="",0,E23/$C$5)</f>
        <v>0</v>
      </c>
      <c r="G23" s="573" t="str">
        <f aca="false">IF($B23="","",INDEX('Portfolio Bucket'!$C$2:$I$69,MATCH($B23,'Portfolio Bucket'!$C$2:$C$69,0),MATCH($G$4,'Portfolio Bucket'!$C$2:$I$2,0)))</f>
        <v/>
      </c>
      <c r="H23" s="566" t="n">
        <f aca="false">INDEX('Price Inputs'!$C$4:$J$49,MATCH($B23,'Price Inputs'!$C$4:$C$49,0),MATCH(G$4,'Price Inputs'!$C$4:$J$4,0))</f>
        <v>0</v>
      </c>
      <c r="I23" s="567" t="str">
        <f aca="false">IF($B23="","",G23*H23)</f>
        <v/>
      </c>
      <c r="J23" s="568" t="n">
        <f aca="false">IF($B23="",0,I23/$G$5)</f>
        <v>0</v>
      </c>
      <c r="K23" s="569" t="str">
        <f aca="false">IF($B23="","",INDEX('Portfolio Bucket'!$C$2:$I$69,MATCH($B23,'Portfolio Bucket'!$C$2:$C$69,0),MATCH($K$4,'Portfolio Bucket'!$C$2:$I$2,0)))</f>
        <v/>
      </c>
      <c r="L23" s="563" t="n">
        <f aca="false">INDEX('Price Inputs'!$C$4:$J$49,MATCH($B23,'Price Inputs'!$C$4:$C$49,0),MATCH(K$4,'Price Inputs'!$C$4:$J$4,0))</f>
        <v>0</v>
      </c>
      <c r="M23" s="564" t="str">
        <f aca="false">IF($B23="","",K23*L23)</f>
        <v/>
      </c>
      <c r="N23" s="570" t="n">
        <f aca="false">IF($B23="",0,M23/$K$5)</f>
        <v>0</v>
      </c>
      <c r="O23" s="573" t="str">
        <f aca="false">IF($B23="","",INDEX('Portfolio Bucket'!$C$2:$I$69,MATCH($B23,'Portfolio Bucket'!$C$2:$C$69,0),MATCH($O$4,'Portfolio Bucket'!$C$2:$I$2,0)))</f>
        <v/>
      </c>
      <c r="P23" s="567" t="n">
        <f aca="false">INDEX('Price Inputs'!$C$4:$J$49,MATCH($B23,'Price Inputs'!$C$4:$C$49,0),MATCH(O$4,'Price Inputs'!$C$4:$J$4,0))</f>
        <v>0</v>
      </c>
      <c r="Q23" s="567" t="str">
        <f aca="false">IF($B23="","",O23*P23)</f>
        <v/>
      </c>
      <c r="R23" s="571" t="n">
        <f aca="false">IF($B23="",0,Q23/$O$5)</f>
        <v>0</v>
      </c>
      <c r="S23" s="569" t="str">
        <f aca="false">IF($B23="","",INDEX('Portfolio Bucket'!$C$2:$I$69,MATCH($B23,'Portfolio Bucket'!$C$2:$C$69,0),MATCH($S$4,'Portfolio Bucket'!$C$2:$I$2,0)))</f>
        <v/>
      </c>
      <c r="T23" s="563" t="n">
        <f aca="false">INDEX('Price Inputs'!$C$4:$J$49,MATCH($B23,'Price Inputs'!$C$4:$C$49,0),MATCH(S$4,'Price Inputs'!$C$4:$J$4,0))</f>
        <v>0</v>
      </c>
      <c r="U23" s="564" t="str">
        <f aca="false">IF($B23="","",S23*T23)</f>
        <v/>
      </c>
      <c r="V23" s="570" t="n">
        <f aca="false">IF($B23="",0,U23/$S$5)</f>
        <v>0</v>
      </c>
      <c r="W23" s="572" t="str">
        <f aca="false">IF($B23="","",INDEX('Portfolio Bucket'!$C$2:$I$69,MATCH($B23,'Portfolio Bucket'!$C$2:$C$69,0),MATCH($W$4,'Portfolio Bucket'!$C$2:$I$2,0)))</f>
        <v/>
      </c>
      <c r="X23" s="566" t="n">
        <f aca="false">INDEX('Price Inputs'!$C$4:$J$49,MATCH($B23,'Price Inputs'!$C$4:$C$49,0),MATCH(W$4,'Price Inputs'!$C$4:$J$4,0))</f>
        <v>0</v>
      </c>
      <c r="Y23" s="567" t="str">
        <f aca="false">IF($B23="","",W23*X23)</f>
        <v/>
      </c>
      <c r="Z23" s="568" t="n">
        <f aca="false">IF($B23="",0,Y23/$W$5)</f>
        <v>0</v>
      </c>
    </row>
    <row r="24" customFormat="false" ht="15" hidden="false" customHeight="false" outlineLevel="0" collapsed="false">
      <c r="A24" s="0" t="n">
        <v>17</v>
      </c>
      <c r="B24" s="0" t="str">
        <f aca="false">'Current Portfolio'!C26</f>
        <v/>
      </c>
      <c r="C24" s="562" t="str">
        <f aca="false">IF(B24="","",INDEX('Portfolio Bucket'!$C$2:$I$69,MATCH(B24,'Portfolio Bucket'!$C$2:$C$69,0),MATCH($C$4,'Portfolio Bucket'!$C$2:$I$2,0)))</f>
        <v/>
      </c>
      <c r="D24" s="563" t="str">
        <f aca="false">INDEX('Price Inputs'!$C$4:$J$49,MATCH($B24,'Price Inputs'!$C$4:$C$49,0),MATCH(C$4,'Price Inputs'!$C$4:$J$4,0))</f>
        <v/>
      </c>
      <c r="E24" s="564" t="str">
        <f aca="false">IF($B24="","",C24*D24)</f>
        <v/>
      </c>
      <c r="F24" s="565" t="n">
        <f aca="false">IF($B24="",0,E24/$C$5)</f>
        <v>0</v>
      </c>
      <c r="G24" s="573" t="str">
        <f aca="false">IF($B24="","",INDEX('Portfolio Bucket'!$C$2:$I$69,MATCH($B24,'Portfolio Bucket'!$C$2:$C$69,0),MATCH($G$4,'Portfolio Bucket'!$C$2:$I$2,0)))</f>
        <v/>
      </c>
      <c r="H24" s="566" t="n">
        <f aca="false">INDEX('Price Inputs'!$C$4:$J$49,MATCH($B24,'Price Inputs'!$C$4:$C$49,0),MATCH(G$4,'Price Inputs'!$C$4:$J$4,0))</f>
        <v>0</v>
      </c>
      <c r="I24" s="567" t="str">
        <f aca="false">IF($B24="","",G24*H24)</f>
        <v/>
      </c>
      <c r="J24" s="568" t="n">
        <f aca="false">IF($B24="",0,I24/$G$5)</f>
        <v>0</v>
      </c>
      <c r="K24" s="569" t="str">
        <f aca="false">IF($B24="","",INDEX('Portfolio Bucket'!$C$2:$I$69,MATCH($B24,'Portfolio Bucket'!$C$2:$C$69,0),MATCH($K$4,'Portfolio Bucket'!$C$2:$I$2,0)))</f>
        <v/>
      </c>
      <c r="L24" s="563" t="n">
        <f aca="false">INDEX('Price Inputs'!$C$4:$J$49,MATCH($B24,'Price Inputs'!$C$4:$C$49,0),MATCH(K$4,'Price Inputs'!$C$4:$J$4,0))</f>
        <v>0</v>
      </c>
      <c r="M24" s="564" t="str">
        <f aca="false">IF($B24="","",K24*L24)</f>
        <v/>
      </c>
      <c r="N24" s="570" t="n">
        <f aca="false">IF($B24="",0,M24/$K$5)</f>
        <v>0</v>
      </c>
      <c r="O24" s="573" t="str">
        <f aca="false">IF($B24="","",INDEX('Portfolio Bucket'!$C$2:$I$69,MATCH($B24,'Portfolio Bucket'!$C$2:$C$69,0),MATCH($O$4,'Portfolio Bucket'!$C$2:$I$2,0)))</f>
        <v/>
      </c>
      <c r="P24" s="567" t="n">
        <f aca="false">INDEX('Price Inputs'!$C$4:$J$49,MATCH($B24,'Price Inputs'!$C$4:$C$49,0),MATCH(O$4,'Price Inputs'!$C$4:$J$4,0))</f>
        <v>0</v>
      </c>
      <c r="Q24" s="567" t="str">
        <f aca="false">IF($B24="","",O24*P24)</f>
        <v/>
      </c>
      <c r="R24" s="571" t="n">
        <f aca="false">IF($B24="",0,Q24/$O$5)</f>
        <v>0</v>
      </c>
      <c r="S24" s="569" t="str">
        <f aca="false">IF($B24="","",INDEX('Portfolio Bucket'!$C$2:$I$69,MATCH($B24,'Portfolio Bucket'!$C$2:$C$69,0),MATCH($S$4,'Portfolio Bucket'!$C$2:$I$2,0)))</f>
        <v/>
      </c>
      <c r="T24" s="563" t="n">
        <f aca="false">INDEX('Price Inputs'!$C$4:$J$49,MATCH($B24,'Price Inputs'!$C$4:$C$49,0),MATCH(S$4,'Price Inputs'!$C$4:$J$4,0))</f>
        <v>0</v>
      </c>
      <c r="U24" s="564" t="str">
        <f aca="false">IF($B24="","",S24*T24)</f>
        <v/>
      </c>
      <c r="V24" s="570" t="n">
        <f aca="false">IF($B24="",0,U24/$S$5)</f>
        <v>0</v>
      </c>
      <c r="W24" s="572" t="str">
        <f aca="false">IF($B24="","",INDEX('Portfolio Bucket'!$C$2:$I$69,MATCH($B24,'Portfolio Bucket'!$C$2:$C$69,0),MATCH($W$4,'Portfolio Bucket'!$C$2:$I$2,0)))</f>
        <v/>
      </c>
      <c r="X24" s="566" t="n">
        <f aca="false">INDEX('Price Inputs'!$C$4:$J$49,MATCH($B24,'Price Inputs'!$C$4:$C$49,0),MATCH(W$4,'Price Inputs'!$C$4:$J$4,0))</f>
        <v>0</v>
      </c>
      <c r="Y24" s="567" t="str">
        <f aca="false">IF($B24="","",W24*X24)</f>
        <v/>
      </c>
      <c r="Z24" s="568" t="n">
        <f aca="false">IF($B24="",0,Y24/$W$5)</f>
        <v>0</v>
      </c>
    </row>
    <row r="25" customFormat="false" ht="15" hidden="false" customHeight="false" outlineLevel="0" collapsed="false">
      <c r="A25" s="0" t="n">
        <v>18</v>
      </c>
      <c r="B25" s="0" t="str">
        <f aca="false">'Current Portfolio'!C27</f>
        <v/>
      </c>
      <c r="C25" s="562" t="str">
        <f aca="false">IF(B25="","",INDEX('Portfolio Bucket'!$C$2:$I$69,MATCH(B25,'Portfolio Bucket'!$C$2:$C$69,0),MATCH($C$4,'Portfolio Bucket'!$C$2:$I$2,0)))</f>
        <v/>
      </c>
      <c r="D25" s="563" t="str">
        <f aca="false">INDEX('Price Inputs'!$C$4:$J$49,MATCH($B25,'Price Inputs'!$C$4:$C$49,0),MATCH(C$4,'Price Inputs'!$C$4:$J$4,0))</f>
        <v/>
      </c>
      <c r="E25" s="564" t="str">
        <f aca="false">IF($B25="","",C25*D25)</f>
        <v/>
      </c>
      <c r="F25" s="565" t="n">
        <f aca="false">IF($B25="",0,E25/$C$5)</f>
        <v>0</v>
      </c>
      <c r="G25" s="573" t="str">
        <f aca="false">IF($B25="","",INDEX('Portfolio Bucket'!$C$2:$I$69,MATCH($B25,'Portfolio Bucket'!$C$2:$C$69,0),MATCH($G$4,'Portfolio Bucket'!$C$2:$I$2,0)))</f>
        <v/>
      </c>
      <c r="H25" s="566" t="n">
        <f aca="false">INDEX('Price Inputs'!$C$4:$J$49,MATCH($B25,'Price Inputs'!$C$4:$C$49,0),MATCH(G$4,'Price Inputs'!$C$4:$J$4,0))</f>
        <v>0</v>
      </c>
      <c r="I25" s="567" t="str">
        <f aca="false">IF($B25="","",G25*H25)</f>
        <v/>
      </c>
      <c r="J25" s="568" t="n">
        <f aca="false">IF($B25="",0,I25/$G$5)</f>
        <v>0</v>
      </c>
      <c r="K25" s="569" t="str">
        <f aca="false">IF($B25="","",INDEX('Portfolio Bucket'!$C$2:$I$69,MATCH($B25,'Portfolio Bucket'!$C$2:$C$69,0),MATCH($K$4,'Portfolio Bucket'!$C$2:$I$2,0)))</f>
        <v/>
      </c>
      <c r="L25" s="563" t="n">
        <f aca="false">INDEX('Price Inputs'!$C$4:$J$49,MATCH($B25,'Price Inputs'!$C$4:$C$49,0),MATCH(K$4,'Price Inputs'!$C$4:$J$4,0))</f>
        <v>0</v>
      </c>
      <c r="M25" s="564" t="str">
        <f aca="false">IF($B25="","",K25*L25)</f>
        <v/>
      </c>
      <c r="N25" s="570" t="n">
        <f aca="false">IF($B25="",0,M25/$K$5)</f>
        <v>0</v>
      </c>
      <c r="O25" s="573" t="str">
        <f aca="false">IF($B25="","",INDEX('Portfolio Bucket'!$C$2:$I$69,MATCH($B25,'Portfolio Bucket'!$C$2:$C$69,0),MATCH($O$4,'Portfolio Bucket'!$C$2:$I$2,0)))</f>
        <v/>
      </c>
      <c r="P25" s="567" t="n">
        <f aca="false">INDEX('Price Inputs'!$C$4:$J$49,MATCH($B25,'Price Inputs'!$C$4:$C$49,0),MATCH(O$4,'Price Inputs'!$C$4:$J$4,0))</f>
        <v>0</v>
      </c>
      <c r="Q25" s="567" t="str">
        <f aca="false">IF($B25="","",O25*P25)</f>
        <v/>
      </c>
      <c r="R25" s="571" t="n">
        <f aca="false">IF($B25="",0,Q25/$O$5)</f>
        <v>0</v>
      </c>
      <c r="S25" s="569" t="str">
        <f aca="false">IF($B25="","",INDEX('Portfolio Bucket'!$C$2:$I$69,MATCH($B25,'Portfolio Bucket'!$C$2:$C$69,0),MATCH($S$4,'Portfolio Bucket'!$C$2:$I$2,0)))</f>
        <v/>
      </c>
      <c r="T25" s="563" t="n">
        <f aca="false">INDEX('Price Inputs'!$C$4:$J$49,MATCH($B25,'Price Inputs'!$C$4:$C$49,0),MATCH(S$4,'Price Inputs'!$C$4:$J$4,0))</f>
        <v>0</v>
      </c>
      <c r="U25" s="564" t="str">
        <f aca="false">IF($B25="","",S25*T25)</f>
        <v/>
      </c>
      <c r="V25" s="570" t="n">
        <f aca="false">IF($B25="",0,U25/$S$5)</f>
        <v>0</v>
      </c>
      <c r="W25" s="572" t="str">
        <f aca="false">IF($B25="","",INDEX('Portfolio Bucket'!$C$2:$I$69,MATCH($B25,'Portfolio Bucket'!$C$2:$C$69,0),MATCH($W$4,'Portfolio Bucket'!$C$2:$I$2,0)))</f>
        <v/>
      </c>
      <c r="X25" s="566" t="n">
        <f aca="false">INDEX('Price Inputs'!$C$4:$J$49,MATCH($B25,'Price Inputs'!$C$4:$C$49,0),MATCH(W$4,'Price Inputs'!$C$4:$J$4,0))</f>
        <v>0</v>
      </c>
      <c r="Y25" s="567" t="str">
        <f aca="false">IF($B25="","",W25*X25)</f>
        <v/>
      </c>
      <c r="Z25" s="568" t="n">
        <f aca="false">IF($B25="",0,Y25/$W$5)</f>
        <v>0</v>
      </c>
    </row>
    <row r="26" customFormat="false" ht="15" hidden="false" customHeight="false" outlineLevel="0" collapsed="false">
      <c r="A26" s="0" t="n">
        <v>19</v>
      </c>
      <c r="B26" s="0" t="str">
        <f aca="false">'Current Portfolio'!C28</f>
        <v/>
      </c>
      <c r="C26" s="562" t="str">
        <f aca="false">IF(B26="","",INDEX('Portfolio Bucket'!$C$2:$I$69,MATCH(B26,'Portfolio Bucket'!$C$2:$C$69,0),MATCH($C$4,'Portfolio Bucket'!$C$2:$I$2,0)))</f>
        <v/>
      </c>
      <c r="D26" s="563" t="str">
        <f aca="false">INDEX('Price Inputs'!$C$4:$J$49,MATCH($B26,'Price Inputs'!$C$4:$C$49,0),MATCH(C$4,'Price Inputs'!$C$4:$J$4,0))</f>
        <v/>
      </c>
      <c r="E26" s="564" t="str">
        <f aca="false">IF($B26="","",C26*D26)</f>
        <v/>
      </c>
      <c r="F26" s="565" t="n">
        <f aca="false">IF($B26="",0,E26/$C$5)</f>
        <v>0</v>
      </c>
      <c r="G26" s="573" t="str">
        <f aca="false">IF($B26="","",INDEX('Portfolio Bucket'!$C$2:$I$69,MATCH($B26,'Portfolio Bucket'!$C$2:$C$69,0),MATCH($G$4,'Portfolio Bucket'!$C$2:$I$2,0)))</f>
        <v/>
      </c>
      <c r="H26" s="566" t="n">
        <f aca="false">INDEX('Price Inputs'!$C$4:$J$49,MATCH($B26,'Price Inputs'!$C$4:$C$49,0),MATCH(G$4,'Price Inputs'!$C$4:$J$4,0))</f>
        <v>0</v>
      </c>
      <c r="I26" s="567" t="str">
        <f aca="false">IF($B26="","",G26*H26)</f>
        <v/>
      </c>
      <c r="J26" s="568" t="n">
        <f aca="false">IF($B26="",0,I26/$G$5)</f>
        <v>0</v>
      </c>
      <c r="K26" s="569" t="str">
        <f aca="false">IF($B26="","",INDEX('Portfolio Bucket'!$C$2:$I$69,MATCH($B26,'Portfolio Bucket'!$C$2:$C$69,0),MATCH($K$4,'Portfolio Bucket'!$C$2:$I$2,0)))</f>
        <v/>
      </c>
      <c r="L26" s="563" t="n">
        <f aca="false">INDEX('Price Inputs'!$C$4:$J$49,MATCH($B26,'Price Inputs'!$C$4:$C$49,0),MATCH(K$4,'Price Inputs'!$C$4:$J$4,0))</f>
        <v>0</v>
      </c>
      <c r="M26" s="564" t="str">
        <f aca="false">IF($B26="","",K26*L26)</f>
        <v/>
      </c>
      <c r="N26" s="570" t="n">
        <f aca="false">IF($B26="",0,M26/$K$5)</f>
        <v>0</v>
      </c>
      <c r="O26" s="573" t="str">
        <f aca="false">IF($B26="","",INDEX('Portfolio Bucket'!$C$2:$I$69,MATCH($B26,'Portfolio Bucket'!$C$2:$C$69,0),MATCH($O$4,'Portfolio Bucket'!$C$2:$I$2,0)))</f>
        <v/>
      </c>
      <c r="P26" s="567" t="n">
        <f aca="false">INDEX('Price Inputs'!$C$4:$J$49,MATCH($B26,'Price Inputs'!$C$4:$C$49,0),MATCH(O$4,'Price Inputs'!$C$4:$J$4,0))</f>
        <v>0</v>
      </c>
      <c r="Q26" s="567" t="str">
        <f aca="false">IF($B26="","",O26*P26)</f>
        <v/>
      </c>
      <c r="R26" s="571" t="n">
        <f aca="false">IF($B26="",0,Q26/$O$5)</f>
        <v>0</v>
      </c>
      <c r="S26" s="569" t="str">
        <f aca="false">IF($B26="","",INDEX('Portfolio Bucket'!$C$2:$I$69,MATCH($B26,'Portfolio Bucket'!$C$2:$C$69,0),MATCH($S$4,'Portfolio Bucket'!$C$2:$I$2,0)))</f>
        <v/>
      </c>
      <c r="T26" s="563" t="n">
        <f aca="false">INDEX('Price Inputs'!$C$4:$J$49,MATCH($B26,'Price Inputs'!$C$4:$C$49,0),MATCH(S$4,'Price Inputs'!$C$4:$J$4,0))</f>
        <v>0</v>
      </c>
      <c r="U26" s="564" t="str">
        <f aca="false">IF($B26="","",S26*T26)</f>
        <v/>
      </c>
      <c r="V26" s="570" t="n">
        <f aca="false">IF($B26="",0,U26/$S$5)</f>
        <v>0</v>
      </c>
      <c r="W26" s="572" t="str">
        <f aca="false">IF($B26="","",INDEX('Portfolio Bucket'!$C$2:$I$69,MATCH($B26,'Portfolio Bucket'!$C$2:$C$69,0),MATCH($W$4,'Portfolio Bucket'!$C$2:$I$2,0)))</f>
        <v/>
      </c>
      <c r="X26" s="566" t="n">
        <f aca="false">INDEX('Price Inputs'!$C$4:$J$49,MATCH($B26,'Price Inputs'!$C$4:$C$49,0),MATCH(W$4,'Price Inputs'!$C$4:$J$4,0))</f>
        <v>0</v>
      </c>
      <c r="Y26" s="567" t="str">
        <f aca="false">IF($B26="","",W26*X26)</f>
        <v/>
      </c>
      <c r="Z26" s="568" t="n">
        <f aca="false">IF($B26="",0,Y26/$W$5)</f>
        <v>0</v>
      </c>
    </row>
    <row r="27" customFormat="false" ht="15" hidden="false" customHeight="false" outlineLevel="0" collapsed="false">
      <c r="A27" s="0" t="n">
        <v>20</v>
      </c>
      <c r="B27" s="0" t="str">
        <f aca="false">'Current Portfolio'!C29</f>
        <v/>
      </c>
      <c r="C27" s="562" t="str">
        <f aca="false">IF(B27="","",INDEX('Portfolio Bucket'!$C$2:$I$69,MATCH(B27,'Portfolio Bucket'!$C$2:$C$69,0),MATCH($C$4,'Portfolio Bucket'!$C$2:$I$2,0)))</f>
        <v/>
      </c>
      <c r="D27" s="563" t="str">
        <f aca="false">INDEX('Price Inputs'!$C$4:$J$49,MATCH($B27,'Price Inputs'!$C$4:$C$49,0),MATCH(C$4,'Price Inputs'!$C$4:$J$4,0))</f>
        <v/>
      </c>
      <c r="E27" s="564" t="str">
        <f aca="false">IF($B27="","",C27*D27)</f>
        <v/>
      </c>
      <c r="F27" s="565" t="n">
        <f aca="false">IF($B27="",0,E27/$C$5)</f>
        <v>0</v>
      </c>
      <c r="G27" s="573" t="str">
        <f aca="false">IF($B27="","",INDEX('Portfolio Bucket'!$C$2:$I$69,MATCH($B27,'Portfolio Bucket'!$C$2:$C$69,0),MATCH($G$4,'Portfolio Bucket'!$C$2:$I$2,0)))</f>
        <v/>
      </c>
      <c r="H27" s="566" t="n">
        <f aca="false">INDEX('Price Inputs'!$C$4:$J$49,MATCH($B27,'Price Inputs'!$C$4:$C$49,0),MATCH(G$4,'Price Inputs'!$C$4:$J$4,0))</f>
        <v>0</v>
      </c>
      <c r="I27" s="567" t="str">
        <f aca="false">IF($B27="","",G27*H27)</f>
        <v/>
      </c>
      <c r="J27" s="568" t="n">
        <f aca="false">IF($B27="",0,I27/$G$5)</f>
        <v>0</v>
      </c>
      <c r="K27" s="569" t="str">
        <f aca="false">IF($B27="","",INDEX('Portfolio Bucket'!$C$2:$I$69,MATCH($B27,'Portfolio Bucket'!$C$2:$C$69,0),MATCH($K$4,'Portfolio Bucket'!$C$2:$I$2,0)))</f>
        <v/>
      </c>
      <c r="L27" s="563" t="n">
        <f aca="false">INDEX('Price Inputs'!$C$4:$J$49,MATCH($B27,'Price Inputs'!$C$4:$C$49,0),MATCH(K$4,'Price Inputs'!$C$4:$J$4,0))</f>
        <v>0</v>
      </c>
      <c r="M27" s="564" t="str">
        <f aca="false">IF($B27="","",K27*L27)</f>
        <v/>
      </c>
      <c r="N27" s="570" t="n">
        <f aca="false">IF($B27="",0,M27/$K$5)</f>
        <v>0</v>
      </c>
      <c r="O27" s="573" t="str">
        <f aca="false">IF($B27="","",INDEX('Portfolio Bucket'!$C$2:$I$69,MATCH($B27,'Portfolio Bucket'!$C$2:$C$69,0),MATCH($O$4,'Portfolio Bucket'!$C$2:$I$2,0)))</f>
        <v/>
      </c>
      <c r="P27" s="567" t="n">
        <f aca="false">INDEX('Price Inputs'!$C$4:$J$49,MATCH($B27,'Price Inputs'!$C$4:$C$49,0),MATCH(O$4,'Price Inputs'!$C$4:$J$4,0))</f>
        <v>0</v>
      </c>
      <c r="Q27" s="567" t="str">
        <f aca="false">IF($B27="","",O27*P27)</f>
        <v/>
      </c>
      <c r="R27" s="571" t="n">
        <f aca="false">IF($B27="",0,Q27/$O$5)</f>
        <v>0</v>
      </c>
      <c r="S27" s="569" t="str">
        <f aca="false">IF($B27="","",INDEX('Portfolio Bucket'!$C$2:$I$69,MATCH($B27,'Portfolio Bucket'!$C$2:$C$69,0),MATCH($S$4,'Portfolio Bucket'!$C$2:$I$2,0)))</f>
        <v/>
      </c>
      <c r="T27" s="563" t="n">
        <f aca="false">INDEX('Price Inputs'!$C$4:$J$49,MATCH($B27,'Price Inputs'!$C$4:$C$49,0),MATCH(S$4,'Price Inputs'!$C$4:$J$4,0))</f>
        <v>0</v>
      </c>
      <c r="U27" s="564" t="str">
        <f aca="false">IF($B27="","",S27*T27)</f>
        <v/>
      </c>
      <c r="V27" s="570" t="n">
        <f aca="false">IF($B27="",0,U27/$S$5)</f>
        <v>0</v>
      </c>
      <c r="W27" s="572" t="str">
        <f aca="false">IF($B27="","",INDEX('Portfolio Bucket'!$C$2:$I$69,MATCH($B27,'Portfolio Bucket'!$C$2:$C$69,0),MATCH($W$4,'Portfolio Bucket'!$C$2:$I$2,0)))</f>
        <v/>
      </c>
      <c r="X27" s="566" t="n">
        <f aca="false">INDEX('Price Inputs'!$C$4:$J$49,MATCH($B27,'Price Inputs'!$C$4:$C$49,0),MATCH(W$4,'Price Inputs'!$C$4:$J$4,0))</f>
        <v>0</v>
      </c>
      <c r="Y27" s="567" t="str">
        <f aca="false">IF($B27="","",W27*X27)</f>
        <v/>
      </c>
      <c r="Z27" s="568" t="n">
        <f aca="false">IF($B27="",0,Y27/$W$5)</f>
        <v>0</v>
      </c>
    </row>
    <row r="28" customFormat="false" ht="15" hidden="false" customHeight="false" outlineLevel="0" collapsed="false">
      <c r="A28" s="0" t="n">
        <v>21</v>
      </c>
      <c r="B28" s="0" t="str">
        <f aca="false">'Current Portfolio'!C30</f>
        <v/>
      </c>
      <c r="C28" s="562" t="str">
        <f aca="false">IF(B28="","",INDEX('Portfolio Bucket'!$C$2:$I$69,MATCH(B28,'Portfolio Bucket'!$C$2:$C$69,0),MATCH($C$4,'Portfolio Bucket'!$C$2:$I$2,0)))</f>
        <v/>
      </c>
      <c r="D28" s="563" t="str">
        <f aca="false">INDEX('Price Inputs'!$C$4:$J$49,MATCH($B28,'Price Inputs'!$C$4:$C$49,0),MATCH(C$4,'Price Inputs'!$C$4:$J$4,0))</f>
        <v/>
      </c>
      <c r="E28" s="564" t="str">
        <f aca="false">IF($B28="","",C28*D28)</f>
        <v/>
      </c>
      <c r="F28" s="565" t="n">
        <f aca="false">IF($B28="",0,E28/$C$5)</f>
        <v>0</v>
      </c>
      <c r="G28" s="573" t="str">
        <f aca="false">IF($B28="","",INDEX('Portfolio Bucket'!$C$2:$I$69,MATCH($B28,'Portfolio Bucket'!$C$2:$C$69,0),MATCH($G$4,'Portfolio Bucket'!$C$2:$I$2,0)))</f>
        <v/>
      </c>
      <c r="H28" s="566" t="n">
        <f aca="false">INDEX('Price Inputs'!$C$4:$J$49,MATCH($B28,'Price Inputs'!$C$4:$C$49,0),MATCH(G$4,'Price Inputs'!$C$4:$J$4,0))</f>
        <v>0</v>
      </c>
      <c r="I28" s="567" t="str">
        <f aca="false">IF($B28="","",G28*H28)</f>
        <v/>
      </c>
      <c r="J28" s="568" t="n">
        <f aca="false">IF($B28="",0,I28/$G$5)</f>
        <v>0</v>
      </c>
      <c r="K28" s="569" t="str">
        <f aca="false">IF($B28="","",INDEX('Portfolio Bucket'!$C$2:$I$69,MATCH($B28,'Portfolio Bucket'!$C$2:$C$69,0),MATCH($K$4,'Portfolio Bucket'!$C$2:$I$2,0)))</f>
        <v/>
      </c>
      <c r="L28" s="563" t="n">
        <f aca="false">INDEX('Price Inputs'!$C$4:$J$49,MATCH($B28,'Price Inputs'!$C$4:$C$49,0),MATCH(K$4,'Price Inputs'!$C$4:$J$4,0))</f>
        <v>0</v>
      </c>
      <c r="M28" s="564" t="str">
        <f aca="false">IF($B28="","",K28*L28)</f>
        <v/>
      </c>
      <c r="N28" s="570" t="n">
        <f aca="false">IF($B28="",0,M28/$K$5)</f>
        <v>0</v>
      </c>
      <c r="O28" s="573" t="str">
        <f aca="false">IF($B28="","",INDEX('Portfolio Bucket'!$C$2:$I$69,MATCH($B28,'Portfolio Bucket'!$C$2:$C$69,0),MATCH($O$4,'Portfolio Bucket'!$C$2:$I$2,0)))</f>
        <v/>
      </c>
      <c r="P28" s="567" t="n">
        <f aca="false">INDEX('Price Inputs'!$C$4:$J$49,MATCH($B28,'Price Inputs'!$C$4:$C$49,0),MATCH(O$4,'Price Inputs'!$C$4:$J$4,0))</f>
        <v>0</v>
      </c>
      <c r="Q28" s="567" t="str">
        <f aca="false">IF($B28="","",O28*P28)</f>
        <v/>
      </c>
      <c r="R28" s="571" t="n">
        <f aca="false">IF($B28="",0,Q28/$O$5)</f>
        <v>0</v>
      </c>
      <c r="S28" s="569" t="str">
        <f aca="false">IF($B28="","",INDEX('Portfolio Bucket'!$C$2:$I$69,MATCH($B28,'Portfolio Bucket'!$C$2:$C$69,0),MATCH($S$4,'Portfolio Bucket'!$C$2:$I$2,0)))</f>
        <v/>
      </c>
      <c r="T28" s="563" t="n">
        <f aca="false">INDEX('Price Inputs'!$C$4:$J$49,MATCH($B28,'Price Inputs'!$C$4:$C$49,0),MATCH(S$4,'Price Inputs'!$C$4:$J$4,0))</f>
        <v>0</v>
      </c>
      <c r="U28" s="564" t="str">
        <f aca="false">IF($B28="","",S28*T28)</f>
        <v/>
      </c>
      <c r="V28" s="570" t="n">
        <f aca="false">IF($B28="",0,U28/$S$5)</f>
        <v>0</v>
      </c>
      <c r="W28" s="572" t="str">
        <f aca="false">IF($B28="","",INDEX('Portfolio Bucket'!$C$2:$I$69,MATCH($B28,'Portfolio Bucket'!$C$2:$C$69,0),MATCH($W$4,'Portfolio Bucket'!$C$2:$I$2,0)))</f>
        <v/>
      </c>
      <c r="X28" s="566" t="n">
        <f aca="false">INDEX('Price Inputs'!$C$4:$J$49,MATCH($B28,'Price Inputs'!$C$4:$C$49,0),MATCH(W$4,'Price Inputs'!$C$4:$J$4,0))</f>
        <v>0</v>
      </c>
      <c r="Y28" s="567" t="str">
        <f aca="false">IF($B28="","",W28*X28)</f>
        <v/>
      </c>
      <c r="Z28" s="568" t="n">
        <f aca="false">IF($B28="",0,Y28/$W$5)</f>
        <v>0</v>
      </c>
    </row>
    <row r="29" customFormat="false" ht="15" hidden="false" customHeight="false" outlineLevel="0" collapsed="false">
      <c r="A29" s="0" t="n">
        <v>22</v>
      </c>
      <c r="B29" s="0" t="str">
        <f aca="false">'Current Portfolio'!C31</f>
        <v/>
      </c>
      <c r="C29" s="562" t="str">
        <f aca="false">IF(B29="","",INDEX('Portfolio Bucket'!$C$2:$I$69,MATCH(B29,'Portfolio Bucket'!$C$2:$C$69,0),MATCH($C$4,'Portfolio Bucket'!$C$2:$I$2,0)))</f>
        <v/>
      </c>
      <c r="D29" s="563" t="str">
        <f aca="false">INDEX('Price Inputs'!$C$4:$J$49,MATCH($B29,'Price Inputs'!$C$4:$C$49,0),MATCH(C$4,'Price Inputs'!$C$4:$J$4,0))</f>
        <v/>
      </c>
      <c r="E29" s="564" t="str">
        <f aca="false">IF($B29="","",C29*D29)</f>
        <v/>
      </c>
      <c r="F29" s="565" t="n">
        <f aca="false">IF($B29="",0,E29/$C$5)</f>
        <v>0</v>
      </c>
      <c r="G29" s="573" t="str">
        <f aca="false">IF($B29="","",INDEX('Portfolio Bucket'!$C$2:$I$69,MATCH($B29,'Portfolio Bucket'!$C$2:$C$69,0),MATCH($G$4,'Portfolio Bucket'!$C$2:$I$2,0)))</f>
        <v/>
      </c>
      <c r="H29" s="566" t="n">
        <f aca="false">INDEX('Price Inputs'!$C$4:$J$49,MATCH($B29,'Price Inputs'!$C$4:$C$49,0),MATCH(G$4,'Price Inputs'!$C$4:$J$4,0))</f>
        <v>0</v>
      </c>
      <c r="I29" s="567" t="str">
        <f aca="false">IF($B29="","",G29*H29)</f>
        <v/>
      </c>
      <c r="J29" s="568" t="n">
        <f aca="false">IF($B29="",0,I29/$G$5)</f>
        <v>0</v>
      </c>
      <c r="K29" s="569" t="str">
        <f aca="false">IF($B29="","",INDEX('Portfolio Bucket'!$C$2:$I$69,MATCH($B29,'Portfolio Bucket'!$C$2:$C$69,0),MATCH($K$4,'Portfolio Bucket'!$C$2:$I$2,0)))</f>
        <v/>
      </c>
      <c r="L29" s="563" t="n">
        <f aca="false">INDEX('Price Inputs'!$C$4:$J$49,MATCH($B29,'Price Inputs'!$C$4:$C$49,0),MATCH(K$4,'Price Inputs'!$C$4:$J$4,0))</f>
        <v>0</v>
      </c>
      <c r="M29" s="564" t="str">
        <f aca="false">IF($B29="","",K29*L29)</f>
        <v/>
      </c>
      <c r="N29" s="570" t="n">
        <f aca="false">IF($B29="",0,M29/$K$5)</f>
        <v>0</v>
      </c>
      <c r="O29" s="573" t="str">
        <f aca="false">IF($B29="","",INDEX('Portfolio Bucket'!$C$2:$I$69,MATCH($B29,'Portfolio Bucket'!$C$2:$C$69,0),MATCH($O$4,'Portfolio Bucket'!$C$2:$I$2,0)))</f>
        <v/>
      </c>
      <c r="P29" s="567" t="n">
        <f aca="false">INDEX('Price Inputs'!$C$4:$J$49,MATCH($B29,'Price Inputs'!$C$4:$C$49,0),MATCH(O$4,'Price Inputs'!$C$4:$J$4,0))</f>
        <v>0</v>
      </c>
      <c r="Q29" s="567" t="str">
        <f aca="false">IF($B29="","",O29*P29)</f>
        <v/>
      </c>
      <c r="R29" s="571" t="n">
        <f aca="false">IF($B29="",0,Q29/$O$5)</f>
        <v>0</v>
      </c>
      <c r="S29" s="569" t="str">
        <f aca="false">IF($B29="","",INDEX('Portfolio Bucket'!$C$2:$I$69,MATCH($B29,'Portfolio Bucket'!$C$2:$C$69,0),MATCH($S$4,'Portfolio Bucket'!$C$2:$I$2,0)))</f>
        <v/>
      </c>
      <c r="T29" s="563" t="n">
        <f aca="false">INDEX('Price Inputs'!$C$4:$J$49,MATCH($B29,'Price Inputs'!$C$4:$C$49,0),MATCH(S$4,'Price Inputs'!$C$4:$J$4,0))</f>
        <v>0</v>
      </c>
      <c r="U29" s="564" t="str">
        <f aca="false">IF($B29="","",S29*T29)</f>
        <v/>
      </c>
      <c r="V29" s="570" t="n">
        <f aca="false">IF($B29="",0,U29/$S$5)</f>
        <v>0</v>
      </c>
      <c r="W29" s="572" t="str">
        <f aca="false">IF($B29="","",INDEX('Portfolio Bucket'!$C$2:$I$69,MATCH($B29,'Portfolio Bucket'!$C$2:$C$69,0),MATCH($W$4,'Portfolio Bucket'!$C$2:$I$2,0)))</f>
        <v/>
      </c>
      <c r="X29" s="566" t="n">
        <f aca="false">INDEX('Price Inputs'!$C$4:$J$49,MATCH($B29,'Price Inputs'!$C$4:$C$49,0),MATCH(W$4,'Price Inputs'!$C$4:$J$4,0))</f>
        <v>0</v>
      </c>
      <c r="Y29" s="567" t="str">
        <f aca="false">IF($B29="","",W29*X29)</f>
        <v/>
      </c>
      <c r="Z29" s="568" t="n">
        <f aca="false">IF($B29="",0,Y29/$W$5)</f>
        <v>0</v>
      </c>
    </row>
    <row r="30" customFormat="false" ht="15" hidden="false" customHeight="false" outlineLevel="0" collapsed="false">
      <c r="A30" s="0" t="n">
        <v>23</v>
      </c>
      <c r="B30" s="0" t="str">
        <f aca="false">'Current Portfolio'!C32</f>
        <v/>
      </c>
      <c r="C30" s="562" t="str">
        <f aca="false">IF(B30="","",INDEX('Portfolio Bucket'!$C$2:$I$69,MATCH(B30,'Portfolio Bucket'!$C$2:$C$69,0),MATCH($C$4,'Portfolio Bucket'!$C$2:$I$2,0)))</f>
        <v/>
      </c>
      <c r="D30" s="563" t="str">
        <f aca="false">INDEX('Price Inputs'!$C$4:$J$49,MATCH($B30,'Price Inputs'!$C$4:$C$49,0),MATCH(C$4,'Price Inputs'!$C$4:$J$4,0))</f>
        <v/>
      </c>
      <c r="E30" s="564" t="str">
        <f aca="false">IF($B30="","",C30*D30)</f>
        <v/>
      </c>
      <c r="F30" s="565" t="n">
        <f aca="false">IF($B30="",0,E30/$C$5)</f>
        <v>0</v>
      </c>
      <c r="G30" s="573" t="str">
        <f aca="false">IF($B30="","",INDEX('Portfolio Bucket'!$C$2:$I$69,MATCH($B30,'Portfolio Bucket'!$C$2:$C$69,0),MATCH($G$4,'Portfolio Bucket'!$C$2:$I$2,0)))</f>
        <v/>
      </c>
      <c r="H30" s="566" t="n">
        <f aca="false">INDEX('Price Inputs'!$C$4:$J$49,MATCH($B30,'Price Inputs'!$C$4:$C$49,0),MATCH(G$4,'Price Inputs'!$C$4:$J$4,0))</f>
        <v>0</v>
      </c>
      <c r="I30" s="567" t="str">
        <f aca="false">IF($B30="","",G30*H30)</f>
        <v/>
      </c>
      <c r="J30" s="568" t="n">
        <f aca="false">IF($B30="",0,I30/$G$5)</f>
        <v>0</v>
      </c>
      <c r="K30" s="569" t="str">
        <f aca="false">IF($B30="","",INDEX('Portfolio Bucket'!$C$2:$I$69,MATCH($B30,'Portfolio Bucket'!$C$2:$C$69,0),MATCH($K$4,'Portfolio Bucket'!$C$2:$I$2,0)))</f>
        <v/>
      </c>
      <c r="L30" s="563" t="n">
        <f aca="false">INDEX('Price Inputs'!$C$4:$J$49,MATCH($B30,'Price Inputs'!$C$4:$C$49,0),MATCH(K$4,'Price Inputs'!$C$4:$J$4,0))</f>
        <v>0</v>
      </c>
      <c r="M30" s="564" t="str">
        <f aca="false">IF($B30="","",K30*L30)</f>
        <v/>
      </c>
      <c r="N30" s="570" t="n">
        <f aca="false">IF($B30="",0,M30/$K$5)</f>
        <v>0</v>
      </c>
      <c r="O30" s="573" t="str">
        <f aca="false">IF($B30="","",INDEX('Portfolio Bucket'!$C$2:$I$69,MATCH($B30,'Portfolio Bucket'!$C$2:$C$69,0),MATCH($O$4,'Portfolio Bucket'!$C$2:$I$2,0)))</f>
        <v/>
      </c>
      <c r="P30" s="567" t="n">
        <f aca="false">INDEX('Price Inputs'!$C$4:$J$49,MATCH($B30,'Price Inputs'!$C$4:$C$49,0),MATCH(O$4,'Price Inputs'!$C$4:$J$4,0))</f>
        <v>0</v>
      </c>
      <c r="Q30" s="567" t="str">
        <f aca="false">IF($B30="","",O30*P30)</f>
        <v/>
      </c>
      <c r="R30" s="571" t="n">
        <f aca="false">IF($B30="",0,Q30/$O$5)</f>
        <v>0</v>
      </c>
      <c r="S30" s="569" t="str">
        <f aca="false">IF($B30="","",INDEX('Portfolio Bucket'!$C$2:$I$69,MATCH($B30,'Portfolio Bucket'!$C$2:$C$69,0),MATCH($S$4,'Portfolio Bucket'!$C$2:$I$2,0)))</f>
        <v/>
      </c>
      <c r="T30" s="563" t="n">
        <f aca="false">INDEX('Price Inputs'!$C$4:$J$49,MATCH($B30,'Price Inputs'!$C$4:$C$49,0),MATCH(S$4,'Price Inputs'!$C$4:$J$4,0))</f>
        <v>0</v>
      </c>
      <c r="U30" s="564" t="str">
        <f aca="false">IF($B30="","",S30*T30)</f>
        <v/>
      </c>
      <c r="V30" s="570" t="n">
        <f aca="false">IF($B30="",0,U30/$S$5)</f>
        <v>0</v>
      </c>
      <c r="W30" s="572" t="str">
        <f aca="false">IF($B30="","",INDEX('Portfolio Bucket'!$C$2:$I$69,MATCH($B30,'Portfolio Bucket'!$C$2:$C$69,0),MATCH($W$4,'Portfolio Bucket'!$C$2:$I$2,0)))</f>
        <v/>
      </c>
      <c r="X30" s="566" t="n">
        <f aca="false">INDEX('Price Inputs'!$C$4:$J$49,MATCH($B30,'Price Inputs'!$C$4:$C$49,0),MATCH(W$4,'Price Inputs'!$C$4:$J$4,0))</f>
        <v>0</v>
      </c>
      <c r="Y30" s="567" t="str">
        <f aca="false">IF($B30="","",W30*X30)</f>
        <v/>
      </c>
      <c r="Z30" s="568" t="n">
        <f aca="false">IF($B30="",0,Y30/$W$5)</f>
        <v>0</v>
      </c>
    </row>
    <row r="31" customFormat="false" ht="15" hidden="false" customHeight="false" outlineLevel="0" collapsed="false">
      <c r="A31" s="0" t="n">
        <v>24</v>
      </c>
      <c r="B31" s="0" t="str">
        <f aca="false">'Current Portfolio'!C33</f>
        <v/>
      </c>
      <c r="C31" s="562" t="str">
        <f aca="false">IF(B31="","",INDEX('Portfolio Bucket'!$C$2:$I$69,MATCH(B31,'Portfolio Bucket'!$C$2:$C$69,0),MATCH($C$4,'Portfolio Bucket'!$C$2:$I$2,0)))</f>
        <v/>
      </c>
      <c r="D31" s="563" t="str">
        <f aca="false">INDEX('Price Inputs'!$C$4:$J$49,MATCH($B31,'Price Inputs'!$C$4:$C$49,0),MATCH(C$4,'Price Inputs'!$C$4:$J$4,0))</f>
        <v/>
      </c>
      <c r="E31" s="564" t="str">
        <f aca="false">IF($B31="","",C31*D31)</f>
        <v/>
      </c>
      <c r="F31" s="565" t="n">
        <f aca="false">IF($B31="",0,E31/$C$5)</f>
        <v>0</v>
      </c>
      <c r="G31" s="573" t="str">
        <f aca="false">IF($B31="","",INDEX('Portfolio Bucket'!$C$2:$I$69,MATCH($B31,'Portfolio Bucket'!$C$2:$C$69,0),MATCH($G$4,'Portfolio Bucket'!$C$2:$I$2,0)))</f>
        <v/>
      </c>
      <c r="H31" s="566" t="n">
        <f aca="false">INDEX('Price Inputs'!$C$4:$J$49,MATCH($B31,'Price Inputs'!$C$4:$C$49,0),MATCH(G$4,'Price Inputs'!$C$4:$J$4,0))</f>
        <v>0</v>
      </c>
      <c r="I31" s="567" t="str">
        <f aca="false">IF($B31="","",G31*H31)</f>
        <v/>
      </c>
      <c r="J31" s="568" t="n">
        <f aca="false">IF($B31="",0,I31/$G$5)</f>
        <v>0</v>
      </c>
      <c r="K31" s="569" t="str">
        <f aca="false">IF($B31="","",INDEX('Portfolio Bucket'!$C$2:$I$69,MATCH($B31,'Portfolio Bucket'!$C$2:$C$69,0),MATCH($K$4,'Portfolio Bucket'!$C$2:$I$2,0)))</f>
        <v/>
      </c>
      <c r="L31" s="563" t="n">
        <f aca="false">INDEX('Price Inputs'!$C$4:$J$49,MATCH($B31,'Price Inputs'!$C$4:$C$49,0),MATCH(K$4,'Price Inputs'!$C$4:$J$4,0))</f>
        <v>0</v>
      </c>
      <c r="M31" s="564" t="str">
        <f aca="false">IF($B31="","",K31*L31)</f>
        <v/>
      </c>
      <c r="N31" s="570" t="n">
        <f aca="false">IF($B31="",0,M31/$K$5)</f>
        <v>0</v>
      </c>
      <c r="O31" s="573" t="str">
        <f aca="false">IF($B31="","",INDEX('Portfolio Bucket'!$C$2:$I$69,MATCH($B31,'Portfolio Bucket'!$C$2:$C$69,0),MATCH($O$4,'Portfolio Bucket'!$C$2:$I$2,0)))</f>
        <v/>
      </c>
      <c r="P31" s="567" t="n">
        <f aca="false">INDEX('Price Inputs'!$C$4:$J$49,MATCH($B31,'Price Inputs'!$C$4:$C$49,0),MATCH(O$4,'Price Inputs'!$C$4:$J$4,0))</f>
        <v>0</v>
      </c>
      <c r="Q31" s="567" t="str">
        <f aca="false">IF($B31="","",O31*P31)</f>
        <v/>
      </c>
      <c r="R31" s="571" t="n">
        <f aca="false">IF($B31="",0,Q31/$O$5)</f>
        <v>0</v>
      </c>
      <c r="S31" s="569" t="str">
        <f aca="false">IF($B31="","",INDEX('Portfolio Bucket'!$C$2:$I$69,MATCH($B31,'Portfolio Bucket'!$C$2:$C$69,0),MATCH($S$4,'Portfolio Bucket'!$C$2:$I$2,0)))</f>
        <v/>
      </c>
      <c r="T31" s="563" t="n">
        <f aca="false">INDEX('Price Inputs'!$C$4:$J$49,MATCH($B31,'Price Inputs'!$C$4:$C$49,0),MATCH(S$4,'Price Inputs'!$C$4:$J$4,0))</f>
        <v>0</v>
      </c>
      <c r="U31" s="564" t="str">
        <f aca="false">IF($B31="","",S31*T31)</f>
        <v/>
      </c>
      <c r="V31" s="570" t="n">
        <f aca="false">IF($B31="",0,U31/$S$5)</f>
        <v>0</v>
      </c>
      <c r="W31" s="572" t="str">
        <f aca="false">IF($B31="","",INDEX('Portfolio Bucket'!$C$2:$I$69,MATCH($B31,'Portfolio Bucket'!$C$2:$C$69,0),MATCH($W$4,'Portfolio Bucket'!$C$2:$I$2,0)))</f>
        <v/>
      </c>
      <c r="X31" s="566" t="n">
        <f aca="false">INDEX('Price Inputs'!$C$4:$J$49,MATCH($B31,'Price Inputs'!$C$4:$C$49,0),MATCH(W$4,'Price Inputs'!$C$4:$J$4,0))</f>
        <v>0</v>
      </c>
      <c r="Y31" s="567" t="str">
        <f aca="false">IF($B31="","",W31*X31)</f>
        <v/>
      </c>
      <c r="Z31" s="568" t="n">
        <f aca="false">IF($B31="",0,Y31/$W$5)</f>
        <v>0</v>
      </c>
    </row>
    <row r="32" customFormat="false" ht="15" hidden="false" customHeight="false" outlineLevel="0" collapsed="false">
      <c r="A32" s="0" t="n">
        <v>25</v>
      </c>
      <c r="B32" s="0" t="str">
        <f aca="false">'Current Portfolio'!C34</f>
        <v/>
      </c>
      <c r="C32" s="562" t="str">
        <f aca="false">IF(B32="","",INDEX('Portfolio Bucket'!$C$2:$I$69,MATCH(B32,'Portfolio Bucket'!$C$2:$C$69,0),MATCH($C$4,'Portfolio Bucket'!$C$2:$I$2,0)))</f>
        <v/>
      </c>
      <c r="D32" s="563" t="str">
        <f aca="false">INDEX('Price Inputs'!$C$4:$J$49,MATCH($B32,'Price Inputs'!$C$4:$C$49,0),MATCH(C$4,'Price Inputs'!$C$4:$J$4,0))</f>
        <v/>
      </c>
      <c r="E32" s="564" t="str">
        <f aca="false">IF($B32="","",C32*D32)</f>
        <v/>
      </c>
      <c r="F32" s="565" t="n">
        <f aca="false">IF($B32="",0,E32/$C$5)</f>
        <v>0</v>
      </c>
      <c r="G32" s="573" t="str">
        <f aca="false">IF($B32="","",INDEX('Portfolio Bucket'!$C$2:$I$69,MATCH($B32,'Portfolio Bucket'!$C$2:$C$69,0),MATCH($G$4,'Portfolio Bucket'!$C$2:$I$2,0)))</f>
        <v/>
      </c>
      <c r="H32" s="566" t="n">
        <f aca="false">INDEX('Price Inputs'!$C$4:$J$49,MATCH($B32,'Price Inputs'!$C$4:$C$49,0),MATCH(G$4,'Price Inputs'!$C$4:$J$4,0))</f>
        <v>0</v>
      </c>
      <c r="I32" s="567" t="str">
        <f aca="false">IF($B32="","",G32*H32)</f>
        <v/>
      </c>
      <c r="J32" s="568" t="n">
        <f aca="false">IF($B32="",0,I32/$G$5)</f>
        <v>0</v>
      </c>
      <c r="K32" s="569" t="str">
        <f aca="false">IF($B32="","",INDEX('Portfolio Bucket'!$C$2:$I$69,MATCH($B32,'Portfolio Bucket'!$C$2:$C$69,0),MATCH($K$4,'Portfolio Bucket'!$C$2:$I$2,0)))</f>
        <v/>
      </c>
      <c r="L32" s="563" t="n">
        <f aca="false">INDEX('Price Inputs'!$C$4:$J$49,MATCH($B32,'Price Inputs'!$C$4:$C$49,0),MATCH(K$4,'Price Inputs'!$C$4:$J$4,0))</f>
        <v>0</v>
      </c>
      <c r="M32" s="564" t="str">
        <f aca="false">IF($B32="","",K32*L32)</f>
        <v/>
      </c>
      <c r="N32" s="570" t="n">
        <f aca="false">IF($B32="",0,M32/$K$5)</f>
        <v>0</v>
      </c>
      <c r="O32" s="573" t="str">
        <f aca="false">IF($B32="","",INDEX('Portfolio Bucket'!$C$2:$I$69,MATCH($B32,'Portfolio Bucket'!$C$2:$C$69,0),MATCH($O$4,'Portfolio Bucket'!$C$2:$I$2,0)))</f>
        <v/>
      </c>
      <c r="P32" s="567" t="n">
        <f aca="false">INDEX('Price Inputs'!$C$4:$J$49,MATCH($B32,'Price Inputs'!$C$4:$C$49,0),MATCH(O$4,'Price Inputs'!$C$4:$J$4,0))</f>
        <v>0</v>
      </c>
      <c r="Q32" s="567" t="str">
        <f aca="false">IF($B32="","",O32*P32)</f>
        <v/>
      </c>
      <c r="R32" s="571" t="n">
        <f aca="false">IF($B32="",0,Q32/$O$5)</f>
        <v>0</v>
      </c>
      <c r="S32" s="569" t="str">
        <f aca="false">IF($B32="","",INDEX('Portfolio Bucket'!$C$2:$I$69,MATCH($B32,'Portfolio Bucket'!$C$2:$C$69,0),MATCH($S$4,'Portfolio Bucket'!$C$2:$I$2,0)))</f>
        <v/>
      </c>
      <c r="T32" s="563" t="n">
        <f aca="false">INDEX('Price Inputs'!$C$4:$J$49,MATCH($B32,'Price Inputs'!$C$4:$C$49,0),MATCH(S$4,'Price Inputs'!$C$4:$J$4,0))</f>
        <v>0</v>
      </c>
      <c r="U32" s="564" t="str">
        <f aca="false">IF($B32="","",S32*T32)</f>
        <v/>
      </c>
      <c r="V32" s="570" t="n">
        <f aca="false">IF($B32="",0,U32/$S$5)</f>
        <v>0</v>
      </c>
      <c r="W32" s="572" t="str">
        <f aca="false">IF($B32="","",INDEX('Portfolio Bucket'!$C$2:$I$69,MATCH($B32,'Portfolio Bucket'!$C$2:$C$69,0),MATCH($W$4,'Portfolio Bucket'!$C$2:$I$2,0)))</f>
        <v/>
      </c>
      <c r="X32" s="566" t="n">
        <f aca="false">INDEX('Price Inputs'!$C$4:$J$49,MATCH($B32,'Price Inputs'!$C$4:$C$49,0),MATCH(W$4,'Price Inputs'!$C$4:$J$4,0))</f>
        <v>0</v>
      </c>
      <c r="Y32" s="567" t="str">
        <f aca="false">IF($B32="","",W32*X32)</f>
        <v/>
      </c>
      <c r="Z32" s="568" t="n">
        <f aca="false">IF($B32="",0,Y32/$W$5)</f>
        <v>0</v>
      </c>
    </row>
    <row r="33" customFormat="false" ht="15" hidden="false" customHeight="false" outlineLevel="0" collapsed="false">
      <c r="A33" s="0" t="n">
        <v>26</v>
      </c>
      <c r="B33" s="0" t="str">
        <f aca="false">'Current Portfolio'!C35</f>
        <v/>
      </c>
      <c r="C33" s="562" t="str">
        <f aca="false">IF(B33="","",INDEX('Portfolio Bucket'!$C$2:$I$69,MATCH(B33,'Portfolio Bucket'!$C$2:$C$69,0),MATCH($C$4,'Portfolio Bucket'!$C$2:$I$2,0)))</f>
        <v/>
      </c>
      <c r="D33" s="563" t="str">
        <f aca="false">INDEX('Price Inputs'!$C$4:$J$49,MATCH($B33,'Price Inputs'!$C$4:$C$49,0),MATCH(C$4,'Price Inputs'!$C$4:$J$4,0))</f>
        <v/>
      </c>
      <c r="E33" s="564" t="str">
        <f aca="false">IF($B33="","",C33*D33)</f>
        <v/>
      </c>
      <c r="F33" s="565" t="n">
        <f aca="false">IF($B33="",0,E33/$C$5)</f>
        <v>0</v>
      </c>
      <c r="G33" s="573" t="str">
        <f aca="false">IF($B33="","",INDEX('Portfolio Bucket'!$C$2:$I$69,MATCH($B33,'Portfolio Bucket'!$C$2:$C$69,0),MATCH($G$4,'Portfolio Bucket'!$C$2:$I$2,0)))</f>
        <v/>
      </c>
      <c r="H33" s="566" t="n">
        <f aca="false">INDEX('Price Inputs'!$C$4:$J$49,MATCH($B33,'Price Inputs'!$C$4:$C$49,0),MATCH(G$4,'Price Inputs'!$C$4:$J$4,0))</f>
        <v>0</v>
      </c>
      <c r="I33" s="567" t="str">
        <f aca="false">IF($B33="","",G33*H33)</f>
        <v/>
      </c>
      <c r="J33" s="568" t="n">
        <f aca="false">IF($B33="",0,I33/$G$5)</f>
        <v>0</v>
      </c>
      <c r="K33" s="569" t="str">
        <f aca="false">IF($B33="","",INDEX('Portfolio Bucket'!$C$2:$I$69,MATCH($B33,'Portfolio Bucket'!$C$2:$C$69,0),MATCH($K$4,'Portfolio Bucket'!$C$2:$I$2,0)))</f>
        <v/>
      </c>
      <c r="L33" s="563" t="n">
        <f aca="false">INDEX('Price Inputs'!$C$4:$J$49,MATCH($B33,'Price Inputs'!$C$4:$C$49,0),MATCH(K$4,'Price Inputs'!$C$4:$J$4,0))</f>
        <v>0</v>
      </c>
      <c r="M33" s="564" t="str">
        <f aca="false">IF($B33="","",K33*L33)</f>
        <v/>
      </c>
      <c r="N33" s="570" t="n">
        <f aca="false">IF($B33="",0,M33/$K$5)</f>
        <v>0</v>
      </c>
      <c r="O33" s="573" t="str">
        <f aca="false">IF($B33="","",INDEX('Portfolio Bucket'!$C$2:$I$69,MATCH($B33,'Portfolio Bucket'!$C$2:$C$69,0),MATCH($O$4,'Portfolio Bucket'!$C$2:$I$2,0)))</f>
        <v/>
      </c>
      <c r="P33" s="567" t="n">
        <f aca="false">INDEX('Price Inputs'!$C$4:$J$49,MATCH($B33,'Price Inputs'!$C$4:$C$49,0),MATCH(O$4,'Price Inputs'!$C$4:$J$4,0))</f>
        <v>0</v>
      </c>
      <c r="Q33" s="567" t="str">
        <f aca="false">IF($B33="","",O33*P33)</f>
        <v/>
      </c>
      <c r="R33" s="571" t="n">
        <f aca="false">IF($B33="",0,Q33/$O$5)</f>
        <v>0</v>
      </c>
      <c r="S33" s="569" t="str">
        <f aca="false">IF($B33="","",INDEX('Portfolio Bucket'!$C$2:$I$69,MATCH($B33,'Portfolio Bucket'!$C$2:$C$69,0),MATCH($S$4,'Portfolio Bucket'!$C$2:$I$2,0)))</f>
        <v/>
      </c>
      <c r="T33" s="563" t="n">
        <f aca="false">INDEX('Price Inputs'!$C$4:$J$49,MATCH($B33,'Price Inputs'!$C$4:$C$49,0),MATCH(S$4,'Price Inputs'!$C$4:$J$4,0))</f>
        <v>0</v>
      </c>
      <c r="U33" s="564" t="str">
        <f aca="false">IF($B33="","",S33*T33)</f>
        <v/>
      </c>
      <c r="V33" s="570" t="n">
        <f aca="false">IF($B33="",0,U33/$S$5)</f>
        <v>0</v>
      </c>
      <c r="W33" s="572" t="str">
        <f aca="false">IF($B33="","",INDEX('Portfolio Bucket'!$C$2:$I$69,MATCH($B33,'Portfolio Bucket'!$C$2:$C$69,0),MATCH($W$4,'Portfolio Bucket'!$C$2:$I$2,0)))</f>
        <v/>
      </c>
      <c r="X33" s="566" t="n">
        <f aca="false">INDEX('Price Inputs'!$C$4:$J$49,MATCH($B33,'Price Inputs'!$C$4:$C$49,0),MATCH(W$4,'Price Inputs'!$C$4:$J$4,0))</f>
        <v>0</v>
      </c>
      <c r="Y33" s="567" t="str">
        <f aca="false">IF($B33="","",W33*X33)</f>
        <v/>
      </c>
      <c r="Z33" s="568" t="n">
        <f aca="false">IF($B33="",0,Y33/$W$5)</f>
        <v>0</v>
      </c>
    </row>
    <row r="34" customFormat="false" ht="15" hidden="false" customHeight="false" outlineLevel="0" collapsed="false">
      <c r="A34" s="0" t="n">
        <v>27</v>
      </c>
      <c r="B34" s="0" t="str">
        <f aca="false">'Current Portfolio'!C36</f>
        <v/>
      </c>
      <c r="C34" s="562" t="str">
        <f aca="false">IF(B34="","",INDEX('Portfolio Bucket'!$C$2:$I$69,MATCH(B34,'Portfolio Bucket'!$C$2:$C$69,0),MATCH($C$4,'Portfolio Bucket'!$C$2:$I$2,0)))</f>
        <v/>
      </c>
      <c r="D34" s="563" t="str">
        <f aca="false">INDEX('Price Inputs'!$C$4:$J$49,MATCH($B34,'Price Inputs'!$C$4:$C$49,0),MATCH(C$4,'Price Inputs'!$C$4:$J$4,0))</f>
        <v/>
      </c>
      <c r="E34" s="564" t="str">
        <f aca="false">IF($B34="","",C34*D34)</f>
        <v/>
      </c>
      <c r="F34" s="565" t="n">
        <f aca="false">IF($B34="",0,E34/$C$5)</f>
        <v>0</v>
      </c>
      <c r="G34" s="573" t="str">
        <f aca="false">IF($B34="","",INDEX('Portfolio Bucket'!$C$2:$I$69,MATCH($B34,'Portfolio Bucket'!$C$2:$C$69,0),MATCH($G$4,'Portfolio Bucket'!$C$2:$I$2,0)))</f>
        <v/>
      </c>
      <c r="H34" s="566" t="n">
        <f aca="false">INDEX('Price Inputs'!$C$4:$J$49,MATCH($B34,'Price Inputs'!$C$4:$C$49,0),MATCH(G$4,'Price Inputs'!$C$4:$J$4,0))</f>
        <v>0</v>
      </c>
      <c r="I34" s="567" t="str">
        <f aca="false">IF($B34="","",G34*H34)</f>
        <v/>
      </c>
      <c r="J34" s="568" t="n">
        <f aca="false">IF($B34="",0,I34/$G$5)</f>
        <v>0</v>
      </c>
      <c r="K34" s="569" t="str">
        <f aca="false">IF($B34="","",INDEX('Portfolio Bucket'!$C$2:$I$69,MATCH($B34,'Portfolio Bucket'!$C$2:$C$69,0),MATCH($K$4,'Portfolio Bucket'!$C$2:$I$2,0)))</f>
        <v/>
      </c>
      <c r="L34" s="563" t="n">
        <f aca="false">INDEX('Price Inputs'!$C$4:$J$49,MATCH($B34,'Price Inputs'!$C$4:$C$49,0),MATCH(K$4,'Price Inputs'!$C$4:$J$4,0))</f>
        <v>0</v>
      </c>
      <c r="M34" s="564" t="str">
        <f aca="false">IF($B34="","",K34*L34)</f>
        <v/>
      </c>
      <c r="N34" s="570" t="n">
        <f aca="false">IF($B34="",0,M34/$K$5)</f>
        <v>0</v>
      </c>
      <c r="O34" s="573" t="str">
        <f aca="false">IF($B34="","",INDEX('Portfolio Bucket'!$C$2:$I$69,MATCH($B34,'Portfolio Bucket'!$C$2:$C$69,0),MATCH($O$4,'Portfolio Bucket'!$C$2:$I$2,0)))</f>
        <v/>
      </c>
      <c r="P34" s="567" t="n">
        <f aca="false">INDEX('Price Inputs'!$C$4:$J$49,MATCH($B34,'Price Inputs'!$C$4:$C$49,0),MATCH(O$4,'Price Inputs'!$C$4:$J$4,0))</f>
        <v>0</v>
      </c>
      <c r="Q34" s="567" t="str">
        <f aca="false">IF($B34="","",O34*P34)</f>
        <v/>
      </c>
      <c r="R34" s="571" t="n">
        <f aca="false">IF($B34="",0,Q34/$O$5)</f>
        <v>0</v>
      </c>
      <c r="S34" s="569" t="str">
        <f aca="false">IF($B34="","",INDEX('Portfolio Bucket'!$C$2:$I$69,MATCH($B34,'Portfolio Bucket'!$C$2:$C$69,0),MATCH($S$4,'Portfolio Bucket'!$C$2:$I$2,0)))</f>
        <v/>
      </c>
      <c r="T34" s="563" t="n">
        <f aca="false">INDEX('Price Inputs'!$C$4:$J$49,MATCH($B34,'Price Inputs'!$C$4:$C$49,0),MATCH(S$4,'Price Inputs'!$C$4:$J$4,0))</f>
        <v>0</v>
      </c>
      <c r="U34" s="564" t="str">
        <f aca="false">IF($B34="","",S34*T34)</f>
        <v/>
      </c>
      <c r="V34" s="570" t="n">
        <f aca="false">IF($B34="",0,U34/$S$5)</f>
        <v>0</v>
      </c>
      <c r="W34" s="572" t="str">
        <f aca="false">IF($B34="","",INDEX('Portfolio Bucket'!$C$2:$I$69,MATCH($B34,'Portfolio Bucket'!$C$2:$C$69,0),MATCH($W$4,'Portfolio Bucket'!$C$2:$I$2,0)))</f>
        <v/>
      </c>
      <c r="X34" s="566" t="n">
        <f aca="false">INDEX('Price Inputs'!$C$4:$J$49,MATCH($B34,'Price Inputs'!$C$4:$C$49,0),MATCH(W$4,'Price Inputs'!$C$4:$J$4,0))</f>
        <v>0</v>
      </c>
      <c r="Y34" s="567" t="str">
        <f aca="false">IF($B34="","",W34*X34)</f>
        <v/>
      </c>
      <c r="Z34" s="568" t="n">
        <f aca="false">IF($B34="",0,Y34/$W$5)</f>
        <v>0</v>
      </c>
    </row>
    <row r="35" customFormat="false" ht="15" hidden="false" customHeight="false" outlineLevel="0" collapsed="false">
      <c r="A35" s="0" t="n">
        <v>28</v>
      </c>
      <c r="B35" s="0" t="str">
        <f aca="false">'Current Portfolio'!C37</f>
        <v/>
      </c>
      <c r="C35" s="562" t="str">
        <f aca="false">IF(B35="","",INDEX('Portfolio Bucket'!$C$2:$I$69,MATCH(B35,'Portfolio Bucket'!$C$2:$C$69,0),MATCH($C$4,'Portfolio Bucket'!$C$2:$I$2,0)))</f>
        <v/>
      </c>
      <c r="D35" s="563" t="str">
        <f aca="false">INDEX('Price Inputs'!$C$4:$J$49,MATCH($B35,'Price Inputs'!$C$4:$C$49,0),MATCH(C$4,'Price Inputs'!$C$4:$J$4,0))</f>
        <v/>
      </c>
      <c r="E35" s="564" t="str">
        <f aca="false">IF($B35="","",C35*D35)</f>
        <v/>
      </c>
      <c r="F35" s="565" t="n">
        <f aca="false">IF($B35="",0,E35/$C$5)</f>
        <v>0</v>
      </c>
      <c r="G35" s="573" t="str">
        <f aca="false">IF($B35="","",INDEX('Portfolio Bucket'!$C$2:$I$69,MATCH($B35,'Portfolio Bucket'!$C$2:$C$69,0),MATCH($G$4,'Portfolio Bucket'!$C$2:$I$2,0)))</f>
        <v/>
      </c>
      <c r="H35" s="566" t="n">
        <f aca="false">INDEX('Price Inputs'!$C$4:$J$49,MATCH($B35,'Price Inputs'!$C$4:$C$49,0),MATCH(G$4,'Price Inputs'!$C$4:$J$4,0))</f>
        <v>0</v>
      </c>
      <c r="I35" s="567" t="str">
        <f aca="false">IF($B35="","",G35*H35)</f>
        <v/>
      </c>
      <c r="J35" s="568" t="n">
        <f aca="false">IF($B35="",0,I35/$G$5)</f>
        <v>0</v>
      </c>
      <c r="K35" s="569" t="str">
        <f aca="false">IF($B35="","",INDEX('Portfolio Bucket'!$C$2:$I$69,MATCH($B35,'Portfolio Bucket'!$C$2:$C$69,0),MATCH($K$4,'Portfolio Bucket'!$C$2:$I$2,0)))</f>
        <v/>
      </c>
      <c r="L35" s="563" t="n">
        <f aca="false">INDEX('Price Inputs'!$C$4:$J$49,MATCH($B35,'Price Inputs'!$C$4:$C$49,0),MATCH(K$4,'Price Inputs'!$C$4:$J$4,0))</f>
        <v>0</v>
      </c>
      <c r="M35" s="564" t="str">
        <f aca="false">IF($B35="","",K35*L35)</f>
        <v/>
      </c>
      <c r="N35" s="570" t="n">
        <f aca="false">IF($B35="",0,M35/$K$5)</f>
        <v>0</v>
      </c>
      <c r="O35" s="573" t="str">
        <f aca="false">IF($B35="","",INDEX('Portfolio Bucket'!$C$2:$I$69,MATCH($B35,'Portfolio Bucket'!$C$2:$C$69,0),MATCH($O$4,'Portfolio Bucket'!$C$2:$I$2,0)))</f>
        <v/>
      </c>
      <c r="P35" s="567" t="n">
        <f aca="false">INDEX('Price Inputs'!$C$4:$J$49,MATCH($B35,'Price Inputs'!$C$4:$C$49,0),MATCH(O$4,'Price Inputs'!$C$4:$J$4,0))</f>
        <v>0</v>
      </c>
      <c r="Q35" s="567" t="str">
        <f aca="false">IF($B35="","",O35*P35)</f>
        <v/>
      </c>
      <c r="R35" s="571" t="n">
        <f aca="false">IF($B35="",0,Q35/$O$5)</f>
        <v>0</v>
      </c>
      <c r="S35" s="569" t="str">
        <f aca="false">IF($B35="","",INDEX('Portfolio Bucket'!$C$2:$I$69,MATCH($B35,'Portfolio Bucket'!$C$2:$C$69,0),MATCH($S$4,'Portfolio Bucket'!$C$2:$I$2,0)))</f>
        <v/>
      </c>
      <c r="T35" s="563" t="n">
        <f aca="false">INDEX('Price Inputs'!$C$4:$J$49,MATCH($B35,'Price Inputs'!$C$4:$C$49,0),MATCH(S$4,'Price Inputs'!$C$4:$J$4,0))</f>
        <v>0</v>
      </c>
      <c r="U35" s="564" t="str">
        <f aca="false">IF($B35="","",S35*T35)</f>
        <v/>
      </c>
      <c r="V35" s="570" t="n">
        <f aca="false">IF($B35="",0,U35/$S$5)</f>
        <v>0</v>
      </c>
      <c r="W35" s="572" t="str">
        <f aca="false">IF($B35="","",INDEX('Portfolio Bucket'!$C$2:$I$69,MATCH($B35,'Portfolio Bucket'!$C$2:$C$69,0),MATCH($W$4,'Portfolio Bucket'!$C$2:$I$2,0)))</f>
        <v/>
      </c>
      <c r="X35" s="566" t="n">
        <f aca="false">INDEX('Price Inputs'!$C$4:$J$49,MATCH($B35,'Price Inputs'!$C$4:$C$49,0),MATCH(W$4,'Price Inputs'!$C$4:$J$4,0))</f>
        <v>0</v>
      </c>
      <c r="Y35" s="567" t="str">
        <f aca="false">IF($B35="","",W35*X35)</f>
        <v/>
      </c>
      <c r="Z35" s="568" t="n">
        <f aca="false">IF($B35="",0,Y35/$W$5)</f>
        <v>0</v>
      </c>
    </row>
    <row r="36" customFormat="false" ht="15" hidden="false" customHeight="false" outlineLevel="0" collapsed="false">
      <c r="A36" s="0" t="n">
        <v>29</v>
      </c>
      <c r="B36" s="0" t="str">
        <f aca="false">'Current Portfolio'!C38</f>
        <v/>
      </c>
      <c r="C36" s="562" t="str">
        <f aca="false">IF(B36="","",INDEX('Portfolio Bucket'!$C$2:$I$69,MATCH(B36,'Portfolio Bucket'!$C$2:$C$69,0),MATCH($C$4,'Portfolio Bucket'!$C$2:$I$2,0)))</f>
        <v/>
      </c>
      <c r="D36" s="563" t="str">
        <f aca="false">INDEX('Price Inputs'!$C$4:$J$49,MATCH($B36,'Price Inputs'!$C$4:$C$49,0),MATCH(C$4,'Price Inputs'!$C$4:$J$4,0))</f>
        <v/>
      </c>
      <c r="E36" s="564" t="str">
        <f aca="false">IF($B36="","",C36*D36)</f>
        <v/>
      </c>
      <c r="F36" s="565" t="n">
        <f aca="false">IF($B36="",0,E36/$C$5)</f>
        <v>0</v>
      </c>
      <c r="G36" s="573" t="str">
        <f aca="false">IF($B36="","",INDEX('Portfolio Bucket'!$C$2:$I$69,MATCH($B36,'Portfolio Bucket'!$C$2:$C$69,0),MATCH($G$4,'Portfolio Bucket'!$C$2:$I$2,0)))</f>
        <v/>
      </c>
      <c r="H36" s="566" t="n">
        <f aca="false">INDEX('Price Inputs'!$C$4:$J$49,MATCH($B36,'Price Inputs'!$C$4:$C$49,0),MATCH(G$4,'Price Inputs'!$C$4:$J$4,0))</f>
        <v>0</v>
      </c>
      <c r="I36" s="567" t="str">
        <f aca="false">IF($B36="","",G36*H36)</f>
        <v/>
      </c>
      <c r="J36" s="568" t="n">
        <f aca="false">IF($B36="",0,I36/$G$5)</f>
        <v>0</v>
      </c>
      <c r="K36" s="569" t="str">
        <f aca="false">IF($B36="","",INDEX('Portfolio Bucket'!$C$2:$I$69,MATCH($B36,'Portfolio Bucket'!$C$2:$C$69,0),MATCH($K$4,'Portfolio Bucket'!$C$2:$I$2,0)))</f>
        <v/>
      </c>
      <c r="L36" s="563" t="n">
        <f aca="false">INDEX('Price Inputs'!$C$4:$J$49,MATCH($B36,'Price Inputs'!$C$4:$C$49,0),MATCH(K$4,'Price Inputs'!$C$4:$J$4,0))</f>
        <v>0</v>
      </c>
      <c r="M36" s="564" t="str">
        <f aca="false">IF($B36="","",K36*L36)</f>
        <v/>
      </c>
      <c r="N36" s="570" t="n">
        <f aca="false">IF($B36="",0,M36/$K$5)</f>
        <v>0</v>
      </c>
      <c r="O36" s="573" t="str">
        <f aca="false">IF($B36="","",INDEX('Portfolio Bucket'!$C$2:$I$69,MATCH($B36,'Portfolio Bucket'!$C$2:$C$69,0),MATCH($O$4,'Portfolio Bucket'!$C$2:$I$2,0)))</f>
        <v/>
      </c>
      <c r="P36" s="567" t="n">
        <f aca="false">INDEX('Price Inputs'!$C$4:$J$49,MATCH($B36,'Price Inputs'!$C$4:$C$49,0),MATCH(O$4,'Price Inputs'!$C$4:$J$4,0))</f>
        <v>0</v>
      </c>
      <c r="Q36" s="567" t="str">
        <f aca="false">IF($B36="","",O36*P36)</f>
        <v/>
      </c>
      <c r="R36" s="571" t="n">
        <f aca="false">IF($B36="",0,Q36/$O$5)</f>
        <v>0</v>
      </c>
      <c r="S36" s="569" t="str">
        <f aca="false">IF($B36="","",INDEX('Portfolio Bucket'!$C$2:$I$69,MATCH($B36,'Portfolio Bucket'!$C$2:$C$69,0),MATCH($S$4,'Portfolio Bucket'!$C$2:$I$2,0)))</f>
        <v/>
      </c>
      <c r="T36" s="563" t="n">
        <f aca="false">INDEX('Price Inputs'!$C$4:$J$49,MATCH($B36,'Price Inputs'!$C$4:$C$49,0),MATCH(S$4,'Price Inputs'!$C$4:$J$4,0))</f>
        <v>0</v>
      </c>
      <c r="U36" s="564" t="str">
        <f aca="false">IF($B36="","",S36*T36)</f>
        <v/>
      </c>
      <c r="V36" s="570" t="n">
        <f aca="false">IF($B36="",0,U36/$S$5)</f>
        <v>0</v>
      </c>
      <c r="W36" s="572" t="str">
        <f aca="false">IF($B36="","",INDEX('Portfolio Bucket'!$C$2:$I$69,MATCH($B36,'Portfolio Bucket'!$C$2:$C$69,0),MATCH($W$4,'Portfolio Bucket'!$C$2:$I$2,0)))</f>
        <v/>
      </c>
      <c r="X36" s="566" t="n">
        <f aca="false">INDEX('Price Inputs'!$C$4:$J$49,MATCH($B36,'Price Inputs'!$C$4:$C$49,0),MATCH(W$4,'Price Inputs'!$C$4:$J$4,0))</f>
        <v>0</v>
      </c>
      <c r="Y36" s="567" t="str">
        <f aca="false">IF($B36="","",W36*X36)</f>
        <v/>
      </c>
      <c r="Z36" s="568" t="n">
        <f aca="false">IF($B36="",0,Y36/$W$5)</f>
        <v>0</v>
      </c>
    </row>
    <row r="37" customFormat="false" ht="15" hidden="false" customHeight="false" outlineLevel="0" collapsed="false">
      <c r="A37" s="0" t="n">
        <v>30</v>
      </c>
      <c r="B37" s="0" t="str">
        <f aca="false">'Current Portfolio'!C39</f>
        <v/>
      </c>
      <c r="C37" s="562" t="str">
        <f aca="false">IF(B37="","",INDEX('Portfolio Bucket'!$C$2:$I$69,MATCH(B37,'Portfolio Bucket'!$C$2:$C$69,0),MATCH($C$4,'Portfolio Bucket'!$C$2:$I$2,0)))</f>
        <v/>
      </c>
      <c r="D37" s="563" t="str">
        <f aca="false">INDEX('Price Inputs'!$C$4:$J$49,MATCH($B37,'Price Inputs'!$C$4:$C$49,0),MATCH(C$4,'Price Inputs'!$C$4:$J$4,0))</f>
        <v/>
      </c>
      <c r="E37" s="564" t="str">
        <f aca="false">IF($B37="","",C37*D37)</f>
        <v/>
      </c>
      <c r="F37" s="565" t="n">
        <f aca="false">IF($B37="",0,E37/$C$5)</f>
        <v>0</v>
      </c>
      <c r="G37" s="573" t="str">
        <f aca="false">IF($B37="","",INDEX('Portfolio Bucket'!$C$2:$I$69,MATCH($B37,'Portfolio Bucket'!$C$2:$C$69,0),MATCH($G$4,'Portfolio Bucket'!$C$2:$I$2,0)))</f>
        <v/>
      </c>
      <c r="H37" s="566" t="n">
        <f aca="false">INDEX('Price Inputs'!$C$4:$J$49,MATCH($B37,'Price Inputs'!$C$4:$C$49,0),MATCH(G$4,'Price Inputs'!$C$4:$J$4,0))</f>
        <v>0</v>
      </c>
      <c r="I37" s="567" t="str">
        <f aca="false">IF($B37="","",G37*H37)</f>
        <v/>
      </c>
      <c r="J37" s="568" t="n">
        <f aca="false">IF($B37="",0,I37/$G$5)</f>
        <v>0</v>
      </c>
      <c r="K37" s="569" t="str">
        <f aca="false">IF($B37="","",INDEX('Portfolio Bucket'!$C$2:$I$69,MATCH($B37,'Portfolio Bucket'!$C$2:$C$69,0),MATCH($K$4,'Portfolio Bucket'!$C$2:$I$2,0)))</f>
        <v/>
      </c>
      <c r="L37" s="563" t="n">
        <f aca="false">INDEX('Price Inputs'!$C$4:$J$49,MATCH($B37,'Price Inputs'!$C$4:$C$49,0),MATCH(K$4,'Price Inputs'!$C$4:$J$4,0))</f>
        <v>0</v>
      </c>
      <c r="M37" s="564" t="str">
        <f aca="false">IF($B37="","",K37*L37)</f>
        <v/>
      </c>
      <c r="N37" s="570" t="n">
        <f aca="false">IF($B37="",0,M37/$K$5)</f>
        <v>0</v>
      </c>
      <c r="O37" s="573" t="str">
        <f aca="false">IF($B37="","",INDEX('Portfolio Bucket'!$C$2:$I$69,MATCH($B37,'Portfolio Bucket'!$C$2:$C$69,0),MATCH($O$4,'Portfolio Bucket'!$C$2:$I$2,0)))</f>
        <v/>
      </c>
      <c r="P37" s="567" t="n">
        <f aca="false">INDEX('Price Inputs'!$C$4:$J$49,MATCH($B37,'Price Inputs'!$C$4:$C$49,0),MATCH(O$4,'Price Inputs'!$C$4:$J$4,0))</f>
        <v>0</v>
      </c>
      <c r="Q37" s="567" t="str">
        <f aca="false">IF($B37="","",O37*P37)</f>
        <v/>
      </c>
      <c r="R37" s="571" t="n">
        <f aca="false">IF($B37="",0,Q37/$O$5)</f>
        <v>0</v>
      </c>
      <c r="S37" s="569" t="str">
        <f aca="false">IF($B37="","",INDEX('Portfolio Bucket'!$C$2:$I$69,MATCH($B37,'Portfolio Bucket'!$C$2:$C$69,0),MATCH($S$4,'Portfolio Bucket'!$C$2:$I$2,0)))</f>
        <v/>
      </c>
      <c r="T37" s="563" t="n">
        <f aca="false">INDEX('Price Inputs'!$C$4:$J$49,MATCH($B37,'Price Inputs'!$C$4:$C$49,0),MATCH(S$4,'Price Inputs'!$C$4:$J$4,0))</f>
        <v>0</v>
      </c>
      <c r="U37" s="564" t="str">
        <f aca="false">IF($B37="","",S37*T37)</f>
        <v/>
      </c>
      <c r="V37" s="570" t="n">
        <f aca="false">IF($B37="",0,U37/$S$5)</f>
        <v>0</v>
      </c>
      <c r="W37" s="572" t="str">
        <f aca="false">IF($B37="","",INDEX('Portfolio Bucket'!$C$2:$I$69,MATCH($B37,'Portfolio Bucket'!$C$2:$C$69,0),MATCH($W$4,'Portfolio Bucket'!$C$2:$I$2,0)))</f>
        <v/>
      </c>
      <c r="X37" s="566" t="n">
        <f aca="false">INDEX('Price Inputs'!$C$4:$J$49,MATCH($B37,'Price Inputs'!$C$4:$C$49,0),MATCH(W$4,'Price Inputs'!$C$4:$J$4,0))</f>
        <v>0</v>
      </c>
      <c r="Y37" s="567" t="str">
        <f aca="false">IF($B37="","",W37*X37)</f>
        <v/>
      </c>
      <c r="Z37" s="568" t="n">
        <f aca="false">IF($B37="",0,Y37/$W$5)</f>
        <v>0</v>
      </c>
    </row>
    <row r="38" customFormat="false" ht="15" hidden="false" customHeight="false" outlineLevel="0" collapsed="false">
      <c r="A38" s="0" t="n">
        <v>31</v>
      </c>
      <c r="B38" s="0" t="str">
        <f aca="false">'Current Portfolio'!C40</f>
        <v/>
      </c>
      <c r="C38" s="562" t="str">
        <f aca="false">IF(B38="","",INDEX('Portfolio Bucket'!$C$2:$I$69,MATCH(B38,'Portfolio Bucket'!$C$2:$C$69,0),MATCH($C$4,'Portfolio Bucket'!$C$2:$I$2,0)))</f>
        <v/>
      </c>
      <c r="D38" s="563" t="str">
        <f aca="false">INDEX('Price Inputs'!$C$4:$J$49,MATCH($B38,'Price Inputs'!$C$4:$C$49,0),MATCH(C$4,'Price Inputs'!$C$4:$J$4,0))</f>
        <v/>
      </c>
      <c r="E38" s="564" t="str">
        <f aca="false">IF($B38="","",C38*D38)</f>
        <v/>
      </c>
      <c r="F38" s="565" t="n">
        <f aca="false">IF($B38="",0,E38/$C$5)</f>
        <v>0</v>
      </c>
      <c r="G38" s="573" t="str">
        <f aca="false">IF($B38="","",INDEX('Portfolio Bucket'!$C$2:$I$69,MATCH($B38,'Portfolio Bucket'!$C$2:$C$69,0),MATCH($G$4,'Portfolio Bucket'!$C$2:$I$2,0)))</f>
        <v/>
      </c>
      <c r="H38" s="566" t="n">
        <f aca="false">INDEX('Price Inputs'!$C$4:$J$49,MATCH($B38,'Price Inputs'!$C$4:$C$49,0),MATCH(G$4,'Price Inputs'!$C$4:$J$4,0))</f>
        <v>0</v>
      </c>
      <c r="I38" s="567" t="str">
        <f aca="false">IF($B38="","",G38*H38)</f>
        <v/>
      </c>
      <c r="J38" s="568" t="n">
        <f aca="false">IF($B38="",0,I38/$G$5)</f>
        <v>0</v>
      </c>
      <c r="K38" s="569" t="str">
        <f aca="false">IF($B38="","",INDEX('Portfolio Bucket'!$C$2:$I$69,MATCH($B38,'Portfolio Bucket'!$C$2:$C$69,0),MATCH($K$4,'Portfolio Bucket'!$C$2:$I$2,0)))</f>
        <v/>
      </c>
      <c r="L38" s="563" t="n">
        <f aca="false">INDEX('Price Inputs'!$C$4:$J$49,MATCH($B38,'Price Inputs'!$C$4:$C$49,0),MATCH(K$4,'Price Inputs'!$C$4:$J$4,0))</f>
        <v>0</v>
      </c>
      <c r="M38" s="564" t="str">
        <f aca="false">IF($B38="","",K38*L38)</f>
        <v/>
      </c>
      <c r="N38" s="570" t="n">
        <f aca="false">IF($B38="",0,M38/$K$5)</f>
        <v>0</v>
      </c>
      <c r="O38" s="573" t="str">
        <f aca="false">IF($B38="","",INDEX('Portfolio Bucket'!$C$2:$I$69,MATCH($B38,'Portfolio Bucket'!$C$2:$C$69,0),MATCH($O$4,'Portfolio Bucket'!$C$2:$I$2,0)))</f>
        <v/>
      </c>
      <c r="P38" s="567" t="n">
        <f aca="false">INDEX('Price Inputs'!$C$4:$J$49,MATCH($B38,'Price Inputs'!$C$4:$C$49,0),MATCH(O$4,'Price Inputs'!$C$4:$J$4,0))</f>
        <v>0</v>
      </c>
      <c r="Q38" s="567" t="str">
        <f aca="false">IF($B38="","",O38*P38)</f>
        <v/>
      </c>
      <c r="R38" s="571" t="n">
        <f aca="false">IF($B38="",0,Q38/$O$5)</f>
        <v>0</v>
      </c>
      <c r="S38" s="569" t="str">
        <f aca="false">IF($B38="","",INDEX('Portfolio Bucket'!$C$2:$I$69,MATCH($B38,'Portfolio Bucket'!$C$2:$C$69,0),MATCH($S$4,'Portfolio Bucket'!$C$2:$I$2,0)))</f>
        <v/>
      </c>
      <c r="T38" s="563" t="n">
        <f aca="false">INDEX('Price Inputs'!$C$4:$J$49,MATCH($B38,'Price Inputs'!$C$4:$C$49,0),MATCH(S$4,'Price Inputs'!$C$4:$J$4,0))</f>
        <v>0</v>
      </c>
      <c r="U38" s="564" t="str">
        <f aca="false">IF($B38="","",S38*T38)</f>
        <v/>
      </c>
      <c r="V38" s="570" t="n">
        <f aca="false">IF($B38="",0,U38/$S$5)</f>
        <v>0</v>
      </c>
      <c r="W38" s="572" t="str">
        <f aca="false">IF($B38="","",INDEX('Portfolio Bucket'!$C$2:$I$69,MATCH($B38,'Portfolio Bucket'!$C$2:$C$69,0),MATCH($W$4,'Portfolio Bucket'!$C$2:$I$2,0)))</f>
        <v/>
      </c>
      <c r="X38" s="566" t="n">
        <f aca="false">INDEX('Price Inputs'!$C$4:$J$49,MATCH($B38,'Price Inputs'!$C$4:$C$49,0),MATCH(W$4,'Price Inputs'!$C$4:$J$4,0))</f>
        <v>0</v>
      </c>
      <c r="Y38" s="567" t="str">
        <f aca="false">IF($B38="","",W38*X38)</f>
        <v/>
      </c>
      <c r="Z38" s="568" t="n">
        <f aca="false">IF($B38="",0,Y38/$W$5)</f>
        <v>0</v>
      </c>
    </row>
    <row r="39" customFormat="false" ht="15" hidden="false" customHeight="false" outlineLevel="0" collapsed="false">
      <c r="C39" s="586"/>
      <c r="D39" s="148" t="s">
        <v>486</v>
      </c>
      <c r="E39" s="587" t="n">
        <f aca="false">SUM(E8:E38)</f>
        <v>1000000</v>
      </c>
      <c r="F39" s="588" t="n">
        <f aca="false">E39/$C$5</f>
        <v>1</v>
      </c>
      <c r="G39" s="340"/>
      <c r="H39" s="340" t="s">
        <v>486</v>
      </c>
      <c r="I39" s="589" t="n">
        <f aca="false">SUM(I8:I38)</f>
        <v>996785.1</v>
      </c>
      <c r="J39" s="590" t="n">
        <f aca="false">I39/$G$5</f>
        <v>1</v>
      </c>
      <c r="K39" s="340"/>
      <c r="L39" s="340" t="s">
        <v>486</v>
      </c>
      <c r="M39" s="589" t="n">
        <f aca="false">SUM(M8:M38)</f>
        <v>988632.97</v>
      </c>
      <c r="N39" s="590" t="n">
        <f aca="false">M39/$K$5</f>
        <v>1</v>
      </c>
      <c r="O39" s="340"/>
      <c r="P39" s="340" t="s">
        <v>486</v>
      </c>
      <c r="Q39" s="589" t="n">
        <f aca="false">SUM(Q8:Q38)</f>
        <v>10071.98</v>
      </c>
      <c r="R39" s="590" t="n">
        <f aca="false">Q39/$O$5</f>
        <v>1</v>
      </c>
      <c r="S39" s="340"/>
      <c r="T39" s="340" t="s">
        <v>486</v>
      </c>
      <c r="U39" s="591" t="n">
        <f aca="false">SUM(U8:U38)</f>
        <v>10071.98</v>
      </c>
      <c r="V39" s="590" t="n">
        <f aca="false">U39/$S$5</f>
        <v>1</v>
      </c>
      <c r="W39" s="340"/>
      <c r="X39" s="340" t="s">
        <v>486</v>
      </c>
      <c r="Y39" s="591" t="n">
        <f aca="false">SUM(Y8:Y38)</f>
        <v>10071.98</v>
      </c>
      <c r="Z39" s="592" t="n">
        <f aca="false">Y39/$W$5</f>
        <v>1</v>
      </c>
    </row>
    <row r="46" customFormat="false" ht="15" hidden="false" customHeight="false" outlineLevel="0" collapsed="false">
      <c r="C46" s="519"/>
      <c r="D46" s="519"/>
      <c r="E46" s="519"/>
      <c r="F46" s="519"/>
      <c r="G46" s="519"/>
    </row>
    <row r="47" customFormat="false" ht="15" hidden="false" customHeight="false" outlineLevel="0" collapsed="false">
      <c r="C47" s="134" t="s">
        <v>410</v>
      </c>
      <c r="D47" s="134" t="s">
        <v>347</v>
      </c>
      <c r="E47" s="134" t="s">
        <v>348</v>
      </c>
      <c r="F47" s="134" t="s">
        <v>349</v>
      </c>
      <c r="G47" s="134" t="s">
        <v>350</v>
      </c>
      <c r="H47" s="134" t="s">
        <v>351</v>
      </c>
      <c r="I47" s="134" t="s">
        <v>478</v>
      </c>
    </row>
    <row r="48" customFormat="false" ht="15" hidden="false" customHeight="false" outlineLevel="0" collapsed="false">
      <c r="A48" s="0" t="n">
        <f aca="false">A8</f>
        <v>1</v>
      </c>
      <c r="B48" s="0" t="str">
        <f aca="false">B8</f>
        <v>Cash</v>
      </c>
      <c r="C48" s="593" t="n">
        <f aca="false">F8</f>
        <v>0.01007074</v>
      </c>
      <c r="D48" s="593" t="n">
        <f aca="false">J8</f>
        <v>0.0101044648440271</v>
      </c>
      <c r="E48" s="593" t="n">
        <f aca="false">N8</f>
        <v>0.0101877848560928</v>
      </c>
      <c r="F48" s="593" t="n">
        <f aca="false">R8</f>
        <v>1</v>
      </c>
      <c r="G48" s="593" t="n">
        <f aca="false">V8</f>
        <v>1</v>
      </c>
      <c r="H48" s="593" t="n">
        <f aca="false">Z8</f>
        <v>1</v>
      </c>
      <c r="I48" s="593" t="n">
        <f aca="false">AVERAGE(C48:H48)</f>
        <v>0.505060498283353</v>
      </c>
    </row>
    <row r="49" customFormat="false" ht="15" hidden="false" customHeight="false" outlineLevel="0" collapsed="false">
      <c r="A49" s="0" t="n">
        <f aca="false">A9</f>
        <v>2</v>
      </c>
      <c r="B49" s="0" t="str">
        <f aca="false">B9</f>
        <v>BIV</v>
      </c>
      <c r="C49" s="593" t="n">
        <f aca="false">F9</f>
        <v>0.09996252</v>
      </c>
      <c r="D49" s="593" t="n">
        <f aca="false">J9</f>
        <v>0.100197916281052</v>
      </c>
      <c r="E49" s="593" t="n">
        <f aca="false">N9</f>
        <v>0.101086796650126</v>
      </c>
      <c r="F49" s="593" t="n">
        <f aca="false">R9</f>
        <v>0</v>
      </c>
      <c r="G49" s="593" t="n">
        <f aca="false">V9</f>
        <v>0</v>
      </c>
      <c r="H49" s="593" t="n">
        <f aca="false">Z9</f>
        <v>0</v>
      </c>
      <c r="I49" s="593" t="n">
        <f aca="false">AVERAGE(C49:H49)</f>
        <v>0.0502078721551963</v>
      </c>
    </row>
    <row r="50" customFormat="false" ht="15" hidden="false" customHeight="false" outlineLevel="0" collapsed="false">
      <c r="A50" s="0" t="n">
        <f aca="false">A10</f>
        <v>3</v>
      </c>
      <c r="B50" s="0" t="str">
        <f aca="false">B10</f>
        <v>EEM</v>
      </c>
      <c r="C50" s="593" t="n">
        <f aca="false">F10</f>
        <v>0.15001654</v>
      </c>
      <c r="D50" s="593" t="n">
        <f aca="false">J10</f>
        <v>0.14699206478909</v>
      </c>
      <c r="E50" s="593" t="n">
        <f aca="false">N10</f>
        <v>0.143815333207024</v>
      </c>
      <c r="F50" s="593" t="n">
        <f aca="false">R10</f>
        <v>0</v>
      </c>
      <c r="G50" s="593" t="n">
        <f aca="false">V10</f>
        <v>0</v>
      </c>
      <c r="H50" s="593" t="n">
        <f aca="false">Z10</f>
        <v>0</v>
      </c>
      <c r="I50" s="593" t="n">
        <f aca="false">AVERAGE(C50:H50)</f>
        <v>0.0734706563326858</v>
      </c>
    </row>
    <row r="51" customFormat="false" ht="15" hidden="false" customHeight="false" outlineLevel="0" collapsed="false">
      <c r="A51" s="0" t="n">
        <f aca="false">A11</f>
        <v>4</v>
      </c>
      <c r="B51" s="0" t="str">
        <f aca="false">B11</f>
        <v>EFA</v>
      </c>
      <c r="C51" s="593" t="n">
        <f aca="false">F11</f>
        <v>0.1499733</v>
      </c>
      <c r="D51" s="593" t="n">
        <f aca="false">J11</f>
        <v>0.0502816504781221</v>
      </c>
      <c r="E51" s="593" t="n">
        <f aca="false">N11</f>
        <v>0.0491029547598438</v>
      </c>
      <c r="F51" s="593" t="n">
        <f aca="false">R11</f>
        <v>0</v>
      </c>
      <c r="G51" s="593" t="n">
        <f aca="false">V11</f>
        <v>0</v>
      </c>
      <c r="H51" s="593" t="n">
        <f aca="false">Z11</f>
        <v>0</v>
      </c>
      <c r="I51" s="593" t="n">
        <f aca="false">AVERAGE(C51:H51)</f>
        <v>0.0415596508729943</v>
      </c>
    </row>
    <row r="52" customFormat="false" ht="15" hidden="false" customHeight="false" outlineLevel="0" collapsed="false">
      <c r="A52" s="0" t="n">
        <f aca="false">A12</f>
        <v>5</v>
      </c>
      <c r="B52" s="0" t="str">
        <f aca="false">B12</f>
        <v>HYG</v>
      </c>
      <c r="C52" s="593" t="n">
        <f aca="false">F12</f>
        <v>0.17500338</v>
      </c>
      <c r="D52" s="593" t="n">
        <f aca="false">J12</f>
        <v>0.176510624005114</v>
      </c>
      <c r="E52" s="593" t="n">
        <f aca="false">N12</f>
        <v>0.177532143197692</v>
      </c>
      <c r="F52" s="593" t="n">
        <f aca="false">R12</f>
        <v>0</v>
      </c>
      <c r="G52" s="593" t="n">
        <f aca="false">V12</f>
        <v>0</v>
      </c>
      <c r="H52" s="593" t="n">
        <f aca="false">Z12</f>
        <v>0</v>
      </c>
      <c r="I52" s="593" t="n">
        <f aca="false">AVERAGE(C52:H52)</f>
        <v>0.0881743578671344</v>
      </c>
    </row>
    <row r="53" customFormat="false" ht="15" hidden="false" customHeight="false" outlineLevel="0" collapsed="false">
      <c r="A53" s="0" t="n">
        <f aca="false">A13</f>
        <v>6</v>
      </c>
      <c r="B53" s="0" t="str">
        <f aca="false">B13</f>
        <v>IEF</v>
      </c>
      <c r="C53" s="593" t="n">
        <f aca="false">F13</f>
        <v>0.07496027</v>
      </c>
      <c r="D53" s="593" t="n">
        <f aca="false">J13</f>
        <v>0.174588755389702</v>
      </c>
      <c r="E53" s="593" t="n">
        <f aca="false">N13</f>
        <v>0.176512411881226</v>
      </c>
      <c r="F53" s="593" t="n">
        <f aca="false">R13</f>
        <v>0</v>
      </c>
      <c r="G53" s="593" t="n">
        <f aca="false">V13</f>
        <v>0</v>
      </c>
      <c r="H53" s="593" t="n">
        <f aca="false">Z13</f>
        <v>0</v>
      </c>
      <c r="I53" s="593" t="n">
        <f aca="false">AVERAGE(C53:H53)</f>
        <v>0.0710102395451548</v>
      </c>
    </row>
    <row r="54" customFormat="false" ht="15" hidden="false" customHeight="false" outlineLevel="0" collapsed="false">
      <c r="A54" s="0" t="n">
        <f aca="false">A14</f>
        <v>7</v>
      </c>
      <c r="B54" s="0" t="str">
        <f aca="false">B14</f>
        <v>IYR</v>
      </c>
      <c r="C54" s="593" t="n">
        <f aca="false">F14</f>
        <v>0.0500346</v>
      </c>
      <c r="D54" s="593" t="n">
        <f aca="false">J14</f>
        <v>0.0499052403572244</v>
      </c>
      <c r="E54" s="593" t="n">
        <f aca="false">N14</f>
        <v>0.051425555835954</v>
      </c>
      <c r="F54" s="593" t="n">
        <f aca="false">R14</f>
        <v>0</v>
      </c>
      <c r="G54" s="593" t="n">
        <f aca="false">V14</f>
        <v>0</v>
      </c>
      <c r="H54" s="593" t="n">
        <f aca="false">Z14</f>
        <v>0</v>
      </c>
      <c r="I54" s="593" t="n">
        <f aca="false">AVERAGE(C54:H54)</f>
        <v>0.0252275660321964</v>
      </c>
    </row>
    <row r="55" customFormat="false" ht="15" hidden="false" customHeight="false" outlineLevel="0" collapsed="false">
      <c r="A55" s="0" t="n">
        <f aca="false">A15</f>
        <v>8</v>
      </c>
      <c r="B55" s="0" t="str">
        <f aca="false">B15</f>
        <v>VTI</v>
      </c>
      <c r="C55" s="593" t="n">
        <f aca="false">F15</f>
        <v>0.28997865</v>
      </c>
      <c r="D55" s="593" t="n">
        <f aca="false">J15</f>
        <v>0.291419283855668</v>
      </c>
      <c r="E55" s="593" t="n">
        <f aca="false">N15</f>
        <v>0.290337019612041</v>
      </c>
      <c r="F55" s="593" t="n">
        <f aca="false">R15</f>
        <v>0</v>
      </c>
      <c r="G55" s="593" t="n">
        <f aca="false">V15</f>
        <v>0</v>
      </c>
      <c r="H55" s="593" t="n">
        <f aca="false">Z15</f>
        <v>0</v>
      </c>
      <c r="I55" s="593" t="n">
        <f aca="false">AVERAGE(C55:H55)</f>
        <v>0.145289158911285</v>
      </c>
    </row>
    <row r="56" customFormat="false" ht="15" hidden="false" customHeight="false" outlineLevel="0" collapsed="false">
      <c r="A56" s="0" t="n">
        <f aca="false">A16</f>
        <v>9</v>
      </c>
      <c r="B56" s="0" t="str">
        <f aca="false">B16</f>
        <v/>
      </c>
      <c r="C56" s="593" t="n">
        <f aca="false">F16</f>
        <v>0</v>
      </c>
      <c r="D56" s="593" t="n">
        <f aca="false">J16</f>
        <v>0</v>
      </c>
      <c r="E56" s="593" t="n">
        <f aca="false">N16</f>
        <v>0</v>
      </c>
      <c r="F56" s="593" t="n">
        <f aca="false">R16</f>
        <v>0</v>
      </c>
      <c r="G56" s="593" t="n">
        <f aca="false">V16</f>
        <v>0</v>
      </c>
      <c r="H56" s="593" t="n">
        <f aca="false">Z16</f>
        <v>0</v>
      </c>
      <c r="I56" s="593" t="n">
        <f aca="false">AVERAGE(C56:H56)</f>
        <v>0</v>
      </c>
    </row>
    <row r="57" customFormat="false" ht="15" hidden="false" customHeight="false" outlineLevel="0" collapsed="false">
      <c r="A57" s="0" t="n">
        <f aca="false">A17</f>
        <v>10</v>
      </c>
      <c r="B57" s="0" t="str">
        <f aca="false">B17</f>
        <v/>
      </c>
      <c r="C57" s="593" t="n">
        <f aca="false">F17</f>
        <v>0</v>
      </c>
      <c r="D57" s="593" t="n">
        <f aca="false">J17</f>
        <v>0</v>
      </c>
      <c r="E57" s="593" t="n">
        <f aca="false">N17</f>
        <v>0</v>
      </c>
      <c r="F57" s="593" t="n">
        <f aca="false">R17</f>
        <v>0</v>
      </c>
      <c r="G57" s="593" t="n">
        <f aca="false">V17</f>
        <v>0</v>
      </c>
      <c r="H57" s="593" t="n">
        <f aca="false">Z17</f>
        <v>0</v>
      </c>
      <c r="I57" s="593" t="n">
        <f aca="false">AVERAGE(C57:H57)</f>
        <v>0</v>
      </c>
    </row>
    <row r="58" customFormat="false" ht="15" hidden="false" customHeight="false" outlineLevel="0" collapsed="false">
      <c r="A58" s="0" t="n">
        <f aca="false">A18</f>
        <v>11</v>
      </c>
      <c r="B58" s="0" t="str">
        <f aca="false">B18</f>
        <v/>
      </c>
      <c r="C58" s="593" t="n">
        <f aca="false">F18</f>
        <v>0</v>
      </c>
      <c r="D58" s="593" t="n">
        <f aca="false">J18</f>
        <v>0</v>
      </c>
      <c r="E58" s="593" t="n">
        <f aca="false">N18</f>
        <v>0</v>
      </c>
      <c r="F58" s="593" t="n">
        <f aca="false">R18</f>
        <v>0</v>
      </c>
      <c r="G58" s="593" t="n">
        <f aca="false">V18</f>
        <v>0</v>
      </c>
      <c r="H58" s="593" t="n">
        <f aca="false">Z18</f>
        <v>0</v>
      </c>
      <c r="I58" s="593" t="n">
        <f aca="false">AVERAGE(C58:H58)</f>
        <v>0</v>
      </c>
    </row>
    <row r="59" customFormat="false" ht="15" hidden="false" customHeight="false" outlineLevel="0" collapsed="false">
      <c r="A59" s="0" t="n">
        <f aca="false">A19</f>
        <v>12</v>
      </c>
      <c r="B59" s="0" t="str">
        <f aca="false">B19</f>
        <v/>
      </c>
      <c r="C59" s="593" t="n">
        <f aca="false">F19</f>
        <v>0</v>
      </c>
      <c r="D59" s="593" t="n">
        <f aca="false">J19</f>
        <v>0</v>
      </c>
      <c r="E59" s="593" t="n">
        <f aca="false">N19</f>
        <v>0</v>
      </c>
      <c r="F59" s="593" t="n">
        <f aca="false">R19</f>
        <v>0</v>
      </c>
      <c r="G59" s="593" t="n">
        <f aca="false">V19</f>
        <v>0</v>
      </c>
      <c r="H59" s="593" t="n">
        <f aca="false">Z19</f>
        <v>0</v>
      </c>
      <c r="I59" s="593" t="n">
        <f aca="false">AVERAGE(C59:H59)</f>
        <v>0</v>
      </c>
    </row>
    <row r="60" customFormat="false" ht="15" hidden="false" customHeight="false" outlineLevel="0" collapsed="false">
      <c r="A60" s="0" t="n">
        <f aca="false">A20</f>
        <v>13</v>
      </c>
      <c r="B60" s="0" t="str">
        <f aca="false">B20</f>
        <v/>
      </c>
      <c r="C60" s="593" t="n">
        <f aca="false">F20</f>
        <v>0</v>
      </c>
      <c r="D60" s="593" t="n">
        <f aca="false">J20</f>
        <v>0</v>
      </c>
      <c r="E60" s="593" t="n">
        <f aca="false">N20</f>
        <v>0</v>
      </c>
      <c r="F60" s="593" t="n">
        <f aca="false">R20</f>
        <v>0</v>
      </c>
      <c r="G60" s="593" t="n">
        <f aca="false">V20</f>
        <v>0</v>
      </c>
      <c r="H60" s="593" t="n">
        <f aca="false">Z20</f>
        <v>0</v>
      </c>
      <c r="I60" s="593" t="n">
        <f aca="false">AVERAGE(C60:H60)</f>
        <v>0</v>
      </c>
    </row>
    <row r="61" customFormat="false" ht="15" hidden="false" customHeight="false" outlineLevel="0" collapsed="false">
      <c r="A61" s="0" t="n">
        <f aca="false">A21</f>
        <v>14</v>
      </c>
      <c r="B61" s="0" t="str">
        <f aca="false">B21</f>
        <v/>
      </c>
      <c r="C61" s="593" t="n">
        <f aca="false">F21</f>
        <v>0</v>
      </c>
      <c r="D61" s="593" t="n">
        <f aca="false">J21</f>
        <v>0</v>
      </c>
      <c r="E61" s="593" t="n">
        <f aca="false">N21</f>
        <v>0</v>
      </c>
      <c r="F61" s="593" t="n">
        <f aca="false">R21</f>
        <v>0</v>
      </c>
      <c r="G61" s="593" t="n">
        <f aca="false">V21</f>
        <v>0</v>
      </c>
      <c r="H61" s="593" t="n">
        <f aca="false">Z21</f>
        <v>0</v>
      </c>
      <c r="I61" s="593" t="n">
        <f aca="false">AVERAGE(C61:H61)</f>
        <v>0</v>
      </c>
    </row>
    <row r="62" customFormat="false" ht="15" hidden="false" customHeight="false" outlineLevel="0" collapsed="false">
      <c r="A62" s="0" t="n">
        <f aca="false">A22</f>
        <v>15</v>
      </c>
      <c r="B62" s="0" t="str">
        <f aca="false">B22</f>
        <v/>
      </c>
      <c r="C62" s="593" t="n">
        <f aca="false">F22</f>
        <v>0</v>
      </c>
      <c r="D62" s="593" t="n">
        <f aca="false">J22</f>
        <v>0</v>
      </c>
      <c r="E62" s="593" t="n">
        <f aca="false">N22</f>
        <v>0</v>
      </c>
      <c r="F62" s="593" t="n">
        <f aca="false">R22</f>
        <v>0</v>
      </c>
      <c r="G62" s="593" t="n">
        <f aca="false">V22</f>
        <v>0</v>
      </c>
      <c r="H62" s="593" t="n">
        <f aca="false">Z22</f>
        <v>0</v>
      </c>
      <c r="I62" s="593" t="n">
        <f aca="false">AVERAGE(C62:H62)</f>
        <v>0</v>
      </c>
    </row>
    <row r="63" customFormat="false" ht="15" hidden="false" customHeight="false" outlineLevel="0" collapsed="false">
      <c r="A63" s="0" t="n">
        <f aca="false">A23</f>
        <v>16</v>
      </c>
      <c r="B63" s="0" t="str">
        <f aca="false">B23</f>
        <v/>
      </c>
      <c r="C63" s="593" t="n">
        <f aca="false">F23</f>
        <v>0</v>
      </c>
      <c r="D63" s="593" t="n">
        <f aca="false">J23</f>
        <v>0</v>
      </c>
      <c r="E63" s="593" t="n">
        <f aca="false">N23</f>
        <v>0</v>
      </c>
      <c r="F63" s="593" t="n">
        <f aca="false">R23</f>
        <v>0</v>
      </c>
      <c r="G63" s="593" t="n">
        <f aca="false">V23</f>
        <v>0</v>
      </c>
      <c r="H63" s="593" t="n">
        <f aca="false">Z23</f>
        <v>0</v>
      </c>
      <c r="I63" s="593" t="n">
        <f aca="false">AVERAGE(C63:H63)</f>
        <v>0</v>
      </c>
    </row>
    <row r="64" customFormat="false" ht="15" hidden="false" customHeight="false" outlineLevel="0" collapsed="false">
      <c r="A64" s="0" t="n">
        <f aca="false">A24</f>
        <v>17</v>
      </c>
      <c r="B64" s="0" t="str">
        <f aca="false">B24</f>
        <v/>
      </c>
      <c r="C64" s="593" t="n">
        <f aca="false">F24</f>
        <v>0</v>
      </c>
      <c r="D64" s="593" t="n">
        <f aca="false">J24</f>
        <v>0</v>
      </c>
      <c r="E64" s="593" t="n">
        <f aca="false">N24</f>
        <v>0</v>
      </c>
      <c r="F64" s="593" t="n">
        <f aca="false">R24</f>
        <v>0</v>
      </c>
      <c r="G64" s="593" t="n">
        <f aca="false">V24</f>
        <v>0</v>
      </c>
      <c r="H64" s="593" t="n">
        <f aca="false">Z24</f>
        <v>0</v>
      </c>
      <c r="I64" s="593" t="n">
        <f aca="false">AVERAGE(C64:H64)</f>
        <v>0</v>
      </c>
    </row>
    <row r="65" customFormat="false" ht="15" hidden="false" customHeight="false" outlineLevel="0" collapsed="false">
      <c r="A65" s="0" t="n">
        <f aca="false">A25</f>
        <v>18</v>
      </c>
      <c r="B65" s="0" t="str">
        <f aca="false">B25</f>
        <v/>
      </c>
      <c r="C65" s="593" t="n">
        <f aca="false">F25</f>
        <v>0</v>
      </c>
      <c r="D65" s="593" t="n">
        <f aca="false">J25</f>
        <v>0</v>
      </c>
      <c r="E65" s="593" t="n">
        <f aca="false">N25</f>
        <v>0</v>
      </c>
      <c r="F65" s="593" t="n">
        <f aca="false">R25</f>
        <v>0</v>
      </c>
      <c r="G65" s="593" t="n">
        <f aca="false">V25</f>
        <v>0</v>
      </c>
      <c r="H65" s="593" t="n">
        <f aca="false">Z25</f>
        <v>0</v>
      </c>
      <c r="I65" s="593" t="n">
        <f aca="false">AVERAGE(C65:H65)</f>
        <v>0</v>
      </c>
    </row>
    <row r="66" customFormat="false" ht="15" hidden="false" customHeight="false" outlineLevel="0" collapsed="false">
      <c r="A66" s="0" t="n">
        <f aca="false">A26</f>
        <v>19</v>
      </c>
      <c r="B66" s="0" t="str">
        <f aca="false">B26</f>
        <v/>
      </c>
      <c r="C66" s="593" t="n">
        <f aca="false">F26</f>
        <v>0</v>
      </c>
      <c r="D66" s="593" t="n">
        <f aca="false">J26</f>
        <v>0</v>
      </c>
      <c r="E66" s="593" t="n">
        <f aca="false">N26</f>
        <v>0</v>
      </c>
      <c r="F66" s="593" t="n">
        <f aca="false">R26</f>
        <v>0</v>
      </c>
      <c r="G66" s="593" t="n">
        <f aca="false">V26</f>
        <v>0</v>
      </c>
      <c r="H66" s="593" t="n">
        <f aca="false">Z26</f>
        <v>0</v>
      </c>
      <c r="I66" s="593" t="n">
        <f aca="false">AVERAGE(C66:H66)</f>
        <v>0</v>
      </c>
    </row>
    <row r="67" customFormat="false" ht="15" hidden="false" customHeight="false" outlineLevel="0" collapsed="false">
      <c r="A67" s="0" t="n">
        <f aca="false">A27</f>
        <v>20</v>
      </c>
      <c r="B67" s="0" t="str">
        <f aca="false">B27</f>
        <v/>
      </c>
      <c r="C67" s="593" t="n">
        <f aca="false">F27</f>
        <v>0</v>
      </c>
      <c r="D67" s="593" t="n">
        <f aca="false">J27</f>
        <v>0</v>
      </c>
      <c r="E67" s="593" t="n">
        <f aca="false">N27</f>
        <v>0</v>
      </c>
      <c r="F67" s="593" t="n">
        <f aca="false">R27</f>
        <v>0</v>
      </c>
      <c r="G67" s="593" t="n">
        <f aca="false">V27</f>
        <v>0</v>
      </c>
      <c r="H67" s="593" t="n">
        <f aca="false">Z27</f>
        <v>0</v>
      </c>
      <c r="I67" s="593" t="n">
        <f aca="false">AVERAGE(C67:H67)</f>
        <v>0</v>
      </c>
    </row>
    <row r="68" customFormat="false" ht="15" hidden="false" customHeight="false" outlineLevel="0" collapsed="false">
      <c r="A68" s="0" t="n">
        <f aca="false">A28</f>
        <v>21</v>
      </c>
      <c r="B68" s="0" t="str">
        <f aca="false">B28</f>
        <v/>
      </c>
      <c r="C68" s="593" t="n">
        <f aca="false">F28</f>
        <v>0</v>
      </c>
      <c r="D68" s="593" t="n">
        <f aca="false">J28</f>
        <v>0</v>
      </c>
      <c r="E68" s="593" t="n">
        <f aca="false">N28</f>
        <v>0</v>
      </c>
      <c r="F68" s="593" t="n">
        <f aca="false">R28</f>
        <v>0</v>
      </c>
      <c r="G68" s="593" t="n">
        <f aca="false">V28</f>
        <v>0</v>
      </c>
      <c r="H68" s="593" t="n">
        <f aca="false">Z28</f>
        <v>0</v>
      </c>
      <c r="I68" s="593" t="n">
        <f aca="false">AVERAGE(C68:H68)</f>
        <v>0</v>
      </c>
    </row>
    <row r="69" customFormat="false" ht="15" hidden="false" customHeight="false" outlineLevel="0" collapsed="false">
      <c r="A69" s="0" t="n">
        <f aca="false">A29</f>
        <v>22</v>
      </c>
      <c r="B69" s="0" t="str">
        <f aca="false">B29</f>
        <v/>
      </c>
      <c r="C69" s="593" t="n">
        <f aca="false">F29</f>
        <v>0</v>
      </c>
      <c r="D69" s="593" t="n">
        <f aca="false">J29</f>
        <v>0</v>
      </c>
      <c r="E69" s="593" t="n">
        <f aca="false">N29</f>
        <v>0</v>
      </c>
      <c r="F69" s="593" t="n">
        <f aca="false">R29</f>
        <v>0</v>
      </c>
      <c r="G69" s="593" t="n">
        <f aca="false">V29</f>
        <v>0</v>
      </c>
      <c r="H69" s="593" t="n">
        <f aca="false">Z29</f>
        <v>0</v>
      </c>
      <c r="I69" s="593" t="n">
        <f aca="false">AVERAGE(C69:H69)</f>
        <v>0</v>
      </c>
    </row>
    <row r="70" customFormat="false" ht="15" hidden="false" customHeight="false" outlineLevel="0" collapsed="false">
      <c r="A70" s="0" t="n">
        <f aca="false">A30</f>
        <v>23</v>
      </c>
      <c r="B70" s="0" t="str">
        <f aca="false">B30</f>
        <v/>
      </c>
      <c r="C70" s="593" t="n">
        <f aca="false">F30</f>
        <v>0</v>
      </c>
      <c r="D70" s="593" t="n">
        <f aca="false">J30</f>
        <v>0</v>
      </c>
      <c r="E70" s="593" t="n">
        <f aca="false">N30</f>
        <v>0</v>
      </c>
      <c r="F70" s="593" t="n">
        <f aca="false">R30</f>
        <v>0</v>
      </c>
      <c r="G70" s="593" t="n">
        <f aca="false">V30</f>
        <v>0</v>
      </c>
      <c r="H70" s="593" t="n">
        <f aca="false">Z30</f>
        <v>0</v>
      </c>
      <c r="I70" s="593" t="n">
        <f aca="false">AVERAGE(C70:H70)</f>
        <v>0</v>
      </c>
    </row>
    <row r="71" customFormat="false" ht="15" hidden="false" customHeight="false" outlineLevel="0" collapsed="false">
      <c r="A71" s="0" t="n">
        <f aca="false">A31</f>
        <v>24</v>
      </c>
      <c r="B71" s="0" t="str">
        <f aca="false">B31</f>
        <v/>
      </c>
      <c r="C71" s="593" t="n">
        <f aca="false">F31</f>
        <v>0</v>
      </c>
      <c r="D71" s="593" t="n">
        <f aca="false">J31</f>
        <v>0</v>
      </c>
      <c r="E71" s="593" t="n">
        <f aca="false">N31</f>
        <v>0</v>
      </c>
      <c r="F71" s="593" t="n">
        <f aca="false">R31</f>
        <v>0</v>
      </c>
      <c r="G71" s="593" t="n">
        <f aca="false">V31</f>
        <v>0</v>
      </c>
      <c r="H71" s="593" t="n">
        <f aca="false">Z31</f>
        <v>0</v>
      </c>
      <c r="I71" s="593" t="n">
        <f aca="false">AVERAGE(C71:H71)</f>
        <v>0</v>
      </c>
    </row>
    <row r="72" customFormat="false" ht="15" hidden="false" customHeight="false" outlineLevel="0" collapsed="false">
      <c r="A72" s="0" t="n">
        <f aca="false">A32</f>
        <v>25</v>
      </c>
      <c r="B72" s="0" t="str">
        <f aca="false">B32</f>
        <v/>
      </c>
      <c r="C72" s="593" t="n">
        <f aca="false">F32</f>
        <v>0</v>
      </c>
      <c r="D72" s="593" t="n">
        <f aca="false">J32</f>
        <v>0</v>
      </c>
      <c r="E72" s="593" t="n">
        <f aca="false">N32</f>
        <v>0</v>
      </c>
      <c r="F72" s="593" t="n">
        <f aca="false">R32</f>
        <v>0</v>
      </c>
      <c r="G72" s="593" t="n">
        <f aca="false">V32</f>
        <v>0</v>
      </c>
      <c r="H72" s="593" t="n">
        <f aca="false">Z32</f>
        <v>0</v>
      </c>
      <c r="I72" s="593" t="n">
        <f aca="false">AVERAGE(C72:H72)</f>
        <v>0</v>
      </c>
    </row>
    <row r="73" customFormat="false" ht="15" hidden="false" customHeight="false" outlineLevel="0" collapsed="false">
      <c r="A73" s="0" t="n">
        <f aca="false">A33</f>
        <v>26</v>
      </c>
      <c r="B73" s="0" t="str">
        <f aca="false">B33</f>
        <v/>
      </c>
      <c r="C73" s="593" t="n">
        <f aca="false">F33</f>
        <v>0</v>
      </c>
      <c r="D73" s="593" t="n">
        <f aca="false">J33</f>
        <v>0</v>
      </c>
      <c r="E73" s="593" t="n">
        <f aca="false">N33</f>
        <v>0</v>
      </c>
      <c r="F73" s="593" t="n">
        <f aca="false">R33</f>
        <v>0</v>
      </c>
      <c r="G73" s="593" t="n">
        <f aca="false">V33</f>
        <v>0</v>
      </c>
      <c r="H73" s="593" t="n">
        <f aca="false">Z33</f>
        <v>0</v>
      </c>
      <c r="I73" s="593" t="n">
        <f aca="false">AVERAGE(C73:H73)</f>
        <v>0</v>
      </c>
    </row>
    <row r="74" customFormat="false" ht="15" hidden="false" customHeight="false" outlineLevel="0" collapsed="false">
      <c r="A74" s="0" t="n">
        <f aca="false">A34</f>
        <v>27</v>
      </c>
      <c r="B74" s="0" t="str">
        <f aca="false">B34</f>
        <v/>
      </c>
      <c r="C74" s="593" t="n">
        <f aca="false">F34</f>
        <v>0</v>
      </c>
      <c r="D74" s="593" t="n">
        <f aca="false">J34</f>
        <v>0</v>
      </c>
      <c r="E74" s="593" t="n">
        <f aca="false">N34</f>
        <v>0</v>
      </c>
      <c r="F74" s="593" t="n">
        <f aca="false">R34</f>
        <v>0</v>
      </c>
      <c r="G74" s="593" t="n">
        <f aca="false">V34</f>
        <v>0</v>
      </c>
      <c r="H74" s="593" t="n">
        <f aca="false">Z34</f>
        <v>0</v>
      </c>
      <c r="I74" s="593" t="n">
        <f aca="false">AVERAGE(C74:H74)</f>
        <v>0</v>
      </c>
    </row>
    <row r="75" customFormat="false" ht="15" hidden="false" customHeight="false" outlineLevel="0" collapsed="false">
      <c r="A75" s="0" t="n">
        <f aca="false">A35</f>
        <v>28</v>
      </c>
      <c r="B75" s="0" t="str">
        <f aca="false">B35</f>
        <v/>
      </c>
      <c r="C75" s="593" t="n">
        <f aca="false">F35</f>
        <v>0</v>
      </c>
      <c r="D75" s="593" t="n">
        <f aca="false">J35</f>
        <v>0</v>
      </c>
      <c r="E75" s="593" t="n">
        <f aca="false">N35</f>
        <v>0</v>
      </c>
      <c r="F75" s="593" t="n">
        <f aca="false">R35</f>
        <v>0</v>
      </c>
      <c r="G75" s="593" t="n">
        <f aca="false">V35</f>
        <v>0</v>
      </c>
      <c r="H75" s="593" t="n">
        <f aca="false">Z35</f>
        <v>0</v>
      </c>
      <c r="I75" s="593" t="n">
        <f aca="false">AVERAGE(C75:H75)</f>
        <v>0</v>
      </c>
    </row>
    <row r="76" customFormat="false" ht="15" hidden="false" customHeight="false" outlineLevel="0" collapsed="false">
      <c r="A76" s="0" t="n">
        <f aca="false">A36</f>
        <v>29</v>
      </c>
      <c r="B76" s="0" t="str">
        <f aca="false">B36</f>
        <v/>
      </c>
      <c r="C76" s="593" t="n">
        <f aca="false">F36</f>
        <v>0</v>
      </c>
      <c r="D76" s="593" t="n">
        <f aca="false">J36</f>
        <v>0</v>
      </c>
      <c r="E76" s="593" t="n">
        <f aca="false">N36</f>
        <v>0</v>
      </c>
      <c r="F76" s="593" t="n">
        <f aca="false">R36</f>
        <v>0</v>
      </c>
      <c r="G76" s="593" t="n">
        <f aca="false">V36</f>
        <v>0</v>
      </c>
      <c r="H76" s="593" t="n">
        <f aca="false">Z36</f>
        <v>0</v>
      </c>
      <c r="I76" s="593" t="n">
        <f aca="false">AVERAGE(C76:H76)</f>
        <v>0</v>
      </c>
    </row>
    <row r="77" customFormat="false" ht="15" hidden="false" customHeight="false" outlineLevel="0" collapsed="false">
      <c r="A77" s="0" t="n">
        <f aca="false">A37</f>
        <v>30</v>
      </c>
      <c r="B77" s="0" t="str">
        <f aca="false">B37</f>
        <v/>
      </c>
      <c r="C77" s="593" t="n">
        <f aca="false">F37</f>
        <v>0</v>
      </c>
      <c r="D77" s="593" t="n">
        <f aca="false">J37</f>
        <v>0</v>
      </c>
      <c r="E77" s="593" t="n">
        <f aca="false">N37</f>
        <v>0</v>
      </c>
      <c r="F77" s="593" t="n">
        <f aca="false">R37</f>
        <v>0</v>
      </c>
      <c r="G77" s="593" t="n">
        <f aca="false">V37</f>
        <v>0</v>
      </c>
      <c r="H77" s="593" t="n">
        <f aca="false">Z37</f>
        <v>0</v>
      </c>
      <c r="I77" s="593" t="n">
        <f aca="false">AVERAGE(C77:H77)</f>
        <v>0</v>
      </c>
    </row>
    <row r="79" customFormat="false" ht="15" hidden="false" customHeight="false" outlineLevel="0" collapsed="false">
      <c r="C79" s="519" t="n">
        <f aca="false">SUM(C48:C77)</f>
        <v>1</v>
      </c>
      <c r="D79" s="519" t="n">
        <f aca="false">SUM(D48:D77)</f>
        <v>1</v>
      </c>
      <c r="E79" s="519" t="n">
        <f aca="false">SUM(E48:E77)</f>
        <v>1</v>
      </c>
      <c r="F79" s="519" t="n">
        <f aca="false">SUM(F48:F77)</f>
        <v>1</v>
      </c>
      <c r="G79" s="519" t="n">
        <f aca="false">SUM(G48:G77)</f>
        <v>1</v>
      </c>
      <c r="H79" s="519" t="n">
        <f aca="false">SUM(H48:H77)</f>
        <v>1</v>
      </c>
      <c r="I79" s="519" t="n">
        <f aca="false">SUM(I48:I77)</f>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N42"/>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B5" activeCellId="0" sqref="B5"/>
    </sheetView>
  </sheetViews>
  <sheetFormatPr defaultRowHeight="15" zeroHeight="false" outlineLevelRow="0" outlineLevelCol="0"/>
  <cols>
    <col collapsed="false" customWidth="true" hidden="false" outlineLevel="0" max="1" min="1" style="0" width="8.54"/>
    <col collapsed="false" customWidth="true" hidden="false" outlineLevel="0" max="2" min="2" style="0" width="10.29"/>
    <col collapsed="false" customWidth="true" hidden="false" outlineLevel="0" max="3" min="3" style="0" width="11.86"/>
    <col collapsed="false" customWidth="true" hidden="false" outlineLevel="0" max="4" min="4" style="0" width="18.71"/>
    <col collapsed="false" customWidth="true" hidden="false" outlineLevel="0" max="5" min="5" style="0" width="32.71"/>
    <col collapsed="false" customWidth="true" hidden="false" outlineLevel="0" max="6" min="6" style="0" width="15.42"/>
    <col collapsed="false" customWidth="true" hidden="false" outlineLevel="0" max="7" min="7" style="0" width="17.59"/>
    <col collapsed="false" customWidth="true" hidden="false" outlineLevel="0" max="9" min="8" style="0" width="10.29"/>
    <col collapsed="false" customWidth="true" hidden="false" outlineLevel="0" max="10" min="10" style="0" width="8.54"/>
    <col collapsed="false" customWidth="true" hidden="false" outlineLevel="0" max="11" min="11" style="0" width="20.42"/>
    <col collapsed="false" customWidth="true" hidden="false" outlineLevel="0" max="12" min="12" style="0" width="12.29"/>
    <col collapsed="false" customWidth="true" hidden="false" outlineLevel="0" max="1025" min="13" style="0" width="8.54"/>
  </cols>
  <sheetData>
    <row r="1" customFormat="false" ht="18.75" hidden="false" customHeight="false" outlineLevel="0" collapsed="false">
      <c r="A1" s="136" t="s">
        <v>471</v>
      </c>
    </row>
    <row r="3" customFormat="false" ht="15" hidden="false" customHeight="false" outlineLevel="0" collapsed="false">
      <c r="B3" s="594"/>
      <c r="C3" s="594"/>
      <c r="D3" s="594"/>
      <c r="E3" s="594" t="s">
        <v>487</v>
      </c>
      <c r="F3" s="595" t="n">
        <f aca="false">SUM(F5:F34)</f>
        <v>1</v>
      </c>
      <c r="G3" s="596"/>
      <c r="H3" s="595" t="n">
        <f aca="false">SUM(H5:H86)</f>
        <v>-0.00138235589521993</v>
      </c>
      <c r="I3" s="595" t="n">
        <f aca="false">SUM(I5:I86)</f>
        <v>0</v>
      </c>
    </row>
    <row r="4" customFormat="false" ht="45" hidden="false" customHeight="false" outlineLevel="0" collapsed="false">
      <c r="B4" s="597" t="s">
        <v>1</v>
      </c>
      <c r="C4" s="598" t="s">
        <v>4</v>
      </c>
      <c r="D4" s="598" t="s">
        <v>0</v>
      </c>
      <c r="E4" s="598" t="s">
        <v>5</v>
      </c>
      <c r="F4" s="598" t="s">
        <v>488</v>
      </c>
      <c r="G4" s="598" t="s">
        <v>269</v>
      </c>
      <c r="H4" s="598" t="s">
        <v>489</v>
      </c>
      <c r="I4" s="599" t="s">
        <v>490</v>
      </c>
      <c r="K4" s="600" t="s">
        <v>267</v>
      </c>
      <c r="L4" s="600" t="s">
        <v>455</v>
      </c>
      <c r="M4" s="600" t="s">
        <v>267</v>
      </c>
      <c r="N4" s="600" t="s">
        <v>491</v>
      </c>
    </row>
    <row r="5" customFormat="false" ht="15" hidden="false" customHeight="false" outlineLevel="0" collapsed="false">
      <c r="B5" s="601" t="str">
        <f aca="false">'Weekly  Sum'!B8</f>
        <v>Cash</v>
      </c>
      <c r="C5" s="602" t="s">
        <v>273</v>
      </c>
      <c r="D5" s="602"/>
      <c r="E5" s="602"/>
      <c r="F5" s="603" t="n">
        <f aca="false">IF($B5="","",'Weekly  Sum'!I48)</f>
        <v>0.505060498283353</v>
      </c>
      <c r="G5" s="603" t="n">
        <f aca="false">IF($B5="","",MAX('Port Returns'!Q133,'Port Returns'!S133))</f>
        <v>0</v>
      </c>
      <c r="H5" s="603" t="n">
        <f aca="false">IF(G5="","",F5*G5)</f>
        <v>0</v>
      </c>
      <c r="I5" s="604" t="n">
        <f aca="false">IF(H5="","",H5*'Port Returns'!$F$130/'Weighted Returns'!$H$3)</f>
        <v>-0</v>
      </c>
      <c r="K5" s="0" t="n">
        <f aca="false">'Port Returns'!I9</f>
        <v>0</v>
      </c>
    </row>
    <row r="6" customFormat="false" ht="15" hidden="false" customHeight="false" outlineLevel="0" collapsed="false">
      <c r="B6" s="605" t="str">
        <f aca="false">'Port Returns'!C10</f>
        <v>BIV</v>
      </c>
      <c r="C6" s="606" t="str">
        <f aca="false">IF($B6="","",VLOOKUP($B6,'ETF List'!$C$3:$I$90,4,0))</f>
        <v>Bonds</v>
      </c>
      <c r="D6" s="606" t="str">
        <f aca="false">IF($B6="","",VLOOKUP($B6,'ETF List'!$C$3:$I$90,5,0))</f>
        <v>Aggregate Bond</v>
      </c>
      <c r="E6" s="606" t="str">
        <f aca="false">IF($B6="","",VLOOKUP($B6,'ETF List'!$C$3:$I$90,6,0))</f>
        <v>Intermediate-Term Investment Grade</v>
      </c>
      <c r="F6" s="607" t="n">
        <f aca="false">IF($B6="","",'Weekly  Sum'!I49)</f>
        <v>0.0502078721551963</v>
      </c>
      <c r="G6" s="607" t="n">
        <f aca="false">IF($B6="","",(L6+N6)/(K6+M6))</f>
        <v>-0.000867625185919787</v>
      </c>
      <c r="H6" s="607" t="n">
        <f aca="false">IF(G6="","",F6*G6)</f>
        <v>-4.35616144132891E-005</v>
      </c>
      <c r="I6" s="608" t="n">
        <f aca="false">IF(H6="","",H6*'Port Returns'!$F$130/'Weighted Returns'!$H$3)</f>
        <v>0</v>
      </c>
      <c r="K6" s="0" t="n">
        <f aca="false">IF(B6="",0,'Port Returns'!I10)</f>
        <v>99962.52</v>
      </c>
      <c r="L6" s="0" t="n">
        <f aca="false">IF(B6="",0,'Port Returns'!L10)</f>
        <v>-86.7300000000105</v>
      </c>
      <c r="M6" s="0" t="n">
        <f aca="false">IF(ISERROR('Port Returns'!F48*'Port Returns'!G48),0,('Port Returns'!F48*'Port Returns'!G48))</f>
        <v>0</v>
      </c>
      <c r="N6" s="0" t="n">
        <f aca="false">IF(ISERROR('Port Returns'!G48*'Port Returns'!H48),0,'Port Returns'!I48)</f>
        <v>0</v>
      </c>
    </row>
    <row r="7" customFormat="false" ht="15" hidden="false" customHeight="false" outlineLevel="0" collapsed="false">
      <c r="B7" s="605" t="str">
        <f aca="false">'Port Returns'!C11</f>
        <v>EEM</v>
      </c>
      <c r="C7" s="606" t="str">
        <f aca="false">IF($B7="","",VLOOKUP($B7,'ETF List'!$C$3:$I$90,4,0))</f>
        <v>Intl Equity</v>
      </c>
      <c r="D7" s="606" t="str">
        <f aca="false">IF($B7="","",VLOOKUP($B7,'ETF List'!$C$3:$I$90,5,0))</f>
        <v>Emerging Mrkts</v>
      </c>
      <c r="E7" s="606" t="str">
        <f aca="false">IF($B7="","",VLOOKUP($B7,'ETF List'!$C$3:$I$90,6,0))</f>
        <v>Emerging Mrkts</v>
      </c>
      <c r="F7" s="607" t="n">
        <f aca="false">IF($B7="","",'Weekly  Sum'!I50)</f>
        <v>0.0734706563326858</v>
      </c>
      <c r="G7" s="607" t="n">
        <f aca="false">IF($B7="","",(L7+N7)/(K7+M7))</f>
        <v>-0.0233110295704727</v>
      </c>
      <c r="H7" s="607" t="n">
        <f aca="false">IF(G7="","",F7*G7)</f>
        <v>-0.00171267664233328</v>
      </c>
      <c r="I7" s="608" t="n">
        <f aca="false">IF(H7="","",H7*'Port Returns'!$F$130/'Weighted Returns'!$H$3)</f>
        <v>0</v>
      </c>
      <c r="K7" s="0" t="n">
        <f aca="false">IF(B7="",0,'Port Returns'!I11)</f>
        <v>150016.54</v>
      </c>
      <c r="L7" s="0" t="n">
        <f aca="false">IF(B7="",0,'Port Returns'!L11)</f>
        <v>-3497.04000000001</v>
      </c>
      <c r="M7" s="0" t="n">
        <f aca="false">IF(ISERROR('Port Returns'!F49*'Port Returns'!G49),0,('Port Returns'!F49*'Port Returns'!G49))</f>
        <v>0</v>
      </c>
      <c r="N7" s="0" t="n">
        <f aca="false">IF(ISERROR('Port Returns'!G49*'Port Returns'!H49),0,'Port Returns'!I49)</f>
        <v>0</v>
      </c>
    </row>
    <row r="8" customFormat="false" ht="15" hidden="false" customHeight="false" outlineLevel="0" collapsed="false">
      <c r="B8" s="605" t="str">
        <f aca="false">'Port Returns'!C12</f>
        <v>EFA</v>
      </c>
      <c r="C8" s="606" t="str">
        <f aca="false">IF($B8="","",VLOOKUP($B8,'ETF List'!$C$3:$I$90,4,0))</f>
        <v>Intl Equity</v>
      </c>
      <c r="D8" s="606" t="str">
        <f aca="false">IF($B8="","",VLOOKUP($B8,'ETF List'!$C$3:$I$90,5,0))</f>
        <v>Developed Mrkts</v>
      </c>
      <c r="E8" s="606" t="str">
        <f aca="false">IF($B8="","",VLOOKUP($B8,'ETF List'!$C$3:$I$90,6,0))</f>
        <v>International</v>
      </c>
      <c r="F8" s="607" t="n">
        <f aca="false">IF($B8="","",'Weekly  Sum'!I51)</f>
        <v>0.0415596508729943</v>
      </c>
      <c r="G8" s="607" t="n">
        <f aca="false">IF($B8="","",(L8+N8)/(K8+M8))</f>
        <v>-0.00582303650049704</v>
      </c>
      <c r="H8" s="607" t="n">
        <f aca="false">IF(G8="","",F8*G8)</f>
        <v>-0.00024200336398136</v>
      </c>
      <c r="I8" s="608" t="n">
        <f aca="false">IF(H8="","",H8*'Port Returns'!$F$130/'Weighted Returns'!$H$3)</f>
        <v>0</v>
      </c>
      <c r="K8" s="0" t="n">
        <f aca="false">IF(B8="",0,'Port Returns'!I12)</f>
        <v>50413.56</v>
      </c>
      <c r="L8" s="0" t="n">
        <f aca="false">IF(B8="",0,'Port Returns'!L12)</f>
        <v>-293.559999999998</v>
      </c>
      <c r="M8" s="0" t="n">
        <f aca="false">IF(ISERROR('Port Returns'!F50*'Port Returns'!G50),0,('Port Returns'!F50*'Port Returns'!G50))</f>
        <v>99559.74</v>
      </c>
      <c r="N8" s="0" t="n">
        <f aca="false">IF(ISERROR('Port Returns'!G50*'Port Returns'!H50),0,'Port Returns'!I50)</f>
        <v>-579.739999999995</v>
      </c>
    </row>
    <row r="9" customFormat="false" ht="15" hidden="false" customHeight="false" outlineLevel="0" collapsed="false">
      <c r="B9" s="605" t="str">
        <f aca="false">'Port Returns'!C13</f>
        <v>HYG</v>
      </c>
      <c r="C9" s="606" t="str">
        <f aca="false">IF($B9="","",VLOOKUP($B9,'ETF List'!$C$3:$I$90,4,0))</f>
        <v>Bonds</v>
      </c>
      <c r="D9" s="606" t="str">
        <f aca="false">IF($B9="","",VLOOKUP($B9,'ETF List'!$C$3:$I$90,5,0))</f>
        <v>Corporate</v>
      </c>
      <c r="E9" s="606" t="str">
        <f aca="false">IF($B9="","",VLOOKUP($B9,'ETF List'!$C$3:$I$90,6,0))</f>
        <v>High Yield Corporate Bonds</v>
      </c>
      <c r="F9" s="607" t="n">
        <f aca="false">IF($B9="","",'Weekly  Sum'!I52)</f>
        <v>0.0881743578671344</v>
      </c>
      <c r="G9" s="607" t="n">
        <f aca="false">IF($B9="","",(L9+N9)/(K9+M9))</f>
        <v>0.00537006770954937</v>
      </c>
      <c r="H9" s="607" t="n">
        <f aca="false">IF(G9="","",F9*G9)</f>
        <v>0.00047350227199255</v>
      </c>
      <c r="I9" s="608" t="n">
        <f aca="false">IF(H9="","",H9*'Port Returns'!$F$130/'Weighted Returns'!$H$3)</f>
        <v>-0</v>
      </c>
      <c r="K9" s="0" t="n">
        <f aca="false">IF(B9="",0,'Port Returns'!I13)</f>
        <v>175003.38</v>
      </c>
      <c r="L9" s="0" t="n">
        <f aca="false">IF(B9="",0,'Port Returns'!L13)</f>
        <v>939.779999999999</v>
      </c>
      <c r="M9" s="0" t="n">
        <f aca="false">IF(ISERROR('Port Returns'!F51*'Port Returns'!G51),0,('Port Returns'!F51*'Port Returns'!G51))</f>
        <v>0</v>
      </c>
      <c r="N9" s="0" t="n">
        <f aca="false">IF(ISERROR('Port Returns'!G51*'Port Returns'!H51),0,'Port Returns'!I51)</f>
        <v>0</v>
      </c>
    </row>
    <row r="10" customFormat="false" ht="15" hidden="false" customHeight="false" outlineLevel="0" collapsed="false">
      <c r="B10" s="605" t="str">
        <f aca="false">'Port Returns'!C14</f>
        <v>IEF</v>
      </c>
      <c r="C10" s="606" t="str">
        <f aca="false">IF($B10="","",VLOOKUP($B10,'ETF List'!$C$3:$I$90,4,0))</f>
        <v>Bonds</v>
      </c>
      <c r="D10" s="606" t="str">
        <f aca="false">IF($B10="","",VLOOKUP($B10,'ETF List'!$C$3:$I$90,5,0))</f>
        <v>US Government</v>
      </c>
      <c r="E10" s="606" t="str">
        <f aca="false">IF($B10="","",VLOOKUP($B10,'ETF List'!$C$3:$I$90,6,0))</f>
        <v>Intermediate Term Treasury</v>
      </c>
      <c r="F10" s="607" t="n">
        <f aca="false">IF($B10="","",'Weekly  Sum'!I53)</f>
        <v>0.0710102395451548</v>
      </c>
      <c r="G10" s="607" t="n">
        <f aca="false">IF($B10="","",(L10+N10)/(K10+M10))</f>
        <v>0.000508454025529723</v>
      </c>
      <c r="H10" s="607" t="n">
        <f aca="false">IF(G10="","",F10*G10)</f>
        <v>3.61054421505639E-005</v>
      </c>
      <c r="I10" s="608" t="n">
        <f aca="false">IF(H10="","",H10*'Port Returns'!$F$130/'Weighted Returns'!$H$3)</f>
        <v>-0</v>
      </c>
      <c r="K10" s="0" t="n">
        <f aca="false">IF(B10="",0,'Port Returns'!I14)</f>
        <v>173939.03</v>
      </c>
      <c r="L10" s="0" t="n">
        <f aca="false">IF(B10="",0,'Port Returns'!L14)</f>
        <v>88.4400000002352</v>
      </c>
      <c r="M10" s="0" t="n">
        <f aca="false">IF(ISERROR('Port Returns'!F52*'Port Returns'!G52),0,('Port Returns'!F52*'Port Returns'!G52))</f>
        <v>0</v>
      </c>
      <c r="N10" s="0" t="n">
        <f aca="false">IF(ISERROR('Port Returns'!G52*'Port Returns'!H52),0,'Port Returns'!I52)</f>
        <v>0</v>
      </c>
    </row>
    <row r="11" customFormat="false" ht="15" hidden="false" customHeight="false" outlineLevel="0" collapsed="false">
      <c r="B11" s="605" t="str">
        <f aca="false">'Port Returns'!C15</f>
        <v>IYR</v>
      </c>
      <c r="C11" s="606" t="str">
        <f aca="false">IF($B11="","",VLOOKUP($B11,'ETF List'!$C$3:$I$90,4,0))</f>
        <v>Alternatives</v>
      </c>
      <c r="D11" s="606" t="str">
        <f aca="false">IF($B11="","",VLOOKUP($B11,'ETF List'!$C$3:$I$90,5,0))</f>
        <v>REIT</v>
      </c>
      <c r="E11" s="606" t="str">
        <f aca="false">IF($B11="","",VLOOKUP($B11,'ETF List'!$C$3:$I$90,6,0))</f>
        <v>Real Estate</v>
      </c>
      <c r="F11" s="607" t="n">
        <f aca="false">IF($B11="","",'Weekly  Sum'!I54)</f>
        <v>0.0252275660321964</v>
      </c>
      <c r="G11" s="607" t="n">
        <f aca="false">IF($B11="","",(L11+N11)/(K11+M11))</f>
        <v>-0.00579199194157649</v>
      </c>
      <c r="H11" s="607" t="n">
        <f aca="false">IF(G11="","",F11*G11)</f>
        <v>-0.00014611785916407</v>
      </c>
      <c r="I11" s="608" t="n">
        <f aca="false">IF(H11="","",H11*'Port Returns'!$F$130/'Weighted Returns'!$H$3)</f>
        <v>0</v>
      </c>
      <c r="K11" s="0" t="n">
        <f aca="false">IF(B11="",0,'Port Returns'!I15)</f>
        <v>50034.6</v>
      </c>
      <c r="L11" s="0" t="n">
        <f aca="false">IF(B11="",0,'Port Returns'!L15)</f>
        <v>-289.800000000003</v>
      </c>
      <c r="M11" s="0" t="n">
        <f aca="false">IF(ISERROR('Port Returns'!F53*'Port Returns'!G53),0,('Port Returns'!F53*'Port Returns'!G53))</f>
        <v>0</v>
      </c>
      <c r="N11" s="0" t="n">
        <f aca="false">IF(ISERROR('Port Returns'!G53*'Port Returns'!H53),0,'Port Returns'!I53)</f>
        <v>0</v>
      </c>
    </row>
    <row r="12" customFormat="false" ht="15" hidden="false" customHeight="false" outlineLevel="0" collapsed="false">
      <c r="B12" s="605" t="str">
        <f aca="false">'Port Returns'!C16</f>
        <v>VTI</v>
      </c>
      <c r="C12" s="606" t="str">
        <f aca="false">IF($B12="","",VLOOKUP($B12,'ETF List'!$C$3:$I$90,4,0))</f>
        <v>US Equity</v>
      </c>
      <c r="D12" s="606" t="str">
        <f aca="false">IF($B12="","",VLOOKUP($B12,'ETF List'!$C$3:$I$90,5,0))</f>
        <v>Broad Mrkt</v>
      </c>
      <c r="E12" s="606" t="str">
        <f aca="false">IF($B12="","",VLOOKUP($B12,'ETF List'!$C$3:$I$90,6,0))</f>
        <v>Broad Mrkt</v>
      </c>
      <c r="F12" s="607" t="n">
        <f aca="false">IF($B12="","",'Weekly  Sum'!I55)</f>
        <v>0.145289158911285</v>
      </c>
      <c r="G12" s="607" t="n">
        <f aca="false">IF($B12="","",(L12+N12)/(K12+M12))</f>
        <v>0.00173719685914808</v>
      </c>
      <c r="H12" s="607" t="n">
        <f aca="false">IF(G12="","",F12*G12)</f>
        <v>0.00025239587052895</v>
      </c>
      <c r="I12" s="608" t="n">
        <f aca="false">IF(H12="","",H12*'Port Returns'!$F$130/'Weighted Returns'!$H$3)</f>
        <v>-0</v>
      </c>
      <c r="K12" s="0" t="n">
        <f aca="false">IF(B12="",0,'Port Returns'!I16)</f>
        <v>289978.65</v>
      </c>
      <c r="L12" s="0" t="n">
        <f aca="false">IF(B12="",0,'Port Returns'!L16)</f>
        <v>503.75</v>
      </c>
      <c r="M12" s="0" t="n">
        <f aca="false">IF(ISERROR('Port Returns'!F54*'Port Returns'!G54),0,('Port Returns'!F54*'Port Returns'!G54))</f>
        <v>0</v>
      </c>
      <c r="N12" s="0" t="n">
        <f aca="false">IF(ISERROR('Port Returns'!G54*'Port Returns'!H54),0,'Port Returns'!I54)</f>
        <v>0</v>
      </c>
    </row>
    <row r="13" customFormat="false" ht="15" hidden="false" customHeight="false" outlineLevel="0" collapsed="false">
      <c r="B13" s="605" t="str">
        <f aca="false">'Port Returns'!C17</f>
        <v/>
      </c>
      <c r="C13" s="606" t="str">
        <f aca="false">IF($B13="","",VLOOKUP($B13,'ETF List'!$C$3:$I$90,4,0))</f>
        <v/>
      </c>
      <c r="D13" s="606" t="str">
        <f aca="false">IF($B13="","",VLOOKUP($B13,'ETF List'!$C$3:$I$90,5,0))</f>
        <v/>
      </c>
      <c r="E13" s="606" t="str">
        <f aca="false">IF($B13="","",VLOOKUP($B13,'ETF List'!$C$3:$I$90,6,0))</f>
        <v/>
      </c>
      <c r="F13" s="607" t="str">
        <f aca="false">IF($B13="","",'Weekly  Sum'!I56)</f>
        <v/>
      </c>
      <c r="G13" s="607" t="str">
        <f aca="false">IF($B13="","",(L13+N13)/(K13+M13))</f>
        <v/>
      </c>
      <c r="H13" s="607" t="str">
        <f aca="false">IF(G13="","",F13*G13)</f>
        <v/>
      </c>
      <c r="I13" s="608" t="str">
        <f aca="false">IF(H13="","",H13*'Port Returns'!$F$130/'Weighted Returns'!$H$3)</f>
        <v/>
      </c>
      <c r="K13" s="0" t="n">
        <f aca="false">IF(B13="",0,'Port Returns'!I17)</f>
        <v>0</v>
      </c>
      <c r="L13" s="0" t="n">
        <f aca="false">IF(B13="",0,'Port Returns'!L17)</f>
        <v>0</v>
      </c>
      <c r="M13" s="0" t="n">
        <f aca="false">IF(ISERROR('Port Returns'!F55*'Port Returns'!G55),0,('Port Returns'!F55*'Port Returns'!G55))</f>
        <v>0</v>
      </c>
      <c r="N13" s="0" t="n">
        <f aca="false">IF(ISERROR('Port Returns'!G55*'Port Returns'!H55),0,'Port Returns'!I55)</f>
        <v>0</v>
      </c>
    </row>
    <row r="14" customFormat="false" ht="15" hidden="false" customHeight="false" outlineLevel="0" collapsed="false">
      <c r="B14" s="605" t="str">
        <f aca="false">'Port Returns'!C18</f>
        <v/>
      </c>
      <c r="C14" s="606" t="str">
        <f aca="false">IF($B14="","",VLOOKUP($B14,'ETF List'!$C$3:$I$90,4,0))</f>
        <v/>
      </c>
      <c r="D14" s="606" t="str">
        <f aca="false">IF($B14="","",VLOOKUP($B14,'ETF List'!$C$3:$I$90,5,0))</f>
        <v/>
      </c>
      <c r="E14" s="606" t="str">
        <f aca="false">IF($B14="","",VLOOKUP($B14,'ETF List'!$C$3:$I$90,6,0))</f>
        <v/>
      </c>
      <c r="F14" s="607" t="str">
        <f aca="false">IF($B14="","",'Weekly  Sum'!I57)</f>
        <v/>
      </c>
      <c r="G14" s="607" t="str">
        <f aca="false">IF($B14="","",(L14+N14)/(K14+M14))</f>
        <v/>
      </c>
      <c r="H14" s="607" t="str">
        <f aca="false">IF(G14="","",F14*G14)</f>
        <v/>
      </c>
      <c r="I14" s="608" t="str">
        <f aca="false">IF(H14="","",H14*'Port Returns'!$F$130/'Weighted Returns'!$H$3)</f>
        <v/>
      </c>
      <c r="K14" s="0" t="n">
        <f aca="false">IF(B14="",0,'Port Returns'!I18)</f>
        <v>0</v>
      </c>
      <c r="L14" s="0" t="n">
        <f aca="false">IF(B14="",0,'Port Returns'!L18)</f>
        <v>0</v>
      </c>
      <c r="M14" s="0" t="n">
        <f aca="false">IF(ISERROR('Port Returns'!F56*'Port Returns'!G56),0,('Port Returns'!F56*'Port Returns'!G56))</f>
        <v>0</v>
      </c>
      <c r="N14" s="0" t="n">
        <f aca="false">IF(ISERROR('Port Returns'!G56*'Port Returns'!H56),0,'Port Returns'!I56)</f>
        <v>0</v>
      </c>
    </row>
    <row r="15" customFormat="false" ht="15" hidden="false" customHeight="false" outlineLevel="0" collapsed="false">
      <c r="B15" s="605" t="str">
        <f aca="false">'Port Returns'!C19</f>
        <v/>
      </c>
      <c r="C15" s="606" t="str">
        <f aca="false">IF($B15="","",VLOOKUP($B15,'ETF List'!$C$3:$I$90,4,0))</f>
        <v/>
      </c>
      <c r="D15" s="606" t="str">
        <f aca="false">IF($B15="","",VLOOKUP($B15,'ETF List'!$C$3:$I$90,5,0))</f>
        <v/>
      </c>
      <c r="E15" s="606" t="str">
        <f aca="false">IF($B15="","",VLOOKUP($B15,'ETF List'!$C$3:$I$90,6,0))</f>
        <v/>
      </c>
      <c r="F15" s="607" t="str">
        <f aca="false">IF($B15="","",'Weekly  Sum'!I58)</f>
        <v/>
      </c>
      <c r="G15" s="607" t="str">
        <f aca="false">IF($B15="","",(L15+N15)/(K15+M15))</f>
        <v/>
      </c>
      <c r="H15" s="607" t="str">
        <f aca="false">IF(G15="","",F15*G15)</f>
        <v/>
      </c>
      <c r="I15" s="608" t="str">
        <f aca="false">IF(H15="","",H15*'Port Returns'!$F$130/'Weighted Returns'!$H$3)</f>
        <v/>
      </c>
      <c r="K15" s="0" t="n">
        <f aca="false">IF(B15="",0,'Port Returns'!I19)</f>
        <v>0</v>
      </c>
      <c r="L15" s="0" t="n">
        <f aca="false">IF(B15="",0,'Port Returns'!L19)</f>
        <v>0</v>
      </c>
      <c r="M15" s="0" t="n">
        <f aca="false">IF(ISERROR('Port Returns'!F57*'Port Returns'!G57),0,('Port Returns'!F57*'Port Returns'!G57))</f>
        <v>0</v>
      </c>
      <c r="N15" s="0" t="n">
        <f aca="false">IF(ISERROR('Port Returns'!G57*'Port Returns'!H57),0,'Port Returns'!I57)</f>
        <v>0</v>
      </c>
    </row>
    <row r="16" customFormat="false" ht="15" hidden="false" customHeight="false" outlineLevel="0" collapsed="false">
      <c r="B16" s="605" t="str">
        <f aca="false">'Port Returns'!C20</f>
        <v/>
      </c>
      <c r="C16" s="606" t="str">
        <f aca="false">IF($B16="","",VLOOKUP($B16,'ETF List'!$C$3:$I$90,4,0))</f>
        <v/>
      </c>
      <c r="D16" s="606" t="str">
        <f aca="false">IF($B16="","",VLOOKUP($B16,'ETF List'!$C$3:$I$90,5,0))</f>
        <v/>
      </c>
      <c r="E16" s="606" t="str">
        <f aca="false">IF($B16="","",VLOOKUP($B16,'ETF List'!$C$3:$I$90,6,0))</f>
        <v/>
      </c>
      <c r="F16" s="607" t="str">
        <f aca="false">IF($B16="","",'Weekly  Sum'!I59)</f>
        <v/>
      </c>
      <c r="G16" s="607" t="str">
        <f aca="false">IF($B16="","",(L16+N16)/(K16+M16))</f>
        <v/>
      </c>
      <c r="H16" s="607" t="str">
        <f aca="false">IF(G16="","",F16*G16)</f>
        <v/>
      </c>
      <c r="I16" s="608" t="str">
        <f aca="false">IF(H16="","",H16*'Port Returns'!$F$130/'Weighted Returns'!$H$3)</f>
        <v/>
      </c>
      <c r="K16" s="0" t="n">
        <f aca="false">IF(B16="",0,'Port Returns'!I20)</f>
        <v>0</v>
      </c>
      <c r="L16" s="0" t="n">
        <f aca="false">IF(B16="",0,'Port Returns'!L20)</f>
        <v>0</v>
      </c>
      <c r="M16" s="0" t="n">
        <f aca="false">IF(ISERROR('Port Returns'!F58*'Port Returns'!G58),0,('Port Returns'!F58*'Port Returns'!G58))</f>
        <v>0</v>
      </c>
      <c r="N16" s="0" t="n">
        <f aca="false">IF(ISERROR('Port Returns'!G58*'Port Returns'!H58),0,'Port Returns'!I58)</f>
        <v>0</v>
      </c>
    </row>
    <row r="17" customFormat="false" ht="15" hidden="false" customHeight="false" outlineLevel="0" collapsed="false">
      <c r="B17" s="605" t="str">
        <f aca="false">'Port Returns'!C21</f>
        <v/>
      </c>
      <c r="C17" s="606" t="str">
        <f aca="false">IF($B17="","",VLOOKUP($B17,'ETF List'!$C$3:$I$90,4,0))</f>
        <v/>
      </c>
      <c r="D17" s="606" t="str">
        <f aca="false">IF($B17="","",VLOOKUP($B17,'ETF List'!$C$3:$I$90,5,0))</f>
        <v/>
      </c>
      <c r="E17" s="606" t="str">
        <f aca="false">IF($B17="","",VLOOKUP($B17,'ETF List'!$C$3:$I$90,6,0))</f>
        <v/>
      </c>
      <c r="F17" s="607" t="str">
        <f aca="false">IF($B17="","",'Weekly  Sum'!I60)</f>
        <v/>
      </c>
      <c r="G17" s="607" t="str">
        <f aca="false">IF($B17="","",(L17+N17)/(K17+M17))</f>
        <v/>
      </c>
      <c r="H17" s="607" t="str">
        <f aca="false">IF(G17="","",F17*G17)</f>
        <v/>
      </c>
      <c r="I17" s="608" t="str">
        <f aca="false">IF(H17="","",H17*'Port Returns'!$F$130/'Weighted Returns'!$H$3)</f>
        <v/>
      </c>
      <c r="K17" s="0" t="n">
        <f aca="false">IF(B17="",0,'Port Returns'!I21)</f>
        <v>0</v>
      </c>
      <c r="L17" s="0" t="n">
        <f aca="false">IF(B17="",0,'Port Returns'!L21)</f>
        <v>0</v>
      </c>
      <c r="M17" s="0" t="n">
        <f aca="false">IF(ISERROR('Port Returns'!F59*'Port Returns'!G59),0,('Port Returns'!F59*'Port Returns'!G59))</f>
        <v>0</v>
      </c>
      <c r="N17" s="0" t="n">
        <f aca="false">IF(ISERROR('Port Returns'!G59*'Port Returns'!H59),0,'Port Returns'!I59)</f>
        <v>0</v>
      </c>
    </row>
    <row r="18" customFormat="false" ht="15" hidden="false" customHeight="false" outlineLevel="0" collapsed="false">
      <c r="B18" s="605" t="str">
        <f aca="false">'Port Returns'!C22</f>
        <v/>
      </c>
      <c r="C18" s="606" t="str">
        <f aca="false">IF($B18="","",VLOOKUP($B18,'ETF List'!$C$3:$I$90,4,0))</f>
        <v/>
      </c>
      <c r="D18" s="606" t="str">
        <f aca="false">IF($B18="","",VLOOKUP($B18,'ETF List'!$C$3:$I$90,5,0))</f>
        <v/>
      </c>
      <c r="E18" s="606" t="str">
        <f aca="false">IF($B18="","",VLOOKUP($B18,'ETF List'!$C$3:$I$90,6,0))</f>
        <v/>
      </c>
      <c r="F18" s="607" t="str">
        <f aca="false">IF($B18="","",'Weekly  Sum'!I61)</f>
        <v/>
      </c>
      <c r="G18" s="607" t="str">
        <f aca="false">IF($B18="","",(L18+N18)/(K18+M18))</f>
        <v/>
      </c>
      <c r="H18" s="607" t="str">
        <f aca="false">IF(G18="","",F18*G18)</f>
        <v/>
      </c>
      <c r="I18" s="608" t="str">
        <f aca="false">IF(H18="","",H18*'Port Returns'!$F$130/'Weighted Returns'!$H$3)</f>
        <v/>
      </c>
      <c r="K18" s="0" t="n">
        <f aca="false">IF(B18="",0,'Port Returns'!I22)</f>
        <v>0</v>
      </c>
      <c r="L18" s="0" t="n">
        <f aca="false">IF(B18="",0,'Port Returns'!L22)</f>
        <v>0</v>
      </c>
      <c r="M18" s="0" t="n">
        <f aca="false">IF(ISERROR('Port Returns'!F60*'Port Returns'!G60),0,('Port Returns'!F60*'Port Returns'!G60))</f>
        <v>0</v>
      </c>
      <c r="N18" s="0" t="n">
        <f aca="false">IF(ISERROR('Port Returns'!G60*'Port Returns'!H60),0,'Port Returns'!I60)</f>
        <v>0</v>
      </c>
    </row>
    <row r="19" customFormat="false" ht="15" hidden="false" customHeight="false" outlineLevel="0" collapsed="false">
      <c r="B19" s="605" t="str">
        <f aca="false">'Port Returns'!C23</f>
        <v/>
      </c>
      <c r="C19" s="606" t="str">
        <f aca="false">IF($B19="","",VLOOKUP($B19,'ETF List'!$C$3:$I$90,4,0))</f>
        <v/>
      </c>
      <c r="D19" s="606" t="str">
        <f aca="false">IF($B19="","",VLOOKUP($B19,'ETF List'!$C$3:$I$90,5,0))</f>
        <v/>
      </c>
      <c r="E19" s="606" t="str">
        <f aca="false">IF($B19="","",VLOOKUP($B19,'ETF List'!$C$3:$I$90,6,0))</f>
        <v/>
      </c>
      <c r="F19" s="607" t="str">
        <f aca="false">IF($B19="","",'Weekly  Sum'!I62)</f>
        <v/>
      </c>
      <c r="G19" s="607" t="str">
        <f aca="false">IF($B19="","",(L19+N19)/(K19+M19))</f>
        <v/>
      </c>
      <c r="H19" s="607" t="str">
        <f aca="false">IF(G19="","",F19*G19)</f>
        <v/>
      </c>
      <c r="I19" s="608" t="str">
        <f aca="false">IF(H19="","",H19*'Port Returns'!$F$130/'Weighted Returns'!$H$3)</f>
        <v/>
      </c>
      <c r="K19" s="0" t="n">
        <f aca="false">IF(B19="",0,'Port Returns'!I23)</f>
        <v>0</v>
      </c>
      <c r="L19" s="0" t="n">
        <f aca="false">IF(B19="",0,'Port Returns'!L23)</f>
        <v>0</v>
      </c>
      <c r="M19" s="0" t="n">
        <f aca="false">IF(ISERROR('Port Returns'!F61*'Port Returns'!G61),0,('Port Returns'!F61*'Port Returns'!G61))</f>
        <v>0</v>
      </c>
      <c r="N19" s="0" t="n">
        <f aca="false">IF(ISERROR('Port Returns'!G61*'Port Returns'!H61),0,'Port Returns'!I61)</f>
        <v>0</v>
      </c>
    </row>
    <row r="20" customFormat="false" ht="15" hidden="false" customHeight="false" outlineLevel="0" collapsed="false">
      <c r="B20" s="605" t="str">
        <f aca="false">'Port Returns'!C24</f>
        <v/>
      </c>
      <c r="C20" s="606" t="str">
        <f aca="false">IF($B20="","",VLOOKUP($B20,'ETF List'!$C$3:$I$90,4,0))</f>
        <v/>
      </c>
      <c r="D20" s="606" t="str">
        <f aca="false">IF($B20="","",VLOOKUP($B20,'ETF List'!$C$3:$I$90,5,0))</f>
        <v/>
      </c>
      <c r="E20" s="606" t="str">
        <f aca="false">IF($B20="","",VLOOKUP($B20,'ETF List'!$C$3:$I$90,6,0))</f>
        <v/>
      </c>
      <c r="F20" s="607" t="str">
        <f aca="false">IF($B20="","",'Weekly  Sum'!I63)</f>
        <v/>
      </c>
      <c r="G20" s="607" t="str">
        <f aca="false">IF($B20="","",(L20+N20)/(K20+M20))</f>
        <v/>
      </c>
      <c r="H20" s="607" t="str">
        <f aca="false">IF(G20="","",F20*G20)</f>
        <v/>
      </c>
      <c r="I20" s="608" t="str">
        <f aca="false">IF(H20="","",H20*'Port Returns'!$F$130/'Weighted Returns'!$H$3)</f>
        <v/>
      </c>
      <c r="K20" s="0" t="n">
        <f aca="false">IF(B20="",0,'Port Returns'!I24)</f>
        <v>0</v>
      </c>
      <c r="L20" s="0" t="n">
        <f aca="false">IF(B20="",0,'Port Returns'!L24)</f>
        <v>0</v>
      </c>
      <c r="M20" s="0" t="n">
        <f aca="false">IF(ISERROR('Port Returns'!F62*'Port Returns'!G62),0,('Port Returns'!F62*'Port Returns'!G62))</f>
        <v>0</v>
      </c>
      <c r="N20" s="0" t="n">
        <f aca="false">IF(ISERROR('Port Returns'!G62*'Port Returns'!H62),0,'Port Returns'!I62)</f>
        <v>0</v>
      </c>
    </row>
    <row r="21" customFormat="false" ht="15" hidden="false" customHeight="false" outlineLevel="0" collapsed="false">
      <c r="B21" s="605" t="str">
        <f aca="false">'Port Returns'!C25</f>
        <v/>
      </c>
      <c r="C21" s="606" t="str">
        <f aca="false">IF($B21="","",VLOOKUP($B21,'ETF List'!$C$3:$I$90,4,0))</f>
        <v/>
      </c>
      <c r="D21" s="606" t="str">
        <f aca="false">IF($B21="","",VLOOKUP($B21,'ETF List'!$C$3:$I$90,5,0))</f>
        <v/>
      </c>
      <c r="E21" s="606" t="str">
        <f aca="false">IF($B21="","",VLOOKUP($B21,'ETF List'!$C$3:$I$90,6,0))</f>
        <v/>
      </c>
      <c r="F21" s="607" t="str">
        <f aca="false">IF($B21="","",'Weekly  Sum'!I64)</f>
        <v/>
      </c>
      <c r="G21" s="607" t="str">
        <f aca="false">IF($B21="","",(L21+N21)/(K21+M21))</f>
        <v/>
      </c>
      <c r="H21" s="607" t="str">
        <f aca="false">IF(G21="","",F21*G21)</f>
        <v/>
      </c>
      <c r="I21" s="608" t="str">
        <f aca="false">IF(H21="","",H21*'Port Returns'!$F$130/'Weighted Returns'!$H$3)</f>
        <v/>
      </c>
      <c r="K21" s="0" t="n">
        <f aca="false">IF(B21="",0,'Port Returns'!I25)</f>
        <v>0</v>
      </c>
      <c r="L21" s="0" t="n">
        <f aca="false">IF(B21="",0,'Port Returns'!L25)</f>
        <v>0</v>
      </c>
      <c r="M21" s="0" t="n">
        <f aca="false">IF(ISERROR('Port Returns'!F63*'Port Returns'!G63),0,('Port Returns'!F63*'Port Returns'!G63))</f>
        <v>0</v>
      </c>
      <c r="N21" s="0" t="n">
        <f aca="false">IF(ISERROR('Port Returns'!G63*'Port Returns'!H63),0,'Port Returns'!I63)</f>
        <v>0</v>
      </c>
    </row>
    <row r="22" customFormat="false" ht="15" hidden="false" customHeight="false" outlineLevel="0" collapsed="false">
      <c r="B22" s="605" t="str">
        <f aca="false">'Port Returns'!C26</f>
        <v/>
      </c>
      <c r="C22" s="606" t="str">
        <f aca="false">IF($B22="","",VLOOKUP($B22,'ETF List'!$C$3:$I$90,4,0))</f>
        <v/>
      </c>
      <c r="D22" s="606" t="str">
        <f aca="false">IF($B22="","",VLOOKUP($B22,'ETF List'!$C$3:$I$90,5,0))</f>
        <v/>
      </c>
      <c r="E22" s="606" t="str">
        <f aca="false">IF($B22="","",VLOOKUP($B22,'ETF List'!$C$3:$I$90,6,0))</f>
        <v/>
      </c>
      <c r="F22" s="607" t="str">
        <f aca="false">IF($B22="","",'Weekly  Sum'!I65)</f>
        <v/>
      </c>
      <c r="G22" s="607" t="str">
        <f aca="false">IF($B22="","",(L22+N22)/(K22+M22))</f>
        <v/>
      </c>
      <c r="H22" s="607" t="str">
        <f aca="false">IF(G22="","",F22*G22)</f>
        <v/>
      </c>
      <c r="I22" s="608" t="str">
        <f aca="false">IF(H22="","",H22*'Port Returns'!$F$130/'Weighted Returns'!$H$3)</f>
        <v/>
      </c>
      <c r="K22" s="0" t="n">
        <f aca="false">IF(B22="",0,'Port Returns'!I26)</f>
        <v>0</v>
      </c>
      <c r="L22" s="0" t="n">
        <f aca="false">IF(B22="",0,'Port Returns'!L26)</f>
        <v>0</v>
      </c>
      <c r="M22" s="0" t="n">
        <f aca="false">IF(ISERROR('Port Returns'!F64*'Port Returns'!G64),0,('Port Returns'!F64*'Port Returns'!G64))</f>
        <v>0</v>
      </c>
      <c r="N22" s="0" t="n">
        <f aca="false">IF(ISERROR('Port Returns'!G64*'Port Returns'!H64),0,'Port Returns'!I64)</f>
        <v>0</v>
      </c>
    </row>
    <row r="23" customFormat="false" ht="15" hidden="false" customHeight="false" outlineLevel="0" collapsed="false">
      <c r="B23" s="605" t="str">
        <f aca="false">'Port Returns'!C27</f>
        <v/>
      </c>
      <c r="C23" s="606" t="str">
        <f aca="false">IF($B23="","",VLOOKUP($B23,'ETF List'!$C$3:$I$90,4,0))</f>
        <v/>
      </c>
      <c r="D23" s="606" t="str">
        <f aca="false">IF($B23="","",VLOOKUP($B23,'ETF List'!$C$3:$I$90,5,0))</f>
        <v/>
      </c>
      <c r="E23" s="606" t="str">
        <f aca="false">IF($B23="","",VLOOKUP($B23,'ETF List'!$C$3:$I$90,6,0))</f>
        <v/>
      </c>
      <c r="F23" s="607" t="str">
        <f aca="false">IF($B23="","",'Weekly  Sum'!I66)</f>
        <v/>
      </c>
      <c r="G23" s="607" t="str">
        <f aca="false">IF($B23="","",(L23+N23)/(K23+M23))</f>
        <v/>
      </c>
      <c r="H23" s="607" t="str">
        <f aca="false">IF(G23="","",F23*G23)</f>
        <v/>
      </c>
      <c r="I23" s="608" t="str">
        <f aca="false">IF(H23="","",H23*'Port Returns'!$F$130/'Weighted Returns'!$H$3)</f>
        <v/>
      </c>
      <c r="K23" s="0" t="n">
        <f aca="false">IF(B23="",0,'Port Returns'!I27)</f>
        <v>0</v>
      </c>
      <c r="L23" s="0" t="n">
        <f aca="false">IF(B23="",0,'Port Returns'!L27)</f>
        <v>0</v>
      </c>
      <c r="M23" s="0" t="n">
        <f aca="false">IF(ISERROR('Port Returns'!F65*'Port Returns'!G65),0,('Port Returns'!F65*'Port Returns'!G65))</f>
        <v>0</v>
      </c>
      <c r="N23" s="0" t="n">
        <f aca="false">IF(ISERROR('Port Returns'!G65*'Port Returns'!H65),0,'Port Returns'!I65)</f>
        <v>0</v>
      </c>
    </row>
    <row r="24" customFormat="false" ht="15" hidden="false" customHeight="false" outlineLevel="0" collapsed="false">
      <c r="B24" s="605" t="str">
        <f aca="false">'Port Returns'!C28</f>
        <v/>
      </c>
      <c r="C24" s="606" t="str">
        <f aca="false">IF($B24="","",VLOOKUP($B24,'ETF List'!$C$3:$I$90,4,0))</f>
        <v/>
      </c>
      <c r="D24" s="606" t="str">
        <f aca="false">IF($B24="","",VLOOKUP($B24,'ETF List'!$C$3:$I$90,5,0))</f>
        <v/>
      </c>
      <c r="E24" s="606" t="str">
        <f aca="false">IF($B24="","",VLOOKUP($B24,'ETF List'!$C$3:$I$90,6,0))</f>
        <v/>
      </c>
      <c r="F24" s="607" t="str">
        <f aca="false">IF($B24="","",'Weekly  Sum'!I67)</f>
        <v/>
      </c>
      <c r="G24" s="607" t="str">
        <f aca="false">IF($B24="","",(L24+N24)/(K24+M24))</f>
        <v/>
      </c>
      <c r="H24" s="607" t="str">
        <f aca="false">IF(G24="","",F24*G24)</f>
        <v/>
      </c>
      <c r="I24" s="608" t="str">
        <f aca="false">IF(H24="","",H24*'Port Returns'!$F$130/'Weighted Returns'!$H$3)</f>
        <v/>
      </c>
      <c r="K24" s="0" t="n">
        <f aca="false">IF(B24="",0,'Port Returns'!I28)</f>
        <v>0</v>
      </c>
      <c r="L24" s="0" t="n">
        <f aca="false">IF(B24="",0,'Port Returns'!L28)</f>
        <v>0</v>
      </c>
      <c r="M24" s="0" t="n">
        <f aca="false">IF(ISERROR('Port Returns'!F66*'Port Returns'!G66),0,('Port Returns'!F66*'Port Returns'!G66))</f>
        <v>0</v>
      </c>
      <c r="N24" s="0" t="n">
        <f aca="false">IF(ISERROR('Port Returns'!G66*'Port Returns'!H66),0,'Port Returns'!I66)</f>
        <v>0</v>
      </c>
    </row>
    <row r="25" customFormat="false" ht="15" hidden="false" customHeight="false" outlineLevel="0" collapsed="false">
      <c r="B25" s="605" t="str">
        <f aca="false">'Port Returns'!C29</f>
        <v/>
      </c>
      <c r="C25" s="606" t="str">
        <f aca="false">IF($B25="","",VLOOKUP($B25,'ETF List'!$C$3:$I$90,4,0))</f>
        <v/>
      </c>
      <c r="D25" s="606" t="str">
        <f aca="false">IF($B25="","",VLOOKUP($B25,'ETF List'!$C$3:$I$90,5,0))</f>
        <v/>
      </c>
      <c r="E25" s="606" t="str">
        <f aca="false">IF($B25="","",VLOOKUP($B25,'ETF List'!$C$3:$I$90,6,0))</f>
        <v/>
      </c>
      <c r="F25" s="607" t="str">
        <f aca="false">IF($B25="","",'Weekly  Sum'!I68)</f>
        <v/>
      </c>
      <c r="G25" s="607" t="str">
        <f aca="false">IF($B25="","",(L25+N25)/(K25+M25))</f>
        <v/>
      </c>
      <c r="H25" s="607" t="str">
        <f aca="false">IF(G25="","",F25*G25)</f>
        <v/>
      </c>
      <c r="I25" s="608" t="str">
        <f aca="false">IF(H25="","",H25*'Port Returns'!$F$130/'Weighted Returns'!$H$3)</f>
        <v/>
      </c>
      <c r="K25" s="0" t="n">
        <f aca="false">IF(B25="",0,'Port Returns'!I29)</f>
        <v>0</v>
      </c>
      <c r="L25" s="0" t="n">
        <f aca="false">IF(B25="",0,'Port Returns'!L29)</f>
        <v>0</v>
      </c>
      <c r="M25" s="0" t="n">
        <f aca="false">IF(ISERROR('Port Returns'!F67*'Port Returns'!G67),0,('Port Returns'!F67*'Port Returns'!G67))</f>
        <v>0</v>
      </c>
      <c r="N25" s="0" t="n">
        <f aca="false">IF(ISERROR('Port Returns'!G67*'Port Returns'!H67),0,'Port Returns'!I67)</f>
        <v>0</v>
      </c>
    </row>
    <row r="26" customFormat="false" ht="15" hidden="false" customHeight="false" outlineLevel="0" collapsed="false">
      <c r="B26" s="605" t="str">
        <f aca="false">'Port Returns'!C30</f>
        <v/>
      </c>
      <c r="C26" s="606" t="str">
        <f aca="false">IF($B26="","",VLOOKUP($B26,'ETF List'!$C$3:$I$90,4,0))</f>
        <v/>
      </c>
      <c r="D26" s="606" t="str">
        <f aca="false">IF($B26="","",VLOOKUP($B26,'ETF List'!$C$3:$I$90,5,0))</f>
        <v/>
      </c>
      <c r="E26" s="606" t="str">
        <f aca="false">IF($B26="","",VLOOKUP($B26,'ETF List'!$C$3:$I$90,6,0))</f>
        <v/>
      </c>
      <c r="F26" s="607" t="str">
        <f aca="false">IF($B26="","",'Weekly  Sum'!I69)</f>
        <v/>
      </c>
      <c r="G26" s="607" t="str">
        <f aca="false">IF($B26="","",(L26+N26)/(K26+M26))</f>
        <v/>
      </c>
      <c r="H26" s="607" t="str">
        <f aca="false">IF(G26="","",F26*G26)</f>
        <v/>
      </c>
      <c r="I26" s="608" t="str">
        <f aca="false">IF(H26="","",H26*'Port Returns'!$F$130/'Weighted Returns'!$H$3)</f>
        <v/>
      </c>
      <c r="K26" s="0" t="n">
        <f aca="false">IF(B26="",0,'Port Returns'!I30)</f>
        <v>0</v>
      </c>
      <c r="L26" s="0" t="n">
        <f aca="false">IF(B26="",0,'Port Returns'!L30)</f>
        <v>0</v>
      </c>
      <c r="M26" s="0" t="n">
        <f aca="false">IF(ISERROR('Port Returns'!F68*'Port Returns'!G68),0,('Port Returns'!F68*'Port Returns'!G68))</f>
        <v>0</v>
      </c>
      <c r="N26" s="0" t="n">
        <f aca="false">IF(ISERROR('Port Returns'!G68*'Port Returns'!H68),0,'Port Returns'!I68)</f>
        <v>0</v>
      </c>
    </row>
    <row r="27" customFormat="false" ht="15" hidden="false" customHeight="false" outlineLevel="0" collapsed="false">
      <c r="B27" s="605" t="str">
        <f aca="false">'Port Returns'!C31</f>
        <v/>
      </c>
      <c r="C27" s="606" t="str">
        <f aca="false">IF($B27="","",VLOOKUP($B27,'ETF List'!$C$3:$I$90,4,0))</f>
        <v/>
      </c>
      <c r="D27" s="606" t="str">
        <f aca="false">IF($B27="","",VLOOKUP($B27,'ETF List'!$C$3:$I$90,5,0))</f>
        <v/>
      </c>
      <c r="E27" s="606" t="str">
        <f aca="false">IF($B27="","",VLOOKUP($B27,'ETF List'!$C$3:$I$90,6,0))</f>
        <v/>
      </c>
      <c r="F27" s="607" t="str">
        <f aca="false">IF($B27="","",'Weekly  Sum'!I70)</f>
        <v/>
      </c>
      <c r="G27" s="607" t="str">
        <f aca="false">IF($B27="","",(L27+N27)/(K27+M27))</f>
        <v/>
      </c>
      <c r="H27" s="607" t="str">
        <f aca="false">IF(G27="","",F27*G27)</f>
        <v/>
      </c>
      <c r="I27" s="608" t="str">
        <f aca="false">IF(H27="","",H27*'Port Returns'!$F$130/'Weighted Returns'!$H$3)</f>
        <v/>
      </c>
      <c r="K27" s="0" t="n">
        <f aca="false">IF(B27="",0,'Port Returns'!I31)</f>
        <v>0</v>
      </c>
      <c r="L27" s="0" t="n">
        <f aca="false">IF(B27="",0,'Port Returns'!L31)</f>
        <v>0</v>
      </c>
      <c r="M27" s="0" t="n">
        <f aca="false">IF(ISERROR('Port Returns'!F69*'Port Returns'!G69),0,('Port Returns'!F69*'Port Returns'!G69))</f>
        <v>0</v>
      </c>
      <c r="N27" s="0" t="n">
        <f aca="false">IF(ISERROR('Port Returns'!G69*'Port Returns'!H69),0,'Port Returns'!I69)</f>
        <v>0</v>
      </c>
    </row>
    <row r="28" customFormat="false" ht="15" hidden="false" customHeight="false" outlineLevel="0" collapsed="false">
      <c r="B28" s="605" t="str">
        <f aca="false">'Port Returns'!C32</f>
        <v/>
      </c>
      <c r="C28" s="606" t="str">
        <f aca="false">IF($B28="","",VLOOKUP($B28,'ETF List'!$C$3:$I$90,4,0))</f>
        <v/>
      </c>
      <c r="D28" s="606" t="str">
        <f aca="false">IF($B28="","",VLOOKUP($B28,'ETF List'!$C$3:$I$90,5,0))</f>
        <v/>
      </c>
      <c r="E28" s="606" t="str">
        <f aca="false">IF($B28="","",VLOOKUP($B28,'ETF List'!$C$3:$I$90,6,0))</f>
        <v/>
      </c>
      <c r="F28" s="607" t="str">
        <f aca="false">IF($B28="","",'Weekly  Sum'!I71)</f>
        <v/>
      </c>
      <c r="G28" s="607" t="str">
        <f aca="false">IF($B28="","",(L28+N28)/(K28+M28))</f>
        <v/>
      </c>
      <c r="H28" s="607" t="str">
        <f aca="false">IF(G28="","",F28*G28)</f>
        <v/>
      </c>
      <c r="I28" s="608" t="str">
        <f aca="false">IF(H28="","",H28*'Port Returns'!$F$130/'Weighted Returns'!$H$3)</f>
        <v/>
      </c>
      <c r="K28" s="0" t="n">
        <f aca="false">IF(B28="",0,'Port Returns'!I32)</f>
        <v>0</v>
      </c>
      <c r="L28" s="0" t="n">
        <f aca="false">IF(B28="",0,'Port Returns'!L32)</f>
        <v>0</v>
      </c>
      <c r="M28" s="0" t="n">
        <f aca="false">IF(ISERROR('Port Returns'!F70*'Port Returns'!G70),0,('Port Returns'!F70*'Port Returns'!G70))</f>
        <v>0</v>
      </c>
      <c r="N28" s="0" t="n">
        <f aca="false">IF(ISERROR('Port Returns'!G70*'Port Returns'!H70),0,'Port Returns'!I70)</f>
        <v>0</v>
      </c>
    </row>
    <row r="29" customFormat="false" ht="15" hidden="false" customHeight="false" outlineLevel="0" collapsed="false">
      <c r="B29" s="605" t="str">
        <f aca="false">'Port Returns'!C33</f>
        <v/>
      </c>
      <c r="C29" s="606" t="str">
        <f aca="false">IF($B29="","",VLOOKUP($B29,'ETF List'!$C$3:$I$90,4,0))</f>
        <v/>
      </c>
      <c r="D29" s="606" t="str">
        <f aca="false">IF($B29="","",VLOOKUP($B29,'ETF List'!$C$3:$I$90,5,0))</f>
        <v/>
      </c>
      <c r="E29" s="606" t="str">
        <f aca="false">IF($B29="","",VLOOKUP($B29,'ETF List'!$C$3:$I$90,6,0))</f>
        <v/>
      </c>
      <c r="F29" s="607" t="str">
        <f aca="false">IF($B29="","",'Weekly  Sum'!I72)</f>
        <v/>
      </c>
      <c r="G29" s="607" t="str">
        <f aca="false">IF($B29="","",(L29+N29)/(K29+M29))</f>
        <v/>
      </c>
      <c r="H29" s="607" t="str">
        <f aca="false">IF(G29="","",F29*G29)</f>
        <v/>
      </c>
      <c r="I29" s="608" t="str">
        <f aca="false">IF(H29="","",H29*'Port Returns'!$F$130/'Weighted Returns'!$H$3)</f>
        <v/>
      </c>
      <c r="K29" s="0" t="n">
        <f aca="false">IF(B29="",0,'Port Returns'!I33)</f>
        <v>0</v>
      </c>
      <c r="L29" s="0" t="n">
        <f aca="false">IF(B29="",0,'Port Returns'!L33)</f>
        <v>0</v>
      </c>
      <c r="M29" s="0" t="n">
        <f aca="false">IF(ISERROR('Port Returns'!F71*'Port Returns'!G71),0,('Port Returns'!F71*'Port Returns'!G71))</f>
        <v>0</v>
      </c>
      <c r="N29" s="0" t="n">
        <f aca="false">IF(ISERROR('Port Returns'!G71*'Port Returns'!H71),0,'Port Returns'!I71)</f>
        <v>0</v>
      </c>
    </row>
    <row r="30" customFormat="false" ht="15" hidden="false" customHeight="false" outlineLevel="0" collapsed="false">
      <c r="B30" s="605" t="str">
        <f aca="false">'Port Returns'!C34</f>
        <v/>
      </c>
      <c r="C30" s="606" t="str">
        <f aca="false">IF($B30="","",VLOOKUP($B30,'ETF List'!$C$3:$I$90,4,0))</f>
        <v/>
      </c>
      <c r="D30" s="606" t="str">
        <f aca="false">IF($B30="","",VLOOKUP($B30,'ETF List'!$C$3:$I$90,5,0))</f>
        <v/>
      </c>
      <c r="E30" s="606" t="str">
        <f aca="false">IF($B30="","",VLOOKUP($B30,'ETF List'!$C$3:$I$90,6,0))</f>
        <v/>
      </c>
      <c r="F30" s="607" t="str">
        <f aca="false">IF($B30="","",'Weekly  Sum'!I73)</f>
        <v/>
      </c>
      <c r="G30" s="607" t="str">
        <f aca="false">IF($B30="","",(L30+N30)/(K30+M30))</f>
        <v/>
      </c>
      <c r="H30" s="607" t="str">
        <f aca="false">IF(G30="","",F30*G30)</f>
        <v/>
      </c>
      <c r="I30" s="608" t="str">
        <f aca="false">IF(H30="","",H30*'Port Returns'!$F$130/'Weighted Returns'!$H$3)</f>
        <v/>
      </c>
      <c r="K30" s="0" t="n">
        <f aca="false">IF(B30="",0,'Port Returns'!I34)</f>
        <v>0</v>
      </c>
      <c r="L30" s="0" t="n">
        <f aca="false">IF(B30="",0,'Port Returns'!L34)</f>
        <v>0</v>
      </c>
      <c r="M30" s="0" t="n">
        <f aca="false">IF(ISERROR('Port Returns'!F72*'Port Returns'!G72),0,('Port Returns'!F72*'Port Returns'!G72))</f>
        <v>0</v>
      </c>
      <c r="N30" s="0" t="n">
        <f aca="false">IF(ISERROR('Port Returns'!G72*'Port Returns'!H72),0,'Port Returns'!I72)</f>
        <v>0</v>
      </c>
    </row>
    <row r="31" customFormat="false" ht="15" hidden="false" customHeight="false" outlineLevel="0" collapsed="false">
      <c r="B31" s="605" t="str">
        <f aca="false">'Port Returns'!C35</f>
        <v/>
      </c>
      <c r="C31" s="606" t="str">
        <f aca="false">IF($B31="","",VLOOKUP($B31,'ETF List'!$C$3:$I$90,4,0))</f>
        <v/>
      </c>
      <c r="D31" s="606" t="str">
        <f aca="false">IF($B31="","",VLOOKUP($B31,'ETF List'!$C$3:$I$90,5,0))</f>
        <v/>
      </c>
      <c r="E31" s="606" t="str">
        <f aca="false">IF($B31="","",VLOOKUP($B31,'ETF List'!$C$3:$I$90,6,0))</f>
        <v/>
      </c>
      <c r="F31" s="607" t="str">
        <f aca="false">IF($B31="","",'Weekly  Sum'!I74)</f>
        <v/>
      </c>
      <c r="G31" s="607" t="str">
        <f aca="false">IF($B31="","",(L31+N31)/(K31+M31))</f>
        <v/>
      </c>
      <c r="H31" s="607" t="str">
        <f aca="false">IF(G31="","",F31*G31)</f>
        <v/>
      </c>
      <c r="I31" s="608" t="str">
        <f aca="false">IF(H31="","",H31*'Port Returns'!$F$130/'Weighted Returns'!$H$3)</f>
        <v/>
      </c>
      <c r="K31" s="0" t="n">
        <f aca="false">IF(B31="",0,'Port Returns'!I35)</f>
        <v>0</v>
      </c>
      <c r="L31" s="0" t="n">
        <f aca="false">IF(B31="",0,'Port Returns'!L35)</f>
        <v>0</v>
      </c>
      <c r="M31" s="0" t="n">
        <f aca="false">IF(ISERROR('Port Returns'!F73*'Port Returns'!G73),0,('Port Returns'!F73*'Port Returns'!G73))</f>
        <v>0</v>
      </c>
      <c r="N31" s="0" t="n">
        <f aca="false">IF(ISERROR('Port Returns'!G73*'Port Returns'!H73),0,'Port Returns'!I73)</f>
        <v>0</v>
      </c>
    </row>
    <row r="32" customFormat="false" ht="15" hidden="false" customHeight="false" outlineLevel="0" collapsed="false">
      <c r="B32" s="605" t="str">
        <f aca="false">'Port Returns'!C36</f>
        <v/>
      </c>
      <c r="C32" s="606" t="str">
        <f aca="false">IF($B32="","",VLOOKUP($B32,'ETF List'!$C$3:$I$90,4,0))</f>
        <v/>
      </c>
      <c r="D32" s="606" t="str">
        <f aca="false">IF($B32="","",VLOOKUP($B32,'ETF List'!$C$3:$I$90,5,0))</f>
        <v/>
      </c>
      <c r="E32" s="606" t="str">
        <f aca="false">IF($B32="","",VLOOKUP($B32,'ETF List'!$C$3:$I$90,6,0))</f>
        <v/>
      </c>
      <c r="F32" s="607" t="str">
        <f aca="false">IF($B32="","",'Weekly  Sum'!I75)</f>
        <v/>
      </c>
      <c r="G32" s="607" t="str">
        <f aca="false">IF($B32="","",(L32+N32)/(K32+M32))</f>
        <v/>
      </c>
      <c r="H32" s="607" t="str">
        <f aca="false">IF(G32="","",F32*G32)</f>
        <v/>
      </c>
      <c r="I32" s="608" t="str">
        <f aca="false">IF(H32="","",H32*'Port Returns'!$F$130/'Weighted Returns'!$H$3)</f>
        <v/>
      </c>
      <c r="K32" s="0" t="n">
        <f aca="false">IF(B32="",0,'Port Returns'!I36)</f>
        <v>0</v>
      </c>
      <c r="L32" s="0" t="n">
        <f aca="false">IF(B32="",0,'Port Returns'!L36)</f>
        <v>0</v>
      </c>
      <c r="M32" s="0" t="n">
        <f aca="false">IF(ISERROR('Port Returns'!F74*'Port Returns'!G74),0,('Port Returns'!F74*'Port Returns'!G74))</f>
        <v>0</v>
      </c>
      <c r="N32" s="0" t="n">
        <f aca="false">IF(ISERROR('Port Returns'!G74*'Port Returns'!H74),0,'Port Returns'!I74)</f>
        <v>0</v>
      </c>
    </row>
    <row r="33" customFormat="false" ht="15" hidden="false" customHeight="false" outlineLevel="0" collapsed="false">
      <c r="B33" s="605" t="str">
        <f aca="false">'Port Returns'!C37</f>
        <v/>
      </c>
      <c r="C33" s="606" t="str">
        <f aca="false">IF($B33="","",VLOOKUP($B33,'ETF List'!$C$3:$I$90,4,0))</f>
        <v/>
      </c>
      <c r="D33" s="606" t="str">
        <f aca="false">IF($B33="","",VLOOKUP($B33,'ETF List'!$C$3:$I$90,5,0))</f>
        <v/>
      </c>
      <c r="E33" s="606" t="str">
        <f aca="false">IF($B33="","",VLOOKUP($B33,'ETF List'!$C$3:$I$90,6,0))</f>
        <v/>
      </c>
      <c r="F33" s="607" t="str">
        <f aca="false">IF($B33="","",'Weekly  Sum'!I76)</f>
        <v/>
      </c>
      <c r="G33" s="607" t="str">
        <f aca="false">IF($B33="","",(L33+N33)/(K33+M33))</f>
        <v/>
      </c>
      <c r="H33" s="607" t="str">
        <f aca="false">IF(G33="","",F33*G33)</f>
        <v/>
      </c>
      <c r="I33" s="608" t="str">
        <f aca="false">IF(H33="","",H33*'Port Returns'!$F$130/'Weighted Returns'!$H$3)</f>
        <v/>
      </c>
      <c r="K33" s="0" t="n">
        <f aca="false">IF(B33="",0,'Port Returns'!I37)</f>
        <v>0</v>
      </c>
      <c r="L33" s="0" t="n">
        <f aca="false">IF(B33="",0,'Port Returns'!L37)</f>
        <v>0</v>
      </c>
      <c r="M33" s="0" t="n">
        <f aca="false">IF(ISERROR('Port Returns'!F75*'Port Returns'!G75),0,('Port Returns'!F75*'Port Returns'!G75))</f>
        <v>0</v>
      </c>
      <c r="N33" s="0" t="n">
        <f aca="false">IF(ISERROR('Port Returns'!G75*'Port Returns'!H75),0,'Port Returns'!I75)</f>
        <v>0</v>
      </c>
    </row>
    <row r="34" customFormat="false" ht="15" hidden="false" customHeight="false" outlineLevel="0" collapsed="false">
      <c r="B34" s="605" t="str">
        <f aca="false">'Port Returns'!C38</f>
        <v/>
      </c>
      <c r="C34" s="609" t="str">
        <f aca="false">IF($B34="","",VLOOKUP($B34,'ETF List'!$C$3:$I$90,4,0))</f>
        <v/>
      </c>
      <c r="D34" s="609" t="str">
        <f aca="false">IF($B34="","",VLOOKUP($B34,'ETF List'!$C$3:$I$90,5,0))</f>
        <v/>
      </c>
      <c r="E34" s="609" t="str">
        <f aca="false">IF($B34="","",VLOOKUP($B34,'ETF List'!$C$3:$I$90,6,0))</f>
        <v/>
      </c>
      <c r="F34" s="610" t="str">
        <f aca="false">IF($B34="","",'Weekly  Sum'!I77)</f>
        <v/>
      </c>
      <c r="G34" s="607" t="str">
        <f aca="false">IF($B34="","",(L34+N34)/(K34+M34))</f>
        <v/>
      </c>
      <c r="H34" s="610" t="str">
        <f aca="false">IF(G34="","",F34*G34)</f>
        <v/>
      </c>
      <c r="I34" s="611" t="str">
        <f aca="false">IF(H34="","",H34*'Port Returns'!$F$130/'Weighted Returns'!$H$3)</f>
        <v/>
      </c>
      <c r="K34" s="0" t="n">
        <f aca="false">IF(B34="",0,'Port Returns'!I38)</f>
        <v>0</v>
      </c>
      <c r="L34" s="0" t="n">
        <f aca="false">IF(B34="",0,'Port Returns'!L38)</f>
        <v>0</v>
      </c>
      <c r="M34" s="0" t="n">
        <f aca="false">IF(ISERROR('Port Returns'!F76*'Port Returns'!G76),0,('Port Returns'!F76*'Port Returns'!G76))</f>
        <v>0</v>
      </c>
      <c r="N34" s="0" t="n">
        <f aca="false">IF(ISERROR('Port Returns'!G76*'Port Returns'!H76),0,'Port Returns'!I76)</f>
        <v>0</v>
      </c>
    </row>
    <row r="35" customFormat="false" ht="15" hidden="false" customHeight="false" outlineLevel="0" collapsed="false">
      <c r="F35" s="517"/>
    </row>
    <row r="36" customFormat="false" ht="15" hidden="false" customHeight="false" outlineLevel="0" collapsed="false">
      <c r="B36" s="612" t="s">
        <v>4</v>
      </c>
      <c r="C36" s="8"/>
      <c r="D36" s="613" t="s">
        <v>492</v>
      </c>
      <c r="E36" s="613" t="s">
        <v>493</v>
      </c>
      <c r="F36" s="8" t="s">
        <v>494</v>
      </c>
      <c r="G36" s="8" t="s">
        <v>495</v>
      </c>
    </row>
    <row r="37" customFormat="false" ht="15" hidden="false" customHeight="false" outlineLevel="0" collapsed="false">
      <c r="B37" s="614" t="s">
        <v>273</v>
      </c>
      <c r="C37" s="183" t="s">
        <v>273</v>
      </c>
      <c r="D37" s="615" t="n">
        <f aca="false">SUMIF($C$5:$C$34,B37,$F$5:$F$34)</f>
        <v>0.505060498283353</v>
      </c>
      <c r="E37" s="225" t="e">
        <f aca="false">AVERAGE('Policy Portfolio'!AD21:AI21)/AVERAGE('Policy Portfolio'!$AD$20:$AI$20)</f>
        <v>#DIV/0!</v>
      </c>
      <c r="F37" s="616" t="n">
        <f aca="false">G5</f>
        <v>0</v>
      </c>
      <c r="G37" s="617" t="n">
        <f aca="false">'Policy Portfolio'!AI21/'Policy Portfolio'!AD21-1</f>
        <v>0</v>
      </c>
    </row>
    <row r="38" customFormat="false" ht="15" hidden="false" customHeight="false" outlineLevel="0" collapsed="false">
      <c r="B38" s="614" t="s">
        <v>43</v>
      </c>
      <c r="C38" s="183" t="s">
        <v>319</v>
      </c>
      <c r="D38" s="618" t="n">
        <f aca="false">SUMIF($C$5:$C$34,B38,$F$5:$F$34)</f>
        <v>0.145289158911285</v>
      </c>
      <c r="E38" s="231" t="e">
        <f aca="false">AVERAGE('Policy Portfolio'!AD22:AI22)/AVERAGE('Policy Portfolio'!$AD$20:$AI$20)</f>
        <v>#DIV/0!</v>
      </c>
      <c r="F38" s="619" t="n">
        <f aca="false">SUMIF($C$5:$C$34,B38,$G$5:$G$34)</f>
        <v>0.00173719685914808</v>
      </c>
      <c r="G38" s="620" t="e">
        <f aca="false">'Policy Portfolio'!AI22/'Policy Portfolio'!AD22-1</f>
        <v>#DIV/0!</v>
      </c>
    </row>
    <row r="39" customFormat="false" ht="15" hidden="false" customHeight="false" outlineLevel="0" collapsed="false">
      <c r="B39" s="614" t="s">
        <v>114</v>
      </c>
      <c r="C39" s="183" t="s">
        <v>322</v>
      </c>
      <c r="D39" s="618" t="n">
        <f aca="false">SUMIF($C$5:$C$34,B39,$F$5:$F$34)</f>
        <v>0.11503030720568</v>
      </c>
      <c r="E39" s="231" t="e">
        <f aca="false">AVERAGE('Policy Portfolio'!AD23:AI23)/AVERAGE('Policy Portfolio'!$AD$20:$AI$20)</f>
        <v>#DIV/0!</v>
      </c>
      <c r="F39" s="619" t="n">
        <f aca="false">SUMIF($C$5:$C$34,B39,$G$5:$G$34)</f>
        <v>-0.0291340660709698</v>
      </c>
      <c r="G39" s="620" t="e">
        <f aca="false">'Policy Portfolio'!AI23/'Policy Portfolio'!AD23-1</f>
        <v>#DIV/0!</v>
      </c>
    </row>
    <row r="40" customFormat="false" ht="15" hidden="false" customHeight="false" outlineLevel="0" collapsed="false">
      <c r="B40" s="614" t="s">
        <v>199</v>
      </c>
      <c r="C40" s="183" t="s">
        <v>199</v>
      </c>
      <c r="D40" s="618" t="n">
        <f aca="false">SUMIF($C$5:$C$34,B40,$F$5:$F$34)</f>
        <v>0.209392469567485</v>
      </c>
      <c r="E40" s="231" t="e">
        <f aca="false">AVERAGE('Policy Portfolio'!AD24:AI24)/AVERAGE('Policy Portfolio'!$AD$20:$AI$20)</f>
        <v>#DIV/0!</v>
      </c>
      <c r="F40" s="619" t="n">
        <f aca="false">SUMIF($C$5:$C$34,B40,$G$5:$G$34)</f>
        <v>0.00501089654915931</v>
      </c>
      <c r="G40" s="620" t="e">
        <f aca="false">'Policy Portfolio'!AI24/'Policy Portfolio'!AD24-1</f>
        <v>#DIV/0!</v>
      </c>
    </row>
    <row r="41" customFormat="false" ht="15" hidden="false" customHeight="false" outlineLevel="0" collapsed="false">
      <c r="B41" s="614" t="s">
        <v>13</v>
      </c>
      <c r="C41" s="183" t="s">
        <v>13</v>
      </c>
      <c r="D41" s="618" t="n">
        <f aca="false">SUMIF($C$5:$C$34,B41,$F$5:$F$34)</f>
        <v>0.0252275660321964</v>
      </c>
      <c r="E41" s="231" t="e">
        <f aca="false">AVERAGE('Policy Portfolio'!AD25:AI25)/AVERAGE('Policy Portfolio'!$AD$20:$AI$20)</f>
        <v>#DIV/0!</v>
      </c>
      <c r="F41" s="619" t="n">
        <f aca="false">SUMIF($C$5:$C$34,B41,$G$5:$G$34)</f>
        <v>-0.00579199194157649</v>
      </c>
      <c r="G41" s="620" t="e">
        <f aca="false">'Policy Portfolio'!AI25/'Policy Portfolio'!AD25-1</f>
        <v>#DIV/0!</v>
      </c>
    </row>
    <row r="42" customFormat="false" ht="15" hidden="false" customHeight="false" outlineLevel="0" collapsed="false">
      <c r="B42" s="621"/>
      <c r="C42" s="622" t="s">
        <v>362</v>
      </c>
      <c r="D42" s="623" t="n">
        <f aca="false">SUM(D37:D41)</f>
        <v>1</v>
      </c>
      <c r="E42" s="624" t="e">
        <f aca="false">SUM(E37:E41)</f>
        <v>#DIV/0!</v>
      </c>
      <c r="F42" s="625" t="n">
        <f aca="false">I3</f>
        <v>0</v>
      </c>
      <c r="G42" s="62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159</TotalTime>
  <Application>LibreOffice/5.4.3.2$Windows_X86_64 LibreOffice_project/92a7159f7e4af62137622921e809f8546db437e5</Application>
  <Company>Rice University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2017-01-03T17:57:19Z</dcterms:created>
  <dc:creator>FC User</dc:creator>
  <dc:description/>
  <dc:language>en-US</dc:language>
  <cp:lastModifiedBy/>
  <cp:lastPrinted>2017-06-26T00:52:59Z</cp:lastPrinted>
  <dcterms:modified xsi:type="dcterms:W3CDTF">2018-06-22T22:41:08Z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Rice University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