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Meas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<sst xmlns="http://schemas.openxmlformats.org/spreadsheetml/2006/main" count="35" uniqueCount="26">
  <si>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Month</t>
  </si>
  <si>
    <t xml:space="preserve">A</t>
  </si>
  <si>
    <t xml:space="preserve">B</t>
  </si>
  <si>
    <t xml:space="preserve">M</t>
  </si>
  <si>
    <t xml:space="preserve">A-M</t>
  </si>
  <si>
    <t xml:space="preserve">B-M</t>
  </si>
  <si>
    <t xml:space="preserve">Residuals A</t>
  </si>
  <si>
    <t xml:space="preserve">Residuals B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</si>
  <si>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</si>
  <si>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</si>
  <si>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</si>
  <si>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</si>
  <si>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</si>
  <si>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Beta</t>
  </si>
  <si>
    <t xml:space="preserve">Slope</t>
  </si>
  <si>
    <t xml:space="preserve">Alpha</t>
  </si>
  <si>
    <t xml:space="preserve">Intercept</t>
  </si>
  <si>
    <t xml:space="preserve">avg return</t>
  </si>
  <si>
    <t xml:space="preserve">volatility</t>
  </si>
  <si>
    <t xml:space="preserve">sharpe ratio</t>
  </si>
  <si>
    <t xml:space="preserve">treynor</t>
  </si>
  <si>
    <t xml:space="preserve">R-squared</t>
  </si>
  <si>
    <t xml:space="preserve">Residual Risk</t>
  </si>
  <si>
    <t xml:space="preserve">Appr Ratio</t>
  </si>
  <si>
    <t xml:space="preserve">tracking error</t>
  </si>
  <si>
    <t xml:space="preserve">Info Ratio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</si>
</sst>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F51" activeCellId="0" sqref="F51"/>
    </sheetView>
  </sheetViews>
  <sheetFormatPr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4.83"/>
    <col collapsed="false" customWidth="true" hidden="false" outlineLevel="0" max="3" min="3" style="0" width="5.89"/>
    <col collapsed="false" customWidth="true" hidden="false" outlineLevel="0" max="7" min="4" style="0" width="8.86"/>
    <col collapsed="false" customWidth="true" hidden="false" outlineLevel="0" max="8" min="8" style="0" width="10.65"/>
    <col collapsed="false" customWidth="true" hidden="false" outlineLevel="0" max="9" min="9" style="0" width="10.54"/>
    <col collapsed="false" customWidth="true" hidden="false" outlineLevel="0" max="12" min="10" style="0" width="8.86"/>
    <col collapsed="false" customWidth="true" hidden="false" outlineLevel="0" max="13" min="13" style="0" width="15.63"/>
    <col collapsed="false" customWidth="true" hidden="false" outlineLevel="0" max="15" min="14" style="0" width="8.86"/>
    <col collapsed="false" customWidth="true" hidden="false" outlineLevel="0" max="16" min="16" style="0" width="14.66"/>
    <col collapsed="false" customWidth="true" hidden="false" outlineLevel="0" max="1025" min="17" style="0" width="8.86"/>
  </cols>
  <sheetData>
    <row r="1" customFormat="false" ht="13.8" hidden="false" customHeight="false" outlineLevel="0" collapsed="false">
      <c r="B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  <c r="L2" s="1" t="s">
        <v>1</v>
      </c>
      <c r="O2" s="0" t="s">
        <v>2</v>
      </c>
    </row>
    <row r="3" customFormat="false" ht="13.8" hidden="false" customHeight="false" outlineLevel="0" collapsed="false">
      <c r="A3" s="0" t="n">
        <v>1</v>
      </c>
      <c r="B3" s="2" t="n">
        <v>0.668225860340788</v>
      </c>
      <c r="C3" s="2" t="n">
        <v>3.71518595624194</v>
      </c>
      <c r="D3" s="2" t="n">
        <v>-1.55738276078321</v>
      </c>
      <c r="F3" s="2" t="n">
        <f aca="false">B3-D3</f>
        <v>2.225608621124</v>
      </c>
      <c r="G3" s="2" t="n">
        <f aca="false">C3-D3</f>
        <v>5.27256871702515</v>
      </c>
      <c r="H3" s="2" t="n">
        <f aca="false">B3-($M$10+$M$9*D3)</f>
        <v>1.43802381466094</v>
      </c>
      <c r="I3" s="2" t="n">
        <f aca="false">C3-($P$10+$P$9*D3)</f>
        <v>0.305420839229464</v>
      </c>
      <c r="J3" s="2"/>
      <c r="L3" s="3" t="s">
        <v>8</v>
      </c>
      <c r="O3" s="1" t="s">
        <v>8</v>
      </c>
    </row>
    <row r="4" customFormat="false" ht="13.8" hidden="false" customHeight="false" outlineLevel="0" collapsed="false">
      <c r="A4" s="0" t="n">
        <v>2</v>
      </c>
      <c r="B4" s="2" t="n">
        <v>1.69266511782278</v>
      </c>
      <c r="C4" s="2" t="n">
        <v>3.30970511846506</v>
      </c>
      <c r="D4" s="2" t="n">
        <v>-2.07662360644134</v>
      </c>
      <c r="F4" s="2" t="n">
        <f aca="false">B4-D4</f>
        <v>3.76928872426412</v>
      </c>
      <c r="G4" s="2" t="n">
        <f aca="false">C4-D4</f>
        <v>5.3863287249064</v>
      </c>
      <c r="H4" s="2" t="n">
        <f aca="false">B4-($M$10+$M$9*D4)</f>
        <v>3.13473169680802</v>
      </c>
      <c r="I4" s="2" t="n">
        <f aca="false">C4-($P$10+$P$9*D4)</f>
        <v>0.260149351756579</v>
      </c>
      <c r="J4" s="2"/>
      <c r="L4" s="2"/>
    </row>
    <row r="5" customFormat="false" ht="13.8" hidden="false" customHeight="false" outlineLevel="0" collapsed="false">
      <c r="A5" s="0" t="n">
        <v>3</v>
      </c>
      <c r="B5" s="2" t="n">
        <v>12.3694516971279</v>
      </c>
      <c r="C5" s="2" t="n">
        <v>7.25781789434072</v>
      </c>
      <c r="D5" s="2" t="n">
        <v>3.67388613302251</v>
      </c>
      <c r="F5" s="2" t="n">
        <f aca="false">B5-D5</f>
        <v>8.69556556410542</v>
      </c>
      <c r="G5" s="2" t="n">
        <f aca="false">C5-D5</f>
        <v>3.58393176131821</v>
      </c>
      <c r="H5" s="2" t="n">
        <f aca="false">B5-($M$10+$M$9*D5)</f>
        <v>6.36625023528212</v>
      </c>
      <c r="I5" s="2" t="n">
        <f aca="false">C5-($P$10+$P$9*D5)</f>
        <v>0.219000892716046</v>
      </c>
      <c r="J5" s="2"/>
      <c r="L5" s="2" t="s">
        <v>9</v>
      </c>
      <c r="M5" s="0" t="s">
        <v>10</v>
      </c>
      <c r="O5" s="0" t="s">
        <v>9</v>
      </c>
      <c r="P5" s="0" t="s">
        <v>10</v>
      </c>
    </row>
    <row r="6" customFormat="false" ht="13.8" hidden="false" customHeight="false" outlineLevel="0" collapsed="false">
      <c r="A6" s="0" t="n">
        <v>4</v>
      </c>
      <c r="B6" s="2" t="n">
        <v>0.319488817891367</v>
      </c>
      <c r="C6" s="2" t="n">
        <v>0.145797524126538</v>
      </c>
      <c r="D6" s="2" t="n">
        <v>-6.14176522368157</v>
      </c>
      <c r="F6" s="2" t="n">
        <f aca="false">B6-D6</f>
        <v>6.46125404157294</v>
      </c>
      <c r="G6" s="2" t="n">
        <f aca="false">C6-D6</f>
        <v>6.28756274780811</v>
      </c>
      <c r="H6" s="2" t="n">
        <f aca="false">B6-($M$10+$M$9*D6)</f>
        <v>7.02475298031603</v>
      </c>
      <c r="I6" s="2" t="n">
        <f aca="false">C6-($P$10+$P$9*D6)</f>
        <v>-0.0836757450583472</v>
      </c>
      <c r="J6" s="2"/>
      <c r="L6" s="2" t="s">
        <v>11</v>
      </c>
      <c r="M6" s="0" t="n">
        <f aca="false" t="array" ref="M6:M6">RSQ($B$3:$B$38 , $D$3:$D$38)</f>
        <v>0.732644056481434</v>
      </c>
      <c r="O6" s="0" t="s">
        <v>11</v>
      </c>
      <c r="P6" s="0" t="n">
        <f aca="false" t="array" ref="P6:P6">RSQ($C$3:$C$38 , $D$3:$D$38)</f>
        <v>0.992572433311911</v>
      </c>
    </row>
    <row r="7" customFormat="false" ht="13.8" hidden="false" customHeight="false" outlineLevel="0" collapsed="false">
      <c r="A7" s="0" t="n">
        <v>5</v>
      </c>
      <c r="B7" s="2" t="n">
        <v>3.64794441227563</v>
      </c>
      <c r="C7" s="2" t="n">
        <v>4.17240347288521</v>
      </c>
      <c r="D7" s="2" t="n">
        <v>-0.908145451844144</v>
      </c>
      <c r="F7" s="2" t="n">
        <f aca="false">B7-D7</f>
        <v>4.55608986411977</v>
      </c>
      <c r="G7" s="2" t="n">
        <f aca="false">C7-D7</f>
        <v>5.08054892472936</v>
      </c>
      <c r="H7" s="2" t="n">
        <f aca="false">B7-($M$10+$M$9*D7)</f>
        <v>3.57716544278209</v>
      </c>
      <c r="I7" s="2" t="n">
        <f aca="false">C7-($P$10+$P$9*D7)</f>
        <v>0.312247460777339</v>
      </c>
      <c r="J7" s="2"/>
      <c r="L7" s="2" t="s">
        <v>12</v>
      </c>
      <c r="M7" s="0" t="n">
        <f aca="false" t="array" ref="M7:M7">STEYX($B$3:$B$38 , $D$3:$D$38)</f>
        <v>3.44338048687881</v>
      </c>
      <c r="O7" s="0" t="s">
        <v>12</v>
      </c>
      <c r="P7" s="0" t="n">
        <f aca="false" t="array" ref="P7:P7">STEYX($C$3:$C$38 , $D$3:$D$38)</f>
        <v>0.264204933066752</v>
      </c>
    </row>
    <row r="8" customFormat="false" ht="13.8" hidden="false" customHeight="false" outlineLevel="0" collapsed="false">
      <c r="A8" s="0" t="n">
        <v>6</v>
      </c>
      <c r="B8" s="2" t="n">
        <v>-14.5530726256983</v>
      </c>
      <c r="C8" s="2" t="n">
        <v>-0.980550351478367</v>
      </c>
      <c r="D8" s="2" t="n">
        <v>-7.24553479393519</v>
      </c>
      <c r="F8" s="2" t="n">
        <f aca="false">B8-D8</f>
        <v>-7.30753783176312</v>
      </c>
      <c r="G8" s="2" t="n">
        <f aca="false">C8-D8</f>
        <v>6.26498444245683</v>
      </c>
      <c r="H8" s="2" t="n">
        <f aca="false">B8-($M$10+$M$9*D8)</f>
        <v>-6.41874205382917</v>
      </c>
      <c r="I8" s="2" t="n">
        <f aca="false">C8-($P$10+$P$9*D8)</f>
        <v>-0.444313212649335</v>
      </c>
      <c r="J8" s="2"/>
      <c r="L8" s="2"/>
    </row>
    <row r="9" customFormat="false" ht="13.8" hidden="false" customHeight="false" outlineLevel="0" collapsed="false">
      <c r="A9" s="0" t="n">
        <v>7</v>
      </c>
      <c r="B9" s="2" t="n">
        <v>-2.71330500163451</v>
      </c>
      <c r="C9" s="2" t="n">
        <v>-0.614144782783091</v>
      </c>
      <c r="D9" s="2" t="n">
        <v>-7.90042634014265</v>
      </c>
      <c r="F9" s="2" t="n">
        <f aca="false">B9-D9</f>
        <v>5.18712133850814</v>
      </c>
      <c r="G9" s="2" t="n">
        <f aca="false">C9-D9</f>
        <v>7.28628155735956</v>
      </c>
      <c r="H9" s="2" t="n">
        <f aca="false">B9-($M$10+$M$9*D9)</f>
        <v>6.26892311672995</v>
      </c>
      <c r="I9" s="2" t="n">
        <f aca="false">C9-($P$10+$P$9*D9)</f>
        <v>0.376405725942663</v>
      </c>
      <c r="J9" s="2"/>
      <c r="K9" s="0" t="s">
        <v>13</v>
      </c>
      <c r="L9" s="2" t="s">
        <v>14</v>
      </c>
      <c r="M9" s="4" t="n">
        <f aca="false" t="array" ref="M9:M9">SLOPE($B$3:$B$38 , $D$3:$D$38)</f>
        <v>1.29471444761438</v>
      </c>
      <c r="O9" s="0" t="s">
        <v>14</v>
      </c>
      <c r="P9" s="4" t="n">
        <f aca="false" t="array" ref="P9:P9">SLOPE($C$3:$C$38 , $D$3:$D$38)</f>
        <v>0.69372306380758</v>
      </c>
    </row>
    <row r="10" customFormat="false" ht="13.8" hidden="false" customHeight="false" outlineLevel="0" collapsed="false">
      <c r="A10" s="0" t="n">
        <v>8</v>
      </c>
      <c r="B10" s="2" t="n">
        <v>2.28494623655915</v>
      </c>
      <c r="C10" s="2" t="n">
        <v>4.39232312706131</v>
      </c>
      <c r="D10" s="2" t="n">
        <v>0.488141988986635</v>
      </c>
      <c r="F10" s="2" t="n">
        <f aca="false">B10-D10</f>
        <v>1.79680424757251</v>
      </c>
      <c r="G10" s="2" t="n">
        <f aca="false">C10-D10</f>
        <v>3.90418113807467</v>
      </c>
      <c r="H10" s="2" t="n">
        <f aca="false">B10-($M$10+$M$9*D10)</f>
        <v>0.406373744399494</v>
      </c>
      <c r="I10" s="2" t="n">
        <f aca="false">C10-($P$10+$P$9*D10)</f>
        <v>-0.436469686455739</v>
      </c>
      <c r="J10" s="2"/>
      <c r="K10" s="0" t="s">
        <v>15</v>
      </c>
      <c r="L10" s="2" t="s">
        <v>16</v>
      </c>
      <c r="M10" s="4" t="n">
        <f aca="false" t="array" ref="M10:M10">INTERCEPT($B$3:$B$38 , $D$3:$D$38)</f>
        <v>1.24656800653144</v>
      </c>
      <c r="O10" s="0" t="s">
        <v>16</v>
      </c>
      <c r="P10" s="4" t="n">
        <f aca="false" t="array" ref="P10:P10">INTERCEPT($C$3:$C$38 , $D$3:$D$38)</f>
        <v>4.49015745734411</v>
      </c>
    </row>
    <row r="11" customFormat="false" ht="13.8" hidden="false" customHeight="false" outlineLevel="0" collapsed="false">
      <c r="A11" s="0" t="n">
        <v>9</v>
      </c>
      <c r="B11" s="2" t="n">
        <v>-13.5348226018397</v>
      </c>
      <c r="C11" s="2" t="n">
        <v>-3.52451797857626</v>
      </c>
      <c r="D11" s="2" t="n">
        <v>-11.0024343117884</v>
      </c>
      <c r="F11" s="2" t="n">
        <f aca="false">B11-D11</f>
        <v>-2.53238829005128</v>
      </c>
      <c r="G11" s="2" t="n">
        <f aca="false">C11-D11</f>
        <v>7.47791633321215</v>
      </c>
      <c r="H11" s="2" t="n">
        <f aca="false">B11-($M$10+$M$9*D11)</f>
        <v>-0.536379945970479</v>
      </c>
      <c r="I11" s="2" t="n">
        <f aca="false">C11-($P$10+$P$9*D11)</f>
        <v>-0.382032995804874</v>
      </c>
      <c r="J11" s="2"/>
      <c r="L11" s="2"/>
    </row>
    <row r="12" customFormat="false" ht="13.8" hidden="false" customHeight="false" outlineLevel="0" collapsed="false">
      <c r="A12" s="0" t="n">
        <v>10</v>
      </c>
      <c r="B12" s="2" t="n">
        <v>16.9072948328267</v>
      </c>
      <c r="C12" s="2" t="n">
        <v>10.4570208856565</v>
      </c>
      <c r="D12" s="2" t="n">
        <v>8.64488273967226</v>
      </c>
      <c r="F12" s="2" t="n">
        <f aca="false">B12-D12</f>
        <v>8.26241209315448</v>
      </c>
      <c r="G12" s="2" t="n">
        <f aca="false">C12-D12</f>
        <v>1.81213814598424</v>
      </c>
      <c r="H12" s="2" t="n">
        <f aca="false">B12-($M$10+$M$9*D12)</f>
        <v>4.46807224530943</v>
      </c>
      <c r="I12" s="2" t="n">
        <f aca="false">C12-($P$10+$P$9*D12)</f>
        <v>-0.0302911121103229</v>
      </c>
      <c r="J12" s="2"/>
      <c r="L12" s="2" t="n">
        <f aca="false">INDEX($D$3:$D$38, 1, 1)</f>
        <v>-1.55738276078321</v>
      </c>
      <c r="M12" s="0" t="n">
        <f aca="false">$M$9 * $L$12 + $M$10</f>
        <v>-0.769797954320155</v>
      </c>
      <c r="O12" s="2" t="n">
        <f aca="false">INDEX($D$3:$D$38, 1, 1)</f>
        <v>-1.55738276078321</v>
      </c>
      <c r="P12" s="0" t="n">
        <f aca="false">$P$9 * $O$12 + $P$10</f>
        <v>3.40976511701248</v>
      </c>
    </row>
    <row r="13" customFormat="false" ht="13.8" hidden="false" customHeight="false" outlineLevel="0" collapsed="false">
      <c r="A13" s="0" t="n">
        <v>11</v>
      </c>
      <c r="B13" s="2" t="n">
        <v>7.05232369190769</v>
      </c>
      <c r="C13" s="2" t="n">
        <v>8.53021850971106</v>
      </c>
      <c r="D13" s="2" t="n">
        <v>5.70696351156068</v>
      </c>
      <c r="F13" s="2" t="n">
        <f aca="false">B13-D13</f>
        <v>1.34536018034701</v>
      </c>
      <c r="G13" s="2" t="n">
        <f aca="false">C13-D13</f>
        <v>2.82325499815038</v>
      </c>
      <c r="H13" s="2" t="n">
        <f aca="false">B13-($M$10+$M$9*D13)</f>
        <v>-1.58313242504947</v>
      </c>
      <c r="I13" s="2" t="n">
        <f aca="false">C13-($P$10+$P$9*D13)</f>
        <v>0.0810088400890017</v>
      </c>
      <c r="J13" s="2"/>
      <c r="L13" s="2" t="n">
        <f aca="false">INDEX($D$3:$D$38, 2, 1)</f>
        <v>-2.07662360644134</v>
      </c>
      <c r="M13" s="0" t="n">
        <f aca="false">$M$9 * $L$13 + $M$10</f>
        <v>-1.44206657898525</v>
      </c>
      <c r="O13" s="2" t="n">
        <f aca="false">INDEX($D$3:$D$38, 2, 1)</f>
        <v>-2.07662360644134</v>
      </c>
      <c r="P13" s="0" t="n">
        <f aca="false">$P$9 * $O$13 + $P$10</f>
        <v>3.04955576670848</v>
      </c>
    </row>
    <row r="14" customFormat="false" ht="13.8" hidden="false" customHeight="false" outlineLevel="0" collapsed="false">
      <c r="A14" s="0" t="n">
        <v>12</v>
      </c>
      <c r="B14" s="2" t="n">
        <v>-8.98603521554341</v>
      </c>
      <c r="C14" s="2" t="n">
        <v>0.460800305036697</v>
      </c>
      <c r="D14" s="2" t="n">
        <v>-6.03325821576186</v>
      </c>
      <c r="F14" s="2" t="n">
        <f aca="false">B14-D14</f>
        <v>-2.95277699978155</v>
      </c>
      <c r="G14" s="2" t="n">
        <f aca="false">C14-D14</f>
        <v>6.49405852079856</v>
      </c>
      <c r="H14" s="2" t="n">
        <f aca="false">B14-($M$10+$M$9*D14)</f>
        <v>-2.4212566439398</v>
      </c>
      <c r="I14" s="2" t="n">
        <f aca="false">C14-($P$10+$P$9*D14)</f>
        <v>0.156053221873155</v>
      </c>
      <c r="J14" s="2"/>
      <c r="L14" s="2" t="n">
        <f aca="false">INDEX($D$3:$D$38, 3, 1)</f>
        <v>3.67388613302251</v>
      </c>
      <c r="M14" s="0" t="n">
        <f aca="false">$M$9 * $L$14 + $M$10</f>
        <v>6.00320146184581</v>
      </c>
      <c r="O14" s="2" t="n">
        <f aca="false">INDEX($D$3:$D$38, 3, 1)</f>
        <v>3.67388613302251</v>
      </c>
      <c r="P14" s="0" t="n">
        <f aca="false">$P$9 * $O$14 + $P$10</f>
        <v>7.03881700162467</v>
      </c>
    </row>
    <row r="15" customFormat="false" ht="13.8" hidden="false" customHeight="false" outlineLevel="0" collapsed="false">
      <c r="A15" s="0" t="n">
        <v>13</v>
      </c>
      <c r="B15" s="2" t="n">
        <v>0.500333555703803</v>
      </c>
      <c r="C15" s="2" t="n">
        <v>3.08170671157881</v>
      </c>
      <c r="D15" s="2" t="n">
        <v>-2.74146984610488</v>
      </c>
      <c r="F15" s="2" t="n">
        <f aca="false">B15-D15</f>
        <v>3.24180340180868</v>
      </c>
      <c r="G15" s="2" t="n">
        <f aca="false">C15-D15</f>
        <v>5.82317655768369</v>
      </c>
      <c r="H15" s="2" t="n">
        <f aca="false">B15-($M$10+$M$9*D15)</f>
        <v>2.80318616662353</v>
      </c>
      <c r="I15" s="2" t="n">
        <f aca="false">C15-($P$10+$P$9*D15)</f>
        <v>0.493370115210666</v>
      </c>
      <c r="J15" s="2"/>
      <c r="L15" s="2" t="n">
        <f aca="false">INDEX($D$3:$D$38, 4, 1)</f>
        <v>-6.14176522368157</v>
      </c>
      <c r="M15" s="0" t="n">
        <f aca="false">$M$9 * $L$15 + $M$10</f>
        <v>-6.70526416242467</v>
      </c>
      <c r="O15" s="2" t="n">
        <f aca="false">INDEX($D$3:$D$38, 4, 1)</f>
        <v>-6.14176522368157</v>
      </c>
      <c r="P15" s="0" t="n">
        <f aca="false">$P$9 * $O$15 + $P$10</f>
        <v>0.229473269184886</v>
      </c>
    </row>
    <row r="16" customFormat="false" ht="13.8" hidden="false" customHeight="false" outlineLevel="0" collapsed="false">
      <c r="A16" s="0" t="n">
        <v>14</v>
      </c>
      <c r="B16" s="2" t="n">
        <v>-5.47626949883836</v>
      </c>
      <c r="C16" s="2" t="n">
        <v>3.29823188621796</v>
      </c>
      <c r="D16" s="2" t="n">
        <v>-1.70036227649878</v>
      </c>
      <c r="F16" s="2" t="n">
        <f aca="false">B16-D16</f>
        <v>-3.77590722233958</v>
      </c>
      <c r="G16" s="2" t="n">
        <f aca="false">C16-D16</f>
        <v>4.99859416271674</v>
      </c>
      <c r="H16" s="2" t="n">
        <f aca="false">B16-($M$10+$M$9*D16)</f>
        <v>-4.52135389980835</v>
      </c>
      <c r="I16" s="2" t="n">
        <f aca="false">C16-($P$10+$P$9*D16)</f>
        <v>-0.0123450430905914</v>
      </c>
      <c r="J16" s="2"/>
      <c r="L16" s="2" t="n">
        <f aca="false">INDEX($D$3:$D$38, 5, 1)</f>
        <v>-0.908145451844144</v>
      </c>
      <c r="M16" s="0" t="n">
        <f aca="false">$M$9 * $L$16 + $M$10</f>
        <v>0.070778969493535</v>
      </c>
      <c r="O16" s="2" t="n">
        <f aca="false">INDEX($D$3:$D$38, 5, 1)</f>
        <v>-0.908145451844144</v>
      </c>
      <c r="P16" s="0" t="n">
        <f aca="false">$P$9 * $O$16 + $P$10</f>
        <v>3.86015601210787</v>
      </c>
    </row>
    <row r="17" customFormat="false" ht="13.8" hidden="false" customHeight="false" outlineLevel="0" collapsed="false">
      <c r="A17" s="0" t="n">
        <v>15</v>
      </c>
      <c r="B17" s="2" t="n">
        <v>-1.05337078651686</v>
      </c>
      <c r="C17" s="2" t="n">
        <v>4.87567131925871</v>
      </c>
      <c r="D17" s="2" t="n">
        <v>0.835760565891941</v>
      </c>
      <c r="F17" s="2" t="n">
        <f aca="false">B17-D17</f>
        <v>-1.8891313524088</v>
      </c>
      <c r="G17" s="2" t="n">
        <f aca="false">C17-D17</f>
        <v>4.03991075336677</v>
      </c>
      <c r="H17" s="2" t="n">
        <f aca="false">B17-($M$10+$M$9*D17)</f>
        <v>-3.38201007245497</v>
      </c>
      <c r="I17" s="2" t="n">
        <f aca="false">C17-($P$10+$P$9*D17)</f>
        <v>-0.194272518465515</v>
      </c>
      <c r="J17" s="2"/>
      <c r="L17" s="2" t="n">
        <f aca="false">INDEX($D$3:$D$38, 6, 1)</f>
        <v>-7.24553479393519</v>
      </c>
      <c r="M17" s="0" t="n">
        <f aca="false">$M$9 * $L$17 + $M$10</f>
        <v>-8.13433057186915</v>
      </c>
      <c r="O17" s="2" t="n">
        <f aca="false">INDEX($D$3:$D$38, 6, 1)</f>
        <v>-7.24553479393519</v>
      </c>
      <c r="P17" s="0" t="n">
        <f aca="false">$P$9 * $O$17 + $P$10</f>
        <v>-0.536237138829032</v>
      </c>
    </row>
    <row r="18" customFormat="false" ht="13.8" hidden="false" customHeight="false" outlineLevel="0" collapsed="false">
      <c r="A18" s="0" t="n">
        <v>16</v>
      </c>
      <c r="B18" s="2" t="n">
        <v>14.194464158978</v>
      </c>
      <c r="C18" s="2" t="n">
        <v>9.86756187184821</v>
      </c>
      <c r="D18" s="2" t="n">
        <v>8.10441179938222</v>
      </c>
      <c r="F18" s="2" t="n">
        <f aca="false">B18-D18</f>
        <v>6.09005235959579</v>
      </c>
      <c r="G18" s="2" t="n">
        <f aca="false">C18-D18</f>
        <v>1.763150072466</v>
      </c>
      <c r="H18" s="2" t="n">
        <f aca="false">B18-($M$10+$M$9*D18)</f>
        <v>2.45499710636994</v>
      </c>
      <c r="I18" s="2" t="n">
        <f aca="false">C18-($P$10+$P$9*D18)</f>
        <v>-0.244812969321634</v>
      </c>
      <c r="J18" s="2"/>
      <c r="L18" s="2" t="n">
        <f aca="false">INDEX($D$3:$D$38, 7, 1)</f>
        <v>-7.90042634014265</v>
      </c>
      <c r="M18" s="0" t="n">
        <f aca="false">$M$9 * $L$18 + $M$10</f>
        <v>-8.98222811836446</v>
      </c>
      <c r="O18" s="2" t="n">
        <f aca="false">INDEX($D$3:$D$38, 7, 1)</f>
        <v>-7.90042634014265</v>
      </c>
      <c r="P18" s="0" t="n">
        <f aca="false">$P$9 * $O$18 + $P$10</f>
        <v>-0.990550508725754</v>
      </c>
    </row>
    <row r="19" customFormat="false" ht="13.8" hidden="false" customHeight="false" outlineLevel="0" collapsed="false">
      <c r="A19" s="0" t="n">
        <v>17</v>
      </c>
      <c r="B19" s="2" t="n">
        <v>10.0372902423866</v>
      </c>
      <c r="C19" s="2" t="n">
        <v>8.23900501109974</v>
      </c>
      <c r="D19" s="2" t="n">
        <v>5.08986607337609</v>
      </c>
      <c r="F19" s="2" t="n">
        <f aca="false">B19-D19</f>
        <v>4.94742416901048</v>
      </c>
      <c r="G19" s="2" t="n">
        <f aca="false">C19-D19</f>
        <v>3.14913893772365</v>
      </c>
      <c r="H19" s="2" t="n">
        <f aca="false">B19-($M$10+$M$9*D19)</f>
        <v>2.20079909423283</v>
      </c>
      <c r="I19" s="2" t="n">
        <f aca="false">C19-($P$10+$P$9*D19)</f>
        <v>0.217890066962905</v>
      </c>
      <c r="J19" s="2"/>
      <c r="L19" s="2" t="n">
        <f aca="false">INDEX($D$3:$D$38, 8, 1)</f>
        <v>0.488141988986635</v>
      </c>
      <c r="M19" s="0" t="n">
        <f aca="false">$M$9 * $L$19 + $M$10</f>
        <v>1.87857249215966</v>
      </c>
      <c r="O19" s="2" t="n">
        <f aca="false">INDEX($D$3:$D$38, 8, 1)</f>
        <v>0.488141988986635</v>
      </c>
      <c r="P19" s="0" t="n">
        <f aca="false">$P$9 * $O$19 + $P$10</f>
        <v>4.82879281351705</v>
      </c>
    </row>
    <row r="20" customFormat="false" ht="13.8" hidden="false" customHeight="false" outlineLevel="0" collapsed="false">
      <c r="A20" s="0" t="n">
        <v>18</v>
      </c>
      <c r="B20" s="2" t="n">
        <v>0.367127929963296</v>
      </c>
      <c r="C20" s="2" t="n">
        <v>4.86225349000279</v>
      </c>
      <c r="D20" s="2" t="n">
        <v>1.13222428626283</v>
      </c>
      <c r="F20" s="2" t="n">
        <f aca="false">B20-D20</f>
        <v>-0.765096356299533</v>
      </c>
      <c r="G20" s="2" t="n">
        <f aca="false">C20-D20</f>
        <v>3.73002920373996</v>
      </c>
      <c r="H20" s="2" t="n">
        <f aca="false">B20-($M$10+$M$9*D20)</f>
        <v>-2.34534721793251</v>
      </c>
      <c r="I20" s="2" t="n">
        <f aca="false">C20-($P$10+$P$9*D20)</f>
        <v>-0.413354068124929</v>
      </c>
      <c r="J20" s="2"/>
      <c r="L20" s="2" t="n">
        <f aca="false">INDEX($D$3:$D$38, 9, 1)</f>
        <v>-11.0024343117884</v>
      </c>
      <c r="M20" s="0" t="n">
        <f aca="false">$M$9 * $L$20 + $M$10</f>
        <v>-12.9984426558692</v>
      </c>
      <c r="O20" s="2" t="n">
        <f aca="false">INDEX($D$3:$D$38, 9, 1)</f>
        <v>-11.0024343117884</v>
      </c>
      <c r="P20" s="0" t="n">
        <f aca="false">$P$9 * $O$20 + $P$10</f>
        <v>-3.14248498277139</v>
      </c>
    </row>
    <row r="21" customFormat="false" ht="13.8" hidden="false" customHeight="false" outlineLevel="0" collapsed="false">
      <c r="A21" s="0" t="n">
        <v>19</v>
      </c>
      <c r="B21" s="2" t="n">
        <v>5.90883511536298</v>
      </c>
      <c r="C21" s="2" t="n">
        <v>5.5218189356369</v>
      </c>
      <c r="D21" s="2" t="n">
        <v>1.62237044638276</v>
      </c>
      <c r="F21" s="2" t="n">
        <f aca="false">B21-D21</f>
        <v>4.28646466898022</v>
      </c>
      <c r="G21" s="2" t="n">
        <f aca="false">C21-D21</f>
        <v>3.89944848925414</v>
      </c>
      <c r="H21" s="2" t="n">
        <f aca="false">B21-($M$10+$M$9*D21)</f>
        <v>2.56176065251718</v>
      </c>
      <c r="I21" s="2" t="n">
        <f aca="false">C21-($P$10+$P$9*D21)</f>
        <v>-0.0938143184027309</v>
      </c>
      <c r="J21" s="2"/>
      <c r="L21" s="2" t="n">
        <f aca="false">INDEX($D$3:$D$38, 10, 1)</f>
        <v>8.64488273967226</v>
      </c>
      <c r="M21" s="0" t="n">
        <f aca="false">$M$9 * $L$21 + $M$10</f>
        <v>12.4392225875173</v>
      </c>
      <c r="O21" s="2" t="n">
        <f aca="false">INDEX($D$3:$D$38, 10, 1)</f>
        <v>8.64488273967226</v>
      </c>
      <c r="P21" s="0" t="n">
        <f aca="false">$P$9 * $O$21 + $P$10</f>
        <v>10.4873119977668</v>
      </c>
    </row>
    <row r="22" customFormat="false" ht="13.8" hidden="false" customHeight="false" outlineLevel="0" collapsed="false">
      <c r="A22" s="0" t="n">
        <v>20</v>
      </c>
      <c r="B22" s="2" t="n">
        <v>1.99256110520722</v>
      </c>
      <c r="C22" s="2" t="n">
        <v>5.80625791281749</v>
      </c>
      <c r="D22" s="2" t="n">
        <v>1.78731912229504</v>
      </c>
      <c r="F22" s="2" t="n">
        <f aca="false">B22-D22</f>
        <v>0.205241982912185</v>
      </c>
      <c r="G22" s="2" t="n">
        <f aca="false">C22-D22</f>
        <v>4.01893879052245</v>
      </c>
      <c r="H22" s="2" t="n">
        <f aca="false">B22-($M$10+$M$9*D22)</f>
        <v>-1.56807479145706</v>
      </c>
      <c r="I22" s="2" t="n">
        <f aca="false">C22-($P$10+$P$9*D22)</f>
        <v>0.0761959579529821</v>
      </c>
      <c r="J22" s="2"/>
      <c r="L22" s="2" t="n">
        <f aca="false">INDEX($D$3:$D$38, 11, 1)</f>
        <v>5.70696351156068</v>
      </c>
      <c r="M22" s="0" t="n">
        <f aca="false">$M$9 * $L$22 + $M$10</f>
        <v>8.63545611695716</v>
      </c>
      <c r="O22" s="2" t="n">
        <f aca="false">INDEX($D$3:$D$38, 11, 1)</f>
        <v>5.70696351156068</v>
      </c>
      <c r="P22" s="0" t="n">
        <f aca="false">$P$9 * $O$22 + $P$10</f>
        <v>8.44920966962206</v>
      </c>
    </row>
    <row r="23" customFormat="false" ht="13.8" hidden="false" customHeight="false" outlineLevel="0" collapsed="false">
      <c r="A23" s="0" t="n">
        <v>21</v>
      </c>
      <c r="B23" s="2" t="n">
        <v>0</v>
      </c>
      <c r="C23" s="2" t="n">
        <v>3.85375730284486</v>
      </c>
      <c r="D23" s="2" t="n">
        <v>-1.19443259491473</v>
      </c>
      <c r="F23" s="2" t="n">
        <f aca="false">B23-D23</f>
        <v>1.19443259491473</v>
      </c>
      <c r="G23" s="2" t="n">
        <f aca="false">C23-D23</f>
        <v>5.04818989775959</v>
      </c>
      <c r="H23" s="2" t="n">
        <f aca="false">B23-($M$10+$M$9*D23)</f>
        <v>0.299881130806197</v>
      </c>
      <c r="I23" s="2" t="n">
        <f aca="false">C23-($P$10+$P$9*D23)</f>
        <v>0.192205284756627</v>
      </c>
      <c r="J23" s="2"/>
      <c r="L23" s="2" t="n">
        <f aca="false">INDEX($D$3:$D$38, 12, 1)</f>
        <v>-6.03325821576186</v>
      </c>
      <c r="M23" s="0" t="n">
        <f aca="false">$M$9 * $L$23 + $M$10</f>
        <v>-6.56477857160361</v>
      </c>
      <c r="O23" s="2" t="n">
        <f aca="false">INDEX($D$3:$D$38, 12, 1)</f>
        <v>-6.03325821576186</v>
      </c>
      <c r="P23" s="0" t="n">
        <f aca="false">$P$9 * $O$23 + $P$10</f>
        <v>0.304747083163542</v>
      </c>
    </row>
    <row r="24" customFormat="false" ht="13.8" hidden="false" customHeight="false" outlineLevel="0" collapsed="false">
      <c r="A24" s="0" t="n">
        <v>22</v>
      </c>
      <c r="B24" s="2" t="n">
        <v>4.40218806980983</v>
      </c>
      <c r="C24" s="2" t="n">
        <v>7.93045351330819</v>
      </c>
      <c r="D24" s="2" t="n">
        <v>5.49614948241413</v>
      </c>
      <c r="F24" s="2" t="n">
        <f aca="false">B24-D24</f>
        <v>-1.09396141260429</v>
      </c>
      <c r="G24" s="2" t="n">
        <f aca="false">C24-D24</f>
        <v>2.43430403089406</v>
      </c>
      <c r="H24" s="2" t="n">
        <f aca="false">B24-($M$10+$M$9*D24)</f>
        <v>-3.96032407785148</v>
      </c>
      <c r="I24" s="2" t="n">
        <f aca="false">C24-($P$10+$P$9*D24)</f>
        <v>-0.3725096021207</v>
      </c>
      <c r="J24" s="2"/>
      <c r="L24" s="2" t="n">
        <f aca="false">INDEX($D$3:$D$38, 13, 1)</f>
        <v>-2.74146984610488</v>
      </c>
      <c r="M24" s="0" t="n">
        <f aca="false">$M$9 * $L$24 + $M$10</f>
        <v>-2.30285261091973</v>
      </c>
      <c r="O24" s="2" t="n">
        <f aca="false">INDEX($D$3:$D$38, 13, 1)</f>
        <v>-2.74146984610488</v>
      </c>
      <c r="P24" s="0" t="n">
        <f aca="false">$P$9 * $O$24 + $P$10</f>
        <v>2.58833659636814</v>
      </c>
    </row>
    <row r="25" customFormat="false" ht="13.8" hidden="false" customHeight="false" outlineLevel="0" collapsed="false">
      <c r="A25" s="0" t="n">
        <v>23</v>
      </c>
      <c r="B25" s="2" t="n">
        <v>-2.61976047904191</v>
      </c>
      <c r="C25" s="2" t="n">
        <v>4.82784426720328</v>
      </c>
      <c r="D25" s="2" t="n">
        <v>0.712851310066531</v>
      </c>
      <c r="F25" s="2" t="n">
        <f aca="false">B25-D25</f>
        <v>-3.33261178910844</v>
      </c>
      <c r="G25" s="2" t="n">
        <f aca="false">C25-D25</f>
        <v>4.11499295713675</v>
      </c>
      <c r="H25" s="2" t="n">
        <f aca="false">B25-($M$10+$M$9*D25)</f>
        <v>-4.78926737571733</v>
      </c>
      <c r="I25" s="2" t="n">
        <f aca="false">C25-($P$10+$P$9*D25)</f>
        <v>-0.156834584999434</v>
      </c>
      <c r="J25" s="2"/>
      <c r="L25" s="2" t="n">
        <f aca="false">INDEX($D$3:$D$38, 14, 1)</f>
        <v>-1.70036227649878</v>
      </c>
      <c r="M25" s="0" t="n">
        <f aca="false">$M$9 * $L$25 + $M$10</f>
        <v>-0.95491559903001</v>
      </c>
      <c r="O25" s="2" t="n">
        <f aca="false">INDEX($D$3:$D$38, 14, 1)</f>
        <v>-1.70036227649878</v>
      </c>
      <c r="P25" s="0" t="n">
        <f aca="false">$P$9 * $O$25 + $P$10</f>
        <v>3.31057692930855</v>
      </c>
    </row>
    <row r="26" customFormat="false" ht="13.8" hidden="false" customHeight="false" outlineLevel="0" collapsed="false">
      <c r="A26" s="0" t="n">
        <v>24</v>
      </c>
      <c r="B26" s="2" t="n">
        <v>5.73917499359469</v>
      </c>
      <c r="C26" s="2" t="n">
        <v>7.89540286108432</v>
      </c>
      <c r="D26" s="2" t="n">
        <v>5.07654507654507</v>
      </c>
      <c r="F26" s="2" t="n">
        <f aca="false">B26-D26</f>
        <v>0.662629917049618</v>
      </c>
      <c r="G26" s="2" t="n">
        <f aca="false">C26-D26</f>
        <v>2.81885778453925</v>
      </c>
      <c r="H26" s="2" t="n">
        <f aca="false">B26-($M$10+$M$9*D26)</f>
        <v>-2.08006926750531</v>
      </c>
      <c r="I26" s="2" t="n">
        <f aca="false">C26-($P$10+$P$9*D26)</f>
        <v>-0.116471000317923</v>
      </c>
      <c r="J26" s="2"/>
      <c r="L26" s="2" t="n">
        <f aca="false">INDEX($D$3:$D$38, 15, 1)</f>
        <v>0.835760565891941</v>
      </c>
      <c r="M26" s="0" t="n">
        <f aca="false">$M$9 * $L$26 + $M$10</f>
        <v>2.32863928593811</v>
      </c>
      <c r="O26" s="2" t="n">
        <f aca="false">INDEX($D$3:$D$38, 15, 1)</f>
        <v>0.835760565891941</v>
      </c>
      <c r="P26" s="0" t="n">
        <f aca="false">$P$9 * $O$26 + $P$10</f>
        <v>5.06994383772423</v>
      </c>
    </row>
    <row r="27" customFormat="false" ht="13.8" hidden="false" customHeight="false" outlineLevel="0" collapsed="false">
      <c r="A27" s="0" t="n">
        <v>25</v>
      </c>
      <c r="B27" s="2" t="n">
        <v>7.48727889508116</v>
      </c>
      <c r="C27" s="2" t="n">
        <v>5.86169556207618</v>
      </c>
      <c r="D27" s="2" t="n">
        <v>1.72764227642277</v>
      </c>
      <c r="F27" s="2" t="n">
        <f aca="false">B27-D27</f>
        <v>5.75963661865839</v>
      </c>
      <c r="G27" s="2" t="n">
        <f aca="false">C27-D27</f>
        <v>4.13405328565341</v>
      </c>
      <c r="H27" s="2" t="n">
        <f aca="false">B27-($M$10+$M$9*D27)</f>
        <v>4.00390747295576</v>
      </c>
      <c r="I27" s="2" t="n">
        <f aca="false">C27-($P$10+$P$9*D27)</f>
        <v>0.173032811568559</v>
      </c>
      <c r="J27" s="2"/>
      <c r="L27" s="2" t="n">
        <f aca="false">INDEX($D$3:$D$38, 16, 1)</f>
        <v>8.10441179938222</v>
      </c>
      <c r="M27" s="0" t="n">
        <f aca="false">$M$9 * $L$27 + $M$10</f>
        <v>11.7394670526081</v>
      </c>
      <c r="O27" s="2" t="n">
        <f aca="false">INDEX($D$3:$D$38, 16, 1)</f>
        <v>8.10441179938222</v>
      </c>
      <c r="P27" s="0" t="n">
        <f aca="false">$P$9 * $O$27 + $P$10</f>
        <v>10.1123748411698</v>
      </c>
    </row>
    <row r="28" customFormat="false" ht="13.8" hidden="false" customHeight="false" outlineLevel="0" collapsed="false">
      <c r="A28" s="0" t="n">
        <v>26</v>
      </c>
      <c r="B28" s="2" t="n">
        <v>3.04328223624888</v>
      </c>
      <c r="C28" s="2" t="n">
        <v>5.56002802390915</v>
      </c>
      <c r="D28" s="2" t="n">
        <v>1.2209029908145</v>
      </c>
      <c r="F28" s="2" t="n">
        <f aca="false">B28-D28</f>
        <v>1.82237924543438</v>
      </c>
      <c r="G28" s="2" t="n">
        <f aca="false">C28-D28</f>
        <v>4.33912503309465</v>
      </c>
      <c r="H28" s="2" t="n">
        <f aca="false">B28-($M$10+$M$9*D28)</f>
        <v>0.215993488374299</v>
      </c>
      <c r="I28" s="2" t="n">
        <f aca="false">C28-($P$10+$P$9*D28)</f>
        <v>0.22290200316536</v>
      </c>
      <c r="J28" s="2"/>
      <c r="L28" s="2" t="n">
        <f aca="false">INDEX($D$3:$D$38, 17, 1)</f>
        <v>5.08986607337609</v>
      </c>
      <c r="M28" s="0" t="n">
        <f aca="false">$M$9 * $L$28 + $M$10</f>
        <v>7.83649114815375</v>
      </c>
      <c r="O28" s="2" t="n">
        <f aca="false">INDEX($D$3:$D$38, 17, 1)</f>
        <v>5.08986607337609</v>
      </c>
      <c r="P28" s="0" t="n">
        <f aca="false">$P$9 * $O$28 + $P$10</f>
        <v>8.02111494413683</v>
      </c>
    </row>
    <row r="29" customFormat="false" ht="13.8" hidden="false" customHeight="false" outlineLevel="0" collapsed="false">
      <c r="A29" s="0" t="n">
        <v>27</v>
      </c>
      <c r="B29" s="2" t="n">
        <v>-2.7346313716911</v>
      </c>
      <c r="C29" s="2" t="n">
        <v>3.25222867214731</v>
      </c>
      <c r="D29" s="2" t="n">
        <v>-1.63589358394326</v>
      </c>
      <c r="F29" s="2" t="n">
        <f aca="false">B29-D29</f>
        <v>-1.09873778774784</v>
      </c>
      <c r="G29" s="2" t="n">
        <f aca="false">C29-D29</f>
        <v>4.88812225609057</v>
      </c>
      <c r="H29" s="2" t="n">
        <f aca="false">B29-($M$10+$M$9*D29)</f>
        <v>-1.86318432033153</v>
      </c>
      <c r="I29" s="2" t="n">
        <f aca="false">C29-($P$10+$P$9*D29)</f>
        <v>-0.103071676080519</v>
      </c>
      <c r="J29" s="2"/>
      <c r="L29" s="2" t="n">
        <f aca="false">INDEX($D$3:$D$38, 18, 1)</f>
        <v>1.13222428626283</v>
      </c>
      <c r="M29" s="0" t="n">
        <f aca="false">$M$9 * $L$29 + $M$10</f>
        <v>2.7124751478958</v>
      </c>
      <c r="O29" s="2" t="n">
        <f aca="false">INDEX($D$3:$D$38, 18, 1)</f>
        <v>1.13222428626283</v>
      </c>
      <c r="P29" s="0" t="n">
        <f aca="false">$P$9 * $O$29 + $P$10</f>
        <v>5.27560755812771</v>
      </c>
    </row>
    <row r="30" customFormat="false" ht="13.8" hidden="false" customHeight="false" outlineLevel="0" collapsed="false">
      <c r="A30" s="0" t="n">
        <v>28</v>
      </c>
      <c r="B30" s="2" t="n">
        <v>-5.60053981106613</v>
      </c>
      <c r="C30" s="2" t="n">
        <v>3.10664821197509</v>
      </c>
      <c r="D30" s="2" t="n">
        <v>-1.6790829419025</v>
      </c>
      <c r="F30" s="2" t="n">
        <f aca="false">B30-D30</f>
        <v>-3.92145686916363</v>
      </c>
      <c r="G30" s="2" t="n">
        <f aca="false">C30-D30</f>
        <v>4.78573115387759</v>
      </c>
      <c r="H30" s="2" t="n">
        <f aca="false">B30-($M$10+$M$9*D30)</f>
        <v>-4.67317487397354</v>
      </c>
      <c r="I30" s="2" t="n">
        <f aca="false">C30-($P$10+$P$9*D30)</f>
        <v>-0.218690682525373</v>
      </c>
      <c r="J30" s="2"/>
      <c r="L30" s="2" t="n">
        <f aca="false">INDEX($D$3:$D$38, 19, 1)</f>
        <v>1.62237044638276</v>
      </c>
      <c r="M30" s="0" t="n">
        <f aca="false">$M$9 * $L$30 + $M$10</f>
        <v>3.34707446284579</v>
      </c>
      <c r="O30" s="2" t="n">
        <f aca="false">INDEX($D$3:$D$38, 19, 1)</f>
        <v>1.62237044638276</v>
      </c>
      <c r="P30" s="0" t="n">
        <f aca="false">$P$9 * $O$30 + $P$10</f>
        <v>5.61563325403963</v>
      </c>
    </row>
    <row r="31" customFormat="false" ht="13.8" hidden="false" customHeight="false" outlineLevel="0" collapsed="false">
      <c r="A31" s="0" t="n">
        <v>29</v>
      </c>
      <c r="B31" s="2" t="n">
        <v>3.57398141529663</v>
      </c>
      <c r="C31" s="2" t="n">
        <v>5.1897060476254</v>
      </c>
      <c r="D31" s="2" t="n">
        <v>1.20834462205366</v>
      </c>
      <c r="F31" s="2" t="n">
        <f aca="false">B31-D31</f>
        <v>2.36563679324298</v>
      </c>
      <c r="G31" s="2" t="n">
        <f aca="false">C31-D31</f>
        <v>3.98136142557174</v>
      </c>
      <c r="H31" s="2" t="n">
        <f aca="false">B31-($M$10+$M$9*D31)</f>
        <v>0.762952168895184</v>
      </c>
      <c r="I31" s="2" t="n">
        <f aca="false">C31-($P$10+$P$9*D31)</f>
        <v>-0.13870794306519</v>
      </c>
      <c r="J31" s="2"/>
      <c r="L31" s="2" t="n">
        <f aca="false">INDEX($D$3:$D$38, 20, 1)</f>
        <v>1.78731912229504</v>
      </c>
      <c r="M31" s="0" t="n">
        <f aca="false">$M$9 * $L$31 + $M$10</f>
        <v>3.56063589666428</v>
      </c>
      <c r="O31" s="2" t="n">
        <f aca="false">INDEX($D$3:$D$38, 20, 1)</f>
        <v>1.78731912229504</v>
      </c>
      <c r="P31" s="0" t="n">
        <f aca="false">$P$9 * $O$31 + $P$10</f>
        <v>5.7300619548645</v>
      </c>
    </row>
    <row r="32" customFormat="false" ht="13.8" hidden="false" customHeight="false" outlineLevel="0" collapsed="false">
      <c r="A32" s="0" t="n">
        <v>30</v>
      </c>
      <c r="B32" s="2" t="n">
        <v>1.54129284564069</v>
      </c>
      <c r="C32" s="2" t="n">
        <v>6.02732174763435</v>
      </c>
      <c r="D32" s="2" t="n">
        <v>1.79890780597494</v>
      </c>
      <c r="F32" s="2" t="n">
        <f aca="false">B32-D32</f>
        <v>-0.257614960334251</v>
      </c>
      <c r="G32" s="2" t="n">
        <f aca="false">C32-D32</f>
        <v>4.22841394165941</v>
      </c>
      <c r="H32" s="2" t="n">
        <f aca="false">B32-($M$10+$M$9*D32)</f>
        <v>-2.03434708721279</v>
      </c>
      <c r="I32" s="2" t="n">
        <f aca="false">C32-($P$10+$P$9*D32)</f>
        <v>0.28922045562193</v>
      </c>
      <c r="J32" s="2"/>
      <c r="L32" s="2" t="n">
        <f aca="false">INDEX($D$3:$D$38, 21, 1)</f>
        <v>-1.19443259491473</v>
      </c>
      <c r="M32" s="0" t="n">
        <f aca="false">$M$9 * $L$32 + $M$10</f>
        <v>-0.299881130806197</v>
      </c>
      <c r="O32" s="2" t="n">
        <f aca="false">INDEX($D$3:$D$38, 21, 1)</f>
        <v>-1.19443259491473</v>
      </c>
      <c r="P32" s="0" t="n">
        <f aca="false">$P$9 * $O$32 + $P$10</f>
        <v>3.66155201808823</v>
      </c>
    </row>
    <row r="33" customFormat="false" ht="13.8" hidden="false" customHeight="false" outlineLevel="0" collapsed="false">
      <c r="A33" s="0" t="n">
        <v>31</v>
      </c>
      <c r="B33" s="2" t="n">
        <v>-2.19755323969188</v>
      </c>
      <c r="C33" s="2" t="n">
        <v>2.19651046595468</v>
      </c>
      <c r="D33" s="2" t="n">
        <v>-3.42905227726937</v>
      </c>
      <c r="F33" s="2" t="n">
        <f aca="false">B33-D33</f>
        <v>1.23149903757749</v>
      </c>
      <c r="G33" s="2" t="n">
        <f aca="false">C33-D33</f>
        <v>5.62556274322406</v>
      </c>
      <c r="H33" s="2" t="n">
        <f aca="false">B33-($M$10+$M$9*D33)</f>
        <v>0.995522278782329</v>
      </c>
      <c r="I33" s="2" t="n">
        <f aca="false">C33-($P$10+$P$9*D33)</f>
        <v>0.0851656603542392</v>
      </c>
      <c r="J33" s="2"/>
      <c r="L33" s="2" t="n">
        <f aca="false">INDEX($D$3:$D$38, 22, 1)</f>
        <v>5.49614948241413</v>
      </c>
      <c r="M33" s="0" t="n">
        <f aca="false">$M$9 * $L$33 + $M$10</f>
        <v>8.36251214766131</v>
      </c>
      <c r="O33" s="2" t="n">
        <f aca="false">INDEX($D$3:$D$38, 22, 1)</f>
        <v>5.49614948241413</v>
      </c>
      <c r="P33" s="0" t="n">
        <f aca="false">$P$9 * $O$33 + $P$10</f>
        <v>8.30296311542889</v>
      </c>
    </row>
    <row r="34" customFormat="false" ht="13.8" hidden="false" customHeight="false" outlineLevel="0" collapsed="false">
      <c r="A34" s="0" t="n">
        <v>32</v>
      </c>
      <c r="B34" s="2" t="n">
        <v>-0.463284688441057</v>
      </c>
      <c r="C34" s="2" t="n">
        <v>4.52748857969653</v>
      </c>
      <c r="D34" s="2" t="n">
        <v>0.228733253458224</v>
      </c>
      <c r="F34" s="2" t="n">
        <f aca="false">B34-D34</f>
        <v>-0.692017941899281</v>
      </c>
      <c r="G34" s="2" t="n">
        <f aca="false">C34-D34</f>
        <v>4.29875532623831</v>
      </c>
      <c r="H34" s="2" t="n">
        <f aca="false">B34-($M$10+$M$9*D34)</f>
        <v>-2.0059969428747</v>
      </c>
      <c r="I34" s="2" t="n">
        <f aca="false">C34-($P$10+$P$9*D34)</f>
        <v>-0.121346411031299</v>
      </c>
      <c r="J34" s="2"/>
      <c r="L34" s="2" t="n">
        <f aca="false">INDEX($D$3:$D$38, 23, 1)</f>
        <v>0.712851310066531</v>
      </c>
      <c r="M34" s="0" t="n">
        <f aca="false">$M$9 * $L$34 + $M$10</f>
        <v>2.16950689667542</v>
      </c>
      <c r="O34" s="2" t="n">
        <f aca="false">INDEX($D$3:$D$38, 23, 1)</f>
        <v>0.712851310066531</v>
      </c>
      <c r="P34" s="0" t="n">
        <f aca="false">$P$9 * $O$34 + $P$10</f>
        <v>4.98467885220272</v>
      </c>
    </row>
    <row r="35" customFormat="false" ht="13.8" hidden="false" customHeight="false" outlineLevel="0" collapsed="false">
      <c r="A35" s="0" t="n">
        <v>33</v>
      </c>
      <c r="B35" s="2" t="n">
        <v>2.88573423318594</v>
      </c>
      <c r="C35" s="2" t="n">
        <v>5.1255629919862</v>
      </c>
      <c r="D35" s="2" t="n">
        <v>0.936390639716</v>
      </c>
      <c r="F35" s="2" t="n">
        <f aca="false">B35-D35</f>
        <v>1.94934359346994</v>
      </c>
      <c r="G35" s="2" t="n">
        <f aca="false">C35-D35</f>
        <v>4.1891723522702</v>
      </c>
      <c r="H35" s="2" t="n">
        <f aca="false">B35-($M$10+$M$9*D35)</f>
        <v>0.426807736803326</v>
      </c>
      <c r="I35" s="2" t="n">
        <f aca="false">C35-($P$10+$P$9*D35)</f>
        <v>-0.0141902488624392</v>
      </c>
      <c r="J35" s="2"/>
      <c r="L35" s="2" t="n">
        <f aca="false">INDEX($D$3:$D$38, 24, 1)</f>
        <v>5.07654507654507</v>
      </c>
      <c r="M35" s="0" t="n">
        <f aca="false">$M$9 * $L$35 + $M$10</f>
        <v>7.8192442611</v>
      </c>
      <c r="O35" s="2" t="n">
        <f aca="false">INDEX($D$3:$D$38, 24, 1)</f>
        <v>5.07654507654507</v>
      </c>
      <c r="P35" s="0" t="n">
        <f aca="false">$P$9 * $O$35 + $P$10</f>
        <v>8.01187386140225</v>
      </c>
    </row>
    <row r="36" customFormat="false" ht="13.8" hidden="false" customHeight="false" outlineLevel="0" collapsed="false">
      <c r="A36" s="0" t="n">
        <v>34</v>
      </c>
      <c r="B36" s="2" t="n">
        <v>3.34765890070119</v>
      </c>
      <c r="C36" s="2" t="n">
        <v>5.07214412734711</v>
      </c>
      <c r="D36" s="2" t="n">
        <v>1.40142475192451</v>
      </c>
      <c r="F36" s="2" t="n">
        <f aca="false">B36-D36</f>
        <v>1.94623414877668</v>
      </c>
      <c r="G36" s="2" t="n">
        <f aca="false">C36-D36</f>
        <v>3.67071937542261</v>
      </c>
      <c r="H36" s="2" t="n">
        <f aca="false">B36-($M$10+$M$9*D36)</f>
        <v>0.28664602060869</v>
      </c>
      <c r="I36" s="2" t="n">
        <f aca="false">C36-($P$10+$P$9*D36)</f>
        <v>-0.390214002597848</v>
      </c>
      <c r="J36" s="2"/>
      <c r="L36" s="2" t="n">
        <f aca="false">INDEX($D$3:$D$38, 25, 1)</f>
        <v>1.72764227642277</v>
      </c>
      <c r="M36" s="0" t="n">
        <f aca="false">$M$9 * $L$36 + $M$10</f>
        <v>3.4833714221254</v>
      </c>
      <c r="O36" s="2" t="n">
        <f aca="false">INDEX($D$3:$D$38, 25, 1)</f>
        <v>1.72764227642277</v>
      </c>
      <c r="P36" s="0" t="n">
        <f aca="false">$P$9 * $O$36 + $P$10</f>
        <v>5.68866275050762</v>
      </c>
    </row>
    <row r="37" customFormat="false" ht="13.8" hidden="false" customHeight="false" outlineLevel="0" collapsed="false">
      <c r="A37" s="0" t="n">
        <v>35</v>
      </c>
      <c r="B37" s="2" t="n">
        <v>4.99015101772817</v>
      </c>
      <c r="C37" s="2" t="n">
        <v>7.3199712309293</v>
      </c>
      <c r="D37" s="2" t="n">
        <v>3.85949389488585</v>
      </c>
      <c r="F37" s="2" t="n">
        <f aca="false">B37-D37</f>
        <v>1.13065712284233</v>
      </c>
      <c r="G37" s="2" t="n">
        <f aca="false">C37-D37</f>
        <v>3.46047733604345</v>
      </c>
      <c r="H37" s="2" t="n">
        <f aca="false">B37-($M$10+$M$9*D37)</f>
        <v>-1.25335949499147</v>
      </c>
      <c r="I37" s="2" t="n">
        <f aca="false">C37-($P$10+$P$9*D37)</f>
        <v>0.152393844078325</v>
      </c>
      <c r="J37" s="2"/>
      <c r="L37" s="2" t="n">
        <f aca="false">INDEX($D$3:$D$38, 26, 1)</f>
        <v>1.2209029908145</v>
      </c>
      <c r="M37" s="0" t="n">
        <f aca="false">$M$9 * $L$37 + $M$10</f>
        <v>2.82728874787458</v>
      </c>
      <c r="O37" s="2" t="n">
        <f aca="false">INDEX($D$3:$D$38, 26, 1)</f>
        <v>1.2209029908145</v>
      </c>
      <c r="P37" s="0" t="n">
        <f aca="false">$P$9 * $O$37 + $P$10</f>
        <v>5.33712602074379</v>
      </c>
    </row>
    <row r="38" customFormat="false" ht="13.8" hidden="false" customHeight="false" outlineLevel="0" collapsed="false">
      <c r="A38" s="0" t="n">
        <v>36</v>
      </c>
      <c r="B38" s="2" t="n">
        <v>1.18824265165729</v>
      </c>
      <c r="C38" s="2" t="n">
        <v>7.09660795782535</v>
      </c>
      <c r="D38" s="2" t="n">
        <v>3.24581281627507</v>
      </c>
      <c r="F38" s="2" t="n">
        <f aca="false">B38-D38</f>
        <v>-2.05757016461778</v>
      </c>
      <c r="G38" s="2" t="n">
        <f aca="false">C38-D38</f>
        <v>3.85079514155028</v>
      </c>
      <c r="H38" s="2" t="n">
        <f aca="false">B38-($M$10+$M$9*D38)</f>
        <v>-4.26072610235741</v>
      </c>
      <c r="I38" s="2" t="n">
        <f aca="false">C38-($P$10+$P$9*D38)</f>
        <v>0.354755289028984</v>
      </c>
      <c r="J38" s="2"/>
      <c r="L38" s="2" t="n">
        <f aca="false">INDEX($D$3:$D$38, 27, 1)</f>
        <v>-1.63589358394326</v>
      </c>
      <c r="M38" s="0" t="n">
        <f aca="false">$M$9 * $L$38 + $M$10</f>
        <v>-0.871447051359569</v>
      </c>
      <c r="O38" s="2" t="n">
        <f aca="false">INDEX($D$3:$D$38, 27, 1)</f>
        <v>-1.63589358394326</v>
      </c>
      <c r="P38" s="0" t="n">
        <f aca="false">$P$9 * $O$38 + $P$10</f>
        <v>3.35530034822783</v>
      </c>
    </row>
    <row r="39" customFormat="false" ht="13.8" hidden="false" customHeight="false" outlineLevel="0" collapsed="false">
      <c r="L39" s="2" t="n">
        <f aca="false">INDEX($D$3:$D$38, 28, 1)</f>
        <v>-1.6790829419025</v>
      </c>
      <c r="M39" s="0" t="n">
        <f aca="false">$M$9 * $L$39 + $M$10</f>
        <v>-0.927364937092585</v>
      </c>
      <c r="O39" s="2" t="n">
        <f aca="false">INDEX($D$3:$D$38, 28, 1)</f>
        <v>-1.6790829419025</v>
      </c>
      <c r="P39" s="0" t="n">
        <f aca="false">$P$9 * $O$39 + $P$10</f>
        <v>3.32533889450047</v>
      </c>
    </row>
    <row r="40" customFormat="false" ht="13.8" hidden="false" customHeight="false" outlineLevel="0" collapsed="false">
      <c r="A40" s="5" t="s">
        <v>17</v>
      </c>
      <c r="B40" s="4" t="n">
        <f aca="false">AVERAGE(B3:B38)</f>
        <v>1.56136924203598</v>
      </c>
      <c r="C40" s="4" t="n">
        <f aca="false">AVERAGE(C3:C38)</f>
        <v>4.65883162174153</v>
      </c>
      <c r="D40" s="4" t="n">
        <f aca="false">AVERAGE(D3:D38)</f>
        <v>0.243143371177008</v>
      </c>
      <c r="L40" s="2" t="n">
        <f aca="false">INDEX($D$3:$D$38, 29, 1)</f>
        <v>1.20834462205366</v>
      </c>
      <c r="M40" s="0" t="n">
        <f aca="false">$M$9 * $L$40 + $M$10</f>
        <v>2.81102924640145</v>
      </c>
      <c r="O40" s="2" t="n">
        <f aca="false">INDEX($D$3:$D$38, 29, 1)</f>
        <v>1.20834462205366</v>
      </c>
      <c r="P40" s="0" t="n">
        <f aca="false">$P$9 * $O$40 + $P$10</f>
        <v>5.32841399069059</v>
      </c>
    </row>
    <row r="41" customFormat="false" ht="13.8" hidden="false" customHeight="false" outlineLevel="0" collapsed="false">
      <c r="A41" s="5" t="s">
        <v>18</v>
      </c>
      <c r="B41" s="4" t="n">
        <f aca="false">STDEV(B3:B38)</f>
        <v>6.56365172448537</v>
      </c>
      <c r="C41" s="4" t="n">
        <f aca="false">STDEV(C3:C38)</f>
        <v>3.02150334013239</v>
      </c>
      <c r="D41" s="4" t="n">
        <f aca="false">STDEV(D3:D38)</f>
        <v>4.33928374893422</v>
      </c>
      <c r="L41" s="2" t="n">
        <f aca="false">INDEX($D$3:$D$38, 30, 1)</f>
        <v>1.79890780597494</v>
      </c>
      <c r="M41" s="0" t="n">
        <f aca="false">$M$9 * $L$41 + $M$10</f>
        <v>3.57563993285348</v>
      </c>
      <c r="O41" s="2" t="n">
        <f aca="false">INDEX($D$3:$D$38, 30, 1)</f>
        <v>1.79890780597494</v>
      </c>
      <c r="P41" s="0" t="n">
        <f aca="false">$P$9 * $O$41 + $P$10</f>
        <v>5.73810129201242</v>
      </c>
    </row>
    <row r="42" customFormat="false" ht="13.8" hidden="false" customHeight="false" outlineLevel="0" collapsed="false">
      <c r="A42" s="5" t="s">
        <v>19</v>
      </c>
      <c r="B42" s="4" t="n">
        <f aca="false">B40/B41</f>
        <v>0.237881183764118</v>
      </c>
      <c r="C42" s="4" t="n">
        <f aca="false">C40/C41</f>
        <v>1.54189193169563</v>
      </c>
      <c r="D42" s="4" t="n">
        <f aca="false">D40/D41</f>
        <v>0.0560330656497693</v>
      </c>
      <c r="L42" s="2" t="n">
        <f aca="false">INDEX($D$3:$D$38, 31, 1)</f>
        <v>-3.42905227726937</v>
      </c>
      <c r="M42" s="0" t="n">
        <f aca="false">$M$9 * $L$42 + $M$10</f>
        <v>-3.19307551847421</v>
      </c>
      <c r="O42" s="2" t="n">
        <f aca="false">INDEX($D$3:$D$38, 31, 1)</f>
        <v>-3.42905227726937</v>
      </c>
      <c r="P42" s="0" t="n">
        <f aca="false">$P$9 * $O$42 + $P$10</f>
        <v>2.11134480560044</v>
      </c>
    </row>
    <row r="43" customFormat="false" ht="13.8" hidden="false" customHeight="false" outlineLevel="0" collapsed="false">
      <c r="A43" s="5" t="s">
        <v>20</v>
      </c>
      <c r="B43" s="4" t="n">
        <f aca="false">B40/M9</f>
        <v>1.20595645233814</v>
      </c>
      <c r="C43" s="4" t="n">
        <f aca="false">C40/P9</f>
        <v>6.71569371814019</v>
      </c>
      <c r="L43" s="2" t="n">
        <f aca="false">INDEX($D$3:$D$38, 32, 1)</f>
        <v>0.228733253458224</v>
      </c>
      <c r="M43" s="0" t="n">
        <f aca="false">$M$9 * $L$43 + $M$10</f>
        <v>1.54271225443364</v>
      </c>
      <c r="O43" s="2" t="n">
        <f aca="false">INDEX($D$3:$D$38, 32, 1)</f>
        <v>0.228733253458224</v>
      </c>
      <c r="P43" s="0" t="n">
        <f aca="false">$P$9 * $O$43 + $P$10</f>
        <v>4.64883499072783</v>
      </c>
    </row>
    <row r="44" customFormat="false" ht="13.8" hidden="false" customHeight="false" outlineLevel="0" collapsed="false">
      <c r="A44" s="5" t="s">
        <v>21</v>
      </c>
      <c r="B44" s="4" t="n">
        <f aca="false">M6</f>
        <v>0.732644056481434</v>
      </c>
      <c r="C44" s="4" t="n">
        <f aca="false">P6</f>
        <v>0.992572433311911</v>
      </c>
      <c r="L44" s="2" t="n">
        <f aca="false">INDEX($D$3:$D$38, 33, 1)</f>
        <v>0.936390639716</v>
      </c>
      <c r="M44" s="0" t="n">
        <f aca="false">$M$9 * $L$44 + $M$10</f>
        <v>2.45892649638262</v>
      </c>
      <c r="O44" s="2" t="n">
        <f aca="false">INDEX($D$3:$D$38, 33, 1)</f>
        <v>0.936390639716</v>
      </c>
      <c r="P44" s="0" t="n">
        <f aca="false">$P$9 * $O$44 + $P$10</f>
        <v>5.13975324084864</v>
      </c>
    </row>
    <row r="45" customFormat="false" ht="13.8" hidden="false" customHeight="false" outlineLevel="0" collapsed="false">
      <c r="A45" s="5" t="s">
        <v>22</v>
      </c>
      <c r="B45" s="4" t="n">
        <f aca="false">STDEV(H3:H38)</f>
        <v>3.39383286073937</v>
      </c>
      <c r="C45" s="4" t="n">
        <f aca="false">STDEV(I3:I38)</f>
        <v>0.260403225036619</v>
      </c>
      <c r="L45" s="2" t="n">
        <f aca="false">INDEX($D$3:$D$38, 34, 1)</f>
        <v>1.40142475192451</v>
      </c>
      <c r="M45" s="0" t="n">
        <f aca="false">$M$9 * $L$45 + $M$10</f>
        <v>3.0610128800925</v>
      </c>
      <c r="O45" s="2" t="n">
        <f aca="false">INDEX($D$3:$D$38, 34, 1)</f>
        <v>1.40142475192451</v>
      </c>
      <c r="P45" s="0" t="n">
        <f aca="false">$P$9 * $O$45 + $P$10</f>
        <v>5.46235812994496</v>
      </c>
    </row>
    <row r="46" customFormat="false" ht="13.8" hidden="false" customHeight="false" outlineLevel="0" collapsed="false">
      <c r="A46" s="5" t="s">
        <v>23</v>
      </c>
      <c r="B46" s="4" t="n">
        <f aca="false">M10/B45</f>
        <v>0.367303888459571</v>
      </c>
      <c r="C46" s="4" t="n">
        <f aca="false">P10/C45</f>
        <v>17.2430946533503</v>
      </c>
      <c r="L46" s="2" t="n">
        <f aca="false">INDEX($D$3:$D$38, 35, 1)</f>
        <v>3.85949389488585</v>
      </c>
      <c r="M46" s="0" t="n">
        <f aca="false">$M$9 * $L$46 + $M$10</f>
        <v>6.24351051271965</v>
      </c>
      <c r="O46" s="2" t="n">
        <f aca="false">INDEX($D$3:$D$38, 35, 1)</f>
        <v>3.85949389488585</v>
      </c>
      <c r="P46" s="0" t="n">
        <f aca="false">$P$9 * $O$46 + $P$10</f>
        <v>7.16757738685097</v>
      </c>
    </row>
    <row r="47" customFormat="false" ht="13.8" hidden="false" customHeight="false" outlineLevel="0" collapsed="false">
      <c r="A47" s="5" t="s">
        <v>24</v>
      </c>
      <c r="B47" s="4" t="n">
        <f aca="false">STDEV(F3:F38)</f>
        <v>3.62678339849293</v>
      </c>
      <c r="C47" s="4" t="n">
        <f aca="false">STDEV(G3:G38)</f>
        <v>1.35429344305032</v>
      </c>
      <c r="L47" s="2" t="n">
        <f aca="false">INDEX($D$3:$D$38, 36, 1)</f>
        <v>3.24581281627507</v>
      </c>
      <c r="M47" s="0" t="n">
        <f aca="false">$M$9 * $L$47 + $M$10</f>
        <v>5.4489687540147</v>
      </c>
      <c r="O47" s="2" t="n">
        <f aca="false">INDEX($D$3:$D$38, 36, 1)</f>
        <v>3.24581281627507</v>
      </c>
      <c r="P47" s="0" t="n">
        <f aca="false">$P$9 * $O$47 + $P$10</f>
        <v>6.74185266879637</v>
      </c>
    </row>
    <row r="48" customFormat="false" ht="13.8" hidden="false" customHeight="false" outlineLevel="0" collapsed="false">
      <c r="A48" s="5" t="s">
        <v>25</v>
      </c>
      <c r="B48" s="4" t="n">
        <f aca="false">(B40-D40)/B47</f>
        <v>0.363469699184887</v>
      </c>
      <c r="C48" s="4" t="n">
        <f aca="false">(C40-D40)/C47</f>
        <v>3.26051069155213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LibreOffice/5.4.3.2$Windows_X86_64 LibreOffice_project/92a7159f7e4af62137622921e809f8546db437e5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2016-04-01T21:10:38Z</dcterms:created>
  <dc:creator>Arzu Ozoguz</dc:creator>
  <dc:description/>
  <dc:language>en-US</dc:language>
  <cp:lastModifiedBy/>
  <dcterms:modified xsi:type="dcterms:W3CDTF">2018-05-25T23:42:17Z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