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1"/>
  </bookViews>
  <sheets>
    <sheet name="基础设定" sheetId="15" r:id="rId1"/>
    <sheet name="数值设定" sheetId="16" r:id="rId2"/>
  </sheets>
  <calcPr calcId="144525"/>
</workbook>
</file>

<file path=xl/sharedStrings.xml><?xml version="1.0" encoding="utf-8"?>
<sst xmlns="http://schemas.openxmlformats.org/spreadsheetml/2006/main" count="113">
  <si>
    <t>基础设定</t>
  </si>
  <si>
    <t>类型</t>
  </si>
  <si>
    <t>数值</t>
  </si>
  <si>
    <t>单位</t>
  </si>
  <si>
    <t>机票定价</t>
  </si>
  <si>
    <t>金币</t>
  </si>
  <si>
    <t>注：1元等价于1000金币。</t>
  </si>
  <si>
    <t>游玩1个景点</t>
  </si>
  <si>
    <t>小时</t>
  </si>
  <si>
    <t>特产最高利润</t>
  </si>
  <si>
    <t>注：特产的价格在5~100金币。</t>
  </si>
  <si>
    <t>特产背包上限</t>
  </si>
  <si>
    <t>随机机票价格</t>
  </si>
  <si>
    <t>观光消耗</t>
  </si>
  <si>
    <t>不购买相机</t>
  </si>
  <si>
    <t>次</t>
  </si>
  <si>
    <t>普通单反相机</t>
  </si>
  <si>
    <t>高级单反相机</t>
  </si>
  <si>
    <t>触发事件</t>
  </si>
  <si>
    <t>次/日</t>
  </si>
  <si>
    <t>景点事件触发频度</t>
  </si>
  <si>
    <t>分钟</t>
  </si>
  <si>
    <t>景点事件保留上限</t>
  </si>
  <si>
    <t>个</t>
  </si>
  <si>
    <t>注：平均100分钟达到上限。</t>
  </si>
  <si>
    <t>景点事件平均奖励</t>
  </si>
  <si>
    <t>首次分享收入</t>
  </si>
  <si>
    <t>拉新收入</t>
  </si>
  <si>
    <t>金币/个</t>
  </si>
  <si>
    <t>点亮新景点积分</t>
  </si>
  <si>
    <t>分</t>
  </si>
  <si>
    <t>获得新明信片</t>
  </si>
  <si>
    <t>触发事件积分</t>
  </si>
  <si>
    <t>点亮旧景点</t>
  </si>
  <si>
    <t>辅助区</t>
  </si>
  <si>
    <t>选择用户类型:</t>
  </si>
  <si>
    <t>普通用户</t>
  </si>
  <si>
    <t>选择</t>
  </si>
  <si>
    <t>特产收入</t>
  </si>
  <si>
    <t>事件收入</t>
  </si>
  <si>
    <t>路线评分</t>
  </si>
  <si>
    <t>排行榜收入</t>
  </si>
  <si>
    <t>出租相机</t>
  </si>
  <si>
    <t>观光次数</t>
  </si>
  <si>
    <t>购买道具</t>
  </si>
  <si>
    <t>购买明信片</t>
  </si>
  <si>
    <t>点亮景点数量</t>
  </si>
  <si>
    <t>明信片数量</t>
  </si>
  <si>
    <t>缩短时间</t>
  </si>
  <si>
    <t>相机付费</t>
  </si>
  <si>
    <t>出租费用</t>
  </si>
  <si>
    <t>金币设定：</t>
  </si>
  <si>
    <t>专业用户</t>
  </si>
  <si>
    <t>机票支出</t>
  </si>
  <si>
    <t>小R</t>
  </si>
  <si>
    <t>分享收入</t>
  </si>
  <si>
    <t>大R</t>
  </si>
  <si>
    <t>每日登陆</t>
  </si>
  <si>
    <t>观光支出</t>
  </si>
  <si>
    <t>事件奖励</t>
  </si>
  <si>
    <t>购买自驾车</t>
  </si>
  <si>
    <t>特产</t>
  </si>
  <si>
    <t>排行榜奖励</t>
  </si>
  <si>
    <t>特产价格区间</t>
  </si>
  <si>
    <t>2.4-10000</t>
  </si>
  <si>
    <t>被赞收入</t>
  </si>
  <si>
    <t>注：点赞每个5金币</t>
  </si>
  <si>
    <t>特产平均值</t>
  </si>
  <si>
    <t>注：拉新每个800金币</t>
  </si>
  <si>
    <t>高于</t>
  </si>
  <si>
    <t>高于10000的1个，1000-10000的1个，大于100的5个，50-100的12个，低于50的91个</t>
  </si>
  <si>
    <t>总收入</t>
  </si>
  <si>
    <t>总支出</t>
  </si>
  <si>
    <t>限购</t>
  </si>
  <si>
    <t>特产价格超过5000不出售，超过2000限购1个，超过500限购2个</t>
  </si>
  <si>
    <t>每日获得</t>
  </si>
  <si>
    <t>平均每日获得400，最高800</t>
  </si>
  <si>
    <t>金币支出说明：日常金币主要支出包括机票支出和收集明信片，购买机票属于用户基础行为，金币会给足；收集明信片属于进阶行为，金币需要付出一定努力才能达成。收集明信片的消耗方式采用购买相机增加拍照次数的方式。</t>
  </si>
  <si>
    <t>背包上限</t>
  </si>
  <si>
    <t>10个</t>
  </si>
  <si>
    <t>事件设定：根据事件产出金币设定计算概率和不同事件产出。</t>
  </si>
  <si>
    <t>比例</t>
  </si>
  <si>
    <t>获得明信片</t>
  </si>
  <si>
    <r>
      <rPr>
        <sz val="11"/>
        <color theme="1"/>
        <rFont val="宋体"/>
        <charset val="134"/>
      </rPr>
      <t>金币或特产奖励(包含获得特产减少金币</t>
    </r>
    <r>
      <rPr>
        <sz val="11"/>
        <color theme="1"/>
        <rFont val="宋体"/>
        <charset val="134"/>
      </rPr>
      <t>)。</t>
    </r>
  </si>
  <si>
    <t>金币消耗</t>
  </si>
  <si>
    <t>计算产出金币期望值</t>
  </si>
  <si>
    <t>积分设定：</t>
  </si>
  <si>
    <t>注：增加道具提升付费用户优势</t>
  </si>
  <si>
    <t>排行榜设定：</t>
  </si>
  <si>
    <t>金币奖励：（每周）</t>
  </si>
  <si>
    <t>排名</t>
  </si>
  <si>
    <t>达人榜奖励</t>
  </si>
  <si>
    <t>足迹榜奖励</t>
  </si>
  <si>
    <t>兑换标准：5000积分兑换1元商品。</t>
  </si>
  <si>
    <r>
      <rPr>
        <sz val="11"/>
        <color theme="1"/>
        <rFont val="宋体"/>
        <charset val="134"/>
      </rPr>
      <t>最低标准：5</t>
    </r>
    <r>
      <rPr>
        <sz val="11"/>
        <color theme="1"/>
        <rFont val="宋体"/>
        <charset val="134"/>
      </rPr>
      <t>0000积分起可兑换。</t>
    </r>
  </si>
  <si>
    <t>进度类设定：</t>
  </si>
  <si>
    <t>数值（小时）</t>
  </si>
  <si>
    <t>付费类设定：</t>
  </si>
  <si>
    <t>数值（元）</t>
  </si>
  <si>
    <t>拍照</t>
  </si>
  <si>
    <t>事件完成度（收集明信片）</t>
  </si>
  <si>
    <t>总计</t>
  </si>
  <si>
    <t>付费点设定</t>
  </si>
  <si>
    <t>购买相册封面</t>
  </si>
  <si>
    <t>10~50</t>
  </si>
  <si>
    <t>一次性的</t>
  </si>
  <si>
    <t>/次</t>
  </si>
  <si>
    <t>舒适自驾车</t>
  </si>
  <si>
    <t>商务自驾车</t>
  </si>
  <si>
    <t>豪华自驾车</t>
  </si>
  <si>
    <t>每日登陆：</t>
  </si>
  <si>
    <t>时间</t>
  </si>
  <si>
    <t>每日获得金币期望值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</si>
</sst>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7030A0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3" fillId="16" borderId="8" applyNumberForma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1" xfId="0" applyFont="1" applyFill="1" applyBorder="1">
      <alignment vertical="center"/>
    </xf>
    <xf numFmtId="9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/>
    <xf numFmtId="0" fontId="5" fillId="0" borderId="1" xfId="0" applyFont="1" applyBorder="1">
      <alignment vertical="center"/>
    </xf>
    <xf numFmtId="0" fontId="0" fillId="4" borderId="0" xfId="0" applyFont="1" applyFill="1">
      <alignment vertical="center"/>
    </xf>
    <xf numFmtId="0" fontId="0" fillId="4" borderId="0" xfId="0" applyFill="1">
      <alignment vertical="center"/>
    </xf>
    <xf numFmtId="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  <xf numFmtId="0" fontId="6" fillId="0" borderId="0" xfId="0" applyFont="1" applyFill="1" applyBorder="1" applyAlignment="1">
      <alignment vertical="center"/>
    </xf>
    <xf numFmtId="0" fontId="5" fillId="0" borderId="1" xfId="0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C9" sqref="C9"/>
    </sheetView>
  </sheetViews>
  <sheetFormatPr defaultColWidth="9" defaultRowHeight="13.5" outlineLevelCol="5"/>
  <cols>
    <col min="2" max="2" width="15.625" customWidth="1"/>
  </cols>
  <sheetData>
    <row r="1" spans="1:1">
      <c r="A1" t="s">
        <v>0</v>
      </c>
    </row>
    <row r="2" spans="2:4">
      <c r="B2" s="3" t="s">
        <v>1</v>
      </c>
      <c r="C2" s="3" t="s">
        <v>2</v>
      </c>
      <c r="D2" s="3" t="s">
        <v>3</v>
      </c>
    </row>
    <row r="3" spans="2:5">
      <c r="B3" s="4" t="s">
        <v>4</v>
      </c>
      <c r="C3" s="4">
        <v>2000</v>
      </c>
      <c r="D3" s="4" t="s">
        <v>5</v>
      </c>
      <c r="E3" t="s">
        <v>6</v>
      </c>
    </row>
    <row r="4" spans="2:4">
      <c r="B4" s="4" t="s">
        <v>7</v>
      </c>
      <c r="C4" s="4">
        <v>3</v>
      </c>
      <c r="D4" s="4" t="s">
        <v>8</v>
      </c>
    </row>
    <row r="5" spans="2:5">
      <c r="B5" s="4" t="s">
        <v>9</v>
      </c>
      <c r="C5" s="4">
        <v>20</v>
      </c>
      <c r="D5" s="4"/>
      <c r="E5" t="s">
        <v>10</v>
      </c>
    </row>
    <row r="6" spans="2:4">
      <c r="B6" s="4" t="s">
        <v>11</v>
      </c>
      <c r="C6" s="4">
        <v>20</v>
      </c>
      <c r="D6" s="4"/>
    </row>
    <row r="7" spans="2:4">
      <c r="B7" s="4" t="s">
        <v>12</v>
      </c>
      <c r="C7" s="4">
        <v>1500</v>
      </c>
      <c r="D7" s="4"/>
    </row>
    <row r="8" spans="2:4">
      <c r="B8" s="4" t="s">
        <v>13</v>
      </c>
      <c r="C8" s="4">
        <v>200</v>
      </c>
      <c r="D8" s="4" t="s">
        <v>5</v>
      </c>
    </row>
    <row r="9" spans="2:6">
      <c r="B9" s="4" t="s">
        <v>14</v>
      </c>
      <c r="C9" s="4">
        <v>3</v>
      </c>
      <c r="D9" s="4" t="s">
        <v>15</v>
      </c>
      <c r="E9">
        <v>0</v>
      </c>
      <c r="F9" t="s">
        <v>5</v>
      </c>
    </row>
    <row r="10" spans="2:6">
      <c r="B10" s="4" t="s">
        <v>16</v>
      </c>
      <c r="C10" s="4">
        <v>6</v>
      </c>
      <c r="D10" s="4" t="s">
        <v>15</v>
      </c>
      <c r="E10">
        <v>800</v>
      </c>
      <c r="F10" t="s">
        <v>5</v>
      </c>
    </row>
    <row r="11" spans="2:6">
      <c r="B11" s="4" t="s">
        <v>17</v>
      </c>
      <c r="C11" s="4">
        <v>12</v>
      </c>
      <c r="D11" s="4" t="s">
        <v>15</v>
      </c>
      <c r="E11">
        <v>1500</v>
      </c>
      <c r="F11" t="s">
        <v>5</v>
      </c>
    </row>
    <row r="12" spans="2:4">
      <c r="B12" s="4" t="s">
        <v>18</v>
      </c>
      <c r="C12" s="4">
        <f>15*50/$C$13</f>
        <v>75</v>
      </c>
      <c r="D12" s="4" t="s">
        <v>19</v>
      </c>
    </row>
    <row r="13" spans="2:4">
      <c r="B13" s="4" t="s">
        <v>20</v>
      </c>
      <c r="C13" s="4">
        <v>10</v>
      </c>
      <c r="D13" s="4" t="s">
        <v>21</v>
      </c>
    </row>
    <row r="14" spans="2:5">
      <c r="B14" s="4" t="s">
        <v>22</v>
      </c>
      <c r="C14" s="4">
        <v>10</v>
      </c>
      <c r="D14" s="4" t="s">
        <v>23</v>
      </c>
      <c r="E14" t="s">
        <v>24</v>
      </c>
    </row>
    <row r="15" spans="2:4">
      <c r="B15" s="4" t="s">
        <v>25</v>
      </c>
      <c r="C15" s="4">
        <v>10</v>
      </c>
      <c r="D15" s="4" t="s">
        <v>5</v>
      </c>
    </row>
    <row r="16" spans="2:4">
      <c r="B16" s="4" t="s">
        <v>26</v>
      </c>
      <c r="C16" s="4">
        <v>200</v>
      </c>
      <c r="D16" s="4" t="s">
        <v>5</v>
      </c>
    </row>
    <row r="17" spans="2:4">
      <c r="B17" s="4" t="s">
        <v>27</v>
      </c>
      <c r="C17" s="4">
        <v>800</v>
      </c>
      <c r="D17" s="4" t="s">
        <v>28</v>
      </c>
    </row>
    <row r="18" spans="2:4">
      <c r="B18" s="4" t="s">
        <v>29</v>
      </c>
      <c r="C18" s="4">
        <v>200</v>
      </c>
      <c r="D18" s="4" t="s">
        <v>30</v>
      </c>
    </row>
    <row r="19" spans="2:4">
      <c r="B19" s="4" t="s">
        <v>31</v>
      </c>
      <c r="C19" s="4">
        <v>100</v>
      </c>
      <c r="D19" s="4" t="s">
        <v>30</v>
      </c>
    </row>
    <row r="20" spans="2:4">
      <c r="B20" s="4" t="s">
        <v>32</v>
      </c>
      <c r="C20" s="4">
        <v>10</v>
      </c>
      <c r="D20" s="4" t="s">
        <v>30</v>
      </c>
    </row>
    <row r="21" spans="2:4">
      <c r="B21" s="4" t="s">
        <v>33</v>
      </c>
      <c r="C21" s="4">
        <v>100</v>
      </c>
      <c r="D21" s="4" t="s">
        <v>30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4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3.5"/>
  <cols>
    <col min="1" max="1" width="13" customWidth="1"/>
    <col min="2" max="2" width="28.25" customWidth="1"/>
    <col min="3" max="3" width="11.5" customWidth="1"/>
    <col min="4" max="4" width="18.875" customWidth="1"/>
    <col min="7" max="7" width="9.625" customWidth="1"/>
  </cols>
  <sheetData>
    <row r="1" spans="10:23">
      <c r="J1" s="13" t="s">
        <v>34</v>
      </c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ht="14.25" spans="1:23">
      <c r="A2" s="1" t="s">
        <v>35</v>
      </c>
      <c r="B2" s="2" t="s">
        <v>36</v>
      </c>
      <c r="J2" s="14" t="s">
        <v>37</v>
      </c>
      <c r="K2" s="14" t="s">
        <v>38</v>
      </c>
      <c r="L2" s="13" t="s">
        <v>39</v>
      </c>
      <c r="M2" s="13" t="s">
        <v>40</v>
      </c>
      <c r="N2" s="13" t="s">
        <v>41</v>
      </c>
      <c r="O2" s="13" t="s">
        <v>42</v>
      </c>
      <c r="P2" s="13" t="s">
        <v>43</v>
      </c>
      <c r="Q2" s="13" t="s">
        <v>44</v>
      </c>
      <c r="R2" s="13" t="s">
        <v>45</v>
      </c>
      <c r="S2" s="13" t="s">
        <v>46</v>
      </c>
      <c r="T2" s="13" t="s">
        <v>47</v>
      </c>
      <c r="U2" s="13" t="s">
        <v>48</v>
      </c>
      <c r="V2" s="13" t="s">
        <v>49</v>
      </c>
      <c r="W2" s="13" t="s">
        <v>50</v>
      </c>
    </row>
    <row r="3" spans="10:23">
      <c r="J3" s="14" t="s">
        <v>36</v>
      </c>
      <c r="K3" s="15">
        <v>0.6</v>
      </c>
      <c r="L3" s="15">
        <v>0.4</v>
      </c>
      <c r="M3" s="15">
        <v>0.8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4">
        <v>5</v>
      </c>
      <c r="T3" s="14">
        <v>3</v>
      </c>
      <c r="U3" s="14">
        <v>0</v>
      </c>
      <c r="V3" s="14">
        <v>0</v>
      </c>
      <c r="W3" s="14">
        <v>0</v>
      </c>
    </row>
    <row r="4" spans="1:23">
      <c r="A4" s="1" t="s">
        <v>51</v>
      </c>
      <c r="B4" s="3" t="str">
        <f>$B$2&amp;"每日收入"</f>
        <v>普通用户每日收入</v>
      </c>
      <c r="C4" s="3" t="s">
        <v>2</v>
      </c>
      <c r="D4" s="3" t="str">
        <f>$B$2&amp;"每日支出"</f>
        <v>普通用户每日支出</v>
      </c>
      <c r="E4" s="3" t="s">
        <v>2</v>
      </c>
      <c r="J4" s="14" t="s">
        <v>52</v>
      </c>
      <c r="K4" s="15">
        <v>1</v>
      </c>
      <c r="L4" s="15">
        <v>1</v>
      </c>
      <c r="M4" s="15">
        <v>1</v>
      </c>
      <c r="N4" s="16">
        <f>C49</f>
        <v>500</v>
      </c>
      <c r="O4" s="16">
        <f>基础设定!$E$10</f>
        <v>800</v>
      </c>
      <c r="P4" s="16">
        <v>0</v>
      </c>
      <c r="Q4" s="16">
        <v>0</v>
      </c>
      <c r="R4" s="16">
        <v>0</v>
      </c>
      <c r="S4" s="14">
        <v>8</v>
      </c>
      <c r="T4" s="14">
        <v>8</v>
      </c>
      <c r="U4" s="14">
        <v>0</v>
      </c>
      <c r="V4" s="14">
        <v>0</v>
      </c>
      <c r="W4" s="14">
        <v>0</v>
      </c>
    </row>
    <row r="5" spans="2:23">
      <c r="B5" s="4" t="s">
        <v>38</v>
      </c>
      <c r="C5" s="4">
        <f>基础设定!$C$5*基础设定!$C$6*VLOOKUP($B$2,$J$3:$K$6,2,FALSE)</f>
        <v>240</v>
      </c>
      <c r="D5" s="4" t="s">
        <v>53</v>
      </c>
      <c r="E5" s="4">
        <f>基础设定!$C$7/(1-VLOOKUP($B$2,$J$3:$V$6,12,FALSE))</f>
        <v>1500</v>
      </c>
      <c r="J5" s="14" t="s">
        <v>54</v>
      </c>
      <c r="K5" s="15">
        <v>0.8</v>
      </c>
      <c r="L5" s="15">
        <v>0.7</v>
      </c>
      <c r="M5" s="15">
        <v>0.9</v>
      </c>
      <c r="N5" s="16">
        <f>C48</f>
        <v>600</v>
      </c>
      <c r="O5" s="16">
        <f>基础设定!$E$10</f>
        <v>800</v>
      </c>
      <c r="P5" s="16">
        <v>8</v>
      </c>
      <c r="Q5" s="16">
        <v>800</v>
      </c>
      <c r="R5" s="16">
        <v>0</v>
      </c>
      <c r="S5" s="14">
        <v>15</v>
      </c>
      <c r="T5" s="14">
        <v>8</v>
      </c>
      <c r="U5" s="15">
        <v>0.5</v>
      </c>
      <c r="V5" s="14">
        <v>0.8</v>
      </c>
      <c r="W5" s="14">
        <v>0.8</v>
      </c>
    </row>
    <row r="6" spans="2:23">
      <c r="B6" s="5" t="s">
        <v>55</v>
      </c>
      <c r="C6" s="4">
        <f>基础设定!$C$16</f>
        <v>200</v>
      </c>
      <c r="D6" s="4" t="s">
        <v>42</v>
      </c>
      <c r="E6" s="4">
        <f>VLOOKUP($B$2,$J$3:$O$6,6,FALSE)</f>
        <v>0</v>
      </c>
      <c r="J6" s="14" t="s">
        <v>56</v>
      </c>
      <c r="K6" s="15">
        <v>0.8</v>
      </c>
      <c r="L6" s="15">
        <v>0.6</v>
      </c>
      <c r="M6" s="15">
        <v>0.9</v>
      </c>
      <c r="N6" s="16">
        <f>C41</f>
        <v>2000</v>
      </c>
      <c r="O6" s="16">
        <f>基础设定!$E$11</f>
        <v>1500</v>
      </c>
      <c r="P6" s="16">
        <v>28</v>
      </c>
      <c r="Q6" s="16">
        <v>3500</v>
      </c>
      <c r="R6" s="16">
        <v>500</v>
      </c>
      <c r="S6" s="14">
        <v>40</v>
      </c>
      <c r="T6" s="14">
        <v>15</v>
      </c>
      <c r="U6" s="15">
        <v>0.8</v>
      </c>
      <c r="V6" s="14">
        <v>1.5</v>
      </c>
      <c r="W6" s="14">
        <v>3.5</v>
      </c>
    </row>
    <row r="7" spans="2:23">
      <c r="B7" s="4" t="s">
        <v>57</v>
      </c>
      <c r="C7" s="4">
        <f>$C$84</f>
        <v>186</v>
      </c>
      <c r="D7" s="4" t="s">
        <v>58</v>
      </c>
      <c r="E7" s="4">
        <f>基础设定!$C$8*VLOOKUP($B$2,$J$3:$P$6,7,FALSE)</f>
        <v>0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2:23">
      <c r="B8" s="4" t="s">
        <v>59</v>
      </c>
      <c r="C8" s="4">
        <f>ROUND(基础设定!$C$12*基础设定!$C$15*VLOOKUP($B$2,$J$3:$L$6,3,FALSE),0)</f>
        <v>300</v>
      </c>
      <c r="D8" s="4" t="s">
        <v>60</v>
      </c>
      <c r="E8" s="4">
        <f>VLOOKUP($B$2,$J$3:$Q$6,8,FALSE)</f>
        <v>0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2:10">
      <c r="B9" s="4" t="s">
        <v>40</v>
      </c>
      <c r="C9" s="4">
        <v>0</v>
      </c>
      <c r="D9" s="4" t="s">
        <v>45</v>
      </c>
      <c r="E9" s="4">
        <f>VLOOKUP($B$2,$J$3:$R$6,9,FALSE)</f>
        <v>0</v>
      </c>
      <c r="F9" s="1"/>
      <c r="J9" t="s">
        <v>61</v>
      </c>
    </row>
    <row r="10" spans="2:11">
      <c r="B10" s="4" t="s">
        <v>62</v>
      </c>
      <c r="C10" s="4">
        <f>ROUND(VLOOKUP($B$2,$J$3:$N$6,5,FALSE)/7,0)</f>
        <v>0</v>
      </c>
      <c r="D10" s="4"/>
      <c r="E10" s="4"/>
      <c r="J10" t="s">
        <v>63</v>
      </c>
      <c r="K10" t="s">
        <v>64</v>
      </c>
    </row>
    <row r="11" spans="2:11">
      <c r="B11" s="4" t="s">
        <v>65</v>
      </c>
      <c r="C11" s="4">
        <v>0</v>
      </c>
      <c r="D11" s="4"/>
      <c r="E11" s="4"/>
      <c r="F11" s="1" t="s">
        <v>66</v>
      </c>
      <c r="J11" t="s">
        <v>67</v>
      </c>
      <c r="K11" s="17">
        <v>143.334466019417</v>
      </c>
    </row>
    <row r="12" spans="2:11">
      <c r="B12" s="4" t="s">
        <v>27</v>
      </c>
      <c r="C12" s="4">
        <f>基础设定!$C$17*0</f>
        <v>0</v>
      </c>
      <c r="D12" s="4"/>
      <c r="E12" s="4"/>
      <c r="F12" s="1" t="s">
        <v>68</v>
      </c>
      <c r="J12" t="s">
        <v>69</v>
      </c>
      <c r="K12" t="s">
        <v>70</v>
      </c>
    </row>
    <row r="13" spans="2:11">
      <c r="B13" s="4" t="s">
        <v>71</v>
      </c>
      <c r="C13" s="4">
        <f>C$5+C$6+C$7+C$8+C$9+$C$10+$C$11+$C$12</f>
        <v>926</v>
      </c>
      <c r="D13" s="4" t="s">
        <v>72</v>
      </c>
      <c r="E13" s="4">
        <f>E$5+E$6+E$7</f>
        <v>1500</v>
      </c>
      <c r="J13" t="s">
        <v>73</v>
      </c>
      <c r="K13" t="s">
        <v>74</v>
      </c>
    </row>
    <row r="14" spans="10:11">
      <c r="J14" t="s">
        <v>75</v>
      </c>
      <c r="K14" t="s">
        <v>76</v>
      </c>
    </row>
    <row r="15" customHeight="1" spans="2:11">
      <c r="B15" s="6" t="s">
        <v>77</v>
      </c>
      <c r="C15" s="7"/>
      <c r="D15" s="7"/>
      <c r="E15" s="7"/>
      <c r="J15" t="s">
        <v>78</v>
      </c>
      <c r="K15" t="s">
        <v>79</v>
      </c>
    </row>
    <row r="16" spans="2:5">
      <c r="B16" s="7"/>
      <c r="C16" s="7"/>
      <c r="D16" s="7"/>
      <c r="E16" s="7"/>
    </row>
    <row r="17" spans="2:5">
      <c r="B17" s="7"/>
      <c r="C17" s="7"/>
      <c r="D17" s="7"/>
      <c r="E17" s="7"/>
    </row>
    <row r="18" spans="2:5">
      <c r="B18" s="7"/>
      <c r="C18" s="7"/>
      <c r="D18" s="7"/>
      <c r="E18" s="7"/>
    </row>
    <row r="20" spans="1:1">
      <c r="A20" s="1" t="s">
        <v>80</v>
      </c>
    </row>
    <row r="21" spans="1:4">
      <c r="A21" s="1"/>
      <c r="B21" s="8" t="s">
        <v>1</v>
      </c>
      <c r="C21" s="3" t="s">
        <v>81</v>
      </c>
      <c r="D21" s="3" t="s">
        <v>2</v>
      </c>
    </row>
    <row r="22" spans="2:4">
      <c r="B22" s="4" t="s">
        <v>82</v>
      </c>
      <c r="C22" s="9">
        <v>0.03</v>
      </c>
      <c r="D22" s="4"/>
    </row>
    <row r="23" spans="2:4">
      <c r="B23" s="5" t="s">
        <v>83</v>
      </c>
      <c r="C23" s="9">
        <v>0.72</v>
      </c>
      <c r="D23" s="4">
        <v>30</v>
      </c>
    </row>
    <row r="24" spans="2:4">
      <c r="B24" s="4" t="s">
        <v>84</v>
      </c>
      <c r="C24" s="9">
        <v>0.25</v>
      </c>
      <c r="D24" s="4">
        <v>45</v>
      </c>
    </row>
    <row r="26" spans="2:2">
      <c r="B26" s="1" t="s">
        <v>85</v>
      </c>
    </row>
    <row r="27" spans="2:2">
      <c r="B27" s="10">
        <f>ROUND(D23*C23-D24*C24,0)</f>
        <v>10</v>
      </c>
    </row>
    <row r="29" spans="1:3">
      <c r="A29" s="1" t="s">
        <v>86</v>
      </c>
      <c r="B29" s="3" t="s">
        <v>1</v>
      </c>
      <c r="C29" s="3" t="s">
        <v>2</v>
      </c>
    </row>
    <row r="30" spans="2:3">
      <c r="B30" s="5" t="str">
        <f>B2&amp;"每日点亮景点积分"</f>
        <v>普通用户每日点亮景点积分</v>
      </c>
      <c r="C30" s="4">
        <f>基础设定!$C$18*VLOOKUP($B$2,$J$3:$S$6,10,FALSE)</f>
        <v>1000</v>
      </c>
    </row>
    <row r="31" spans="2:3">
      <c r="B31" s="5" t="str">
        <f>B2&amp;"每日获得新明信片积分"</f>
        <v>普通用户每日获得新明信片积分</v>
      </c>
      <c r="C31" s="4">
        <f>基础设定!$C$19*VLOOKUP($B$2,$J$3:$T$6,11,FALSE)</f>
        <v>300</v>
      </c>
    </row>
    <row r="32" spans="2:3">
      <c r="B32" s="5" t="str">
        <f>B2&amp;"每日触发事件积分"</f>
        <v>普通用户每日触发事件积分</v>
      </c>
      <c r="C32" s="4">
        <f>基础设定!$C$12*基础设定!$C$20*VLOOKUP($B$2,$J$3:$S$6,3,FALSE)</f>
        <v>300</v>
      </c>
    </row>
    <row r="33" spans="2:4">
      <c r="B33" s="5" t="str">
        <f>B2&amp;"每日总积分"</f>
        <v>普通用户每日总积分</v>
      </c>
      <c r="C33" s="4">
        <f>$C$30+$C$31+$C$32</f>
        <v>1600</v>
      </c>
      <c r="D33" s="1" t="s">
        <v>87</v>
      </c>
    </row>
    <row r="35" spans="1:1">
      <c r="A35" s="1" t="s">
        <v>88</v>
      </c>
    </row>
    <row r="36" spans="2:2">
      <c r="B36" s="1" t="s">
        <v>89</v>
      </c>
    </row>
    <row r="37" ht="16.5" spans="2:4">
      <c r="B37" s="11" t="s">
        <v>90</v>
      </c>
      <c r="C37" s="11" t="s">
        <v>91</v>
      </c>
      <c r="D37" s="11" t="s">
        <v>92</v>
      </c>
    </row>
    <row r="38" ht="16.5" spans="2:4">
      <c r="B38" s="12">
        <v>1</v>
      </c>
      <c r="C38" s="12">
        <v>5000</v>
      </c>
      <c r="D38" s="12">
        <v>5000</v>
      </c>
    </row>
    <row r="39" ht="16.5" spans="2:4">
      <c r="B39" s="12">
        <v>2</v>
      </c>
      <c r="C39" s="12">
        <v>4000</v>
      </c>
      <c r="D39" s="12">
        <v>4000</v>
      </c>
    </row>
    <row r="40" ht="16.5" spans="2:4">
      <c r="B40" s="12">
        <v>3</v>
      </c>
      <c r="C40" s="12">
        <v>3000</v>
      </c>
      <c r="D40" s="12">
        <v>3000</v>
      </c>
    </row>
    <row r="41" ht="16.5" spans="2:4">
      <c r="B41" s="12">
        <v>4</v>
      </c>
      <c r="C41" s="12">
        <v>2000</v>
      </c>
      <c r="D41" s="12">
        <v>2000</v>
      </c>
    </row>
    <row r="42" ht="16.5" spans="2:4">
      <c r="B42" s="12">
        <v>5</v>
      </c>
      <c r="C42" s="12">
        <v>1500</v>
      </c>
      <c r="D42" s="12">
        <v>1500</v>
      </c>
    </row>
    <row r="43" ht="16.5" spans="2:4">
      <c r="B43" s="12">
        <v>6</v>
      </c>
      <c r="C43" s="12">
        <v>1200</v>
      </c>
      <c r="D43" s="12">
        <v>1200</v>
      </c>
    </row>
    <row r="44" ht="16.5" spans="2:4">
      <c r="B44" s="12">
        <v>7</v>
      </c>
      <c r="C44" s="12">
        <v>1000</v>
      </c>
      <c r="D44" s="12">
        <v>1000</v>
      </c>
    </row>
    <row r="45" ht="16.5" spans="2:4">
      <c r="B45" s="12">
        <v>8</v>
      </c>
      <c r="C45" s="12">
        <v>900</v>
      </c>
      <c r="D45" s="12">
        <v>900</v>
      </c>
    </row>
    <row r="46" ht="16.5" spans="2:4">
      <c r="B46" s="12">
        <v>9</v>
      </c>
      <c r="C46" s="12">
        <v>800</v>
      </c>
      <c r="D46" s="12">
        <v>800</v>
      </c>
    </row>
    <row r="47" ht="16.5" spans="2:4">
      <c r="B47" s="12">
        <v>10</v>
      </c>
      <c r="C47" s="12">
        <v>700</v>
      </c>
      <c r="D47" s="12">
        <v>700</v>
      </c>
    </row>
    <row r="48" ht="16.5" spans="2:4">
      <c r="B48" s="12">
        <v>20</v>
      </c>
      <c r="C48" s="12">
        <v>600</v>
      </c>
      <c r="D48" s="12">
        <v>600</v>
      </c>
    </row>
    <row r="49" ht="16.5" spans="2:4">
      <c r="B49" s="12">
        <v>100</v>
      </c>
      <c r="C49" s="12">
        <v>500</v>
      </c>
      <c r="D49" s="12">
        <v>500</v>
      </c>
    </row>
    <row r="50" ht="16.5" spans="2:4">
      <c r="B50" s="12">
        <v>300</v>
      </c>
      <c r="C50" s="12">
        <v>300</v>
      </c>
      <c r="D50" s="12">
        <v>300</v>
      </c>
    </row>
    <row r="51" ht="16.5" spans="2:4">
      <c r="B51" s="12">
        <v>1000</v>
      </c>
      <c r="C51" s="12">
        <v>200</v>
      </c>
      <c r="D51" s="12">
        <v>200</v>
      </c>
    </row>
    <row r="53" spans="2:2">
      <c r="B53" s="1" t="s">
        <v>93</v>
      </c>
    </row>
    <row r="54" spans="2:2">
      <c r="B54" s="1" t="s">
        <v>94</v>
      </c>
    </row>
    <row r="56" spans="1:3">
      <c r="A56" s="1" t="s">
        <v>95</v>
      </c>
      <c r="B56" s="3" t="s">
        <v>1</v>
      </c>
      <c r="C56" s="3" t="s">
        <v>96</v>
      </c>
    </row>
    <row r="57" spans="2:3">
      <c r="B57" s="5" t="str">
        <f>B2&amp;"点亮1个城市所需时间"</f>
        <v>普通用户点亮1个城市所需时间</v>
      </c>
      <c r="C57" s="4">
        <f>5*基础设定!$C$4*(1-VLOOKUP($B$2,$J$3:$U$6,12,FALSE))</f>
        <v>15</v>
      </c>
    </row>
    <row r="58" spans="2:3">
      <c r="B58" s="5" t="str">
        <f>B2&amp;"走遍1个城市景点时间"</f>
        <v>普通用户走遍1个城市景点时间</v>
      </c>
      <c r="C58" s="4">
        <f>10*基础设定!$C$4*(1-VLOOKUP($B$2,$J$3:$U$6,12,FALSE))</f>
        <v>30</v>
      </c>
    </row>
    <row r="59" spans="2:4">
      <c r="B59" s="5" t="str">
        <f>B2&amp;"点亮中国所需时间"</f>
        <v>普通用户点亮中国所需时间</v>
      </c>
      <c r="C59" s="4">
        <f>5*基础设定!$C$4*334*(1-VLOOKUP($B$2,$J$3:$U$6,12,FALSE))</f>
        <v>5010</v>
      </c>
      <c r="D59" t="str">
        <f>"等于"&amp;ROUND(C59/24,0)&amp;"天"</f>
        <v>等于209天</v>
      </c>
    </row>
    <row r="61" spans="1:3">
      <c r="A61" s="1" t="s">
        <v>97</v>
      </c>
      <c r="B61" s="3" t="str">
        <f>B2&amp;"每月付费"</f>
        <v>普通用户每月付费</v>
      </c>
      <c r="C61" s="3" t="s">
        <v>98</v>
      </c>
    </row>
    <row r="62" spans="2:3">
      <c r="B62" s="5" t="s">
        <v>99</v>
      </c>
      <c r="C62" s="4">
        <f>30*VLOOKUP($B$2,$J$3:$V$6,13,FALSE)/(1-VLOOKUP($B$2,$J$3:$V$6,12,FALSE))</f>
        <v>0</v>
      </c>
    </row>
    <row r="63" spans="2:4">
      <c r="B63" s="5" t="s">
        <v>48</v>
      </c>
      <c r="C63" s="4">
        <f>1/(1-VLOOKUP($B$2,$J$3:$V$6,12,FALSE))*30*VLOOKUP($B$2,$J$3:$W$6,14,FALSE)</f>
        <v>0</v>
      </c>
      <c r="D63" s="1"/>
    </row>
    <row r="64" spans="2:3">
      <c r="B64" s="5" t="s">
        <v>100</v>
      </c>
      <c r="C64" s="4">
        <f>ROUND((基础设定!$C$8-5)/500*30*(VLOOKUP($B$2,$J$3:$V$6,7,FALSE)-2),0)</f>
        <v>-23</v>
      </c>
    </row>
    <row r="65" spans="2:3">
      <c r="B65" s="5" t="s">
        <v>101</v>
      </c>
      <c r="C65" s="4">
        <f>SUM(C62:C64)</f>
        <v>-23</v>
      </c>
    </row>
    <row r="67" spans="2:3">
      <c r="B67" s="3" t="s">
        <v>102</v>
      </c>
      <c r="C67" s="3" t="s">
        <v>98</v>
      </c>
    </row>
    <row r="68" spans="2:4">
      <c r="B68" s="5" t="s">
        <v>103</v>
      </c>
      <c r="C68" s="4" t="s">
        <v>104</v>
      </c>
      <c r="D68" t="s">
        <v>105</v>
      </c>
    </row>
    <row r="69" spans="2:4">
      <c r="B69" s="5" t="s">
        <v>16</v>
      </c>
      <c r="C69" s="4">
        <v>0.8</v>
      </c>
      <c r="D69" t="s">
        <v>106</v>
      </c>
    </row>
    <row r="70" spans="2:4">
      <c r="B70" s="5" t="s">
        <v>17</v>
      </c>
      <c r="C70" s="4">
        <v>1.5</v>
      </c>
      <c r="D70" t="s">
        <v>106</v>
      </c>
    </row>
    <row r="71" spans="2:4">
      <c r="B71" s="5" t="s">
        <v>107</v>
      </c>
      <c r="C71" s="4">
        <v>0.8</v>
      </c>
      <c r="D71" t="s">
        <v>106</v>
      </c>
    </row>
    <row r="72" spans="2:4">
      <c r="B72" s="5" t="s">
        <v>108</v>
      </c>
      <c r="C72" s="4">
        <v>1.2</v>
      </c>
      <c r="D72" t="s">
        <v>106</v>
      </c>
    </row>
    <row r="73" spans="2:4">
      <c r="B73" s="5" t="s">
        <v>109</v>
      </c>
      <c r="C73" s="4">
        <v>1.6</v>
      </c>
      <c r="D73" t="s">
        <v>106</v>
      </c>
    </row>
    <row r="75" spans="1:3">
      <c r="A75" s="1" t="s">
        <v>110</v>
      </c>
      <c r="B75" s="3" t="s">
        <v>111</v>
      </c>
      <c r="C75" s="3" t="s">
        <v>5</v>
      </c>
    </row>
    <row r="76" ht="16.5" spans="2:3">
      <c r="B76" s="12">
        <v>1</v>
      </c>
      <c r="C76" s="18">
        <v>100</v>
      </c>
    </row>
    <row r="77" ht="16.5" spans="2:3">
      <c r="B77" s="12">
        <v>2</v>
      </c>
      <c r="C77" s="18">
        <v>100</v>
      </c>
    </row>
    <row r="78" ht="16.5" spans="2:3">
      <c r="B78" s="12">
        <v>3</v>
      </c>
      <c r="C78" s="18">
        <v>150</v>
      </c>
    </row>
    <row r="79" ht="16.5" spans="2:3">
      <c r="B79" s="12">
        <v>4</v>
      </c>
      <c r="C79" s="18">
        <v>150</v>
      </c>
    </row>
    <row r="80" ht="16.5" spans="2:3">
      <c r="B80" s="12">
        <v>5</v>
      </c>
      <c r="C80" s="18">
        <v>200</v>
      </c>
    </row>
    <row r="81" ht="16.5" spans="2:3">
      <c r="B81" s="12">
        <v>6</v>
      </c>
      <c r="C81" s="18">
        <v>200</v>
      </c>
    </row>
    <row r="82" ht="16.5" spans="2:3">
      <c r="B82" s="12">
        <v>7</v>
      </c>
      <c r="C82" s="18">
        <v>400</v>
      </c>
    </row>
    <row r="84" spans="2:3">
      <c r="B84" s="1" t="s">
        <v>112</v>
      </c>
      <c r="C84">
        <f>ROUND(SUM(C76:C82)/7,0)</f>
        <v>186</v>
      </c>
    </row>
  </sheetData>
  <mergeCells count="1">
    <mergeCell ref="B15:E18"/>
  </mergeCells>
  <dataValidations count="1">
    <dataValidation type="list" allowBlank="1" showInputMessage="1" showErrorMessage="1" sqref="B2">
      <formula1>$J$3:$J$6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基础设定</vt:lpstr>
      <vt:lpstr>数值设定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黄先森的女王大人</cp:lastModifiedBy>
  <dcterms:created xsi:type="dcterms:W3CDTF">2018-01-25T09:30:00Z</dcterms:created>
  <dcterms:modified xsi:type="dcterms:W3CDTF">2018-04-16T13:15:45Z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