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https://entuedu-my.sharepoint.com/personal/ga_ky_staff_main_ntu_edu_sg/Documents/Contrails/COLI/"/>
    </mc:Choice>
  </mc:AlternateContent>
  <xr:revisionPtr revIDLastSave="5" documentId="11_CE41AECDF48F5DD61200BA08782B3064216A0D0E" xr6:coauthVersionLast="47" xr6:coauthVersionMax="47" xr10:uidLastSave="{47F2D2D5-C736-4C9C-B9B4-123BABED5FCA}"/>
  <bookViews>
    <workbookView xWindow="-28920" yWindow="30" windowWidth="29040" windowHeight="15720" xr2:uid="{00000000-000D-0000-FFFF-FFFF00000000}"/>
  </bookViews>
  <sheets>
    <sheet name="Tabelle1" sheetId="1" r:id="rId1"/>
    <sheet name="Tabelle2" sheetId="2" r:id="rId2"/>
    <sheet name="Tabelle3" sheetId="3" r:id="rId3"/>
    <sheet name="Tabelle4" sheetId="4" r:id="rId4"/>
  </sheets>
  <definedNames>
    <definedName name="_xlnm._FilterDatabase" localSheetId="0" hidden="1">Tabelle1!$A$1:$IV$237</definedName>
    <definedName name="ARAMS" localSheetId="0">Tabelle1!$D$117:$CY$133</definedName>
    <definedName name="P" localSheetId="0">Tabelle1!$AT$1:$AT$116</definedName>
    <definedName name="P1P2" localSheetId="0">Tabelle1!$AT$80:$AV$95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227" i="1" l="1"/>
  <c r="AQ225" i="1"/>
  <c r="AR226" i="1"/>
  <c r="AR227" i="1"/>
  <c r="AR225" i="1"/>
  <c r="AQ226" i="1"/>
  <c r="I118" i="1" l="1"/>
  <c r="I117" i="1"/>
  <c r="J133" i="1"/>
  <c r="K204" i="1"/>
  <c r="K206" i="1"/>
  <c r="K205" i="1"/>
  <c r="J202" i="1"/>
  <c r="DC208" i="1"/>
  <c r="DC207" i="1"/>
  <c r="DD208" i="1"/>
  <c r="DD207" i="1"/>
  <c r="CZ208" i="1"/>
  <c r="CZ207" i="1"/>
  <c r="CB206" i="1"/>
  <c r="CA206" i="1"/>
  <c r="AR206" i="1"/>
  <c r="AQ206" i="1"/>
  <c r="AR205" i="1"/>
  <c r="AQ205" i="1"/>
  <c r="AR204" i="1"/>
  <c r="AQ204" i="1"/>
  <c r="DS195" i="1"/>
  <c r="DS194" i="1"/>
  <c r="AZ195" i="1"/>
  <c r="AY195" i="1"/>
  <c r="AZ194" i="1"/>
  <c r="AY194" i="1"/>
  <c r="AR195" i="1"/>
  <c r="AQ195" i="1"/>
  <c r="AM194" i="1"/>
  <c r="AM195" i="1"/>
  <c r="AO195" i="1" s="1"/>
  <c r="K195" i="1"/>
  <c r="K194" i="1"/>
  <c r="K197" i="1"/>
  <c r="K198" i="1"/>
  <c r="K199" i="1"/>
  <c r="K200" i="1"/>
  <c r="K201" i="1"/>
  <c r="K202" i="1"/>
  <c r="K203" i="1"/>
  <c r="K196" i="1"/>
  <c r="J203" i="1"/>
  <c r="J201" i="1"/>
  <c r="J200" i="1"/>
  <c r="J199" i="1"/>
  <c r="J198" i="1"/>
  <c r="J197" i="1"/>
  <c r="J196" i="1"/>
  <c r="J237" i="1"/>
  <c r="J236" i="1"/>
  <c r="AN195" i="1" l="1"/>
  <c r="J193" i="1"/>
  <c r="I192" i="1"/>
  <c r="DQ227" i="1" l="1"/>
  <c r="DL227" i="1"/>
  <c r="DM227" i="1" s="1"/>
  <c r="DJ227" i="1"/>
  <c r="DK227" i="1" s="1"/>
  <c r="DI227" i="1"/>
  <c r="AA227" i="1"/>
  <c r="DH227" i="1" s="1"/>
  <c r="Y227" i="1"/>
  <c r="W227" i="1" s="1"/>
  <c r="K227" i="1"/>
  <c r="DQ226" i="1"/>
  <c r="DL226" i="1"/>
  <c r="DJ226" i="1"/>
  <c r="DK226" i="1" s="1"/>
  <c r="DI226" i="1"/>
  <c r="BA226" i="1"/>
  <c r="AA226" i="1"/>
  <c r="DH226" i="1" s="1"/>
  <c r="K226" i="1"/>
  <c r="DQ225" i="1"/>
  <c r="DL225" i="1"/>
  <c r="DM225" i="1" s="1"/>
  <c r="DJ225" i="1"/>
  <c r="DK225" i="1" s="1"/>
  <c r="DI225" i="1"/>
  <c r="CY225" i="1"/>
  <c r="DB225" i="1" s="1"/>
  <c r="CF225" i="1"/>
  <c r="CC225" i="1"/>
  <c r="BA225" i="1"/>
  <c r="AA225" i="1"/>
  <c r="DH225" i="1" s="1"/>
  <c r="Y225" i="1"/>
  <c r="W225" i="1" s="1"/>
  <c r="K225" i="1"/>
  <c r="DO227" i="1" l="1"/>
  <c r="DO225" i="1"/>
  <c r="DR225" i="1"/>
  <c r="DO226" i="1"/>
  <c r="DP226" i="1"/>
  <c r="DN225" i="1"/>
  <c r="DP225" i="1"/>
  <c r="DN227" i="1"/>
  <c r="DP227" i="1"/>
  <c r="DN196" i="1"/>
  <c r="DN197" i="1"/>
  <c r="DN198" i="1"/>
  <c r="DN199" i="1"/>
  <c r="DN200" i="1"/>
  <c r="DN201" i="1"/>
  <c r="DM203" i="1"/>
  <c r="DM202" i="1"/>
  <c r="DK203" i="1"/>
  <c r="DK202" i="1"/>
  <c r="BY206" i="1"/>
  <c r="BY205" i="1"/>
  <c r="AV203" i="1"/>
  <c r="AV202" i="1"/>
  <c r="AU203" i="1"/>
  <c r="AU202" i="1"/>
  <c r="AQ203" i="1"/>
  <c r="AR203" i="1"/>
  <c r="AR202" i="1"/>
  <c r="AQ202" i="1"/>
  <c r="AM203" i="1"/>
  <c r="AO203" i="1" s="1"/>
  <c r="AM202" i="1"/>
  <c r="AO202" i="1" s="1"/>
  <c r="AA203" i="1"/>
  <c r="DH203" i="1" s="1"/>
  <c r="DP203" i="1" s="1"/>
  <c r="AA202" i="1"/>
  <c r="AL202" i="1" s="1"/>
  <c r="DN202" i="1" l="1"/>
  <c r="DQ202" i="1"/>
  <c r="AN202" i="1"/>
  <c r="AL203" i="1"/>
  <c r="AN203" i="1"/>
  <c r="DN203" i="1"/>
  <c r="AK203" i="1"/>
  <c r="AK202" i="1"/>
  <c r="DQ203" i="1"/>
  <c r="DH202" i="1"/>
  <c r="DP202" i="1" s="1"/>
  <c r="AY8" i="1"/>
  <c r="AZ8" i="1"/>
  <c r="AY9" i="1"/>
  <c r="AZ9" i="1"/>
  <c r="AY10" i="1"/>
  <c r="AZ10" i="1"/>
  <c r="AZ7" i="1"/>
  <c r="AY7" i="1"/>
  <c r="AU8" i="1"/>
  <c r="AV8" i="1"/>
  <c r="AU9" i="1"/>
  <c r="AV9" i="1"/>
  <c r="AU10" i="1"/>
  <c r="AV10" i="1"/>
  <c r="AV7" i="1"/>
  <c r="AU7" i="1"/>
  <c r="I207" i="1" l="1"/>
  <c r="AA207" i="1"/>
  <c r="AM207" i="1"/>
  <c r="AQ207" i="1"/>
  <c r="AR207" i="1"/>
  <c r="AU207" i="1"/>
  <c r="AV207" i="1"/>
  <c r="I208" i="1"/>
  <c r="AA208" i="1"/>
  <c r="AM208" i="1"/>
  <c r="AQ208" i="1"/>
  <c r="AR208" i="1"/>
  <c r="AU208" i="1"/>
  <c r="AV208" i="1"/>
  <c r="AO207" i="1" l="1"/>
  <c r="DL207" i="1"/>
  <c r="DI207" i="1"/>
  <c r="DQ207" i="1"/>
  <c r="DJ207" i="1"/>
  <c r="DK207" i="1" s="1"/>
  <c r="AN208" i="1"/>
  <c r="DQ208" i="1"/>
  <c r="DJ208" i="1"/>
  <c r="DK208" i="1" s="1"/>
  <c r="DL208" i="1"/>
  <c r="DI208" i="1"/>
  <c r="AL207" i="1"/>
  <c r="DH207" i="1"/>
  <c r="AL208" i="1"/>
  <c r="DH208" i="1"/>
  <c r="AO208" i="1"/>
  <c r="AK207" i="1"/>
  <c r="AN207" i="1"/>
  <c r="AK208" i="1"/>
  <c r="AM20" i="1"/>
  <c r="DI20" i="1" s="1"/>
  <c r="DH20" i="1"/>
  <c r="DJ20" i="1" l="1"/>
  <c r="DK20" i="1" s="1"/>
  <c r="DQ20" i="1"/>
  <c r="AN20" i="1"/>
  <c r="DL20" i="1"/>
  <c r="AO20" i="1"/>
  <c r="DB89" i="1"/>
  <c r="DB91" i="1"/>
  <c r="DB93" i="1"/>
  <c r="DB95" i="1"/>
  <c r="DB96" i="1"/>
  <c r="DB97" i="1"/>
  <c r="DB98" i="1"/>
  <c r="DB100" i="1"/>
  <c r="DB101" i="1"/>
  <c r="DB102" i="1"/>
  <c r="DB120" i="1"/>
  <c r="DB124" i="1"/>
  <c r="DB128" i="1"/>
  <c r="DB87" i="1"/>
  <c r="DB86" i="1"/>
  <c r="AA128" i="1"/>
  <c r="DO20" i="1" l="1"/>
  <c r="DP20" i="1"/>
  <c r="DM20" i="1"/>
  <c r="DN20" i="1" s="1"/>
  <c r="CD4" i="1"/>
  <c r="CD3" i="1"/>
  <c r="CE4" i="1"/>
  <c r="CE3" i="1"/>
  <c r="BS4" i="1"/>
  <c r="BS3" i="1"/>
  <c r="AO4" i="1"/>
  <c r="AO3" i="1"/>
  <c r="AN4" i="1"/>
  <c r="AN3" i="1"/>
  <c r="I4" i="1"/>
  <c r="C4" i="1"/>
  <c r="DQ3" i="1"/>
  <c r="DL3" i="1"/>
  <c r="DM3" i="1" s="1"/>
  <c r="DJ3" i="1"/>
  <c r="DK3" i="1" s="1"/>
  <c r="DI3" i="1"/>
  <c r="BY3" i="1"/>
  <c r="I3" i="1"/>
  <c r="C3" i="1"/>
  <c r="AA3" i="1" s="1"/>
  <c r="DH3" i="1" s="1"/>
  <c r="DO3" i="1" l="1"/>
  <c r="AK3" i="1"/>
  <c r="AL3" i="1"/>
  <c r="DP3" i="1"/>
  <c r="DN3" i="1"/>
  <c r="DI46" i="1"/>
  <c r="DJ46" i="1"/>
  <c r="DL46" i="1"/>
  <c r="DQ46" i="1"/>
  <c r="DI47" i="1"/>
  <c r="DJ47" i="1"/>
  <c r="DK47" i="1" s="1"/>
  <c r="DL47" i="1"/>
  <c r="DQ47" i="1"/>
  <c r="DI48" i="1"/>
  <c r="DJ48" i="1"/>
  <c r="DL48" i="1"/>
  <c r="DQ48" i="1"/>
  <c r="DI49" i="1"/>
  <c r="DJ49" i="1"/>
  <c r="DK49" i="1" s="1"/>
  <c r="DL49" i="1"/>
  <c r="DQ49" i="1"/>
  <c r="DI50" i="1"/>
  <c r="DJ50" i="1"/>
  <c r="DL50" i="1"/>
  <c r="DQ50" i="1"/>
  <c r="DI51" i="1"/>
  <c r="DJ51" i="1"/>
  <c r="DK51" i="1" s="1"/>
  <c r="DL51" i="1"/>
  <c r="DQ51" i="1"/>
  <c r="DI52" i="1"/>
  <c r="DJ52" i="1"/>
  <c r="DL52" i="1"/>
  <c r="DQ52" i="1"/>
  <c r="DI53" i="1"/>
  <c r="DJ53" i="1"/>
  <c r="DK53" i="1" s="1"/>
  <c r="DL53" i="1"/>
  <c r="DQ53" i="1"/>
  <c r="DI54" i="1"/>
  <c r="DJ54" i="1"/>
  <c r="DL54" i="1"/>
  <c r="DQ54" i="1"/>
  <c r="DI55" i="1"/>
  <c r="DJ55" i="1"/>
  <c r="DK55" i="1" s="1"/>
  <c r="DL55" i="1"/>
  <c r="DQ55" i="1"/>
  <c r="DI56" i="1"/>
  <c r="DJ56" i="1"/>
  <c r="DL56" i="1"/>
  <c r="DQ56" i="1"/>
  <c r="DI57" i="1"/>
  <c r="DJ57" i="1"/>
  <c r="DK57" i="1" s="1"/>
  <c r="DL57" i="1"/>
  <c r="DQ57" i="1"/>
  <c r="DI58" i="1"/>
  <c r="DJ58" i="1"/>
  <c r="DL58" i="1"/>
  <c r="DQ58" i="1"/>
  <c r="DI61" i="1"/>
  <c r="DJ61" i="1"/>
  <c r="DK61" i="1" s="1"/>
  <c r="DL61" i="1"/>
  <c r="DQ61" i="1"/>
  <c r="DI62" i="1"/>
  <c r="DJ62" i="1"/>
  <c r="DL62" i="1"/>
  <c r="DQ62" i="1"/>
  <c r="DI63" i="1"/>
  <c r="DJ63" i="1"/>
  <c r="DK63" i="1" s="1"/>
  <c r="DL63" i="1"/>
  <c r="DQ63" i="1"/>
  <c r="DI64" i="1"/>
  <c r="DJ64" i="1"/>
  <c r="DL64" i="1"/>
  <c r="DQ64" i="1"/>
  <c r="DI76" i="1"/>
  <c r="DJ76" i="1"/>
  <c r="DK76" i="1" s="1"/>
  <c r="DL76" i="1"/>
  <c r="DQ76" i="1"/>
  <c r="DI77" i="1"/>
  <c r="DJ77" i="1"/>
  <c r="DL77" i="1"/>
  <c r="DQ77" i="1"/>
  <c r="DI78" i="1"/>
  <c r="DJ78" i="1"/>
  <c r="DK78" i="1" s="1"/>
  <c r="DL78" i="1"/>
  <c r="DQ78" i="1"/>
  <c r="DI75" i="1"/>
  <c r="DJ75" i="1"/>
  <c r="DL75" i="1"/>
  <c r="DQ75" i="1"/>
  <c r="DI79" i="1"/>
  <c r="DJ79" i="1"/>
  <c r="DK79" i="1" s="1"/>
  <c r="DL79" i="1"/>
  <c r="DQ79" i="1"/>
  <c r="DI80" i="1"/>
  <c r="DJ80" i="1"/>
  <c r="DL80" i="1"/>
  <c r="DQ80" i="1"/>
  <c r="DI81" i="1"/>
  <c r="DJ81" i="1"/>
  <c r="DK81" i="1" s="1"/>
  <c r="DL81" i="1"/>
  <c r="DQ81" i="1"/>
  <c r="DI82" i="1"/>
  <c r="DJ82" i="1"/>
  <c r="DL82" i="1"/>
  <c r="DQ82" i="1"/>
  <c r="DI65" i="1"/>
  <c r="DJ65" i="1"/>
  <c r="DK65" i="1" s="1"/>
  <c r="DL65" i="1"/>
  <c r="DQ65" i="1"/>
  <c r="DI66" i="1"/>
  <c r="DJ66" i="1"/>
  <c r="DK66" i="1" s="1"/>
  <c r="DL66" i="1"/>
  <c r="DQ66" i="1"/>
  <c r="DI67" i="1"/>
  <c r="DJ67" i="1"/>
  <c r="DK67" i="1" s="1"/>
  <c r="DL67" i="1"/>
  <c r="DQ67" i="1"/>
  <c r="DI68" i="1"/>
  <c r="DJ68" i="1"/>
  <c r="DK68" i="1" s="1"/>
  <c r="DL68" i="1"/>
  <c r="DQ68" i="1"/>
  <c r="DI69" i="1"/>
  <c r="DJ69" i="1"/>
  <c r="DK69" i="1" s="1"/>
  <c r="DL69" i="1"/>
  <c r="DQ69" i="1"/>
  <c r="DI70" i="1"/>
  <c r="DJ70" i="1"/>
  <c r="DK70" i="1" s="1"/>
  <c r="DL70" i="1"/>
  <c r="DQ70" i="1"/>
  <c r="DI59" i="1"/>
  <c r="DJ59" i="1"/>
  <c r="DK59" i="1" s="1"/>
  <c r="DL59" i="1"/>
  <c r="DQ59" i="1"/>
  <c r="DI60" i="1"/>
  <c r="DJ60" i="1"/>
  <c r="DL60" i="1"/>
  <c r="DQ60" i="1"/>
  <c r="DI71" i="1"/>
  <c r="DJ71" i="1"/>
  <c r="DK71" i="1" s="1"/>
  <c r="DL71" i="1"/>
  <c r="DQ71" i="1"/>
  <c r="DI72" i="1"/>
  <c r="DJ72" i="1"/>
  <c r="DK72" i="1" s="1"/>
  <c r="DL72" i="1"/>
  <c r="DQ72" i="1"/>
  <c r="DI73" i="1"/>
  <c r="DJ73" i="1"/>
  <c r="DK73" i="1" s="1"/>
  <c r="DL73" i="1"/>
  <c r="DQ73" i="1"/>
  <c r="DI74" i="1"/>
  <c r="DJ74" i="1"/>
  <c r="DK74" i="1" s="1"/>
  <c r="DL74" i="1"/>
  <c r="DQ74" i="1"/>
  <c r="DI85" i="1"/>
  <c r="DJ85" i="1"/>
  <c r="DK85" i="1" s="1"/>
  <c r="DL85" i="1"/>
  <c r="DQ85" i="1"/>
  <c r="DI86" i="1"/>
  <c r="DJ86" i="1"/>
  <c r="DK86" i="1" s="1"/>
  <c r="DL86" i="1"/>
  <c r="DQ86" i="1"/>
  <c r="DI87" i="1"/>
  <c r="DJ87" i="1"/>
  <c r="DK87" i="1" s="1"/>
  <c r="DL87" i="1"/>
  <c r="DQ87" i="1"/>
  <c r="DI88" i="1"/>
  <c r="DJ88" i="1"/>
  <c r="DK88" i="1" s="1"/>
  <c r="DL88" i="1"/>
  <c r="DQ88" i="1"/>
  <c r="DI89" i="1"/>
  <c r="DJ89" i="1"/>
  <c r="DK89" i="1" s="1"/>
  <c r="DL89" i="1"/>
  <c r="DQ89" i="1"/>
  <c r="DI90" i="1"/>
  <c r="DJ90" i="1"/>
  <c r="DK90" i="1" s="1"/>
  <c r="DL90" i="1"/>
  <c r="DQ90" i="1"/>
  <c r="DI91" i="1"/>
  <c r="DJ91" i="1"/>
  <c r="DK91" i="1" s="1"/>
  <c r="DL91" i="1"/>
  <c r="DQ91" i="1"/>
  <c r="DI92" i="1"/>
  <c r="DJ92" i="1"/>
  <c r="DK92" i="1" s="1"/>
  <c r="DL92" i="1"/>
  <c r="DQ92" i="1"/>
  <c r="DI93" i="1"/>
  <c r="DJ93" i="1"/>
  <c r="DK93" i="1" s="1"/>
  <c r="DL93" i="1"/>
  <c r="DQ93" i="1"/>
  <c r="DI94" i="1"/>
  <c r="DJ94" i="1"/>
  <c r="DK94" i="1" s="1"/>
  <c r="DL94" i="1"/>
  <c r="DQ94" i="1"/>
  <c r="DI95" i="1"/>
  <c r="DJ95" i="1"/>
  <c r="DK95" i="1" s="1"/>
  <c r="DL95" i="1"/>
  <c r="DQ95" i="1"/>
  <c r="DI96" i="1"/>
  <c r="DJ96" i="1"/>
  <c r="DK96" i="1" s="1"/>
  <c r="DL96" i="1"/>
  <c r="DQ96" i="1"/>
  <c r="DI97" i="1"/>
  <c r="DJ97" i="1"/>
  <c r="DK97" i="1" s="1"/>
  <c r="DL97" i="1"/>
  <c r="DQ97" i="1"/>
  <c r="DI98" i="1"/>
  <c r="DJ98" i="1"/>
  <c r="DK98" i="1" s="1"/>
  <c r="DL98" i="1"/>
  <c r="DQ98" i="1"/>
  <c r="DI99" i="1"/>
  <c r="DJ99" i="1"/>
  <c r="DK99" i="1" s="1"/>
  <c r="DL99" i="1"/>
  <c r="DQ99" i="1"/>
  <c r="DI100" i="1"/>
  <c r="DJ100" i="1"/>
  <c r="DK100" i="1" s="1"/>
  <c r="DL100" i="1"/>
  <c r="DQ100" i="1"/>
  <c r="DI101" i="1"/>
  <c r="DJ101" i="1"/>
  <c r="DK101" i="1" s="1"/>
  <c r="DL101" i="1"/>
  <c r="DQ101" i="1"/>
  <c r="DI102" i="1"/>
  <c r="DJ102" i="1"/>
  <c r="DK102" i="1" s="1"/>
  <c r="DL102" i="1"/>
  <c r="DQ102" i="1"/>
  <c r="DI103" i="1"/>
  <c r="DJ103" i="1"/>
  <c r="DK103" i="1" s="1"/>
  <c r="DL103" i="1"/>
  <c r="DQ103" i="1"/>
  <c r="DI104" i="1"/>
  <c r="DJ104" i="1"/>
  <c r="DK104" i="1" s="1"/>
  <c r="DL104" i="1"/>
  <c r="DQ104" i="1"/>
  <c r="DI105" i="1"/>
  <c r="DJ105" i="1"/>
  <c r="DK105" i="1" s="1"/>
  <c r="DL105" i="1"/>
  <c r="DQ105" i="1"/>
  <c r="DI106" i="1"/>
  <c r="DJ106" i="1"/>
  <c r="DK106" i="1" s="1"/>
  <c r="DL106" i="1"/>
  <c r="DQ106" i="1"/>
  <c r="DI107" i="1"/>
  <c r="DJ107" i="1"/>
  <c r="DK107" i="1" s="1"/>
  <c r="DL107" i="1"/>
  <c r="DQ107" i="1"/>
  <c r="DI108" i="1"/>
  <c r="DJ108" i="1"/>
  <c r="DK108" i="1" s="1"/>
  <c r="DL108" i="1"/>
  <c r="DQ108" i="1"/>
  <c r="DI120" i="1"/>
  <c r="DJ120" i="1"/>
  <c r="DK120" i="1" s="1"/>
  <c r="DL120" i="1"/>
  <c r="DQ120" i="1"/>
  <c r="DI121" i="1"/>
  <c r="DJ121" i="1"/>
  <c r="DK121" i="1" s="1"/>
  <c r="DL121" i="1"/>
  <c r="DQ121" i="1"/>
  <c r="DI123" i="1"/>
  <c r="DJ123" i="1"/>
  <c r="DK123" i="1" s="1"/>
  <c r="DL123" i="1"/>
  <c r="DQ123" i="1"/>
  <c r="DI124" i="1"/>
  <c r="DJ124" i="1"/>
  <c r="DK124" i="1" s="1"/>
  <c r="DL124" i="1"/>
  <c r="DQ124" i="1"/>
  <c r="DI125" i="1"/>
  <c r="DJ125" i="1"/>
  <c r="DK125" i="1" s="1"/>
  <c r="DL125" i="1"/>
  <c r="DQ125" i="1"/>
  <c r="DI126" i="1"/>
  <c r="DJ126" i="1"/>
  <c r="DK126" i="1" s="1"/>
  <c r="DL126" i="1"/>
  <c r="DQ126" i="1"/>
  <c r="DI127" i="1"/>
  <c r="DJ127" i="1"/>
  <c r="DK127" i="1" s="1"/>
  <c r="DL127" i="1"/>
  <c r="DQ127" i="1"/>
  <c r="DH128" i="1"/>
  <c r="DI128" i="1"/>
  <c r="DJ128" i="1"/>
  <c r="DK128" i="1" s="1"/>
  <c r="DL128" i="1"/>
  <c r="DQ128" i="1"/>
  <c r="AS47" i="1"/>
  <c r="AS48" i="1"/>
  <c r="AS49" i="1"/>
  <c r="AS50" i="1"/>
  <c r="AS51" i="1"/>
  <c r="AS52" i="1"/>
  <c r="AS53" i="1"/>
  <c r="AS54" i="1"/>
  <c r="AS55" i="1"/>
  <c r="AS56" i="1"/>
  <c r="AS57" i="1"/>
  <c r="AS58" i="1"/>
  <c r="AS61" i="1"/>
  <c r="AS62" i="1"/>
  <c r="AS63" i="1"/>
  <c r="AS64" i="1"/>
  <c r="AS76" i="1"/>
  <c r="AS77" i="1"/>
  <c r="AS78" i="1"/>
  <c r="AS75" i="1"/>
  <c r="AS79" i="1"/>
  <c r="AS80" i="1"/>
  <c r="AS81" i="1"/>
  <c r="AS82" i="1"/>
  <c r="AS65" i="1"/>
  <c r="AS66" i="1"/>
  <c r="AS67" i="1"/>
  <c r="AS68" i="1"/>
  <c r="AS69" i="1"/>
  <c r="AS70" i="1"/>
  <c r="AS59" i="1"/>
  <c r="AS60" i="1"/>
  <c r="AS71" i="1"/>
  <c r="AS72" i="1"/>
  <c r="AS73" i="1"/>
  <c r="AS7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20" i="1"/>
  <c r="AS121" i="1"/>
  <c r="AS123" i="1"/>
  <c r="AS124" i="1"/>
  <c r="AS125" i="1"/>
  <c r="AS126" i="1"/>
  <c r="AS127" i="1"/>
  <c r="AS128" i="1"/>
  <c r="AS46" i="1"/>
  <c r="AS118" i="1"/>
  <c r="AA47" i="1"/>
  <c r="DH47" i="1" s="1"/>
  <c r="AA48" i="1"/>
  <c r="DH48" i="1" s="1"/>
  <c r="AA49" i="1"/>
  <c r="DH49" i="1" s="1"/>
  <c r="AA50" i="1"/>
  <c r="DH50" i="1" s="1"/>
  <c r="AA51" i="1"/>
  <c r="DH51" i="1" s="1"/>
  <c r="AA52" i="1"/>
  <c r="DH52" i="1" s="1"/>
  <c r="AA53" i="1"/>
  <c r="DH53" i="1" s="1"/>
  <c r="AA54" i="1"/>
  <c r="DH54" i="1" s="1"/>
  <c r="AA55" i="1"/>
  <c r="DH55" i="1" s="1"/>
  <c r="AA56" i="1"/>
  <c r="DH56" i="1" s="1"/>
  <c r="AA57" i="1"/>
  <c r="DH57" i="1" s="1"/>
  <c r="AA58" i="1"/>
  <c r="DH58" i="1" s="1"/>
  <c r="AA61" i="1"/>
  <c r="DH61" i="1" s="1"/>
  <c r="AA62" i="1"/>
  <c r="DH62" i="1" s="1"/>
  <c r="AA63" i="1"/>
  <c r="DH63" i="1" s="1"/>
  <c r="AA64" i="1"/>
  <c r="DH64" i="1" s="1"/>
  <c r="AA76" i="1"/>
  <c r="DH76" i="1" s="1"/>
  <c r="AA77" i="1"/>
  <c r="DH77" i="1" s="1"/>
  <c r="AA78" i="1"/>
  <c r="DH78" i="1" s="1"/>
  <c r="AA75" i="1"/>
  <c r="DH75" i="1" s="1"/>
  <c r="AA79" i="1"/>
  <c r="DH79" i="1" s="1"/>
  <c r="AA80" i="1"/>
  <c r="DH80" i="1" s="1"/>
  <c r="AA81" i="1"/>
  <c r="DH81" i="1" s="1"/>
  <c r="AA82" i="1"/>
  <c r="DH82" i="1" s="1"/>
  <c r="AA65" i="1"/>
  <c r="DH65" i="1" s="1"/>
  <c r="AA66" i="1"/>
  <c r="DH66" i="1" s="1"/>
  <c r="AA67" i="1"/>
  <c r="DH67" i="1" s="1"/>
  <c r="AA68" i="1"/>
  <c r="DH68" i="1" s="1"/>
  <c r="AA69" i="1"/>
  <c r="DH69" i="1" s="1"/>
  <c r="AA70" i="1"/>
  <c r="DH70" i="1" s="1"/>
  <c r="AA59" i="1"/>
  <c r="DH59" i="1" s="1"/>
  <c r="AA60" i="1"/>
  <c r="DH60" i="1" s="1"/>
  <c r="AA71" i="1"/>
  <c r="DH71" i="1" s="1"/>
  <c r="AA72" i="1"/>
  <c r="DH72" i="1" s="1"/>
  <c r="AA73" i="1"/>
  <c r="DH73" i="1" s="1"/>
  <c r="AA74" i="1"/>
  <c r="DH74" i="1" s="1"/>
  <c r="AA85" i="1"/>
  <c r="DH85" i="1" s="1"/>
  <c r="AA86" i="1"/>
  <c r="DH86" i="1" s="1"/>
  <c r="AA87" i="1"/>
  <c r="DH87" i="1" s="1"/>
  <c r="AA88" i="1"/>
  <c r="DH88" i="1" s="1"/>
  <c r="AA89" i="1"/>
  <c r="DH89" i="1" s="1"/>
  <c r="AA90" i="1"/>
  <c r="DH90" i="1" s="1"/>
  <c r="AA91" i="1"/>
  <c r="DH91" i="1" s="1"/>
  <c r="AA92" i="1"/>
  <c r="DH92" i="1" s="1"/>
  <c r="AA93" i="1"/>
  <c r="DH93" i="1" s="1"/>
  <c r="AA94" i="1"/>
  <c r="DH94" i="1" s="1"/>
  <c r="AA95" i="1"/>
  <c r="DH95" i="1" s="1"/>
  <c r="AA96" i="1"/>
  <c r="DH96" i="1" s="1"/>
  <c r="AA97" i="1"/>
  <c r="DH97" i="1" s="1"/>
  <c r="AA98" i="1"/>
  <c r="DH98" i="1" s="1"/>
  <c r="AA99" i="1"/>
  <c r="DH99" i="1" s="1"/>
  <c r="AA100" i="1"/>
  <c r="DH100" i="1" s="1"/>
  <c r="AA101" i="1"/>
  <c r="DH101" i="1" s="1"/>
  <c r="AA102" i="1"/>
  <c r="DH102" i="1" s="1"/>
  <c r="AA103" i="1"/>
  <c r="DH103" i="1" s="1"/>
  <c r="AA104" i="1"/>
  <c r="DH104" i="1" s="1"/>
  <c r="AA105" i="1"/>
  <c r="DH105" i="1" s="1"/>
  <c r="AA106" i="1"/>
  <c r="DH106" i="1" s="1"/>
  <c r="AA107" i="1"/>
  <c r="DH107" i="1" s="1"/>
  <c r="AA108" i="1"/>
  <c r="DH108" i="1" s="1"/>
  <c r="AA120" i="1"/>
  <c r="DH120" i="1" s="1"/>
  <c r="AA121" i="1"/>
  <c r="DH121" i="1" s="1"/>
  <c r="AA123" i="1"/>
  <c r="DH123" i="1" s="1"/>
  <c r="AA124" i="1"/>
  <c r="DH124" i="1" s="1"/>
  <c r="AA125" i="1"/>
  <c r="DH125" i="1" s="1"/>
  <c r="AA126" i="1"/>
  <c r="DH126" i="1" s="1"/>
  <c r="AA127" i="1"/>
  <c r="DH127" i="1" s="1"/>
  <c r="DO127" i="1" s="1"/>
  <c r="AA46" i="1"/>
  <c r="DH46" i="1" s="1"/>
  <c r="DO124" i="1" l="1"/>
  <c r="DO104" i="1"/>
  <c r="DO88" i="1"/>
  <c r="DO74" i="1"/>
  <c r="DO68" i="1"/>
  <c r="DO55" i="1"/>
  <c r="DP100" i="1"/>
  <c r="DP77" i="1"/>
  <c r="DP48" i="1"/>
  <c r="DO103" i="1"/>
  <c r="DO126" i="1"/>
  <c r="DO90" i="1"/>
  <c r="DP66" i="1"/>
  <c r="DP62" i="1"/>
  <c r="DO108" i="1"/>
  <c r="DO65" i="1"/>
  <c r="DO51" i="1"/>
  <c r="DO123" i="1"/>
  <c r="DO99" i="1"/>
  <c r="DO91" i="1"/>
  <c r="DO67" i="1"/>
  <c r="DO78" i="1"/>
  <c r="DP99" i="1"/>
  <c r="DP81" i="1"/>
  <c r="DO106" i="1"/>
  <c r="DP72" i="1"/>
  <c r="DP56" i="1"/>
  <c r="DO76" i="1"/>
  <c r="DO61" i="1"/>
  <c r="DO47" i="1"/>
  <c r="DP60" i="1"/>
  <c r="DP67" i="1"/>
  <c r="DP78" i="1"/>
  <c r="DP79" i="1"/>
  <c r="DO87" i="1"/>
  <c r="DO121" i="1"/>
  <c r="DO102" i="1"/>
  <c r="DO86" i="1"/>
  <c r="DP80" i="1"/>
  <c r="DP52" i="1"/>
  <c r="DP92" i="1"/>
  <c r="DP65" i="1"/>
  <c r="DP82" i="1"/>
  <c r="DP96" i="1"/>
  <c r="DP93" i="1"/>
  <c r="DP75" i="1"/>
  <c r="DO125" i="1"/>
  <c r="DO120" i="1"/>
  <c r="DO105" i="1"/>
  <c r="DP101" i="1"/>
  <c r="DO89" i="1"/>
  <c r="DO85" i="1"/>
  <c r="DO107" i="1"/>
  <c r="DO81" i="1"/>
  <c r="DO79" i="1"/>
  <c r="DP68" i="1"/>
  <c r="DP71" i="1"/>
  <c r="DO71" i="1"/>
  <c r="DO69" i="1"/>
  <c r="DP69" i="1"/>
  <c r="DP97" i="1"/>
  <c r="DP76" i="1"/>
  <c r="DP55" i="1"/>
  <c r="DP47" i="1"/>
  <c r="DP64" i="1"/>
  <c r="DP54" i="1"/>
  <c r="DP46" i="1"/>
  <c r="DO95" i="1"/>
  <c r="DP95" i="1"/>
  <c r="DP73" i="1"/>
  <c r="DO73" i="1"/>
  <c r="DP59" i="1"/>
  <c r="DO59" i="1"/>
  <c r="DO63" i="1"/>
  <c r="DP63" i="1"/>
  <c r="DO57" i="1"/>
  <c r="DP57" i="1"/>
  <c r="DP53" i="1"/>
  <c r="DO53" i="1"/>
  <c r="DO49" i="1"/>
  <c r="DP49" i="1"/>
  <c r="DP61" i="1"/>
  <c r="DP51" i="1"/>
  <c r="DO98" i="1"/>
  <c r="DP98" i="1"/>
  <c r="DO94" i="1"/>
  <c r="DP94" i="1"/>
  <c r="DO70" i="1"/>
  <c r="DP70" i="1"/>
  <c r="DP58" i="1"/>
  <c r="DP50" i="1"/>
  <c r="DP125" i="1"/>
  <c r="DP123" i="1"/>
  <c r="DP120" i="1"/>
  <c r="DP127" i="1"/>
  <c r="DP107" i="1"/>
  <c r="DP105" i="1"/>
  <c r="DP103" i="1"/>
  <c r="DP88" i="1"/>
  <c r="DP74" i="1"/>
  <c r="DP126" i="1"/>
  <c r="DP124" i="1"/>
  <c r="DP104" i="1"/>
  <c r="DP102" i="1"/>
  <c r="DP91" i="1"/>
  <c r="DP87" i="1"/>
  <c r="DP128" i="1"/>
  <c r="DP121" i="1"/>
  <c r="DP108" i="1"/>
  <c r="DP106" i="1"/>
  <c r="DK82" i="1"/>
  <c r="DO82" i="1"/>
  <c r="DP90" i="1"/>
  <c r="DP86" i="1"/>
  <c r="DK77" i="1"/>
  <c r="DO77" i="1"/>
  <c r="DK56" i="1"/>
  <c r="DO56" i="1"/>
  <c r="DK48" i="1"/>
  <c r="DO48" i="1"/>
  <c r="DO100" i="1"/>
  <c r="DO96" i="1"/>
  <c r="DO92" i="1"/>
  <c r="DP89" i="1"/>
  <c r="DP85" i="1"/>
  <c r="DK60" i="1"/>
  <c r="DO60" i="1"/>
  <c r="DO101" i="1"/>
  <c r="DO97" i="1"/>
  <c r="DO93" i="1"/>
  <c r="DK75" i="1"/>
  <c r="DO75" i="1"/>
  <c r="DK64" i="1"/>
  <c r="DO64" i="1"/>
  <c r="DK54" i="1"/>
  <c r="DO54" i="1"/>
  <c r="DK46" i="1"/>
  <c r="DO46" i="1"/>
  <c r="DO72" i="1"/>
  <c r="DO66" i="1"/>
  <c r="DK58" i="1"/>
  <c r="DO58" i="1"/>
  <c r="DK50" i="1"/>
  <c r="DO50" i="1"/>
  <c r="DK80" i="1"/>
  <c r="DO80" i="1"/>
  <c r="DK62" i="1"/>
  <c r="DO62" i="1"/>
  <c r="DK52" i="1"/>
  <c r="DO52" i="1"/>
  <c r="BJ118" i="1" l="1"/>
  <c r="BJ119" i="1"/>
  <c r="BJ122" i="1"/>
  <c r="BJ117" i="1"/>
  <c r="BS215" i="1" l="1"/>
  <c r="BS2" i="1"/>
  <c r="AA5" i="1" l="1"/>
  <c r="AA6" i="1"/>
  <c r="AA7" i="1"/>
  <c r="AA8" i="1"/>
  <c r="AA9" i="1"/>
  <c r="AA10" i="1"/>
  <c r="AA12" i="1"/>
  <c r="AA13" i="1"/>
  <c r="AA14" i="1"/>
  <c r="AA15"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83" i="1"/>
  <c r="AA84" i="1"/>
  <c r="AA109" i="1"/>
  <c r="AA110" i="1"/>
  <c r="AA111" i="1"/>
  <c r="AA112" i="1"/>
  <c r="AA113" i="1"/>
  <c r="AA114" i="1"/>
  <c r="AA115" i="1"/>
  <c r="AA116" i="1"/>
  <c r="AA117" i="1"/>
  <c r="AA118" i="1"/>
  <c r="AA119" i="1"/>
  <c r="AA122" i="1"/>
  <c r="AA129" i="1"/>
  <c r="AA130" i="1"/>
  <c r="AA131" i="1"/>
  <c r="AA132" i="1"/>
  <c r="AA133" i="1"/>
  <c r="AA134" i="1"/>
  <c r="AA135"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204" i="1"/>
  <c r="DH204" i="1" s="1"/>
  <c r="AA196" i="1"/>
  <c r="DH196" i="1" s="1"/>
  <c r="DP196" i="1" s="1"/>
  <c r="AA197" i="1"/>
  <c r="DH197" i="1" s="1"/>
  <c r="DP197" i="1" s="1"/>
  <c r="AA198" i="1"/>
  <c r="DH198" i="1" s="1"/>
  <c r="DP198" i="1" s="1"/>
  <c r="AA199" i="1"/>
  <c r="DH199" i="1" s="1"/>
  <c r="DP199" i="1" s="1"/>
  <c r="AA200" i="1"/>
  <c r="DH200" i="1" s="1"/>
  <c r="DP200" i="1" s="1"/>
  <c r="AA201" i="1"/>
  <c r="DH201" i="1" s="1"/>
  <c r="DP201" i="1" s="1"/>
  <c r="AA205" i="1"/>
  <c r="DH205" i="1" s="1"/>
  <c r="AA206" i="1"/>
  <c r="DH206" i="1" s="1"/>
  <c r="AA209" i="1"/>
  <c r="AA210" i="1"/>
  <c r="AA211" i="1"/>
  <c r="AA212" i="1"/>
  <c r="AA213" i="1"/>
  <c r="AA214" i="1"/>
  <c r="AA215" i="1"/>
  <c r="AA216" i="1"/>
  <c r="AA217" i="1"/>
  <c r="AA218" i="1"/>
  <c r="AA219" i="1"/>
  <c r="AA220" i="1"/>
  <c r="AA221" i="1"/>
  <c r="AA222" i="1"/>
  <c r="AA223" i="1"/>
  <c r="AA228" i="1"/>
  <c r="AA229" i="1"/>
  <c r="AA236" i="1"/>
  <c r="AA237" i="1"/>
  <c r="AA2" i="1"/>
  <c r="W2" i="1"/>
  <c r="BU2" i="1"/>
  <c r="AO2" i="1"/>
  <c r="AN2" i="1"/>
  <c r="AM2" i="1"/>
  <c r="DQ4" i="1"/>
  <c r="DL4" i="1"/>
  <c r="DJ4" i="1"/>
  <c r="DK4" i="1" s="1"/>
  <c r="DI4" i="1"/>
  <c r="BY4" i="1"/>
  <c r="AA4" i="1" l="1"/>
  <c r="DM4" i="1"/>
  <c r="DN4" i="1" s="1"/>
  <c r="BT2" i="1"/>
  <c r="AV195" i="1"/>
  <c r="AU195" i="1"/>
  <c r="AV194" i="1"/>
  <c r="AU194" i="1"/>
  <c r="AS195" i="1"/>
  <c r="AS194" i="1"/>
  <c r="AR194" i="1"/>
  <c r="AQ194" i="1"/>
  <c r="AN194" i="1"/>
  <c r="C195" i="1"/>
  <c r="C194" i="1"/>
  <c r="AL195" i="1"/>
  <c r="AK195" i="1"/>
  <c r="AL194" i="1"/>
  <c r="AK194" i="1"/>
  <c r="DH4" i="1" l="1"/>
  <c r="DO4" i="1" s="1"/>
  <c r="AK4" i="1"/>
  <c r="AL4" i="1"/>
  <c r="AA194" i="1"/>
  <c r="AA195" i="1"/>
  <c r="AO194" i="1"/>
  <c r="BX205" i="1"/>
  <c r="BW205" i="1"/>
  <c r="BX204" i="1"/>
  <c r="BW204" i="1"/>
  <c r="CB205" i="1"/>
  <c r="CA205" i="1"/>
  <c r="CB204" i="1"/>
  <c r="CA204" i="1"/>
  <c r="AZ206" i="1"/>
  <c r="AY206" i="1"/>
  <c r="AZ205" i="1"/>
  <c r="AY205" i="1"/>
  <c r="AV206" i="1"/>
  <c r="AU206" i="1"/>
  <c r="AV205" i="1"/>
  <c r="AU205" i="1"/>
  <c r="AV204" i="1"/>
  <c r="AU204" i="1"/>
  <c r="AS206" i="1"/>
  <c r="AS205" i="1"/>
  <c r="AS204" i="1"/>
  <c r="AO206" i="1"/>
  <c r="AN206" i="1"/>
  <c r="AO205" i="1"/>
  <c r="AN205" i="1"/>
  <c r="AO204" i="1"/>
  <c r="AN204" i="1"/>
  <c r="AL206" i="1"/>
  <c r="AL205" i="1"/>
  <c r="AL204" i="1"/>
  <c r="AK206" i="1"/>
  <c r="AK205" i="1"/>
  <c r="AK204" i="1"/>
  <c r="DP4" i="1" l="1"/>
  <c r="DF148" i="1"/>
  <c r="DG148" i="1"/>
  <c r="DF149" i="1"/>
  <c r="DG149" i="1"/>
  <c r="DF150" i="1"/>
  <c r="DG150" i="1"/>
  <c r="DF151" i="1"/>
  <c r="DG151" i="1"/>
  <c r="DF152" i="1"/>
  <c r="DG152" i="1"/>
  <c r="DF153" i="1"/>
  <c r="DG153" i="1"/>
  <c r="DF154" i="1"/>
  <c r="DG154" i="1"/>
  <c r="DF155" i="1"/>
  <c r="DG155" i="1"/>
  <c r="DF156" i="1"/>
  <c r="DG156" i="1"/>
  <c r="DF157" i="1"/>
  <c r="DG157" i="1"/>
  <c r="DF158" i="1"/>
  <c r="DG158" i="1"/>
  <c r="DF159" i="1"/>
  <c r="DG159" i="1"/>
  <c r="DF160" i="1"/>
  <c r="DG160" i="1"/>
  <c r="DF161" i="1"/>
  <c r="DG161" i="1"/>
  <c r="DF162" i="1"/>
  <c r="DG162" i="1"/>
  <c r="DF163" i="1"/>
  <c r="DG163" i="1"/>
  <c r="DF164" i="1"/>
  <c r="DG164" i="1"/>
  <c r="DF165" i="1"/>
  <c r="DG165" i="1"/>
  <c r="DF166" i="1"/>
  <c r="DG166" i="1"/>
  <c r="DF167" i="1"/>
  <c r="DG167" i="1"/>
  <c r="DF168" i="1"/>
  <c r="DG168" i="1"/>
  <c r="DF169" i="1"/>
  <c r="DG169" i="1"/>
  <c r="DG147" i="1"/>
  <c r="DF147" i="1"/>
  <c r="DF170" i="1"/>
  <c r="DG170" i="1"/>
  <c r="DF172" i="1"/>
  <c r="DG172" i="1"/>
  <c r="DF173" i="1"/>
  <c r="DG173" i="1"/>
  <c r="DF174" i="1"/>
  <c r="DG174" i="1"/>
  <c r="DF175" i="1"/>
  <c r="DG175" i="1"/>
  <c r="DF176" i="1"/>
  <c r="DG176" i="1"/>
  <c r="DF177" i="1"/>
  <c r="DG177" i="1"/>
  <c r="DF178" i="1"/>
  <c r="DG178" i="1"/>
  <c r="DF179" i="1"/>
  <c r="DG179" i="1"/>
  <c r="DF180" i="1"/>
  <c r="DG180" i="1"/>
  <c r="DF181" i="1"/>
  <c r="DG181" i="1"/>
  <c r="DF182" i="1"/>
  <c r="DG182" i="1"/>
  <c r="DF183" i="1"/>
  <c r="DG183" i="1"/>
  <c r="DF184" i="1"/>
  <c r="DG184" i="1"/>
  <c r="DG171" i="1"/>
  <c r="DF171" i="1"/>
  <c r="DB170" i="1"/>
  <c r="DQ170" i="1"/>
  <c r="DQ171" i="1"/>
  <c r="DQ172" i="1"/>
  <c r="DQ173" i="1"/>
  <c r="DQ174" i="1"/>
  <c r="DQ175" i="1"/>
  <c r="DQ176" i="1"/>
  <c r="DQ177" i="1"/>
  <c r="DQ178" i="1"/>
  <c r="DQ179" i="1"/>
  <c r="DQ180" i="1"/>
  <c r="DQ181" i="1"/>
  <c r="DQ182" i="1"/>
  <c r="DQ183" i="1"/>
  <c r="DQ184" i="1"/>
  <c r="DH170" i="1"/>
  <c r="DJ170" i="1"/>
  <c r="DK170" i="1" s="1"/>
  <c r="DH171" i="1"/>
  <c r="DJ171" i="1"/>
  <c r="DK171" i="1" s="1"/>
  <c r="DH172" i="1"/>
  <c r="DJ172" i="1"/>
  <c r="DH173" i="1"/>
  <c r="DJ173" i="1"/>
  <c r="DK173" i="1" s="1"/>
  <c r="DH174" i="1"/>
  <c r="DJ174" i="1"/>
  <c r="DK174" i="1" s="1"/>
  <c r="DH175" i="1"/>
  <c r="DJ175" i="1"/>
  <c r="DK175" i="1" s="1"/>
  <c r="DH176" i="1"/>
  <c r="DJ176" i="1"/>
  <c r="DH177" i="1"/>
  <c r="DJ177" i="1"/>
  <c r="DK177" i="1" s="1"/>
  <c r="DH178" i="1"/>
  <c r="DJ178" i="1"/>
  <c r="DK178" i="1" s="1"/>
  <c r="DH179" i="1"/>
  <c r="DJ179" i="1"/>
  <c r="DK179" i="1" s="1"/>
  <c r="DH180" i="1"/>
  <c r="DJ180" i="1"/>
  <c r="DH181" i="1"/>
  <c r="DJ181" i="1"/>
  <c r="DK181" i="1" s="1"/>
  <c r="DH182" i="1"/>
  <c r="DJ182" i="1"/>
  <c r="DK182" i="1" s="1"/>
  <c r="DH183" i="1"/>
  <c r="DJ183" i="1"/>
  <c r="DH184" i="1"/>
  <c r="DJ184" i="1"/>
  <c r="DL170" i="1"/>
  <c r="DL171" i="1"/>
  <c r="DL172" i="1"/>
  <c r="DL173" i="1"/>
  <c r="DL174" i="1"/>
  <c r="DL175" i="1"/>
  <c r="DL176" i="1"/>
  <c r="DL177" i="1"/>
  <c r="DL178" i="1"/>
  <c r="DL179" i="1"/>
  <c r="DL180" i="1"/>
  <c r="DL181" i="1"/>
  <c r="DL182" i="1"/>
  <c r="DL183" i="1"/>
  <c r="DL184" i="1"/>
  <c r="DI171" i="1"/>
  <c r="DI172" i="1"/>
  <c r="DI173" i="1"/>
  <c r="DI174" i="1"/>
  <c r="DI175" i="1"/>
  <c r="DI176" i="1"/>
  <c r="DI177" i="1"/>
  <c r="DI178" i="1"/>
  <c r="DI179" i="1"/>
  <c r="DI180" i="1"/>
  <c r="DI181" i="1"/>
  <c r="DI182" i="1"/>
  <c r="DI183" i="1"/>
  <c r="DI184" i="1"/>
  <c r="DI170" i="1"/>
  <c r="DB171" i="1"/>
  <c r="BQ171" i="1"/>
  <c r="DC171" i="1" s="1"/>
  <c r="BR171" i="1"/>
  <c r="DD171" i="1" s="1"/>
  <c r="DB172" i="1"/>
  <c r="BQ172" i="1"/>
  <c r="DC172" i="1" s="1"/>
  <c r="BR172" i="1"/>
  <c r="DD172" i="1" s="1"/>
  <c r="DB173" i="1"/>
  <c r="BQ173" i="1"/>
  <c r="DC173" i="1" s="1"/>
  <c r="BR173" i="1"/>
  <c r="DD173" i="1" s="1"/>
  <c r="DB174" i="1"/>
  <c r="BQ174" i="1"/>
  <c r="DC174" i="1" s="1"/>
  <c r="BR174" i="1"/>
  <c r="DD174" i="1" s="1"/>
  <c r="DB175" i="1"/>
  <c r="BQ175" i="1"/>
  <c r="DC175" i="1" s="1"/>
  <c r="BR175" i="1"/>
  <c r="DD175" i="1" s="1"/>
  <c r="DB176" i="1"/>
  <c r="BQ176" i="1"/>
  <c r="DC176" i="1" s="1"/>
  <c r="BR176" i="1"/>
  <c r="DD176" i="1" s="1"/>
  <c r="DB177" i="1"/>
  <c r="BQ177" i="1"/>
  <c r="DC177" i="1" s="1"/>
  <c r="BR177" i="1"/>
  <c r="DD177" i="1" s="1"/>
  <c r="DB179" i="1"/>
  <c r="BQ179" i="1"/>
  <c r="DC179" i="1" s="1"/>
  <c r="BR179" i="1"/>
  <c r="DD179" i="1" s="1"/>
  <c r="DB180" i="1"/>
  <c r="BQ180" i="1"/>
  <c r="DC180" i="1" s="1"/>
  <c r="BR180" i="1"/>
  <c r="DD180" i="1" s="1"/>
  <c r="DB181" i="1"/>
  <c r="BQ181" i="1"/>
  <c r="DC181" i="1" s="1"/>
  <c r="BR181" i="1"/>
  <c r="DD181" i="1" s="1"/>
  <c r="DB182" i="1"/>
  <c r="BQ182" i="1"/>
  <c r="DC182" i="1" s="1"/>
  <c r="BR182" i="1"/>
  <c r="DD182" i="1" s="1"/>
  <c r="DB183" i="1"/>
  <c r="BQ183" i="1"/>
  <c r="DC183" i="1" s="1"/>
  <c r="BR183" i="1"/>
  <c r="DD183" i="1" s="1"/>
  <c r="DB184" i="1"/>
  <c r="BQ184" i="1"/>
  <c r="DC184" i="1" s="1"/>
  <c r="BR184" i="1"/>
  <c r="DD184" i="1" s="1"/>
  <c r="BQ170" i="1"/>
  <c r="DC170" i="1" s="1"/>
  <c r="BR170" i="1"/>
  <c r="DD170" i="1" s="1"/>
  <c r="AS171" i="1"/>
  <c r="AS172" i="1"/>
  <c r="AS173" i="1"/>
  <c r="AS174" i="1"/>
  <c r="AS175" i="1"/>
  <c r="AS176" i="1"/>
  <c r="AS177" i="1"/>
  <c r="AS178" i="1"/>
  <c r="AS179" i="1"/>
  <c r="AS180" i="1"/>
  <c r="AS181" i="1"/>
  <c r="AS182" i="1"/>
  <c r="AS183" i="1"/>
  <c r="AS184" i="1"/>
  <c r="AS170" i="1"/>
  <c r="I184" i="1"/>
  <c r="I182" i="1"/>
  <c r="I183" i="1"/>
  <c r="I181" i="1"/>
  <c r="I177" i="1"/>
  <c r="I178" i="1"/>
  <c r="I179" i="1"/>
  <c r="I180" i="1"/>
  <c r="I176" i="1"/>
  <c r="I174" i="1"/>
  <c r="I175" i="1"/>
  <c r="I173" i="1"/>
  <c r="I171" i="1"/>
  <c r="I172" i="1"/>
  <c r="I170" i="1"/>
  <c r="AS5" i="1"/>
  <c r="AS2" i="1"/>
  <c r="AS6" i="1"/>
  <c r="AS7" i="1"/>
  <c r="AS189" i="1"/>
  <c r="AS190" i="1"/>
  <c r="AS191" i="1"/>
  <c r="AS119" i="1"/>
  <c r="AS122" i="1"/>
  <c r="AS129" i="1"/>
  <c r="AS130" i="1"/>
  <c r="AS131" i="1"/>
  <c r="AS132" i="1"/>
  <c r="AS135" i="1"/>
  <c r="AS137" i="1"/>
  <c r="AS138" i="1"/>
  <c r="AS139" i="1"/>
  <c r="AS140" i="1"/>
  <c r="AS141" i="1"/>
  <c r="AS142" i="1"/>
  <c r="AS143" i="1"/>
  <c r="AS117" i="1"/>
  <c r="AS41" i="1"/>
  <c r="AS38" i="1"/>
  <c r="AS39" i="1"/>
  <c r="AS26" i="1"/>
  <c r="AS27" i="1"/>
  <c r="AS28" i="1"/>
  <c r="AS29" i="1"/>
  <c r="AS30" i="1"/>
  <c r="AS31" i="1"/>
  <c r="AS32" i="1"/>
  <c r="AS33" i="1"/>
  <c r="AS34" i="1"/>
  <c r="AS35" i="1"/>
  <c r="AS22" i="1"/>
  <c r="AS23" i="1"/>
  <c r="AS24" i="1"/>
  <c r="AS25" i="1"/>
  <c r="AS21" i="1"/>
  <c r="AS10" i="1"/>
  <c r="AS8" i="1"/>
  <c r="AS9" i="1"/>
  <c r="DD117" i="1"/>
  <c r="DD118" i="1"/>
  <c r="DD119" i="1"/>
  <c r="DB119" i="1"/>
  <c r="BY185" i="1"/>
  <c r="BY186" i="1"/>
  <c r="BY188" i="1"/>
  <c r="BY187" i="1"/>
  <c r="AP6" i="1"/>
  <c r="AP5" i="1"/>
  <c r="DB148" i="1"/>
  <c r="DB149" i="1"/>
  <c r="DB150" i="1"/>
  <c r="DB151" i="1"/>
  <c r="DB152" i="1"/>
  <c r="DB153" i="1"/>
  <c r="DB154" i="1"/>
  <c r="DB155" i="1"/>
  <c r="DB156" i="1"/>
  <c r="DB157" i="1"/>
  <c r="DB158" i="1"/>
  <c r="DB159" i="1"/>
  <c r="DB160" i="1"/>
  <c r="DB161" i="1"/>
  <c r="DB162" i="1"/>
  <c r="DB163" i="1"/>
  <c r="DB164" i="1"/>
  <c r="DB165" i="1"/>
  <c r="DB166" i="1"/>
  <c r="DB167" i="1"/>
  <c r="DB168" i="1"/>
  <c r="DB169" i="1"/>
  <c r="DB147" i="1"/>
  <c r="DH147" i="1"/>
  <c r="DH148" i="1"/>
  <c r="DH149" i="1"/>
  <c r="DH150" i="1"/>
  <c r="DH151" i="1"/>
  <c r="DH152" i="1"/>
  <c r="DH153" i="1"/>
  <c r="DH154" i="1"/>
  <c r="DH155" i="1"/>
  <c r="DH156" i="1"/>
  <c r="DH157" i="1"/>
  <c r="DH158" i="1"/>
  <c r="DH159" i="1"/>
  <c r="DH160" i="1"/>
  <c r="DH161" i="1"/>
  <c r="DH162" i="1"/>
  <c r="DH163" i="1"/>
  <c r="DH164" i="1"/>
  <c r="DH165" i="1"/>
  <c r="DH166" i="1"/>
  <c r="DH167" i="1"/>
  <c r="DH168" i="1"/>
  <c r="DH169" i="1"/>
  <c r="AM148" i="1"/>
  <c r="AO148" i="1" s="1"/>
  <c r="AM149" i="1"/>
  <c r="AM150" i="1"/>
  <c r="AN150" i="1" s="1"/>
  <c r="AM151" i="1"/>
  <c r="DI151" i="1" s="1"/>
  <c r="AM152" i="1"/>
  <c r="DI152" i="1" s="1"/>
  <c r="AM153" i="1"/>
  <c r="DI153" i="1" s="1"/>
  <c r="AM154" i="1"/>
  <c r="DJ154" i="1" s="1"/>
  <c r="AM155" i="1"/>
  <c r="AM156" i="1"/>
  <c r="AN156" i="1" s="1"/>
  <c r="AM157" i="1"/>
  <c r="DI157" i="1" s="1"/>
  <c r="AM158" i="1"/>
  <c r="DL158" i="1" s="1"/>
  <c r="AM159" i="1"/>
  <c r="DI159" i="1" s="1"/>
  <c r="AM160" i="1"/>
  <c r="AM161" i="1"/>
  <c r="DQ161" i="1" s="1"/>
  <c r="AM162" i="1"/>
  <c r="DQ162" i="1" s="1"/>
  <c r="AM163" i="1"/>
  <c r="DJ163" i="1" s="1"/>
  <c r="AM164" i="1"/>
  <c r="AM165" i="1"/>
  <c r="AO165" i="1" s="1"/>
  <c r="AM166" i="1"/>
  <c r="DL166" i="1" s="1"/>
  <c r="AM167" i="1"/>
  <c r="DQ167" i="1" s="1"/>
  <c r="AM168" i="1"/>
  <c r="AN168" i="1" s="1"/>
  <c r="AM169" i="1"/>
  <c r="DI169" i="1" s="1"/>
  <c r="AM147" i="1"/>
  <c r="DL147" i="1" s="1"/>
  <c r="AK148" i="1"/>
  <c r="AL148" i="1"/>
  <c r="AK149" i="1"/>
  <c r="AL149" i="1"/>
  <c r="AK150" i="1"/>
  <c r="AL150" i="1"/>
  <c r="AK151" i="1"/>
  <c r="AL151" i="1"/>
  <c r="AK152" i="1"/>
  <c r="AL152" i="1"/>
  <c r="AK153" i="1"/>
  <c r="AL153" i="1"/>
  <c r="AK154" i="1"/>
  <c r="AL154" i="1"/>
  <c r="AK155" i="1"/>
  <c r="AL155" i="1"/>
  <c r="AK156" i="1"/>
  <c r="AL156" i="1"/>
  <c r="AK157" i="1"/>
  <c r="AL157" i="1"/>
  <c r="AK158" i="1"/>
  <c r="AL158" i="1"/>
  <c r="AK159" i="1"/>
  <c r="AL159" i="1"/>
  <c r="AK160" i="1"/>
  <c r="AL160" i="1"/>
  <c r="AK161" i="1"/>
  <c r="AL161" i="1"/>
  <c r="AK162" i="1"/>
  <c r="AL162" i="1"/>
  <c r="AK163" i="1"/>
  <c r="AL163" i="1"/>
  <c r="AK164" i="1"/>
  <c r="AL164" i="1"/>
  <c r="AK165" i="1"/>
  <c r="AL165" i="1"/>
  <c r="AK166" i="1"/>
  <c r="AL166" i="1"/>
  <c r="AK167" i="1"/>
  <c r="AL167" i="1"/>
  <c r="AK168" i="1"/>
  <c r="AL168" i="1"/>
  <c r="AK169" i="1"/>
  <c r="AL169" i="1"/>
  <c r="AL147" i="1"/>
  <c r="AK147" i="1"/>
  <c r="DK144" i="1"/>
  <c r="DB144" i="1"/>
  <c r="AM144" i="1"/>
  <c r="DL144" i="1" s="1"/>
  <c r="AL144" i="1"/>
  <c r="AK144" i="1"/>
  <c r="DH144" i="1"/>
  <c r="DH21" i="1"/>
  <c r="DI21" i="1"/>
  <c r="DJ21" i="1"/>
  <c r="DK21" i="1" s="1"/>
  <c r="DL21" i="1"/>
  <c r="DQ21" i="1"/>
  <c r="DH22" i="1"/>
  <c r="DI22" i="1"/>
  <c r="DJ22" i="1"/>
  <c r="DK22" i="1" s="1"/>
  <c r="DL22" i="1"/>
  <c r="DQ22" i="1"/>
  <c r="DH23" i="1"/>
  <c r="DI23" i="1"/>
  <c r="DJ23" i="1"/>
  <c r="DK23" i="1" s="1"/>
  <c r="DL23" i="1"/>
  <c r="DQ23" i="1"/>
  <c r="DH24" i="1"/>
  <c r="DI24" i="1"/>
  <c r="DJ24" i="1"/>
  <c r="DK24" i="1" s="1"/>
  <c r="DL24" i="1"/>
  <c r="DM24" i="1" s="1"/>
  <c r="DQ24" i="1"/>
  <c r="DH25" i="1"/>
  <c r="DI25" i="1"/>
  <c r="DJ25" i="1"/>
  <c r="DK25" i="1" s="1"/>
  <c r="DL25" i="1"/>
  <c r="DQ25" i="1"/>
  <c r="DH26" i="1"/>
  <c r="DI26" i="1"/>
  <c r="DJ26" i="1"/>
  <c r="DK26" i="1" s="1"/>
  <c r="DL26" i="1"/>
  <c r="DQ26" i="1"/>
  <c r="DI27" i="1"/>
  <c r="DJ27" i="1"/>
  <c r="DK27" i="1" s="1"/>
  <c r="DL27" i="1"/>
  <c r="DQ27" i="1"/>
  <c r="DH28" i="1"/>
  <c r="DI28" i="1"/>
  <c r="DJ28" i="1"/>
  <c r="DK28" i="1" s="1"/>
  <c r="DL28" i="1"/>
  <c r="DQ28" i="1"/>
  <c r="DH29" i="1"/>
  <c r="DI29" i="1"/>
  <c r="DJ29" i="1"/>
  <c r="DK29" i="1" s="1"/>
  <c r="DL29" i="1"/>
  <c r="DQ29" i="1"/>
  <c r="DH30" i="1"/>
  <c r="DI30" i="1"/>
  <c r="DJ30" i="1"/>
  <c r="DK30" i="1" s="1"/>
  <c r="DL30" i="1"/>
  <c r="DQ30" i="1"/>
  <c r="DH31" i="1"/>
  <c r="DI31" i="1"/>
  <c r="DJ31" i="1"/>
  <c r="DK31" i="1" s="1"/>
  <c r="DL31" i="1"/>
  <c r="DQ31" i="1"/>
  <c r="DH32" i="1"/>
  <c r="DI32" i="1"/>
  <c r="DJ32" i="1"/>
  <c r="DK32" i="1" s="1"/>
  <c r="DL32" i="1"/>
  <c r="DQ32" i="1"/>
  <c r="DH33" i="1"/>
  <c r="DI33" i="1"/>
  <c r="DJ33" i="1"/>
  <c r="DK33" i="1" s="1"/>
  <c r="DL33" i="1"/>
  <c r="DQ33" i="1"/>
  <c r="DH34" i="1"/>
  <c r="DI34" i="1"/>
  <c r="DJ34" i="1"/>
  <c r="DL34" i="1"/>
  <c r="DQ34" i="1"/>
  <c r="DH35" i="1"/>
  <c r="DI35" i="1"/>
  <c r="DJ35" i="1"/>
  <c r="DK35" i="1" s="1"/>
  <c r="DL35" i="1"/>
  <c r="DQ35" i="1"/>
  <c r="DH36" i="1"/>
  <c r="DI36" i="1"/>
  <c r="DJ36" i="1"/>
  <c r="DK36" i="1" s="1"/>
  <c r="DL36" i="1"/>
  <c r="DQ36" i="1"/>
  <c r="DH37" i="1"/>
  <c r="DI37" i="1"/>
  <c r="DJ37" i="1"/>
  <c r="DK37" i="1" s="1"/>
  <c r="DL37" i="1"/>
  <c r="DQ37" i="1"/>
  <c r="DH38" i="1"/>
  <c r="DH39" i="1"/>
  <c r="DI39" i="1"/>
  <c r="DJ39" i="1"/>
  <c r="DK39" i="1" s="1"/>
  <c r="DL39" i="1"/>
  <c r="DQ39" i="1"/>
  <c r="DH40" i="1"/>
  <c r="DH41" i="1"/>
  <c r="DH42" i="1"/>
  <c r="DI42" i="1"/>
  <c r="DJ42" i="1"/>
  <c r="DK42" i="1" s="1"/>
  <c r="DL42" i="1"/>
  <c r="DQ42" i="1"/>
  <c r="DH43" i="1"/>
  <c r="DI43" i="1"/>
  <c r="DJ43" i="1"/>
  <c r="DK43" i="1" s="1"/>
  <c r="DL43" i="1"/>
  <c r="DQ43" i="1"/>
  <c r="DH44" i="1"/>
  <c r="DH45" i="1"/>
  <c r="DI45" i="1"/>
  <c r="DJ45" i="1"/>
  <c r="DL45" i="1"/>
  <c r="DQ45" i="1"/>
  <c r="DH83" i="1"/>
  <c r="DH84" i="1"/>
  <c r="DH109" i="1"/>
  <c r="DI109" i="1"/>
  <c r="DJ109" i="1"/>
  <c r="DK109" i="1" s="1"/>
  <c r="DL109" i="1"/>
  <c r="DQ109" i="1"/>
  <c r="DH110" i="1"/>
  <c r="DI110" i="1"/>
  <c r="DJ110" i="1"/>
  <c r="DK110" i="1" s="1"/>
  <c r="DL110" i="1"/>
  <c r="DQ110" i="1"/>
  <c r="DH111" i="1"/>
  <c r="DI111" i="1"/>
  <c r="DJ111" i="1"/>
  <c r="DK111" i="1" s="1"/>
  <c r="DL111" i="1"/>
  <c r="DQ111" i="1"/>
  <c r="DH112" i="1"/>
  <c r="DI112" i="1"/>
  <c r="DJ112" i="1"/>
  <c r="DL112" i="1"/>
  <c r="DQ112" i="1"/>
  <c r="DH113" i="1"/>
  <c r="DI113" i="1"/>
  <c r="DJ113" i="1"/>
  <c r="DK113" i="1" s="1"/>
  <c r="DL113" i="1"/>
  <c r="DQ113" i="1"/>
  <c r="DH114" i="1"/>
  <c r="DI114" i="1"/>
  <c r="DJ114" i="1"/>
  <c r="DK114" i="1" s="1"/>
  <c r="DL114" i="1"/>
  <c r="DQ114" i="1"/>
  <c r="DH115" i="1"/>
  <c r="DI115" i="1"/>
  <c r="DJ115" i="1"/>
  <c r="DK115" i="1" s="1"/>
  <c r="DL115" i="1"/>
  <c r="DQ115" i="1"/>
  <c r="DH116" i="1"/>
  <c r="DI116" i="1"/>
  <c r="DJ116" i="1"/>
  <c r="DK116" i="1" s="1"/>
  <c r="DL116" i="1"/>
  <c r="DQ116" i="1"/>
  <c r="DH117" i="1"/>
  <c r="DH118" i="1"/>
  <c r="DH119" i="1"/>
  <c r="DI119" i="1"/>
  <c r="DJ119" i="1"/>
  <c r="DK119" i="1" s="1"/>
  <c r="DL119" i="1"/>
  <c r="DQ119" i="1"/>
  <c r="DH122" i="1"/>
  <c r="DI122" i="1"/>
  <c r="DJ122" i="1"/>
  <c r="DL122" i="1"/>
  <c r="DQ122" i="1"/>
  <c r="DH129" i="1"/>
  <c r="DI129" i="1"/>
  <c r="DJ129" i="1"/>
  <c r="DK129" i="1" s="1"/>
  <c r="DL129" i="1"/>
  <c r="DQ129" i="1"/>
  <c r="DH130" i="1"/>
  <c r="DI130" i="1"/>
  <c r="DJ130" i="1"/>
  <c r="DK130" i="1" s="1"/>
  <c r="DL130" i="1"/>
  <c r="DQ130" i="1"/>
  <c r="DH131" i="1"/>
  <c r="DI131" i="1"/>
  <c r="DJ131" i="1"/>
  <c r="DK131" i="1" s="1"/>
  <c r="DL131" i="1"/>
  <c r="DQ131" i="1"/>
  <c r="DH132" i="1"/>
  <c r="DI132" i="1"/>
  <c r="DJ132" i="1"/>
  <c r="DK132" i="1" s="1"/>
  <c r="DL132" i="1"/>
  <c r="DQ132" i="1"/>
  <c r="DH133" i="1"/>
  <c r="DI133" i="1"/>
  <c r="DH134" i="1"/>
  <c r="DI134" i="1"/>
  <c r="DJ134" i="1"/>
  <c r="DK134" i="1" s="1"/>
  <c r="DL134" i="1"/>
  <c r="DQ134" i="1"/>
  <c r="DH135" i="1"/>
  <c r="DI135" i="1"/>
  <c r="DJ135" i="1"/>
  <c r="DK135" i="1" s="1"/>
  <c r="DL135" i="1"/>
  <c r="DQ135" i="1"/>
  <c r="DI136" i="1"/>
  <c r="DH137" i="1"/>
  <c r="DI137" i="1"/>
  <c r="DJ137" i="1"/>
  <c r="DK137" i="1" s="1"/>
  <c r="DL137" i="1"/>
  <c r="DQ137" i="1"/>
  <c r="DH138" i="1"/>
  <c r="DI138" i="1"/>
  <c r="DJ138" i="1"/>
  <c r="DK138" i="1" s="1"/>
  <c r="DL138" i="1"/>
  <c r="DQ138" i="1"/>
  <c r="DH139" i="1"/>
  <c r="DI139" i="1"/>
  <c r="DJ139" i="1"/>
  <c r="DK139" i="1" s="1"/>
  <c r="DL139" i="1"/>
  <c r="DQ139" i="1"/>
  <c r="DH140" i="1"/>
  <c r="DI140" i="1"/>
  <c r="DJ140" i="1"/>
  <c r="DK140" i="1" s="1"/>
  <c r="DL140" i="1"/>
  <c r="DQ140" i="1"/>
  <c r="DH141" i="1"/>
  <c r="DI141" i="1"/>
  <c r="DJ141" i="1"/>
  <c r="DL141" i="1"/>
  <c r="DQ141" i="1"/>
  <c r="DH142" i="1"/>
  <c r="DI142" i="1"/>
  <c r="DJ142" i="1"/>
  <c r="DK142" i="1" s="1"/>
  <c r="DL142" i="1"/>
  <c r="DQ142" i="1"/>
  <c r="DH143" i="1"/>
  <c r="DI143" i="1"/>
  <c r="DJ143" i="1"/>
  <c r="DK143" i="1" s="1"/>
  <c r="DL143" i="1"/>
  <c r="DQ143" i="1"/>
  <c r="DH145" i="1"/>
  <c r="DI145" i="1"/>
  <c r="DH146" i="1"/>
  <c r="DI146" i="1"/>
  <c r="DH185" i="1"/>
  <c r="DI185" i="1"/>
  <c r="DJ185" i="1"/>
  <c r="DL185" i="1"/>
  <c r="DQ185" i="1"/>
  <c r="DH186" i="1"/>
  <c r="DI186" i="1"/>
  <c r="DJ186" i="1"/>
  <c r="DK186" i="1" s="1"/>
  <c r="DL186" i="1"/>
  <c r="DQ186" i="1"/>
  <c r="DH187" i="1"/>
  <c r="DI187" i="1"/>
  <c r="DJ187" i="1"/>
  <c r="DK187" i="1" s="1"/>
  <c r="DL187" i="1"/>
  <c r="DQ187" i="1"/>
  <c r="DH188" i="1"/>
  <c r="DI188" i="1"/>
  <c r="DJ188" i="1"/>
  <c r="DK188" i="1" s="1"/>
  <c r="DL188" i="1"/>
  <c r="DQ188" i="1"/>
  <c r="DH189" i="1"/>
  <c r="DI189" i="1"/>
  <c r="DJ189" i="1"/>
  <c r="DK189" i="1" s="1"/>
  <c r="DL189" i="1"/>
  <c r="DQ189" i="1"/>
  <c r="DH190" i="1"/>
  <c r="DI190" i="1"/>
  <c r="DJ190" i="1"/>
  <c r="DL190" i="1"/>
  <c r="DQ190" i="1"/>
  <c r="DH191" i="1"/>
  <c r="DI191" i="1"/>
  <c r="DJ191" i="1"/>
  <c r="DK191" i="1" s="1"/>
  <c r="DL191" i="1"/>
  <c r="DQ191" i="1"/>
  <c r="DH192" i="1"/>
  <c r="DI192" i="1"/>
  <c r="DJ192" i="1"/>
  <c r="DK192" i="1" s="1"/>
  <c r="DL192" i="1"/>
  <c r="DQ192" i="1"/>
  <c r="DH193" i="1"/>
  <c r="DI193" i="1"/>
  <c r="DJ193" i="1"/>
  <c r="DL193" i="1"/>
  <c r="DQ193" i="1"/>
  <c r="DH209" i="1"/>
  <c r="DI209" i="1"/>
  <c r="DJ209" i="1"/>
  <c r="DK209" i="1" s="1"/>
  <c r="DL209" i="1"/>
  <c r="DQ209" i="1"/>
  <c r="DH210" i="1"/>
  <c r="DI210" i="1"/>
  <c r="DJ210" i="1"/>
  <c r="DK210" i="1" s="1"/>
  <c r="DL210" i="1"/>
  <c r="DQ210" i="1"/>
  <c r="DH211" i="1"/>
  <c r="DI211" i="1"/>
  <c r="DJ211" i="1"/>
  <c r="DK211" i="1" s="1"/>
  <c r="DL211" i="1"/>
  <c r="DQ211" i="1"/>
  <c r="DH212" i="1"/>
  <c r="DI212" i="1"/>
  <c r="DJ212" i="1"/>
  <c r="DK212" i="1" s="1"/>
  <c r="DL212" i="1"/>
  <c r="DQ212" i="1"/>
  <c r="DH213" i="1"/>
  <c r="DI213" i="1"/>
  <c r="DJ213" i="1"/>
  <c r="DK213" i="1" s="1"/>
  <c r="DL213" i="1"/>
  <c r="DQ213" i="1"/>
  <c r="DH214" i="1"/>
  <c r="DI214" i="1"/>
  <c r="DJ214" i="1"/>
  <c r="DL214" i="1"/>
  <c r="DQ214" i="1"/>
  <c r="DH215" i="1"/>
  <c r="DI215" i="1"/>
  <c r="DJ215" i="1"/>
  <c r="DK215" i="1" s="1"/>
  <c r="DL215" i="1"/>
  <c r="DQ215" i="1"/>
  <c r="DH216" i="1"/>
  <c r="DI216" i="1"/>
  <c r="DJ216" i="1"/>
  <c r="DK216" i="1" s="1"/>
  <c r="DL216" i="1"/>
  <c r="DQ216" i="1"/>
  <c r="DH217" i="1"/>
  <c r="DI217" i="1"/>
  <c r="DJ217" i="1"/>
  <c r="DK217" i="1" s="1"/>
  <c r="DL217" i="1"/>
  <c r="DQ217" i="1"/>
  <c r="DH218" i="1"/>
  <c r="DI218" i="1"/>
  <c r="DJ218" i="1"/>
  <c r="DK218" i="1" s="1"/>
  <c r="DL218" i="1"/>
  <c r="DQ218" i="1"/>
  <c r="DH219" i="1"/>
  <c r="DI219" i="1"/>
  <c r="DJ219" i="1"/>
  <c r="DK219" i="1" s="1"/>
  <c r="DL219" i="1"/>
  <c r="DQ219" i="1"/>
  <c r="DH220" i="1"/>
  <c r="DI220" i="1"/>
  <c r="DJ220" i="1"/>
  <c r="DK220" i="1" s="1"/>
  <c r="DL220" i="1"/>
  <c r="DQ220" i="1"/>
  <c r="DH221" i="1"/>
  <c r="DI221" i="1"/>
  <c r="DJ221" i="1"/>
  <c r="DK221" i="1" s="1"/>
  <c r="DL221" i="1"/>
  <c r="DQ221" i="1"/>
  <c r="DH222" i="1"/>
  <c r="DI222" i="1"/>
  <c r="DJ222" i="1"/>
  <c r="DK222" i="1" s="1"/>
  <c r="DL222" i="1"/>
  <c r="DQ222" i="1"/>
  <c r="DH223" i="1"/>
  <c r="DI223" i="1"/>
  <c r="DJ223" i="1"/>
  <c r="DK223" i="1" s="1"/>
  <c r="DL223" i="1"/>
  <c r="DQ223" i="1"/>
  <c r="DI224" i="1"/>
  <c r="DJ224" i="1"/>
  <c r="DK224" i="1" s="1"/>
  <c r="DL224" i="1"/>
  <c r="DQ224" i="1"/>
  <c r="DH228" i="1"/>
  <c r="DI228" i="1"/>
  <c r="DJ228" i="1"/>
  <c r="DK228" i="1" s="1"/>
  <c r="DL228" i="1"/>
  <c r="DQ228" i="1"/>
  <c r="DH229" i="1"/>
  <c r="DI229" i="1"/>
  <c r="DJ229" i="1"/>
  <c r="DK229" i="1" s="1"/>
  <c r="DL229" i="1"/>
  <c r="DQ229" i="1"/>
  <c r="DI230" i="1"/>
  <c r="DJ230" i="1"/>
  <c r="DK230" i="1" s="1"/>
  <c r="DL230" i="1"/>
  <c r="DQ230" i="1"/>
  <c r="DI231" i="1"/>
  <c r="DJ231" i="1"/>
  <c r="DK231" i="1" s="1"/>
  <c r="DL231" i="1"/>
  <c r="DQ231" i="1"/>
  <c r="DI232" i="1"/>
  <c r="DJ232" i="1"/>
  <c r="DK232" i="1" s="1"/>
  <c r="DL232" i="1"/>
  <c r="DQ232" i="1"/>
  <c r="DI233" i="1"/>
  <c r="DJ233" i="1"/>
  <c r="DK233" i="1" s="1"/>
  <c r="DL233" i="1"/>
  <c r="DQ233" i="1"/>
  <c r="DI234" i="1"/>
  <c r="DJ234" i="1"/>
  <c r="DK234" i="1" s="1"/>
  <c r="DL234" i="1"/>
  <c r="DQ234" i="1"/>
  <c r="DI235" i="1"/>
  <c r="DJ235" i="1"/>
  <c r="DK235" i="1" s="1"/>
  <c r="DL235" i="1"/>
  <c r="DQ235" i="1"/>
  <c r="DH236" i="1"/>
  <c r="DI236" i="1"/>
  <c r="DJ236" i="1"/>
  <c r="DK236" i="1" s="1"/>
  <c r="DL236" i="1"/>
  <c r="DQ236" i="1"/>
  <c r="DH237" i="1"/>
  <c r="DI237" i="1"/>
  <c r="DJ237" i="1"/>
  <c r="DL237" i="1"/>
  <c r="DQ237" i="1"/>
  <c r="DB17" i="1"/>
  <c r="DB18" i="1"/>
  <c r="DB19" i="1"/>
  <c r="DB16" i="1"/>
  <c r="BS17" i="1"/>
  <c r="BS18" i="1"/>
  <c r="BS19" i="1"/>
  <c r="BS16" i="1"/>
  <c r="AM19" i="1"/>
  <c r="AM18" i="1"/>
  <c r="DL18" i="1" s="1"/>
  <c r="AM17" i="1"/>
  <c r="DI17" i="1" s="1"/>
  <c r="AM16" i="1"/>
  <c r="DJ16" i="1" s="1"/>
  <c r="DK16" i="1" s="1"/>
  <c r="DB40" i="1"/>
  <c r="BY117" i="1"/>
  <c r="AO118" i="1"/>
  <c r="AN118" i="1"/>
  <c r="AM118" i="1"/>
  <c r="DI118" i="1" s="1"/>
  <c r="AO117" i="1"/>
  <c r="AN117" i="1"/>
  <c r="AM117" i="1"/>
  <c r="DI117" i="1" s="1"/>
  <c r="BY209" i="1"/>
  <c r="AL83" i="1"/>
  <c r="AK83" i="1"/>
  <c r="I83" i="1"/>
  <c r="BS83" i="1"/>
  <c r="AV83" i="1"/>
  <c r="AU83" i="1"/>
  <c r="AM83" i="1"/>
  <c r="DI83" i="1" s="1"/>
  <c r="W83" i="1"/>
  <c r="BY115" i="1"/>
  <c r="BY116" i="1"/>
  <c r="BY109" i="1"/>
  <c r="CB116" i="1"/>
  <c r="CA116" i="1"/>
  <c r="CB115" i="1"/>
  <c r="CA115" i="1"/>
  <c r="CO109" i="1"/>
  <c r="CO116" i="1"/>
  <c r="CO115" i="1"/>
  <c r="CO114" i="1"/>
  <c r="CO113" i="1"/>
  <c r="CO112" i="1"/>
  <c r="CO111" i="1"/>
  <c r="CL114" i="1"/>
  <c r="CL113" i="1"/>
  <c r="CL112" i="1"/>
  <c r="CL111" i="1"/>
  <c r="BX116" i="1"/>
  <c r="BW116" i="1"/>
  <c r="BX115" i="1"/>
  <c r="BW115" i="1"/>
  <c r="BX114" i="1"/>
  <c r="BW114" i="1"/>
  <c r="BX113" i="1"/>
  <c r="BW113" i="1"/>
  <c r="BT10" i="1"/>
  <c r="BS10" i="1"/>
  <c r="BY237" i="1"/>
  <c r="BY236" i="1"/>
  <c r="V237" i="1"/>
  <c r="BP236" i="1"/>
  <c r="BY84" i="1"/>
  <c r="BS84" i="1"/>
  <c r="AM84" i="1"/>
  <c r="DI84" i="1" s="1"/>
  <c r="W84" i="1"/>
  <c r="I84" i="1"/>
  <c r="BT8" i="1"/>
  <c r="BT9" i="1"/>
  <c r="BT7" i="1"/>
  <c r="BU8" i="1"/>
  <c r="BU9" i="1"/>
  <c r="BU10" i="1"/>
  <c r="BU7" i="1"/>
  <c r="BV8" i="1"/>
  <c r="BV9" i="1"/>
  <c r="BV10" i="1"/>
  <c r="BV7" i="1"/>
  <c r="AM8" i="1"/>
  <c r="AM9" i="1"/>
  <c r="DI9" i="1" s="1"/>
  <c r="AM10" i="1"/>
  <c r="AM7" i="1"/>
  <c r="DH9" i="1"/>
  <c r="DH8" i="1"/>
  <c r="DH7" i="1"/>
  <c r="AK118" i="1"/>
  <c r="AK117" i="1"/>
  <c r="DH11" i="1"/>
  <c r="AM11" i="1"/>
  <c r="W11" i="1"/>
  <c r="Y11" i="1"/>
  <c r="CA11" i="1"/>
  <c r="CB11" i="1" s="1"/>
  <c r="CJ40" i="1"/>
  <c r="BS40" i="1"/>
  <c r="AM40" i="1"/>
  <c r="DI40" i="1" s="1"/>
  <c r="I40" i="1"/>
  <c r="AM38" i="1"/>
  <c r="DL38" i="1" s="1"/>
  <c r="AN38" i="1"/>
  <c r="AO38" i="1"/>
  <c r="AN142" i="1"/>
  <c r="AM41" i="1"/>
  <c r="AO41" i="1" s="1"/>
  <c r="I142" i="1"/>
  <c r="I131" i="1"/>
  <c r="I41" i="1"/>
  <c r="DH12" i="1"/>
  <c r="DI12" i="1"/>
  <c r="DJ12" i="1"/>
  <c r="DK12" i="1" s="1"/>
  <c r="DL12" i="1"/>
  <c r="DQ12" i="1"/>
  <c r="DH13" i="1"/>
  <c r="DI13" i="1"/>
  <c r="DJ13" i="1"/>
  <c r="DL13" i="1"/>
  <c r="DQ13" i="1"/>
  <c r="DH14" i="1"/>
  <c r="DI14" i="1"/>
  <c r="DJ14" i="1"/>
  <c r="DK14" i="1" s="1"/>
  <c r="DL14" i="1"/>
  <c r="DQ14" i="1"/>
  <c r="DH15" i="1"/>
  <c r="DI15" i="1"/>
  <c r="DJ15" i="1"/>
  <c r="DK15" i="1" s="1"/>
  <c r="DL15" i="1"/>
  <c r="DQ15" i="1"/>
  <c r="CO38" i="1"/>
  <c r="CO39" i="1"/>
  <c r="CL38" i="1"/>
  <c r="CL39" i="1"/>
  <c r="BY44" i="1"/>
  <c r="AM44" i="1"/>
  <c r="DQ2" i="1"/>
  <c r="BU27" i="1"/>
  <c r="DC136" i="1"/>
  <c r="DD136" i="1"/>
  <c r="DB136" i="1"/>
  <c r="BT212" i="1"/>
  <c r="BT213" i="1"/>
  <c r="BT211" i="1"/>
  <c r="BS212" i="1"/>
  <c r="BJ212" i="1" s="1"/>
  <c r="BS213" i="1"/>
  <c r="BJ213" i="1" s="1"/>
  <c r="BS211" i="1"/>
  <c r="BJ211" i="1" s="1"/>
  <c r="DI2" i="1"/>
  <c r="DL2" i="1"/>
  <c r="DJ2" i="1"/>
  <c r="DK2" i="1" s="1"/>
  <c r="CF193" i="1"/>
  <c r="CF192" i="1"/>
  <c r="I146" i="1"/>
  <c r="I145" i="1"/>
  <c r="DH10" i="1"/>
  <c r="BY134" i="1"/>
  <c r="I210" i="1"/>
  <c r="AL193" i="1"/>
  <c r="AK193" i="1"/>
  <c r="C235" i="1"/>
  <c r="C234" i="1"/>
  <c r="C233" i="1"/>
  <c r="C232" i="1"/>
  <c r="C231" i="1"/>
  <c r="C230" i="1"/>
  <c r="C224" i="1"/>
  <c r="C136" i="1"/>
  <c r="AL136" i="1"/>
  <c r="BY216" i="1"/>
  <c r="BY217" i="1"/>
  <c r="BY218" i="1"/>
  <c r="BY219" i="1"/>
  <c r="BY220" i="1"/>
  <c r="BY221" i="1"/>
  <c r="BY222" i="1"/>
  <c r="BY223" i="1"/>
  <c r="BY224" i="1"/>
  <c r="BY28" i="1"/>
  <c r="BY29" i="1"/>
  <c r="BY30" i="1"/>
  <c r="BY31" i="1"/>
  <c r="BY32" i="1"/>
  <c r="BY33" i="1"/>
  <c r="BY34" i="1"/>
  <c r="BY35" i="1"/>
  <c r="BY36" i="1"/>
  <c r="BY37" i="1"/>
  <c r="BY42" i="1"/>
  <c r="BY43" i="1"/>
  <c r="BY45" i="1"/>
  <c r="BY40" i="1"/>
  <c r="BY189" i="1"/>
  <c r="BY190" i="1"/>
  <c r="BY191" i="1"/>
  <c r="BY215" i="1"/>
  <c r="BY21" i="1"/>
  <c r="BY22" i="1"/>
  <c r="BY23" i="1"/>
  <c r="BY24" i="1"/>
  <c r="BY25" i="1"/>
  <c r="BY26" i="1"/>
  <c r="BY27" i="1"/>
  <c r="BY228" i="1"/>
  <c r="BY229" i="1"/>
  <c r="BY230" i="1"/>
  <c r="BY231" i="1"/>
  <c r="BY232" i="1"/>
  <c r="BY233" i="1"/>
  <c r="BY234" i="1"/>
  <c r="BY235" i="1"/>
  <c r="BY110" i="1"/>
  <c r="BY143" i="1"/>
  <c r="BY139" i="1"/>
  <c r="BY140" i="1"/>
  <c r="BY137" i="1"/>
  <c r="BY131" i="1"/>
  <c r="BY192" i="1"/>
  <c r="BY141" i="1"/>
  <c r="BY129" i="1"/>
  <c r="BY138" i="1"/>
  <c r="BY130" i="1"/>
  <c r="BY132" i="1"/>
  <c r="BY193" i="1"/>
  <c r="BY142" i="1"/>
  <c r="BY211" i="1"/>
  <c r="BY212" i="1"/>
  <c r="BY213" i="1"/>
  <c r="BY214" i="1"/>
  <c r="BY135" i="1"/>
  <c r="BY136" i="1"/>
  <c r="AK224" i="1"/>
  <c r="DB117" i="1"/>
  <c r="DB118" i="1"/>
  <c r="DB189" i="1"/>
  <c r="DB190" i="1"/>
  <c r="DB215" i="1"/>
  <c r="I22" i="1"/>
  <c r="I23" i="1"/>
  <c r="I24" i="1"/>
  <c r="I25" i="1"/>
  <c r="I26" i="1"/>
  <c r="I27" i="1"/>
  <c r="I235" i="1"/>
  <c r="I229" i="1"/>
  <c r="I230" i="1"/>
  <c r="I231" i="1"/>
  <c r="I232" i="1"/>
  <c r="I233" i="1"/>
  <c r="I234" i="1"/>
  <c r="I228" i="1"/>
  <c r="DH2" i="1"/>
  <c r="AK136" i="1"/>
  <c r="I136" i="1"/>
  <c r="BP26" i="1"/>
  <c r="BT26" i="1" s="1"/>
  <c r="BP25" i="1"/>
  <c r="BS25" i="1" s="1"/>
  <c r="BP24" i="1"/>
  <c r="BU24" i="1" s="1"/>
  <c r="BP23" i="1"/>
  <c r="BS23" i="1" s="1"/>
  <c r="BP22" i="1"/>
  <c r="BT22" i="1" s="1"/>
  <c r="BP21" i="1"/>
  <c r="DH27" i="1"/>
  <c r="BM26" i="1"/>
  <c r="BM22" i="1"/>
  <c r="BM23" i="1"/>
  <c r="BM24" i="1"/>
  <c r="BM25" i="1"/>
  <c r="BM21" i="1"/>
  <c r="I21" i="1"/>
  <c r="I215" i="1"/>
  <c r="I190" i="1"/>
  <c r="I191" i="1"/>
  <c r="I189" i="1"/>
  <c r="BT24" i="1"/>
  <c r="CY192" i="1"/>
  <c r="DB192" i="1" s="1"/>
  <c r="CY193" i="1"/>
  <c r="DB193" i="1" s="1"/>
  <c r="CY212" i="1"/>
  <c r="DA212" i="1"/>
  <c r="CY213" i="1"/>
  <c r="DA213" i="1"/>
  <c r="DA211" i="1"/>
  <c r="CY211" i="1"/>
  <c r="I214" i="1"/>
  <c r="I193" i="1"/>
  <c r="CB143" i="1"/>
  <c r="CB110" i="1"/>
  <c r="BX143" i="1"/>
  <c r="BX110" i="1"/>
  <c r="Y29" i="1"/>
  <c r="Y30" i="1"/>
  <c r="Y31" i="1"/>
  <c r="Y32" i="1"/>
  <c r="Y33" i="1"/>
  <c r="Y34" i="1"/>
  <c r="Y35" i="1"/>
  <c r="Y36" i="1"/>
  <c r="Y37" i="1"/>
  <c r="Y42" i="1"/>
  <c r="Y43" i="1"/>
  <c r="Y45" i="1"/>
  <c r="Y28" i="1"/>
  <c r="DQ151" i="1" l="1"/>
  <c r="DJ155" i="1"/>
  <c r="DK155" i="1" s="1"/>
  <c r="DL155" i="1"/>
  <c r="DP155" i="1" s="1"/>
  <c r="DQ155" i="1"/>
  <c r="DL167" i="1"/>
  <c r="DP167" i="1" s="1"/>
  <c r="DI41" i="1"/>
  <c r="BJ40" i="1"/>
  <c r="DH16" i="1"/>
  <c r="DO16" i="1" s="1"/>
  <c r="BJ16" i="1"/>
  <c r="AA232" i="1"/>
  <c r="DH232" i="1" s="1"/>
  <c r="DO232" i="1" s="1"/>
  <c r="DH19" i="1"/>
  <c r="DP211" i="1"/>
  <c r="DP210" i="1"/>
  <c r="DP209" i="1"/>
  <c r="DP187" i="1"/>
  <c r="AA231" i="1"/>
  <c r="DH231" i="1" s="1"/>
  <c r="DP231" i="1" s="1"/>
  <c r="AA235" i="1"/>
  <c r="DH235" i="1" s="1"/>
  <c r="DP235" i="1" s="1"/>
  <c r="DP112" i="1"/>
  <c r="DP36" i="1"/>
  <c r="DP32" i="1"/>
  <c r="DP31" i="1"/>
  <c r="DP30" i="1"/>
  <c r="DP21" i="1"/>
  <c r="AA233" i="1"/>
  <c r="DH233" i="1" s="1"/>
  <c r="DO233" i="1" s="1"/>
  <c r="DP38" i="1"/>
  <c r="AA136" i="1"/>
  <c r="DH136" i="1" s="1"/>
  <c r="DP13" i="1"/>
  <c r="BJ19" i="1"/>
  <c r="DP229" i="1"/>
  <c r="DP228" i="1"/>
  <c r="DP186" i="1"/>
  <c r="DP185" i="1"/>
  <c r="DP37" i="1"/>
  <c r="DP35" i="1"/>
  <c r="DP34" i="1"/>
  <c r="DP33" i="1"/>
  <c r="DP29" i="1"/>
  <c r="DP28" i="1"/>
  <c r="DP25" i="1"/>
  <c r="AA224" i="1"/>
  <c r="DH224" i="1" s="1"/>
  <c r="DP224" i="1" s="1"/>
  <c r="DH18" i="1"/>
  <c r="DP18" i="1" s="1"/>
  <c r="BJ18" i="1"/>
  <c r="AA230" i="1"/>
  <c r="DH230" i="1" s="1"/>
  <c r="DP230" i="1" s="1"/>
  <c r="AA234" i="1"/>
  <c r="DH234" i="1" s="1"/>
  <c r="DP234" i="1" s="1"/>
  <c r="DI144" i="1"/>
  <c r="DH17" i="1"/>
  <c r="BJ17" i="1"/>
  <c r="DP143" i="1"/>
  <c r="DP142" i="1"/>
  <c r="DP141" i="1"/>
  <c r="DP140" i="1"/>
  <c r="DP139" i="1"/>
  <c r="DP138" i="1"/>
  <c r="DP137" i="1"/>
  <c r="DQ165" i="1"/>
  <c r="DP26" i="1"/>
  <c r="DP12" i="1"/>
  <c r="DP188" i="1"/>
  <c r="DP113" i="1"/>
  <c r="DP22" i="1"/>
  <c r="DP236" i="1"/>
  <c r="DP213" i="1"/>
  <c r="DP212" i="1"/>
  <c r="DP237" i="1"/>
  <c r="DP223" i="1"/>
  <c r="DP222" i="1"/>
  <c r="DP221" i="1"/>
  <c r="DP220" i="1"/>
  <c r="DP219" i="1"/>
  <c r="DP218" i="1"/>
  <c r="DP217" i="1"/>
  <c r="DP216" i="1"/>
  <c r="DP215" i="1"/>
  <c r="DP214" i="1"/>
  <c r="DP2" i="1"/>
  <c r="DP15" i="1"/>
  <c r="DP192" i="1"/>
  <c r="DP191" i="1"/>
  <c r="DP189" i="1"/>
  <c r="DP114" i="1"/>
  <c r="DP43" i="1"/>
  <c r="DP42" i="1"/>
  <c r="DP190" i="1"/>
  <c r="DP39" i="1"/>
  <c r="DP23" i="1"/>
  <c r="DP14" i="1"/>
  <c r="DP193" i="1"/>
  <c r="DP135" i="1"/>
  <c r="DP134" i="1"/>
  <c r="DP132" i="1"/>
  <c r="DP131" i="1"/>
  <c r="DP130" i="1"/>
  <c r="DP129" i="1"/>
  <c r="DP122" i="1"/>
  <c r="DP119" i="1"/>
  <c r="DP116" i="1"/>
  <c r="DP115" i="1"/>
  <c r="DP111" i="1"/>
  <c r="DP110" i="1"/>
  <c r="DP109" i="1"/>
  <c r="DP45" i="1"/>
  <c r="DP27" i="1"/>
  <c r="DP24" i="1"/>
  <c r="DP144" i="1"/>
  <c r="DP147" i="1"/>
  <c r="DP166" i="1"/>
  <c r="DP158" i="1"/>
  <c r="DM138" i="1"/>
  <c r="DN138" i="1" s="1"/>
  <c r="DM137" i="1"/>
  <c r="DN137" i="1" s="1"/>
  <c r="DM131" i="1"/>
  <c r="DN131" i="1" s="1"/>
  <c r="DM141" i="1"/>
  <c r="DM192" i="1"/>
  <c r="DN192" i="1" s="1"/>
  <c r="DM212" i="1"/>
  <c r="DN212" i="1" s="1"/>
  <c r="DM233" i="1"/>
  <c r="DN233" i="1" s="1"/>
  <c r="DM228" i="1"/>
  <c r="DN228" i="1" s="1"/>
  <c r="DM224" i="1"/>
  <c r="DN224" i="1" s="1"/>
  <c r="DM211" i="1"/>
  <c r="DN211" i="1" s="1"/>
  <c r="DM210" i="1"/>
  <c r="DN210" i="1" s="1"/>
  <c r="DM234" i="1"/>
  <c r="DN234" i="1" s="1"/>
  <c r="DM230" i="1"/>
  <c r="DN230" i="1" s="1"/>
  <c r="DM236" i="1"/>
  <c r="DN236" i="1" s="1"/>
  <c r="DM235" i="1"/>
  <c r="DN235" i="1" s="1"/>
  <c r="DM231" i="1"/>
  <c r="DN231" i="1" s="1"/>
  <c r="DM213" i="1"/>
  <c r="DN213" i="1" s="1"/>
  <c r="DR213" i="1"/>
  <c r="DM237" i="1"/>
  <c r="DM232" i="1"/>
  <c r="DN232" i="1" s="1"/>
  <c r="DM223" i="1"/>
  <c r="DN223" i="1" s="1"/>
  <c r="DM221" i="1"/>
  <c r="DN221" i="1" s="1"/>
  <c r="DM220" i="1"/>
  <c r="DN220" i="1" s="1"/>
  <c r="DM217" i="1"/>
  <c r="DN217" i="1" s="1"/>
  <c r="DM216" i="1"/>
  <c r="DN216" i="1" s="1"/>
  <c r="DM214" i="1"/>
  <c r="DM193" i="1"/>
  <c r="DM143" i="1"/>
  <c r="DN143" i="1" s="1"/>
  <c r="DM142" i="1"/>
  <c r="DN142" i="1" s="1"/>
  <c r="DM140" i="1"/>
  <c r="DN140" i="1" s="1"/>
  <c r="DM139" i="1"/>
  <c r="DN139" i="1" s="1"/>
  <c r="DM112" i="1"/>
  <c r="DM114" i="1"/>
  <c r="DN114" i="1" s="1"/>
  <c r="DM113" i="1"/>
  <c r="DN113" i="1" s="1"/>
  <c r="DM116" i="1"/>
  <c r="DN116" i="1" s="1"/>
  <c r="DM109" i="1"/>
  <c r="DN109" i="1" s="1"/>
  <c r="DM188" i="1"/>
  <c r="DN188" i="1" s="1"/>
  <c r="DM182" i="1"/>
  <c r="DM174" i="1"/>
  <c r="DM191" i="1"/>
  <c r="DN191" i="1" s="1"/>
  <c r="DM190" i="1"/>
  <c r="DM189" i="1"/>
  <c r="DN189" i="1" s="1"/>
  <c r="DM177" i="1"/>
  <c r="DM187" i="1"/>
  <c r="DN187" i="1" s="1"/>
  <c r="DM186" i="1"/>
  <c r="DN186" i="1" s="1"/>
  <c r="DM185" i="1"/>
  <c r="DM183" i="1"/>
  <c r="DM179" i="1"/>
  <c r="DM175" i="1"/>
  <c r="DM171" i="1"/>
  <c r="DM178" i="1"/>
  <c r="DM170" i="1"/>
  <c r="DM181" i="1"/>
  <c r="DM173" i="1"/>
  <c r="DM144" i="1"/>
  <c r="DM184" i="1"/>
  <c r="DM180" i="1"/>
  <c r="DM176" i="1"/>
  <c r="DM172" i="1"/>
  <c r="DM134" i="1"/>
  <c r="DN134" i="1" s="1"/>
  <c r="DM132" i="1"/>
  <c r="DN132" i="1" s="1"/>
  <c r="DM130" i="1"/>
  <c r="DN130" i="1" s="1"/>
  <c r="DM129" i="1"/>
  <c r="DN129" i="1" s="1"/>
  <c r="DM122" i="1"/>
  <c r="DM37" i="1"/>
  <c r="DN37" i="1" s="1"/>
  <c r="DM36" i="1"/>
  <c r="DN36" i="1" s="1"/>
  <c r="DM32" i="1"/>
  <c r="DN32" i="1" s="1"/>
  <c r="DM29" i="1"/>
  <c r="DN29" i="1" s="1"/>
  <c r="DM28" i="1"/>
  <c r="DN28" i="1" s="1"/>
  <c r="DM25" i="1"/>
  <c r="DN25" i="1" s="1"/>
  <c r="DM18" i="1"/>
  <c r="DM22" i="1"/>
  <c r="DN22" i="1" s="1"/>
  <c r="DM15" i="1"/>
  <c r="DN15" i="1" s="1"/>
  <c r="DM43" i="1"/>
  <c r="DN43" i="1" s="1"/>
  <c r="DM42" i="1"/>
  <c r="DN42" i="1" s="1"/>
  <c r="DM39" i="1"/>
  <c r="DN39" i="1" s="1"/>
  <c r="DM23" i="1"/>
  <c r="DN23" i="1" s="1"/>
  <c r="DM34" i="1"/>
  <c r="DM33" i="1"/>
  <c r="DN33" i="1" s="1"/>
  <c r="DM31" i="1"/>
  <c r="DN31" i="1" s="1"/>
  <c r="DM21" i="1"/>
  <c r="DN21" i="1" s="1"/>
  <c r="DM38" i="1"/>
  <c r="BY10" i="1"/>
  <c r="DM14" i="1"/>
  <c r="DN14" i="1" s="1"/>
  <c r="DM45" i="1"/>
  <c r="DM27" i="1"/>
  <c r="DN27" i="1" s="1"/>
  <c r="DR211" i="1"/>
  <c r="DO188" i="1"/>
  <c r="DR23" i="1"/>
  <c r="DM2" i="1"/>
  <c r="DN2" i="1" s="1"/>
  <c r="DR2" i="1"/>
  <c r="DR25" i="1"/>
  <c r="DR212" i="1"/>
  <c r="DM119" i="1"/>
  <c r="DN119" i="1" s="1"/>
  <c r="DR119" i="1"/>
  <c r="DO229" i="1"/>
  <c r="DO33" i="1"/>
  <c r="DJ166" i="1"/>
  <c r="DK166" i="1" s="1"/>
  <c r="DO35" i="1"/>
  <c r="DO25" i="1"/>
  <c r="DL169" i="1"/>
  <c r="DP169" i="1" s="1"/>
  <c r="DO43" i="1"/>
  <c r="DL157" i="1"/>
  <c r="DP157" i="1" s="1"/>
  <c r="DL153" i="1"/>
  <c r="DP153" i="1" s="1"/>
  <c r="DL16" i="1"/>
  <c r="DL40" i="1"/>
  <c r="DP40" i="1" s="1"/>
  <c r="DI168" i="1"/>
  <c r="AN162" i="1"/>
  <c r="DL148" i="1"/>
  <c r="DP148" i="1" s="1"/>
  <c r="DI19" i="1"/>
  <c r="AO147" i="1"/>
  <c r="DL168" i="1"/>
  <c r="DP168" i="1" s="1"/>
  <c r="DQ166" i="1"/>
  <c r="DI166" i="1"/>
  <c r="AO168" i="1"/>
  <c r="DQ40" i="1"/>
  <c r="DQ154" i="1"/>
  <c r="DQ164" i="1"/>
  <c r="AO164" i="1"/>
  <c r="DO210" i="1"/>
  <c r="DO22" i="1"/>
  <c r="DO24" i="1"/>
  <c r="DO213" i="1"/>
  <c r="DO192" i="1"/>
  <c r="DO189" i="1"/>
  <c r="DO216" i="1"/>
  <c r="DO21" i="1"/>
  <c r="DO236" i="1"/>
  <c r="DO219" i="1"/>
  <c r="DO217" i="1"/>
  <c r="DJ83" i="1"/>
  <c r="DK83" i="1" s="1"/>
  <c r="AO169" i="1"/>
  <c r="AN169" i="1"/>
  <c r="DJ169" i="1"/>
  <c r="DK169" i="1" s="1"/>
  <c r="AN165" i="1"/>
  <c r="DL165" i="1"/>
  <c r="DP165" i="1" s="1"/>
  <c r="AO161" i="1"/>
  <c r="AN161" i="1"/>
  <c r="DL161" i="1"/>
  <c r="DP161" i="1" s="1"/>
  <c r="DJ161" i="1"/>
  <c r="DK161" i="1" s="1"/>
  <c r="AN83" i="1"/>
  <c r="DQ83" i="1"/>
  <c r="BY112" i="1"/>
  <c r="DM35" i="1"/>
  <c r="DN35" i="1" s="1"/>
  <c r="AO83" i="1"/>
  <c r="DN24" i="1"/>
  <c r="DI167" i="1"/>
  <c r="AO167" i="1"/>
  <c r="AN167" i="1"/>
  <c r="AO163" i="1"/>
  <c r="DQ163" i="1"/>
  <c r="AN163" i="1"/>
  <c r="DL163" i="1"/>
  <c r="DP163" i="1" s="1"/>
  <c r="DI163" i="1"/>
  <c r="AN166" i="1"/>
  <c r="DQ159" i="1"/>
  <c r="DJ151" i="1"/>
  <c r="DO151" i="1" s="1"/>
  <c r="DL151" i="1"/>
  <c r="DP151" i="1" s="1"/>
  <c r="DJ164" i="1"/>
  <c r="DK164" i="1" s="1"/>
  <c r="DL164" i="1"/>
  <c r="DP164" i="1" s="1"/>
  <c r="DI162" i="1"/>
  <c r="DJ168" i="1"/>
  <c r="DK168" i="1" s="1"/>
  <c r="DI147" i="1"/>
  <c r="DQ168" i="1"/>
  <c r="AO166" i="1"/>
  <c r="DI164" i="1"/>
  <c r="AO162" i="1"/>
  <c r="DO116" i="1"/>
  <c r="DO110" i="1"/>
  <c r="DO109" i="1"/>
  <c r="DO28" i="1"/>
  <c r="DL162" i="1"/>
  <c r="DP162" i="1" s="1"/>
  <c r="DJ147" i="1"/>
  <c r="DK147" i="1" s="1"/>
  <c r="AN147" i="1"/>
  <c r="DQ147" i="1"/>
  <c r="DJ162" i="1"/>
  <c r="DK162" i="1" s="1"/>
  <c r="AN164" i="1"/>
  <c r="BT25" i="1"/>
  <c r="BU25" i="1"/>
  <c r="DI44" i="1"/>
  <c r="DJ44" i="1"/>
  <c r="DO44" i="1" s="1"/>
  <c r="Y44" i="1"/>
  <c r="BS21" i="1"/>
  <c r="DQ7" i="1"/>
  <c r="DI7" i="1"/>
  <c r="DL7" i="1"/>
  <c r="DM7" i="1" s="1"/>
  <c r="DJ17" i="1"/>
  <c r="DL17" i="1"/>
  <c r="DQ17" i="1"/>
  <c r="BY111" i="1"/>
  <c r="BT23" i="1"/>
  <c r="DL44" i="1"/>
  <c r="DP44" i="1" s="1"/>
  <c r="DJ41" i="1"/>
  <c r="DO41" i="1" s="1"/>
  <c r="DI38" i="1"/>
  <c r="DJ40" i="1"/>
  <c r="DO40" i="1" s="1"/>
  <c r="DJ7" i="1"/>
  <c r="DK7" i="1" s="1"/>
  <c r="DQ118" i="1"/>
  <c r="DL118" i="1"/>
  <c r="DP118" i="1" s="1"/>
  <c r="BY118" i="1"/>
  <c r="DO37" i="1"/>
  <c r="DL19" i="1"/>
  <c r="DO26" i="1"/>
  <c r="AN154" i="1"/>
  <c r="DI161" i="1"/>
  <c r="DJ167" i="1"/>
  <c r="DO167" i="1" s="1"/>
  <c r="DQ169" i="1"/>
  <c r="DJ165" i="1"/>
  <c r="DO165" i="1" s="1"/>
  <c r="DQ158" i="1"/>
  <c r="DO191" i="1"/>
  <c r="DO138" i="1"/>
  <c r="DO129" i="1"/>
  <c r="DO119" i="1"/>
  <c r="DO115" i="1"/>
  <c r="DO111" i="1"/>
  <c r="DO23" i="1"/>
  <c r="DJ148" i="1"/>
  <c r="DK148" i="1" s="1"/>
  <c r="AO152" i="1"/>
  <c r="BU22" i="1"/>
  <c r="DO2" i="1"/>
  <c r="DL83" i="1"/>
  <c r="DP83" i="1" s="1"/>
  <c r="DQ16" i="1"/>
  <c r="DJ19" i="1"/>
  <c r="DK19" i="1" s="1"/>
  <c r="AN158" i="1"/>
  <c r="AN148" i="1"/>
  <c r="DJ152" i="1"/>
  <c r="DK152" i="1" s="1"/>
  <c r="DL156" i="1"/>
  <c r="DP156" i="1" s="1"/>
  <c r="DI165" i="1"/>
  <c r="DQ152" i="1"/>
  <c r="BU26" i="1"/>
  <c r="BS22" i="1"/>
  <c r="DL10" i="1"/>
  <c r="DM10" i="1" s="1"/>
  <c r="DQ38" i="1"/>
  <c r="DQ41" i="1"/>
  <c r="DJ84" i="1"/>
  <c r="DK84" i="1" s="1"/>
  <c r="DO186" i="1"/>
  <c r="DO209" i="1"/>
  <c r="DQ18" i="1"/>
  <c r="DQ19" i="1"/>
  <c r="DO221" i="1"/>
  <c r="DO220" i="1"/>
  <c r="DO114" i="1"/>
  <c r="DJ158" i="1"/>
  <c r="DK158" i="1" s="1"/>
  <c r="DL154" i="1"/>
  <c r="DP154" i="1" s="1"/>
  <c r="BS26" i="1"/>
  <c r="AN84" i="1"/>
  <c r="DQ84" i="1"/>
  <c r="BY114" i="1"/>
  <c r="DO143" i="1"/>
  <c r="DJ10" i="1"/>
  <c r="DK10" i="1" s="1"/>
  <c r="DJ38" i="1"/>
  <c r="DL84" i="1"/>
  <c r="DP84" i="1" s="1"/>
  <c r="DJ18" i="1"/>
  <c r="DK184" i="1"/>
  <c r="DO12" i="1"/>
  <c r="DO142" i="1"/>
  <c r="DO36" i="1"/>
  <c r="DO130" i="1"/>
  <c r="DM111" i="1"/>
  <c r="DN111" i="1" s="1"/>
  <c r="DO29" i="1"/>
  <c r="DO15" i="1"/>
  <c r="DO215" i="1"/>
  <c r="DO122" i="1"/>
  <c r="DK122" i="1"/>
  <c r="DO42" i="1"/>
  <c r="DO32" i="1"/>
  <c r="DO113" i="1"/>
  <c r="DK163" i="1"/>
  <c r="DO163" i="1"/>
  <c r="DM166" i="1"/>
  <c r="DO228" i="1"/>
  <c r="DO131" i="1"/>
  <c r="DO30" i="1"/>
  <c r="BY38" i="1"/>
  <c r="DM229" i="1"/>
  <c r="DN229" i="1" s="1"/>
  <c r="DO223" i="1"/>
  <c r="DO222" i="1"/>
  <c r="DM30" i="1"/>
  <c r="DN30" i="1" s="1"/>
  <c r="DM158" i="1"/>
  <c r="DK183" i="1"/>
  <c r="DO187" i="1"/>
  <c r="DO140" i="1"/>
  <c r="DO132" i="1"/>
  <c r="DO141" i="1"/>
  <c r="DO134" i="1"/>
  <c r="DO218" i="1"/>
  <c r="DM209" i="1"/>
  <c r="DN209" i="1" s="1"/>
  <c r="DK176" i="1"/>
  <c r="DO212" i="1"/>
  <c r="DO211" i="1"/>
  <c r="DO193" i="1"/>
  <c r="CC193" i="1"/>
  <c r="DO14" i="1"/>
  <c r="DO13" i="1"/>
  <c r="DM115" i="1"/>
  <c r="DN115" i="1" s="1"/>
  <c r="DM147" i="1"/>
  <c r="DO31" i="1"/>
  <c r="DK45" i="1"/>
  <c r="DO45" i="1"/>
  <c r="DK34" i="1"/>
  <c r="DO34" i="1"/>
  <c r="DK154" i="1"/>
  <c r="DO154" i="1"/>
  <c r="DM13" i="1"/>
  <c r="DK13" i="1"/>
  <c r="DM110" i="1"/>
  <c r="DN110" i="1" s="1"/>
  <c r="DO139" i="1"/>
  <c r="DO135" i="1"/>
  <c r="DO137" i="1"/>
  <c r="DO27" i="1"/>
  <c r="BY39" i="1"/>
  <c r="DM12" i="1"/>
  <c r="DN12" i="1" s="1"/>
  <c r="DQ11" i="1"/>
  <c r="DL11" i="1"/>
  <c r="DP11" i="1" s="1"/>
  <c r="DM218" i="1"/>
  <c r="DN218" i="1" s="1"/>
  <c r="BT21" i="1"/>
  <c r="BP27" i="1"/>
  <c r="BU21" i="1"/>
  <c r="CC192" i="1"/>
  <c r="DI11" i="1"/>
  <c r="DL9" i="1"/>
  <c r="DP9" i="1" s="1"/>
  <c r="CF10" i="1"/>
  <c r="DM219" i="1"/>
  <c r="DN219" i="1" s="1"/>
  <c r="DJ8" i="1"/>
  <c r="DK8" i="1" s="1"/>
  <c r="DL8" i="1"/>
  <c r="DM8" i="1" s="1"/>
  <c r="DI8" i="1"/>
  <c r="DM215" i="1"/>
  <c r="DN215" i="1" s="1"/>
  <c r="BS24" i="1"/>
  <c r="CC211" i="1"/>
  <c r="DQ8" i="1"/>
  <c r="BY113" i="1"/>
  <c r="CC212" i="1"/>
  <c r="CC213" i="1"/>
  <c r="DJ11" i="1"/>
  <c r="DQ9" i="1"/>
  <c r="DJ9" i="1"/>
  <c r="DK9" i="1" s="1"/>
  <c r="DQ117" i="1"/>
  <c r="DJ117" i="1"/>
  <c r="DL117" i="1"/>
  <c r="DP117" i="1" s="1"/>
  <c r="DK172" i="1"/>
  <c r="BU23" i="1"/>
  <c r="DI10" i="1"/>
  <c r="DQ10" i="1"/>
  <c r="DQ44" i="1"/>
  <c r="AN41" i="1"/>
  <c r="DL41" i="1"/>
  <c r="DP41" i="1" s="1"/>
  <c r="AO84" i="1"/>
  <c r="DI16" i="1"/>
  <c r="DK237" i="1"/>
  <c r="DO237" i="1"/>
  <c r="DM222" i="1"/>
  <c r="DN222" i="1" s="1"/>
  <c r="DK193" i="1"/>
  <c r="DK190" i="1"/>
  <c r="DO190" i="1"/>
  <c r="DK141" i="1"/>
  <c r="DM135" i="1"/>
  <c r="DN135" i="1" s="1"/>
  <c r="DK185" i="1"/>
  <c r="DO185" i="1"/>
  <c r="DJ118" i="1"/>
  <c r="DI18" i="1"/>
  <c r="DK214" i="1"/>
  <c r="DO214" i="1"/>
  <c r="DK112" i="1"/>
  <c r="DO112" i="1"/>
  <c r="DM26" i="1"/>
  <c r="DN26" i="1" s="1"/>
  <c r="DJ160" i="1"/>
  <c r="AO160" i="1"/>
  <c r="DQ160" i="1"/>
  <c r="DI160" i="1"/>
  <c r="AN160" i="1"/>
  <c r="DL160" i="1"/>
  <c r="DP160" i="1" s="1"/>
  <c r="DI156" i="1"/>
  <c r="DJ156" i="1"/>
  <c r="DQ156" i="1"/>
  <c r="AO156" i="1"/>
  <c r="AN149" i="1"/>
  <c r="AO149" i="1"/>
  <c r="DJ149" i="1"/>
  <c r="DI149" i="1"/>
  <c r="DQ149" i="1"/>
  <c r="DL149" i="1"/>
  <c r="DP149" i="1" s="1"/>
  <c r="DK180" i="1"/>
  <c r="AN157" i="1"/>
  <c r="AO157" i="1"/>
  <c r="DJ157" i="1"/>
  <c r="DQ157" i="1"/>
  <c r="AN153" i="1"/>
  <c r="DQ153" i="1"/>
  <c r="DJ153" i="1"/>
  <c r="AO153" i="1"/>
  <c r="AO150" i="1"/>
  <c r="DI150" i="1"/>
  <c r="DQ150" i="1"/>
  <c r="DL150" i="1"/>
  <c r="DP150" i="1" s="1"/>
  <c r="DJ150" i="1"/>
  <c r="DJ159" i="1"/>
  <c r="AO159" i="1"/>
  <c r="AN159" i="1"/>
  <c r="AO155" i="1"/>
  <c r="DI155" i="1"/>
  <c r="AN155" i="1"/>
  <c r="AN152" i="1"/>
  <c r="DQ148" i="1"/>
  <c r="DI148" i="1"/>
  <c r="DL159" i="1"/>
  <c r="DP159" i="1" s="1"/>
  <c r="DL152" i="1"/>
  <c r="DP152" i="1" s="1"/>
  <c r="AO158" i="1"/>
  <c r="DI158" i="1"/>
  <c r="AO154" i="1"/>
  <c r="DI154" i="1"/>
  <c r="AO151" i="1"/>
  <c r="AN151" i="1"/>
  <c r="DM167" i="1" l="1"/>
  <c r="DO234" i="1"/>
  <c r="DO155" i="1"/>
  <c r="DP16" i="1"/>
  <c r="DM155" i="1"/>
  <c r="DN155" i="1" s="1"/>
  <c r="DO17" i="1"/>
  <c r="DO235" i="1"/>
  <c r="DO231" i="1"/>
  <c r="DP232" i="1"/>
  <c r="DP233" i="1"/>
  <c r="DO230" i="1"/>
  <c r="DN237" i="1"/>
  <c r="DO224" i="1"/>
  <c r="DP19" i="1"/>
  <c r="DO18" i="1"/>
  <c r="DP17" i="1"/>
  <c r="DP7" i="1"/>
  <c r="DP10" i="1"/>
  <c r="DP8" i="1"/>
  <c r="DN193" i="1"/>
  <c r="DN190" i="1"/>
  <c r="DN141" i="1"/>
  <c r="DN122" i="1"/>
  <c r="DN112" i="1"/>
  <c r="DN45" i="1"/>
  <c r="DN185" i="1"/>
  <c r="DN214" i="1"/>
  <c r="DM161" i="1"/>
  <c r="DN161" i="1" s="1"/>
  <c r="DM169" i="1"/>
  <c r="DN169" i="1" s="1"/>
  <c r="DM154" i="1"/>
  <c r="DN154" i="1" s="1"/>
  <c r="DM162" i="1"/>
  <c r="DN162" i="1" s="1"/>
  <c r="DM164" i="1"/>
  <c r="DN164" i="1" s="1"/>
  <c r="DM148" i="1"/>
  <c r="DN148" i="1" s="1"/>
  <c r="DM153" i="1"/>
  <c r="DM151" i="1"/>
  <c r="DM156" i="1"/>
  <c r="DR117" i="1"/>
  <c r="DM44" i="1"/>
  <c r="DN34" i="1"/>
  <c r="DM17" i="1"/>
  <c r="DR24" i="1"/>
  <c r="DM157" i="1"/>
  <c r="DM84" i="1"/>
  <c r="DN84" i="1" s="1"/>
  <c r="DR84" i="1"/>
  <c r="DR26" i="1"/>
  <c r="DR22" i="1"/>
  <c r="DM83" i="1"/>
  <c r="DN83" i="1" s="1"/>
  <c r="DR83" i="1"/>
  <c r="DM118" i="1"/>
  <c r="DR118" i="1"/>
  <c r="DR10" i="1"/>
  <c r="DR21" i="1"/>
  <c r="DM16" i="1"/>
  <c r="DN16" i="1" s="1"/>
  <c r="DO83" i="1"/>
  <c r="DN166" i="1"/>
  <c r="DO166" i="1"/>
  <c r="DM168" i="1"/>
  <c r="DN168" i="1" s="1"/>
  <c r="DM40" i="1"/>
  <c r="DO168" i="1"/>
  <c r="DM165" i="1"/>
  <c r="DM163" i="1"/>
  <c r="DN163" i="1" s="1"/>
  <c r="DK41" i="1"/>
  <c r="DO158" i="1"/>
  <c r="DN7" i="1"/>
  <c r="DK165" i="1"/>
  <c r="DO161" i="1"/>
  <c r="DK167" i="1"/>
  <c r="DK151" i="1"/>
  <c r="DO10" i="1"/>
  <c r="DO7" i="1"/>
  <c r="DO147" i="1"/>
  <c r="DO164" i="1"/>
  <c r="DO162" i="1"/>
  <c r="DM19" i="1"/>
  <c r="DN19" i="1" s="1"/>
  <c r="DK18" i="1"/>
  <c r="DN18" i="1" s="1"/>
  <c r="DO169" i="1"/>
  <c r="DK17" i="1"/>
  <c r="DK40" i="1"/>
  <c r="DO84" i="1"/>
  <c r="DO19" i="1"/>
  <c r="DO148" i="1"/>
  <c r="DO152" i="1"/>
  <c r="DN158" i="1"/>
  <c r="DK44" i="1"/>
  <c r="DK38" i="1"/>
  <c r="DN38" i="1" s="1"/>
  <c r="DO38" i="1"/>
  <c r="DN10" i="1"/>
  <c r="DN8" i="1"/>
  <c r="DN147" i="1"/>
  <c r="DN13" i="1"/>
  <c r="DM159" i="1"/>
  <c r="DM41" i="1"/>
  <c r="DO9" i="1"/>
  <c r="DK153" i="1"/>
  <c r="DO153" i="1"/>
  <c r="DK11" i="1"/>
  <c r="DO11" i="1"/>
  <c r="DK150" i="1"/>
  <c r="DO150" i="1"/>
  <c r="DK157" i="1"/>
  <c r="DO157" i="1"/>
  <c r="DK149" i="1"/>
  <c r="DO149" i="1"/>
  <c r="DO8" i="1"/>
  <c r="DM9" i="1"/>
  <c r="DN9" i="1" s="1"/>
  <c r="DM11" i="1"/>
  <c r="DM150" i="1"/>
  <c r="DK156" i="1"/>
  <c r="DO156" i="1"/>
  <c r="DK117" i="1"/>
  <c r="DO117" i="1"/>
  <c r="DK159" i="1"/>
  <c r="DO159" i="1"/>
  <c r="DO160" i="1"/>
  <c r="DK160" i="1"/>
  <c r="DM152" i="1"/>
  <c r="DN152" i="1" s="1"/>
  <c r="DM149" i="1"/>
  <c r="DM160" i="1"/>
  <c r="DK118" i="1"/>
  <c r="DO118" i="1"/>
  <c r="DM117" i="1"/>
  <c r="DN167" i="1" l="1"/>
  <c r="DN156" i="1"/>
  <c r="DN157" i="1"/>
  <c r="DN153" i="1"/>
  <c r="DN165" i="1"/>
  <c r="DN44" i="1"/>
  <c r="DN150" i="1"/>
  <c r="DN151" i="1"/>
  <c r="DN118" i="1"/>
  <c r="DN17" i="1"/>
  <c r="DN40" i="1"/>
  <c r="DN41" i="1"/>
  <c r="DN149" i="1"/>
  <c r="DN159" i="1"/>
  <c r="DN117" i="1"/>
  <c r="DN160" i="1"/>
  <c r="DN11" i="1"/>
  <c r="BY226" i="1" l="1"/>
  <c r="BZ226" i="1" l="1"/>
  <c r="DM226" i="1" s="1"/>
  <c r="DN226" i="1" s="1"/>
  <c r="CB226" i="1" l="1"/>
  <c r="CA22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Schumann, Ulrich</author>
  </authors>
  <commentList>
    <comment ref="AX2" authorId="0" shapeId="0" xr:uid="{00000000-0006-0000-0000-000001000000}">
      <text>
        <r>
          <rPr>
            <b/>
            <sz val="8"/>
            <color indexed="81"/>
            <rFont val="Tahoma"/>
            <family val="2"/>
          </rPr>
          <t>Schumann, Ulrich:</t>
        </r>
        <r>
          <rPr>
            <sz val="8"/>
            <color indexed="81"/>
            <rFont val="Tahoma"/>
            <family val="2"/>
          </rPr>
          <t xml:space="preserve">
estimated</t>
        </r>
      </text>
    </comment>
    <comment ref="AX3" authorId="0" shapeId="0" xr:uid="{00000000-0006-0000-0000-000002000000}">
      <text>
        <r>
          <rPr>
            <b/>
            <sz val="8"/>
            <color indexed="81"/>
            <rFont val="Tahoma"/>
            <family val="2"/>
          </rPr>
          <t>Schumann, Ulrich:</t>
        </r>
        <r>
          <rPr>
            <sz val="8"/>
            <color indexed="81"/>
            <rFont val="Tahoma"/>
            <family val="2"/>
          </rPr>
          <t xml:space="preserve">
estimated</t>
        </r>
      </text>
    </comment>
    <comment ref="AZ3" authorId="0" shapeId="0" xr:uid="{00000000-0006-0000-0000-000003000000}">
      <text>
        <r>
          <rPr>
            <b/>
            <sz val="8"/>
            <color indexed="81"/>
            <rFont val="Tahoma"/>
            <family val="2"/>
          </rPr>
          <t>Schumann, Ulrich:</t>
        </r>
        <r>
          <rPr>
            <sz val="8"/>
            <color indexed="81"/>
            <rFont val="Tahoma"/>
            <family val="2"/>
          </rPr>
          <t xml:space="preserve">
estimated</t>
        </r>
      </text>
    </comment>
    <comment ref="BV3" authorId="0" shapeId="0" xr:uid="{00000000-0006-0000-0000-000004000000}">
      <text>
        <r>
          <rPr>
            <b/>
            <sz val="8"/>
            <color indexed="81"/>
            <rFont val="Tahoma"/>
            <family val="2"/>
          </rPr>
          <t>Schumann, Ulrich:</t>
        </r>
        <r>
          <rPr>
            <sz val="8"/>
            <color indexed="81"/>
            <rFont val="Tahoma"/>
            <family val="2"/>
          </rPr>
          <t xml:space="preserve">
0.02 and up to 0.04 cm-3 for particles lresolved with the instrument</t>
        </r>
      </text>
    </comment>
    <comment ref="CF3" authorId="0" shapeId="0" xr:uid="{00000000-0006-0000-0000-000005000000}">
      <text>
        <r>
          <rPr>
            <b/>
            <sz val="8"/>
            <color indexed="81"/>
            <rFont val="Tahoma"/>
            <family val="2"/>
          </rPr>
          <t>Schumann, Ulrich:</t>
        </r>
        <r>
          <rPr>
            <sz val="8"/>
            <color indexed="81"/>
            <rFont val="Tahoma"/>
            <family val="2"/>
          </rPr>
          <t xml:space="preserve">
1.5e10 omitted</t>
        </r>
      </text>
    </comment>
    <comment ref="BV4" authorId="0" shapeId="0" xr:uid="{00000000-0006-0000-0000-000006000000}">
      <text>
        <r>
          <rPr>
            <b/>
            <sz val="8"/>
            <color indexed="81"/>
            <rFont val="Tahoma"/>
            <family val="2"/>
          </rPr>
          <t>Schumann, Ulrich:</t>
        </r>
        <r>
          <rPr>
            <sz val="8"/>
            <color indexed="81"/>
            <rFont val="Tahoma"/>
            <family val="2"/>
          </rPr>
          <t xml:space="preserve">
0.02 and up to 0.04 cm-3</t>
        </r>
      </text>
    </comment>
    <comment ref="CF4" authorId="0" shapeId="0" xr:uid="{00000000-0006-0000-0000-000007000000}">
      <text>
        <r>
          <rPr>
            <b/>
            <sz val="8"/>
            <color indexed="81"/>
            <rFont val="Tahoma"/>
            <family val="2"/>
          </rPr>
          <t>Schumann, Ulrich:</t>
        </r>
        <r>
          <rPr>
            <sz val="8"/>
            <color indexed="81"/>
            <rFont val="Tahoma"/>
            <family val="2"/>
          </rPr>
          <t xml:space="preserve">
0.5e10 omitted</t>
        </r>
      </text>
    </comment>
    <comment ref="L5" authorId="0" shapeId="0" xr:uid="{00000000-0006-0000-0000-000008000000}">
      <text>
        <r>
          <rPr>
            <b/>
            <sz val="8"/>
            <color indexed="81"/>
            <rFont val="Tahoma"/>
            <family val="2"/>
          </rPr>
          <t>Schumann, Ulrich:</t>
        </r>
        <r>
          <rPr>
            <sz val="8"/>
            <color indexed="81"/>
            <rFont val="Tahoma"/>
            <family val="2"/>
          </rPr>
          <t xml:space="preserve">
Figure also shown in Poppoff et al. (1974), Fig. 4
 41900 feet , 490 knots, B-52 aircraft, figure shows sideview wake photos  at 1.5 min and 7 min age, with sketch of extrapolation until 10-20 min.
Poppofff et al. cite Hoshizaki  et al., CIAO, DOT-TST-90-3 (Dec. 1972)</t>
        </r>
      </text>
    </comment>
    <comment ref="AM5" authorId="0" shapeId="0" xr:uid="{00000000-0006-0000-0000-000009000000}">
      <text>
        <r>
          <rPr>
            <b/>
            <sz val="8"/>
            <color indexed="81"/>
            <rFont val="Tahoma"/>
            <family val="2"/>
          </rPr>
          <t>Schumann, Ulrich:</t>
        </r>
        <r>
          <rPr>
            <sz val="8"/>
            <color indexed="81"/>
            <rFont val="Tahoma"/>
            <family val="2"/>
          </rPr>
          <t xml:space="preserve">
estimated</t>
        </r>
      </text>
    </comment>
    <comment ref="E7" authorId="0" shapeId="0" xr:uid="{00000000-0006-0000-0000-00000A000000}">
      <text>
        <r>
          <rPr>
            <b/>
            <sz val="8"/>
            <color indexed="81"/>
            <rFont val="Tahoma"/>
            <family val="2"/>
          </rPr>
          <t>Schumann, Ulrich:</t>
        </r>
        <r>
          <rPr>
            <sz val="8"/>
            <color indexed="81"/>
            <rFont val="Tahoma"/>
            <family val="2"/>
          </rPr>
          <t xml:space="preserve">
added info from Andronache andf Chameides (JGR, 1997)</t>
        </r>
      </text>
    </comment>
    <comment ref="H7" authorId="0" shapeId="0" xr:uid="{00000000-0006-0000-0000-00000B000000}">
      <text>
        <r>
          <rPr>
            <b/>
            <sz val="8"/>
            <color indexed="81"/>
            <rFont val="Tahoma"/>
            <family val="2"/>
          </rPr>
          <t>Schumann, Ulrich:</t>
        </r>
        <r>
          <rPr>
            <sz val="8"/>
            <color indexed="81"/>
            <rFont val="Tahoma"/>
            <family val="2"/>
          </rPr>
          <t xml:space="preserve">
mean values from flights between 23 March and 13 April 1989 </t>
        </r>
      </text>
    </comment>
    <comment ref="W7" authorId="0" shapeId="0" xr:uid="{00000000-0006-0000-0000-00000C000000}">
      <text>
        <r>
          <rPr>
            <b/>
            <sz val="8"/>
            <color indexed="81"/>
            <rFont val="Tahoma"/>
            <family val="2"/>
          </rPr>
          <t>Schumann, Ulrich:</t>
        </r>
        <r>
          <rPr>
            <sz val="8"/>
            <color indexed="81"/>
            <rFont val="Tahoma"/>
            <family val="2"/>
          </rPr>
          <t xml:space="preserve">
from BADA,
far smaller values are lisited in Baumgardner et al., JGR (1998)</t>
        </r>
      </text>
    </comment>
    <comment ref="AN7" authorId="0" shapeId="0" xr:uid="{00000000-0006-0000-0000-00000D000000}">
      <text>
        <r>
          <rPr>
            <b/>
            <sz val="8"/>
            <color indexed="81"/>
            <rFont val="Tahoma"/>
            <family val="2"/>
          </rPr>
          <t>Schumann, Ulrich:</t>
        </r>
        <r>
          <rPr>
            <sz val="8"/>
            <color indexed="81"/>
            <rFont val="Tahoma"/>
            <family val="2"/>
          </rPr>
          <t xml:space="preserve">
from Baumgardner
 et al. , possibly for another flight</t>
        </r>
      </text>
    </comment>
    <comment ref="EI7" authorId="0" shapeId="0" xr:uid="{00000000-0006-0000-0000-00000E000000}">
      <text>
        <r>
          <rPr>
            <b/>
            <sz val="8"/>
            <color indexed="81"/>
            <rFont val="Tahoma"/>
            <family val="2"/>
          </rPr>
          <t>Schumann, Ulrich:</t>
        </r>
        <r>
          <rPr>
            <sz val="8"/>
            <color indexed="81"/>
            <rFont val="Tahoma"/>
            <family val="2"/>
          </rPr>
          <t xml:space="preserve">
This data set includes airborne measurements obtained from the NCAR Research Aviation Facility (RAF) Sabreliner aircraft (Tail Number: N307D) during the Contrail Studies Airborne Exhaust (CSAE) project.
</t>
        </r>
      </text>
    </comment>
    <comment ref="BZ10" authorId="0" shapeId="0" xr:uid="{00000000-0006-0000-0000-00000F000000}">
      <text>
        <r>
          <rPr>
            <b/>
            <sz val="8"/>
            <color indexed="81"/>
            <rFont val="Tahoma"/>
            <family val="2"/>
          </rPr>
          <t>Schumann, Ulrich:</t>
        </r>
        <r>
          <rPr>
            <sz val="8"/>
            <color indexed="81"/>
            <rFont val="Tahoma"/>
            <family val="2"/>
          </rPr>
          <t xml:space="preserve">
from modell calculation of Andronache and Chameides (1997) 10 mg/m3</t>
        </r>
      </text>
    </comment>
    <comment ref="E11" authorId="0" shapeId="0" xr:uid="{00000000-0006-0000-0000-000010000000}">
      <text>
        <r>
          <rPr>
            <b/>
            <sz val="8"/>
            <color indexed="81"/>
            <rFont val="Tahoma"/>
            <family val="2"/>
          </rPr>
          <t>Schumann, Ulrich:</t>
        </r>
        <r>
          <rPr>
            <sz val="8"/>
            <color indexed="81"/>
            <rFont val="Tahoma"/>
            <family val="2"/>
          </rPr>
          <t xml:space="preserve">
The ICE 1989 Field Phase Plan is available from Bibliothek Deutscher Wetterdienst DWD Potsdam.
also:
Hennings, D., M. Quante, and R. Sefzig, 1990: ICE, International Cirrus Experiment, 1989 Field Phase Report. Univ. Köln, available from Bibliothek Deutscher Wetterdienst, Offenbach, 129 pp.
also:
A data report of MERLIN data exists (J.-F. Gayet, 1990, unpublished), a partly scanned version is in the COLI data set. 
</t>
        </r>
      </text>
    </comment>
    <comment ref="F11" authorId="0" shapeId="0" xr:uid="{00000000-0006-0000-0000-000011000000}">
      <text>
        <r>
          <rPr>
            <b/>
            <sz val="8"/>
            <color indexed="81"/>
            <rFont val="Tahoma"/>
            <family val="2"/>
          </rPr>
          <t>Schumann, Ulrich:</t>
        </r>
        <r>
          <rPr>
            <sz val="8"/>
            <color indexed="81"/>
            <rFont val="Tahoma"/>
            <family val="2"/>
          </rPr>
          <t xml:space="preserve">
Detlef Hennings, pers communication 19 March 2016</t>
        </r>
      </text>
    </comment>
    <comment ref="AA11" authorId="0" shapeId="0" xr:uid="{00000000-0006-0000-0000-000012000000}">
      <text>
        <r>
          <rPr>
            <b/>
            <sz val="8"/>
            <color indexed="81"/>
            <rFont val="Tahoma"/>
            <family val="2"/>
          </rPr>
          <t>Schumann, Ulrich:</t>
        </r>
        <r>
          <rPr>
            <sz val="8"/>
            <color indexed="81"/>
            <rFont val="Tahoma"/>
            <family val="2"/>
          </rPr>
          <t xml:space="preserve">
Markus Quante: 
Den Erinnerungen von Frank Albers folgend und bei den hohen Turbulenzintensitäten würde ich eher zu den kürzeren Lebenszeiten tendieren (5-8 Minuten).</t>
        </r>
      </text>
    </comment>
    <comment ref="BA11" authorId="0" shapeId="0" xr:uid="{00000000-0006-0000-0000-000013000000}">
      <text>
        <r>
          <rPr>
            <b/>
            <sz val="8"/>
            <color indexed="81"/>
            <rFont val="Tahoma"/>
            <family val="2"/>
          </rPr>
          <t>Schumann, Ulrich:</t>
        </r>
        <r>
          <rPr>
            <sz val="8"/>
            <color indexed="81"/>
            <rFont val="Tahoma"/>
            <family val="2"/>
          </rPr>
          <t xml:space="preserve">
Quante, p. 153</t>
        </r>
      </text>
    </comment>
    <comment ref="BZ11" authorId="0" shapeId="0" xr:uid="{00000000-0006-0000-0000-000014000000}">
      <text>
        <r>
          <rPr>
            <b/>
            <sz val="8"/>
            <color indexed="81"/>
            <rFont val="Tahoma"/>
            <family val="2"/>
          </rPr>
          <t>Schumann, Ulrich:</t>
        </r>
        <r>
          <rPr>
            <sz val="8"/>
            <color indexed="81"/>
            <rFont val="Tahoma"/>
            <family val="2"/>
          </rPr>
          <t xml:space="preserve">
&gt; 40 according to Quante</t>
        </r>
      </text>
    </comment>
    <comment ref="Q12" authorId="0" shapeId="0" xr:uid="{00000000-0006-0000-0000-000015000000}">
      <text>
        <r>
          <rPr>
            <b/>
            <sz val="8"/>
            <color indexed="81"/>
            <rFont val="Tahoma"/>
            <family val="2"/>
          </rPr>
          <t>Schumann, Ulrich:</t>
        </r>
        <r>
          <rPr>
            <sz val="8"/>
            <color indexed="81"/>
            <rFont val="Tahoma"/>
            <family val="2"/>
          </rPr>
          <t xml:space="preserve">
ICE number: personal communication J.-F. Gayet, 2016</t>
        </r>
      </text>
    </comment>
    <comment ref="AA12" authorId="0" shapeId="0" xr:uid="{00000000-0006-0000-0000-000016000000}">
      <text>
        <r>
          <rPr>
            <b/>
            <sz val="8"/>
            <color indexed="81"/>
            <rFont val="Tahoma"/>
            <family val="2"/>
          </rPr>
          <t>Schumann, Ulrich:</t>
        </r>
        <r>
          <rPr>
            <sz val="8"/>
            <color indexed="81"/>
            <rFont val="Tahoma"/>
            <family val="2"/>
          </rPr>
          <t xml:space="preserve">
estimated</t>
        </r>
      </text>
    </comment>
    <comment ref="AT16" authorId="0" shapeId="0" xr:uid="{00000000-0006-0000-0000-000017000000}">
      <text>
        <r>
          <rPr>
            <b/>
            <sz val="8"/>
            <color indexed="81"/>
            <rFont val="Tahoma"/>
            <family val="2"/>
          </rPr>
          <t>Schumann, Ulrich:</t>
        </r>
        <r>
          <rPr>
            <sz val="8"/>
            <color indexed="81"/>
            <rFont val="Tahoma"/>
            <family val="2"/>
          </rPr>
          <t xml:space="preserve">
Radiosonde Norderney for given altitude</t>
        </r>
      </text>
    </comment>
    <comment ref="E28" authorId="0" shapeId="0" xr:uid="{00000000-0006-0000-0000-000018000000}">
      <text>
        <r>
          <rPr>
            <b/>
            <sz val="8"/>
            <color indexed="81"/>
            <rFont val="Tahoma"/>
            <family val="2"/>
          </rPr>
          <t xml:space="preserve">Schumann, Ulrich:
see also
NASA CR 195842 </t>
        </r>
        <r>
          <rPr>
            <sz val="8"/>
            <color indexed="81"/>
            <rFont val="Tahoma"/>
            <family val="2"/>
          </rPr>
          <t xml:space="preserve">
http://ntrs.nasa.gov/archive/nasa/casi.ntrs.nasa.gov/19940029629.pdf</t>
        </r>
      </text>
    </comment>
    <comment ref="R28" authorId="0" shapeId="0" xr:uid="{00000000-0006-0000-0000-000019000000}">
      <text>
        <r>
          <rPr>
            <b/>
            <sz val="8"/>
            <color indexed="81"/>
            <rFont val="Tahoma"/>
            <family val="2"/>
          </rPr>
          <t>Schumann, Ulrich:</t>
        </r>
        <r>
          <rPr>
            <sz val="8"/>
            <color indexed="81"/>
            <rFont val="Tahoma"/>
            <family val="2"/>
          </rPr>
          <t xml:space="preserve">
http://aviation-safety.net/database/types/Cessna-550-Citation-II/index</t>
        </r>
      </text>
    </comment>
    <comment ref="U28" authorId="0" shapeId="0" xr:uid="{00000000-0006-0000-0000-00001A000000}">
      <text>
        <r>
          <rPr>
            <b/>
            <sz val="8"/>
            <color indexed="81"/>
            <rFont val="Tahoma"/>
            <family val="2"/>
          </rPr>
          <t>Schumann, Ulrich:</t>
        </r>
        <r>
          <rPr>
            <sz val="8"/>
            <color indexed="81"/>
            <rFont val="Tahoma"/>
            <family val="2"/>
          </rPr>
          <t xml:space="preserve">
http://www.flugzeuginfo.net/acdata_php/acdata_cit550_en.php</t>
        </r>
      </text>
    </comment>
    <comment ref="V28" authorId="0" shapeId="0" xr:uid="{00000000-0006-0000-0000-00001B000000}">
      <text>
        <r>
          <rPr>
            <b/>
            <sz val="8"/>
            <color indexed="81"/>
            <rFont val="Tahoma"/>
            <family val="2"/>
          </rPr>
          <t>Schumann, Ulrich:</t>
        </r>
        <r>
          <rPr>
            <sz val="8"/>
            <color indexed="81"/>
            <rFont val="Tahoma"/>
            <family val="2"/>
          </rPr>
          <t xml:space="preserve">
http://www.flugzeuginfo.net/acdata_php/acdata_cit550_en.php</t>
        </r>
      </text>
    </comment>
    <comment ref="EI28" authorId="0" shapeId="0" xr:uid="{00000000-0006-0000-0000-00001C000000}">
      <text>
        <r>
          <rPr>
            <b/>
            <sz val="8"/>
            <color indexed="81"/>
            <rFont val="Tahoma"/>
            <family val="2"/>
          </rPr>
          <t>Schumann, Ulrich:</t>
        </r>
        <r>
          <rPr>
            <sz val="8"/>
            <color indexed="81"/>
            <rFont val="Tahoma"/>
            <family val="2"/>
          </rPr>
          <t xml:space="preserve">
First ISCCP Regional Experiment (FIRE) Cirrus 2 University of North Dakota Citation Aircraft Langley DAAC Data Set Document
The data were not accessible to the author of this table</t>
        </r>
      </text>
    </comment>
    <comment ref="AP38" authorId="0" shapeId="0" xr:uid="{00000000-0006-0000-0000-00001D000000}">
      <text>
        <r>
          <rPr>
            <b/>
            <sz val="8"/>
            <color indexed="81"/>
            <rFont val="Tahoma"/>
            <family val="2"/>
          </rPr>
          <t>Schumann, Ulrich:</t>
        </r>
        <r>
          <rPr>
            <sz val="8"/>
            <color indexed="81"/>
            <rFont val="Tahoma"/>
            <family val="2"/>
          </rPr>
          <t xml:space="preserve">
estimated</t>
        </r>
      </text>
    </comment>
    <comment ref="AT38" authorId="0" shapeId="0" xr:uid="{00000000-0006-0000-0000-00001E000000}">
      <text>
        <r>
          <rPr>
            <b/>
            <sz val="8"/>
            <color indexed="81"/>
            <rFont val="Tahoma"/>
            <family val="2"/>
          </rPr>
          <t>Schumann, Ulrich:</t>
        </r>
        <r>
          <rPr>
            <sz val="8"/>
            <color indexed="81"/>
            <rFont val="Tahoma"/>
            <family val="2"/>
          </rPr>
          <t xml:space="preserve">
Wendling report</t>
        </r>
      </text>
    </comment>
    <comment ref="BX39" authorId="0" shapeId="0" xr:uid="{00000000-0006-0000-0000-00001F000000}">
      <text>
        <r>
          <rPr>
            <b/>
            <sz val="8"/>
            <color indexed="81"/>
            <rFont val="Tahoma"/>
            <family val="2"/>
          </rPr>
          <t>Schumann, Ulrich:</t>
        </r>
        <r>
          <rPr>
            <sz val="8"/>
            <color indexed="81"/>
            <rFont val="Tahoma"/>
            <family val="2"/>
          </rPr>
          <t xml:space="preserve">
Wendling 1997</t>
        </r>
      </text>
    </comment>
    <comment ref="K40" authorId="0" shapeId="0" xr:uid="{00000000-0006-0000-0000-000020000000}">
      <text>
        <r>
          <rPr>
            <b/>
            <sz val="8"/>
            <color indexed="81"/>
            <rFont val="Tahoma"/>
            <family val="2"/>
          </rPr>
          <t>Schumann, Ulrich:</t>
        </r>
        <r>
          <rPr>
            <sz val="8"/>
            <color indexed="81"/>
            <rFont val="Tahoma"/>
            <family val="2"/>
          </rPr>
          <t xml:space="preserve">
paper say 17:00 but may be MEZ</t>
        </r>
      </text>
    </comment>
    <comment ref="AS40" authorId="0" shapeId="0" xr:uid="{00000000-0006-0000-0000-000021000000}">
      <text>
        <r>
          <rPr>
            <b/>
            <sz val="8"/>
            <color indexed="81"/>
            <rFont val="Tahoma"/>
            <family val="2"/>
          </rPr>
          <t>Schumann, Ulrich:</t>
        </r>
        <r>
          <rPr>
            <sz val="8"/>
            <color indexed="81"/>
            <rFont val="Tahoma"/>
            <family val="2"/>
          </rPr>
          <t xml:space="preserve">
estimated</t>
        </r>
      </text>
    </comment>
    <comment ref="AT40" authorId="0" shapeId="0" xr:uid="{00000000-0006-0000-0000-000022000000}">
      <text>
        <r>
          <rPr>
            <b/>
            <sz val="8"/>
            <color indexed="81"/>
            <rFont val="Tahoma"/>
            <family val="2"/>
          </rPr>
          <t>Schumann, Ulrich:</t>
        </r>
        <r>
          <rPr>
            <sz val="8"/>
            <color indexed="81"/>
            <rFont val="Tahoma"/>
            <family val="2"/>
          </rPr>
          <t xml:space="preserve">
from estiamted altitude assuming uplifting motion</t>
        </r>
      </text>
    </comment>
    <comment ref="AX40" authorId="0" shapeId="0" xr:uid="{00000000-0006-0000-0000-000023000000}">
      <text>
        <r>
          <rPr>
            <b/>
            <sz val="8"/>
            <color indexed="81"/>
            <rFont val="Tahoma"/>
            <family val="2"/>
          </rPr>
          <t>Schumann, Ulrich:</t>
        </r>
        <r>
          <rPr>
            <sz val="8"/>
            <color indexed="81"/>
            <rFont val="Tahoma"/>
            <family val="2"/>
          </rPr>
          <t xml:space="preserve">
Radiosonde</t>
        </r>
      </text>
    </comment>
    <comment ref="BA40" authorId="0" shapeId="0" xr:uid="{00000000-0006-0000-0000-000024000000}">
      <text>
        <r>
          <rPr>
            <b/>
            <sz val="8"/>
            <color indexed="81"/>
            <rFont val="Tahoma"/>
            <family val="2"/>
          </rPr>
          <t>Schumann, Ulrich:</t>
        </r>
        <r>
          <rPr>
            <sz val="8"/>
            <color indexed="81"/>
            <rFont val="Tahoma"/>
            <family val="2"/>
          </rPr>
          <t xml:space="preserve">
Radiosonde</t>
        </r>
      </text>
    </comment>
    <comment ref="BD40" authorId="0" shapeId="0" xr:uid="{00000000-0006-0000-0000-000025000000}">
      <text>
        <r>
          <rPr>
            <b/>
            <sz val="8"/>
            <color indexed="81"/>
            <rFont val="Tahoma"/>
            <family val="2"/>
          </rPr>
          <t>Schumann, Ulrich:</t>
        </r>
        <r>
          <rPr>
            <sz val="8"/>
            <color indexed="81"/>
            <rFont val="Tahoma"/>
            <family val="2"/>
          </rPr>
          <t xml:space="preserve">
Radiosonde</t>
        </r>
      </text>
    </comment>
    <comment ref="BM40" authorId="0" shapeId="0" xr:uid="{00000000-0006-0000-0000-000026000000}">
      <text>
        <r>
          <rPr>
            <b/>
            <sz val="8"/>
            <color indexed="81"/>
            <rFont val="Tahoma"/>
            <family val="2"/>
          </rPr>
          <t>Schumann, Ulrich:</t>
        </r>
        <r>
          <rPr>
            <sz val="8"/>
            <color indexed="81"/>
            <rFont val="Tahoma"/>
            <family val="2"/>
          </rPr>
          <t xml:space="preserve">
Fig 5</t>
        </r>
      </text>
    </comment>
    <comment ref="BP40" authorId="0" shapeId="0" xr:uid="{00000000-0006-0000-0000-000027000000}">
      <text>
        <r>
          <rPr>
            <b/>
            <sz val="8"/>
            <color indexed="81"/>
            <rFont val="Tahoma"/>
            <family val="2"/>
          </rPr>
          <t>Schumann, Ulrich:</t>
        </r>
        <r>
          <rPr>
            <sz val="8"/>
            <color indexed="81"/>
            <rFont val="Tahoma"/>
            <family val="2"/>
          </rPr>
          <t xml:space="preserve">
Fig 5</t>
        </r>
      </text>
    </comment>
    <comment ref="BS40" authorId="0" shapeId="0" xr:uid="{00000000-0006-0000-0000-000028000000}">
      <text>
        <r>
          <rPr>
            <b/>
            <sz val="8"/>
            <color indexed="81"/>
            <rFont val="Tahoma"/>
            <family val="2"/>
          </rPr>
          <t>Schumann, Ulrich:</t>
        </r>
        <r>
          <rPr>
            <sz val="8"/>
            <color indexed="81"/>
            <rFont val="Tahoma"/>
            <family val="2"/>
          </rPr>
          <t xml:space="preserve">
Fig 5</t>
        </r>
      </text>
    </comment>
    <comment ref="CI40" authorId="0" shapeId="0" xr:uid="{00000000-0006-0000-0000-000029000000}">
      <text>
        <r>
          <rPr>
            <b/>
            <sz val="8"/>
            <color indexed="81"/>
            <rFont val="Tahoma"/>
            <family val="2"/>
          </rPr>
          <t>Schumann, Ulrich:</t>
        </r>
        <r>
          <rPr>
            <sz val="8"/>
            <color indexed="81"/>
            <rFont val="Tahoma"/>
            <family val="2"/>
          </rPr>
          <t xml:space="preserve">
Fig 6f</t>
        </r>
      </text>
    </comment>
    <comment ref="HO40" authorId="0" shapeId="0" xr:uid="{00000000-0006-0000-0000-00002A000000}">
      <text>
        <r>
          <rPr>
            <b/>
            <sz val="8"/>
            <color indexed="81"/>
            <rFont val="Tahoma"/>
            <family val="2"/>
          </rPr>
          <t>Schumann, Ulrich:</t>
        </r>
        <r>
          <rPr>
            <sz val="8"/>
            <color indexed="81"/>
            <rFont val="Tahoma"/>
            <family val="2"/>
          </rPr>
          <t xml:space="preserve">
Fig 6f</t>
        </r>
      </text>
    </comment>
    <comment ref="K46" authorId="0" shapeId="0" xr:uid="{00000000-0006-0000-0000-00002B000000}">
      <text>
        <r>
          <rPr>
            <b/>
            <sz val="8"/>
            <color indexed="81"/>
            <rFont val="Tahoma"/>
            <family val="2"/>
          </rPr>
          <t>Schumann, Ulrich:</t>
        </r>
        <r>
          <rPr>
            <sz val="8"/>
            <color indexed="81"/>
            <rFont val="Tahoma"/>
            <family val="2"/>
          </rPr>
          <t xml:space="preserve">
It is unknown whether the times are MEZ or MESZ (summer time)
</t>
        </r>
      </text>
    </comment>
    <comment ref="BV84" authorId="0" shapeId="0" xr:uid="{00000000-0006-0000-0000-00002C000000}">
      <text>
        <r>
          <rPr>
            <b/>
            <sz val="8"/>
            <color indexed="81"/>
            <rFont val="Tahoma"/>
            <family val="2"/>
          </rPr>
          <t>Schumann, Ulrich:</t>
        </r>
        <r>
          <rPr>
            <sz val="8"/>
            <color indexed="81"/>
            <rFont val="Tahoma"/>
            <family val="2"/>
          </rPr>
          <t xml:space="preserve">
7ß, too small, omitted</t>
        </r>
      </text>
    </comment>
    <comment ref="Q93" authorId="0" shapeId="0" xr:uid="{00000000-0006-0000-0000-00002D000000}">
      <text>
        <r>
          <rPr>
            <b/>
            <sz val="8"/>
            <color indexed="81"/>
            <rFont val="Tahoma"/>
            <family val="2"/>
          </rPr>
          <t>Schumann, Ulrich:</t>
        </r>
        <r>
          <rPr>
            <sz val="8"/>
            <color indexed="81"/>
            <rFont val="Tahoma"/>
            <family val="2"/>
          </rPr>
          <t xml:space="preserve">
die drei Scans 0623-1A bis 1C gehören zu einem KS</t>
        </r>
      </text>
    </comment>
    <comment ref="CL109" authorId="0" shapeId="0" xr:uid="{00000000-0006-0000-0000-00002E000000}">
      <text>
        <r>
          <rPr>
            <b/>
            <sz val="8"/>
            <color indexed="81"/>
            <rFont val="Tahoma"/>
            <family val="2"/>
          </rPr>
          <t>Schumann, Ulrich:</t>
        </r>
        <r>
          <rPr>
            <sz val="8"/>
            <color indexed="81"/>
            <rFont val="Tahoma"/>
            <family val="2"/>
          </rPr>
          <t xml:space="preserve">
estimated from nice and IWC</t>
        </r>
      </text>
    </comment>
    <comment ref="Y110" authorId="0" shapeId="0" xr:uid="{00000000-0006-0000-0000-00002F000000}">
      <text>
        <r>
          <rPr>
            <b/>
            <sz val="8"/>
            <color indexed="81"/>
            <rFont val="Tahoma"/>
            <family val="2"/>
          </rPr>
          <t>Schumann, Ulrich:</t>
        </r>
        <r>
          <rPr>
            <sz val="8"/>
            <color indexed="81"/>
            <rFont val="Tahoma"/>
            <family val="2"/>
          </rPr>
          <t xml:space="preserve">
Petzold</t>
        </r>
      </text>
    </comment>
    <comment ref="CA110" authorId="0" shapeId="0" xr:uid="{00000000-0006-0000-0000-000030000000}">
      <text>
        <r>
          <rPr>
            <b/>
            <sz val="8"/>
            <color indexed="81"/>
            <rFont val="Tahoma"/>
            <family val="2"/>
          </rPr>
          <t>Schumann, Ulrich:</t>
        </r>
        <r>
          <rPr>
            <sz val="8"/>
            <color indexed="81"/>
            <rFont val="Tahoma"/>
            <family val="2"/>
          </rPr>
          <t xml:space="preserve">
Petzold et al. 1997</t>
        </r>
      </text>
    </comment>
    <comment ref="HR114" authorId="0" shapeId="0" xr:uid="{00000000-0006-0000-0000-000031000000}">
      <text>
        <r>
          <rPr>
            <b/>
            <sz val="8"/>
            <color indexed="81"/>
            <rFont val="Tahoma"/>
            <family val="2"/>
          </rPr>
          <t>Schumann, Ulrich:</t>
        </r>
        <r>
          <rPr>
            <sz val="8"/>
            <color indexed="81"/>
            <rFont val="Tahoma"/>
            <family val="2"/>
          </rPr>
          <t xml:space="preserve">
estimated from nice and IWC</t>
        </r>
      </text>
    </comment>
    <comment ref="AK117" authorId="0" shapeId="0" xr:uid="{00000000-0006-0000-0000-000032000000}">
      <text>
        <r>
          <rPr>
            <b/>
            <sz val="8"/>
            <color indexed="81"/>
            <rFont val="Tahoma"/>
            <family val="2"/>
          </rPr>
          <t>Schumann, Ulrich:</t>
        </r>
        <r>
          <rPr>
            <sz val="8"/>
            <color indexed="81"/>
            <rFont val="Tahoma"/>
            <family val="2"/>
          </rPr>
          <t xml:space="preserve">
lower bound = Mullins</t>
        </r>
      </text>
    </comment>
    <comment ref="H122" authorId="0" shapeId="0" xr:uid="{00000000-0006-0000-0000-000033000000}">
      <text>
        <r>
          <rPr>
            <b/>
            <sz val="8"/>
            <color indexed="81"/>
            <rFont val="Tahoma"/>
            <family val="2"/>
          </rPr>
          <t>Schumann, Ulrich:</t>
        </r>
        <r>
          <rPr>
            <sz val="8"/>
            <color indexed="81"/>
            <rFont val="Tahoma"/>
            <family val="2"/>
          </rPr>
          <t xml:space="preserve">
extra observation, possibly 22 or 23 April 1996</t>
        </r>
      </text>
    </comment>
    <comment ref="G132" authorId="0" shapeId="0" xr:uid="{00000000-0006-0000-0000-000034000000}">
      <text>
        <r>
          <rPr>
            <b/>
            <sz val="8"/>
            <color indexed="81"/>
            <rFont val="Tahoma"/>
            <family val="2"/>
          </rPr>
          <t>Schumann, Ulrich:</t>
        </r>
        <r>
          <rPr>
            <sz val="8"/>
            <color indexed="81"/>
            <rFont val="Tahoma"/>
            <family val="2"/>
          </rPr>
          <t xml:space="preserve">
estimated</t>
        </r>
      </text>
    </comment>
    <comment ref="C133" authorId="0" shapeId="0" xr:uid="{00000000-0006-0000-0000-000035000000}">
      <text>
        <r>
          <rPr>
            <b/>
            <sz val="8"/>
            <color indexed="81"/>
            <rFont val="Tahoma"/>
            <family val="2"/>
          </rPr>
          <t>Schumann, Ulrich:</t>
        </r>
        <r>
          <rPr>
            <sz val="8"/>
            <color indexed="81"/>
            <rFont val="Tahoma"/>
            <family val="2"/>
          </rPr>
          <t xml:space="preserve">
could be 70 s age; uncertain</t>
        </r>
      </text>
    </comment>
    <comment ref="BZ134" authorId="0" shapeId="0" xr:uid="{00000000-0006-0000-0000-000036000000}">
      <text>
        <r>
          <rPr>
            <b/>
            <sz val="8"/>
            <color indexed="81"/>
            <rFont val="Tahoma"/>
            <family val="2"/>
          </rPr>
          <t>Schumann, Ulrich:</t>
        </r>
        <r>
          <rPr>
            <sz val="8"/>
            <color indexed="81"/>
            <rFont val="Tahoma"/>
            <family val="2"/>
          </rPr>
          <t xml:space="preserve">
far larger IWC values of 50 (30-80) mg m-3 are given in the paper, likely because of contributions form ambient cirrus</t>
        </r>
      </text>
    </comment>
    <comment ref="EI135" authorId="0" shapeId="0" xr:uid="{00000000-0006-0000-0000-000037000000}">
      <text>
        <r>
          <rPr>
            <b/>
            <sz val="8"/>
            <color indexed="81"/>
            <rFont val="Tahoma"/>
            <family val="2"/>
          </rPr>
          <t>Schumann, Ulrich:</t>
        </r>
        <r>
          <rPr>
            <sz val="8"/>
            <color indexed="81"/>
            <rFont val="Tahoma"/>
            <family val="2"/>
          </rPr>
          <t xml:space="preserve">
Andy Heymsfield provided a subset of DC8 data, available in success512_1hz.zip</t>
        </r>
      </text>
    </comment>
    <comment ref="G142" authorId="0" shapeId="0" xr:uid="{00000000-0006-0000-0000-000038000000}">
      <text>
        <r>
          <rPr>
            <b/>
            <sz val="8"/>
            <color indexed="81"/>
            <rFont val="Tahoma"/>
            <family val="2"/>
          </rPr>
          <t>Schumann, Ulrich:</t>
        </r>
        <r>
          <rPr>
            <sz val="8"/>
            <color indexed="81"/>
            <rFont val="Tahoma"/>
            <family val="2"/>
          </rPr>
          <t xml:space="preserve">
estiamted</t>
        </r>
      </text>
    </comment>
    <comment ref="EI142" authorId="0" shapeId="0" xr:uid="{00000000-0006-0000-0000-000039000000}">
      <text>
        <r>
          <rPr>
            <b/>
            <sz val="8"/>
            <color indexed="81"/>
            <rFont val="Tahoma"/>
            <family val="2"/>
          </rPr>
          <t>Schumann, Ulrich:</t>
        </r>
        <r>
          <rPr>
            <sz val="8"/>
            <color indexed="81"/>
            <rFont val="Tahoma"/>
            <family val="2"/>
          </rPr>
          <t xml:space="preserve">
,see also Aerosol.franz on J</t>
        </r>
      </text>
    </comment>
    <comment ref="EJ147" authorId="0" shapeId="0" xr:uid="{00000000-0006-0000-0000-00003A000000}">
      <text>
        <r>
          <rPr>
            <b/>
            <sz val="8"/>
            <color indexed="81"/>
            <rFont val="Tahoma"/>
            <family val="2"/>
          </rPr>
          <t>Schumann, Ulrich:</t>
        </r>
        <r>
          <rPr>
            <sz val="8"/>
            <color indexed="81"/>
            <rFont val="Tahoma"/>
            <family val="2"/>
          </rPr>
          <t xml:space="preserve">
traffic data are available until 16 UTC 9 Sept 2001 from http://www-pm.larc.nasa.gov/prod/flttrkdbase/
see also
http://www-pm.larc.nasa.gov/sass/airtraffic_shutdown.html</t>
        </r>
      </text>
    </comment>
    <comment ref="U153" authorId="0" shapeId="0" xr:uid="{00000000-0006-0000-0000-00003B000000}">
      <text>
        <r>
          <rPr>
            <b/>
            <sz val="8"/>
            <color indexed="81"/>
            <rFont val="Tahoma"/>
            <family val="2"/>
          </rPr>
          <t>Schumann, Ulrich:</t>
        </r>
        <r>
          <rPr>
            <sz val="8"/>
            <color indexed="81"/>
            <rFont val="Tahoma"/>
            <family val="2"/>
          </rPr>
          <t xml:space="preserve">
aircraft: pure estimate</t>
        </r>
      </text>
    </comment>
    <comment ref="C170" authorId="0" shapeId="0" xr:uid="{00000000-0006-0000-0000-00003C000000}">
      <text>
        <r>
          <rPr>
            <b/>
            <sz val="8"/>
            <color indexed="81"/>
            <rFont val="Tahoma"/>
            <family val="2"/>
          </rPr>
          <t>Schumann, Ulrich:</t>
        </r>
        <r>
          <rPr>
            <sz val="8"/>
            <color indexed="81"/>
            <rFont val="Tahoma"/>
            <family val="2"/>
          </rPr>
          <t xml:space="preserve">
=0.5(agemin+agemax)</t>
        </r>
      </text>
    </comment>
    <comment ref="E170" authorId="0" shapeId="0" xr:uid="{00000000-0006-0000-0000-00003D000000}">
      <text>
        <r>
          <rPr>
            <b/>
            <sz val="8"/>
            <color indexed="81"/>
            <rFont val="Tahoma"/>
            <family val="2"/>
          </rPr>
          <t>Schumann, Ulrich:</t>
        </r>
        <r>
          <rPr>
            <sz val="8"/>
            <color indexed="81"/>
            <rFont val="Tahoma"/>
            <family val="2"/>
          </rPr>
          <t xml:space="preserve">
extended from Minnis et al. (2002)</t>
        </r>
      </text>
    </comment>
    <comment ref="T170" authorId="0" shapeId="0" xr:uid="{00000000-0006-0000-0000-00003E000000}">
      <text>
        <r>
          <rPr>
            <b/>
            <sz val="8"/>
            <color indexed="81"/>
            <rFont val="Tahoma"/>
            <family val="2"/>
          </rPr>
          <t>Schumann, Ulrich:</t>
        </r>
        <r>
          <rPr>
            <sz val="8"/>
            <color indexed="81"/>
            <rFont val="Tahoma"/>
            <family val="2"/>
          </rPr>
          <t xml:space="preserve">
possibly AF1</t>
        </r>
      </text>
    </comment>
    <comment ref="V170" authorId="0" shapeId="0" xr:uid="{00000000-0006-0000-0000-00003F000000}">
      <text>
        <r>
          <rPr>
            <b/>
            <sz val="8"/>
            <color indexed="81"/>
            <rFont val="Tahoma"/>
            <family val="2"/>
          </rPr>
          <t>Schumann, Ulrich:</t>
        </r>
        <r>
          <rPr>
            <sz val="8"/>
            <color indexed="81"/>
            <rFont val="Tahoma"/>
            <family val="2"/>
          </rPr>
          <t xml:space="preserve">
estimated</t>
        </r>
      </text>
    </comment>
    <comment ref="W170" authorId="0" shapeId="0" xr:uid="{00000000-0006-0000-0000-000040000000}">
      <text>
        <r>
          <rPr>
            <b/>
            <sz val="8"/>
            <color indexed="81"/>
            <rFont val="Tahoma"/>
            <family val="2"/>
          </rPr>
          <t>Schumann, Ulrich:</t>
        </r>
        <r>
          <rPr>
            <sz val="8"/>
            <color indexed="81"/>
            <rFont val="Tahoma"/>
            <family val="2"/>
          </rPr>
          <t xml:space="preserve">
estimated</t>
        </r>
      </text>
    </comment>
    <comment ref="X170" authorId="0" shapeId="0" xr:uid="{00000000-0006-0000-0000-000041000000}">
      <text>
        <r>
          <rPr>
            <b/>
            <sz val="8"/>
            <color indexed="81"/>
            <rFont val="Tahoma"/>
            <family val="2"/>
          </rPr>
          <t>Schumann, Ulrich:</t>
        </r>
        <r>
          <rPr>
            <sz val="8"/>
            <color indexed="81"/>
            <rFont val="Tahoma"/>
            <family val="2"/>
          </rPr>
          <t xml:space="preserve">
estiamated</t>
        </r>
      </text>
    </comment>
    <comment ref="Y170" authorId="0" shapeId="0" xr:uid="{00000000-0006-0000-0000-000042000000}">
      <text>
        <r>
          <rPr>
            <b/>
            <sz val="8"/>
            <color indexed="81"/>
            <rFont val="Tahoma"/>
            <family val="2"/>
          </rPr>
          <t>Schumann, Ulrich:</t>
        </r>
        <r>
          <rPr>
            <sz val="8"/>
            <color indexed="81"/>
            <rFont val="Tahoma"/>
            <family val="2"/>
          </rPr>
          <t xml:space="preserve">
estimated</t>
        </r>
      </text>
    </comment>
    <comment ref="Z170" authorId="0" shapeId="0" xr:uid="{00000000-0006-0000-0000-000043000000}">
      <text>
        <r>
          <rPr>
            <b/>
            <sz val="8"/>
            <color indexed="81"/>
            <rFont val="Tahoma"/>
            <family val="2"/>
          </rPr>
          <t>Schumann, Ulrich:</t>
        </r>
        <r>
          <rPr>
            <sz val="8"/>
            <color indexed="81"/>
            <rFont val="Tahoma"/>
            <family val="2"/>
          </rPr>
          <t xml:space="preserve">
estimated, may be also 270°</t>
        </r>
      </text>
    </comment>
    <comment ref="AA170" authorId="0" shapeId="0" xr:uid="{00000000-0006-0000-0000-000044000000}">
      <text>
        <r>
          <rPr>
            <b/>
            <sz val="8"/>
            <color indexed="81"/>
            <rFont val="Tahoma"/>
            <family val="2"/>
          </rPr>
          <t>Schumann, Ulrich:</t>
        </r>
        <r>
          <rPr>
            <sz val="8"/>
            <color indexed="81"/>
            <rFont val="Tahoma"/>
            <family val="2"/>
          </rPr>
          <t xml:space="preserve">
=0.5(agemin+agemax)</t>
        </r>
      </text>
    </comment>
    <comment ref="CL170" authorId="0" shapeId="0" xr:uid="{00000000-0006-0000-0000-000045000000}">
      <text>
        <r>
          <rPr>
            <b/>
            <sz val="8"/>
            <color indexed="81"/>
            <rFont val="Tahoma"/>
            <family val="2"/>
          </rPr>
          <t>Schumann, Ulrich:</t>
        </r>
        <r>
          <rPr>
            <sz val="8"/>
            <color indexed="81"/>
            <rFont val="Tahoma"/>
            <family val="2"/>
          </rPr>
          <t xml:space="preserve">
estimated from r_eff asssuming C=rvol/reff=0.7</t>
        </r>
      </text>
    </comment>
    <comment ref="CQ170" authorId="0" shapeId="0" xr:uid="{00000000-0006-0000-0000-000046000000}">
      <text>
        <r>
          <rPr>
            <b/>
            <sz val="8"/>
            <color indexed="81"/>
            <rFont val="Tahoma"/>
            <family val="2"/>
          </rPr>
          <t>Schumann, Ulrich:</t>
        </r>
        <r>
          <rPr>
            <sz val="8"/>
            <color indexed="81"/>
            <rFont val="Tahoma"/>
            <family val="2"/>
          </rPr>
          <t xml:space="preserve">
median and 25-75 % percentiles</t>
        </r>
      </text>
    </comment>
    <comment ref="DA170" authorId="0" shapeId="0" xr:uid="{00000000-0006-0000-0000-000047000000}">
      <text>
        <r>
          <rPr>
            <b/>
            <sz val="8"/>
            <color indexed="81"/>
            <rFont val="Tahoma"/>
            <family val="2"/>
          </rPr>
          <t>Schumann, Ulrich:</t>
        </r>
        <r>
          <rPr>
            <sz val="8"/>
            <color indexed="81"/>
            <rFont val="Tahoma"/>
            <family val="2"/>
          </rPr>
          <t xml:space="preserve">
median and 10-90
% percentiles</t>
        </r>
      </text>
    </comment>
    <comment ref="DD170" authorId="0" shapeId="0" xr:uid="{00000000-0006-0000-0000-000048000000}">
      <text>
        <r>
          <rPr>
            <b/>
            <sz val="8"/>
            <color indexed="81"/>
            <rFont val="Tahoma"/>
            <family val="2"/>
          </rPr>
          <t>Schumann, Ulrich:</t>
        </r>
        <r>
          <rPr>
            <sz val="8"/>
            <color indexed="81"/>
            <rFont val="Tahoma"/>
            <family val="2"/>
          </rPr>
          <t xml:space="preserve">
EA from widht* tau (median. 25
 and 75% percentiles)</t>
        </r>
      </text>
    </comment>
    <comment ref="E185" authorId="0" shapeId="0" xr:uid="{00000000-0006-0000-0000-000049000000}">
      <text>
        <r>
          <rPr>
            <b/>
            <sz val="8"/>
            <color indexed="81"/>
            <rFont val="Tahoma"/>
            <family val="2"/>
          </rPr>
          <t>Schumann, Ulrich:</t>
        </r>
        <r>
          <rPr>
            <sz val="8"/>
            <color indexed="81"/>
            <rFont val="Tahoma"/>
            <family val="2"/>
          </rPr>
          <t xml:space="preserve">
nice data from personal communication, April 2016</t>
        </r>
      </text>
    </comment>
    <comment ref="V185" authorId="0" shapeId="0" xr:uid="{00000000-0006-0000-0000-00004A000000}">
      <text>
        <r>
          <rPr>
            <b/>
            <sz val="8"/>
            <color indexed="81"/>
            <rFont val="Tahoma"/>
            <family val="2"/>
          </rPr>
          <t>Schumann, Ulrich:</t>
        </r>
        <r>
          <rPr>
            <sz val="8"/>
            <color indexed="81"/>
            <rFont val="Tahoma"/>
            <family val="2"/>
          </rPr>
          <t xml:space="preserve">
Info provided by Andrew Roberts and aircraft operators, partly based on notes from NASA JSC NALCOMIS aircraft database flight record.
about +-500 kg uncertainty.
max:63000 Lbd
fuel max 22000 Lbd
range 2500 miles
http://faesr.ucar.edu/view/1201
Maximum Gross Weight
72,000 lbs
http://jsc-aircraft-ops.jsc.nasa.gov/wb57/performance.html
From Andrew Robert email of April 20, 2016 (with some editions):
The takeoff gross weight was 63000 lbs. Fuel load for Crystal Face was limited to 18500 lbs due to payload weight of the instruments, and about 21000 lbs for CR-AVE. 
Since 2007, the gross weight increased, and the fuel loads are always 23000 lbs because payload weight no longer limits the fuel load. 
</t>
        </r>
      </text>
    </comment>
    <comment ref="W185" authorId="0" shapeId="0" xr:uid="{00000000-0006-0000-0000-00004B000000}">
      <text>
        <r>
          <rPr>
            <b/>
            <sz val="8"/>
            <color indexed="81"/>
            <rFont val="Tahoma"/>
            <family val="2"/>
          </rPr>
          <t>Contrail was formed during descent. The aircraft typically burns at altitude in level flight about 2300 lbs/hr total from the two engines combined and 1500 lbs/hr in a descent. - Andrew Roberts, email, April 2016</t>
        </r>
        <r>
          <rPr>
            <sz val="8"/>
            <color indexed="81"/>
            <rFont val="Tahoma"/>
            <family val="2"/>
          </rPr>
          <t xml:space="preserve">
</t>
        </r>
      </text>
    </comment>
    <comment ref="X185" authorId="0" shapeId="0" xr:uid="{00000000-0006-0000-0000-00004C000000}">
      <text>
        <r>
          <rPr>
            <b/>
            <sz val="8"/>
            <color indexed="81"/>
            <rFont val="Tahoma"/>
            <family val="2"/>
          </rPr>
          <t>Schumann, Ulrich:</t>
        </r>
        <r>
          <rPr>
            <sz val="8"/>
            <color indexed="81"/>
            <rFont val="Tahoma"/>
            <family val="2"/>
          </rPr>
          <t xml:space="preserve">
estimate</t>
        </r>
      </text>
    </comment>
    <comment ref="Y185" authorId="0" shapeId="0" xr:uid="{00000000-0006-0000-0000-00004D000000}">
      <text>
        <r>
          <rPr>
            <b/>
            <sz val="8"/>
            <color indexed="81"/>
            <rFont val="Tahoma"/>
            <family val="2"/>
          </rPr>
          <t>Schumann, Ulrich:</t>
        </r>
        <r>
          <rPr>
            <sz val="8"/>
            <color indexed="81"/>
            <rFont val="Tahoma"/>
            <family val="2"/>
          </rPr>
          <t xml:space="preserve">
from TAS data during descent</t>
        </r>
      </text>
    </comment>
    <comment ref="CL185" authorId="0" shapeId="0" xr:uid="{00000000-0006-0000-0000-00004E000000}">
      <text>
        <r>
          <rPr>
            <b/>
            <sz val="8"/>
            <color indexed="81"/>
            <rFont val="Tahoma"/>
            <family val="2"/>
          </rPr>
          <t>Schumann, Ulrich:</t>
        </r>
        <r>
          <rPr>
            <sz val="8"/>
            <color indexed="81"/>
            <rFont val="Tahoma"/>
            <family val="2"/>
          </rPr>
          <t xml:space="preserve">
rvol estimated from n_ice and IWC</t>
        </r>
      </text>
    </comment>
    <comment ref="X187" authorId="0" shapeId="0" xr:uid="{00000000-0006-0000-0000-00004F000000}">
      <text>
        <r>
          <rPr>
            <b/>
            <sz val="8"/>
            <color indexed="81"/>
            <rFont val="Tahoma"/>
            <family val="2"/>
          </rPr>
          <t>Schumann, Ulrich:</t>
        </r>
        <r>
          <rPr>
            <sz val="8"/>
            <color indexed="81"/>
            <rFont val="Tahoma"/>
            <family val="2"/>
          </rPr>
          <t xml:space="preserve">
estimate</t>
        </r>
      </text>
    </comment>
    <comment ref="BD187" authorId="0" shapeId="0" xr:uid="{00000000-0006-0000-0000-000050000000}">
      <text>
        <r>
          <rPr>
            <b/>
            <sz val="8"/>
            <color indexed="81"/>
            <rFont val="Tahoma"/>
            <family val="2"/>
          </rPr>
          <t>Schumann, Ulrich:</t>
        </r>
        <r>
          <rPr>
            <sz val="8"/>
            <color indexed="81"/>
            <rFont val="Tahoma"/>
            <family val="2"/>
          </rPr>
          <t xml:space="preserve">
Mullins</t>
        </r>
      </text>
    </comment>
    <comment ref="U194" authorId="0" shapeId="0" xr:uid="{00000000-0006-0000-0000-000051000000}">
      <text>
        <r>
          <rPr>
            <b/>
            <sz val="8"/>
            <color indexed="81"/>
            <rFont val="Tahoma"/>
            <family val="2"/>
          </rPr>
          <t>Schumann, Ulrich:</t>
        </r>
        <r>
          <rPr>
            <sz val="8"/>
            <color indexed="81"/>
            <rFont val="Tahoma"/>
            <family val="2"/>
          </rPr>
          <t xml:space="preserve">
from MDB Investigators Handbook, 3rd ed, 2002</t>
        </r>
      </text>
    </comment>
    <comment ref="V194" authorId="0" shapeId="0" xr:uid="{00000000-0006-0000-0000-000052000000}">
      <text>
        <r>
          <rPr>
            <b/>
            <sz val="8"/>
            <color indexed="81"/>
            <rFont val="Tahoma"/>
            <family val="2"/>
          </rPr>
          <t>Schumann, Ulrich:</t>
        </r>
        <r>
          <rPr>
            <sz val="8"/>
            <color indexed="81"/>
            <rFont val="Tahoma"/>
            <family val="2"/>
          </rPr>
          <t xml:space="preserve">
The aircraft maximum takeoff weight is 24500 kg, filled fuel weight - 7800 kg, payload weight is up
to 2000 kg.
Design landing weight 18000 kg
At landign, usually  1400 kg rest fuel mass (minimum 800 kg).
Fuel consumptzion duringflight about 6400 kg.</t>
        </r>
      </text>
    </comment>
    <comment ref="V209" authorId="0" shapeId="0" xr:uid="{00000000-0006-0000-0000-000053000000}">
      <text>
        <r>
          <rPr>
            <b/>
            <sz val="8"/>
            <color indexed="81"/>
            <rFont val="Tahoma"/>
            <family val="2"/>
          </rPr>
          <t>Schumann, Ulrich:</t>
        </r>
        <r>
          <rPr>
            <sz val="8"/>
            <color indexed="81"/>
            <rFont val="Tahoma"/>
            <family val="2"/>
          </rPr>
          <t xml:space="preserve">
info obtained from Andrew Roberts, April 2016, emails</t>
        </r>
      </text>
    </comment>
    <comment ref="W209" authorId="0" shapeId="0" xr:uid="{00000000-0006-0000-0000-000054000000}">
      <text>
        <r>
          <rPr>
            <b/>
            <sz val="8"/>
            <color indexed="81"/>
            <rFont val="Tahoma"/>
            <family val="2"/>
          </rPr>
          <t>Schumann, Ulrich:</t>
        </r>
        <r>
          <rPr>
            <sz val="8"/>
            <color indexed="81"/>
            <rFont val="Tahoma"/>
            <family val="2"/>
          </rPr>
          <t xml:space="preserve">
contrail formed at cruise at constant level. The aircraft typically burns at altitude in level flight about 2300 lbs/hr total from the two engines combined and 1500 lbs/hr in a descent. - from email of Andrew Roberts, April 2016</t>
        </r>
      </text>
    </comment>
    <comment ref="X209" authorId="0" shapeId="0" xr:uid="{00000000-0006-0000-0000-000055000000}">
      <text>
        <r>
          <rPr>
            <b/>
            <sz val="8"/>
            <color indexed="81"/>
            <rFont val="Tahoma"/>
            <family val="2"/>
          </rPr>
          <t>Schumann, Ulrich:</t>
        </r>
        <r>
          <rPr>
            <sz val="8"/>
            <color indexed="81"/>
            <rFont val="Tahoma"/>
            <family val="2"/>
          </rPr>
          <t xml:space="preserve">
estimate</t>
        </r>
      </text>
    </comment>
    <comment ref="BO209" authorId="0" shapeId="0" xr:uid="{00000000-0006-0000-0000-000056000000}">
      <text>
        <r>
          <rPr>
            <b/>
            <sz val="8"/>
            <color indexed="81"/>
            <rFont val="Tahoma"/>
            <family val="2"/>
          </rPr>
          <t>Schumann, Ulrich:</t>
        </r>
        <r>
          <rPr>
            <sz val="8"/>
            <color indexed="81"/>
            <rFont val="Tahoma"/>
            <family val="2"/>
          </rPr>
          <t xml:space="preserve">
pure estimate</t>
        </r>
      </text>
    </comment>
    <comment ref="BA225" authorId="0" shapeId="0" xr:uid="{00000000-0006-0000-0000-000057000000}">
      <text>
        <r>
          <rPr>
            <b/>
            <sz val="8"/>
            <color indexed="81"/>
            <rFont val="Tahoma"/>
            <family val="2"/>
          </rPr>
          <t>Schumann, Ulrich:</t>
        </r>
        <r>
          <rPr>
            <sz val="8"/>
            <color indexed="81"/>
            <rFont val="Tahoma"/>
            <family val="2"/>
          </rPr>
          <t xml:space="preserve">
Radiosonde</t>
        </r>
      </text>
    </comment>
    <comment ref="BA226" authorId="0" shapeId="0" xr:uid="{00000000-0006-0000-0000-000058000000}">
      <text>
        <r>
          <rPr>
            <b/>
            <sz val="8"/>
            <color indexed="81"/>
            <rFont val="Tahoma"/>
            <family val="2"/>
          </rPr>
          <t>Schumann, Ulrich:</t>
        </r>
        <r>
          <rPr>
            <sz val="8"/>
            <color indexed="81"/>
            <rFont val="Tahoma"/>
            <family val="2"/>
          </rPr>
          <t xml:space="preserve">
Radiosonde</t>
        </r>
      </text>
    </comment>
    <comment ref="BJ226" authorId="0" shapeId="0" xr:uid="{00000000-0006-0000-0000-000059000000}">
      <text>
        <r>
          <rPr>
            <b/>
            <sz val="8"/>
            <color indexed="81"/>
            <rFont val="Tahoma"/>
            <family val="2"/>
          </rPr>
          <t>Schumann, Ulrich:</t>
        </r>
        <r>
          <rPr>
            <sz val="8"/>
            <color indexed="81"/>
            <rFont val="Tahoma"/>
            <family val="2"/>
          </rPr>
          <t xml:space="preserve">
foto</t>
        </r>
      </text>
    </comment>
    <comment ref="BA227" authorId="0" shapeId="0" xr:uid="{00000000-0006-0000-0000-00005A000000}">
      <text>
        <r>
          <rPr>
            <b/>
            <sz val="8"/>
            <color indexed="81"/>
            <rFont val="Tahoma"/>
            <family val="2"/>
          </rPr>
          <t>Schumann, Ulrich:</t>
        </r>
        <r>
          <rPr>
            <sz val="8"/>
            <color indexed="81"/>
            <rFont val="Tahoma"/>
            <family val="2"/>
          </rPr>
          <t xml:space="preserve">
radiosonde</t>
        </r>
      </text>
    </comment>
    <comment ref="BV227" authorId="0" shapeId="0" xr:uid="{00000000-0006-0000-0000-00005B000000}">
      <text>
        <r>
          <rPr>
            <b/>
            <sz val="8"/>
            <color indexed="81"/>
            <rFont val="Tahoma"/>
            <family val="2"/>
          </rPr>
          <t>Schumann, Ulrich:</t>
        </r>
        <r>
          <rPr>
            <sz val="8"/>
            <color indexed="81"/>
            <rFont val="Tahoma"/>
            <family val="2"/>
          </rPr>
          <t xml:space="preserve">
from  plot of FSSP3000 data</t>
        </r>
      </text>
    </comment>
    <comment ref="C236" authorId="0" shapeId="0" xr:uid="{00000000-0006-0000-0000-00005C000000}">
      <text>
        <r>
          <rPr>
            <b/>
            <sz val="8"/>
            <color indexed="81"/>
            <rFont val="Tahoma"/>
            <family val="2"/>
          </rPr>
          <t>Schumann, Ulrich:</t>
        </r>
        <r>
          <rPr>
            <sz val="8"/>
            <color indexed="81"/>
            <rFont val="Tahoma"/>
            <family val="2"/>
          </rPr>
          <t xml:space="preserve">
(from NOy), delta NOy 40pptv</t>
        </r>
      </text>
    </comment>
    <comment ref="T236" authorId="0" shapeId="0" xr:uid="{00000000-0006-0000-0000-00005D000000}">
      <text>
        <r>
          <rPr>
            <b/>
            <sz val="8"/>
            <color indexed="81"/>
            <rFont val="Tahoma"/>
            <family val="2"/>
          </rPr>
          <t>Schumann, Ulrich:</t>
        </r>
        <r>
          <rPr>
            <sz val="8"/>
            <color indexed="81"/>
            <rFont val="Tahoma"/>
            <family val="2"/>
          </rPr>
          <t xml:space="preserve">
with high probability, from traffic data</t>
        </r>
      </text>
    </comment>
    <comment ref="Y236" authorId="0" shapeId="0" xr:uid="{00000000-0006-0000-0000-00005E000000}">
      <text>
        <r>
          <rPr>
            <b/>
            <sz val="8"/>
            <color indexed="81"/>
            <rFont val="Tahoma"/>
            <family val="2"/>
          </rPr>
          <t>Schumann, Ulrich:</t>
        </r>
        <r>
          <rPr>
            <sz val="8"/>
            <color indexed="81"/>
            <rFont val="Tahoma"/>
            <family val="2"/>
          </rPr>
          <t xml:space="preserve">
estimated</t>
        </r>
      </text>
    </comment>
    <comment ref="C237" authorId="0" shapeId="0" xr:uid="{00000000-0006-0000-0000-00005F000000}">
      <text>
        <r>
          <rPr>
            <b/>
            <sz val="8"/>
            <color indexed="81"/>
            <rFont val="Tahoma"/>
            <family val="2"/>
          </rPr>
          <t>Schumann, Ulrich:</t>
        </r>
        <r>
          <rPr>
            <sz val="8"/>
            <color indexed="81"/>
            <rFont val="Tahoma"/>
            <family val="2"/>
          </rPr>
          <t xml:space="preserve">
(from NOy), delta NOy 40pptv
alternative</t>
        </r>
      </text>
    </comment>
    <comment ref="T237" authorId="0" shapeId="0" xr:uid="{00000000-0006-0000-0000-000060000000}">
      <text>
        <r>
          <rPr>
            <b/>
            <sz val="8"/>
            <color indexed="81"/>
            <rFont val="Tahoma"/>
            <family val="2"/>
          </rPr>
          <t>Schumann, Ulrich:</t>
        </r>
        <r>
          <rPr>
            <sz val="8"/>
            <color indexed="81"/>
            <rFont val="Tahoma"/>
            <family val="2"/>
          </rPr>
          <t xml:space="preserve">
with high probability, from traffic data</t>
        </r>
      </text>
    </comment>
    <comment ref="Y237" authorId="0" shapeId="0" xr:uid="{00000000-0006-0000-0000-000061000000}">
      <text>
        <r>
          <rPr>
            <b/>
            <sz val="8"/>
            <color indexed="81"/>
            <rFont val="Tahoma"/>
            <family val="2"/>
          </rPr>
          <t>Schumann, Ulrich:</t>
        </r>
        <r>
          <rPr>
            <sz val="8"/>
            <color indexed="81"/>
            <rFont val="Tahoma"/>
            <family val="2"/>
          </rPr>
          <t xml:space="preserve">
estimated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Schumann, Ulrich</author>
  </authors>
  <commentList>
    <comment ref="A28" authorId="0" shapeId="0" xr:uid="{00000000-0006-0000-0100-000001000000}">
      <text>
        <r>
          <rPr>
            <b/>
            <sz val="8"/>
            <color indexed="81"/>
            <rFont val="Tahoma"/>
            <family val="2"/>
          </rPr>
          <t>Schumann, Ulrich:</t>
        </r>
        <r>
          <rPr>
            <sz val="8"/>
            <color indexed="81"/>
            <rFont val="Tahoma"/>
            <family val="2"/>
          </rPr>
          <t xml:space="preserve">
here and below: airliner contrail with unknown age</t>
        </r>
      </text>
    </comment>
    <comment ref="A126" authorId="0" shapeId="0" xr:uid="{00000000-0006-0000-0100-000002000000}">
      <text>
        <r>
          <rPr>
            <b/>
            <sz val="8"/>
            <color indexed="81"/>
            <rFont val="Tahoma"/>
            <family val="2"/>
          </rPr>
          <t>Schumann, Ulrich:</t>
        </r>
        <r>
          <rPr>
            <sz val="8"/>
            <color indexed="81"/>
            <rFont val="Tahoma"/>
            <family val="2"/>
          </rPr>
          <t xml:space="preserve">
could be 70 s age; uncertain</t>
        </r>
      </text>
    </comment>
    <comment ref="A163" authorId="0" shapeId="0" xr:uid="{00000000-0006-0000-0100-000003000000}">
      <text>
        <r>
          <rPr>
            <b/>
            <sz val="8"/>
            <color indexed="81"/>
            <rFont val="Tahoma"/>
            <family val="2"/>
          </rPr>
          <t>Schumann, Ulrich:</t>
        </r>
        <r>
          <rPr>
            <sz val="8"/>
            <color indexed="81"/>
            <rFont val="Tahoma"/>
            <family val="2"/>
          </rPr>
          <t xml:space="preserve">
=0.5(agemin+agemax)</t>
        </r>
      </text>
    </comment>
    <comment ref="A228" authorId="0" shapeId="0" xr:uid="{00000000-0006-0000-0100-000004000000}">
      <text>
        <r>
          <rPr>
            <b/>
            <sz val="8"/>
            <color indexed="81"/>
            <rFont val="Tahoma"/>
            <family val="2"/>
          </rPr>
          <t>Schumann, Ulrich:</t>
        </r>
        <r>
          <rPr>
            <sz val="8"/>
            <color indexed="81"/>
            <rFont val="Tahoma"/>
            <family val="2"/>
          </rPr>
          <t xml:space="preserve">
(from NOy), delta NOy 40pptv</t>
        </r>
      </text>
    </comment>
    <comment ref="A229" authorId="0" shapeId="0" xr:uid="{00000000-0006-0000-0100-000005000000}">
      <text>
        <r>
          <rPr>
            <b/>
            <sz val="8"/>
            <color indexed="81"/>
            <rFont val="Tahoma"/>
            <family val="2"/>
          </rPr>
          <t>Schumann, Ulrich:</t>
        </r>
        <r>
          <rPr>
            <sz val="8"/>
            <color indexed="81"/>
            <rFont val="Tahoma"/>
            <family val="2"/>
          </rPr>
          <t xml:space="preserve">
(from NOy), delta NOy 40pptv
alternative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Schumann, Ulrich</author>
  </authors>
  <commentList>
    <comment ref="E4" authorId="0" shapeId="0" xr:uid="{00000000-0006-0000-0200-000001000000}">
      <text>
        <r>
          <rPr>
            <b/>
            <sz val="8"/>
            <color indexed="81"/>
            <rFont val="Tahoma"/>
            <family val="2"/>
          </rPr>
          <t>Schumann, Ulrich:</t>
        </r>
        <r>
          <rPr>
            <sz val="8"/>
            <color indexed="81"/>
            <rFont val="Tahoma"/>
            <family val="2"/>
          </rPr>
          <t xml:space="preserve">
The ICE 1989 Field Phase Plan is available from Bibliothek Deutscher Wetterdienst DWD Potsdam.
also:
Hennings, D., M. Quante, and R. Sefzig, 1990: ICE, International Cirrus Experiment, 1989 Field Phase Report. Univ. Köln, available from Bibliothek Deutscher Wetterdienst, Offenbach, 129 pp.
also:
A data report of MERLIN data exists (J.-F. Gayet, 1990, unpublished), a partly scanned version is in the COLI data set. 
</t>
        </r>
      </text>
    </comment>
    <comment ref="E5" authorId="0" shapeId="0" xr:uid="{00000000-0006-0000-0200-000002000000}">
      <text>
        <r>
          <rPr>
            <b/>
            <sz val="8"/>
            <color indexed="81"/>
            <rFont val="Tahoma"/>
            <family val="2"/>
          </rPr>
          <t xml:space="preserve">Schumann, Ulrich:
see also
NASA CR 195842 </t>
        </r>
        <r>
          <rPr>
            <sz val="8"/>
            <color indexed="81"/>
            <rFont val="Tahoma"/>
            <family val="2"/>
          </rPr>
          <t xml:space="preserve">
http://ntrs.nasa.gov/archive/nasa/casi.ntrs.nasa.gov/19940029629.pdf</t>
        </r>
      </text>
    </comment>
    <comment ref="E9" authorId="0" shapeId="0" xr:uid="{00000000-0006-0000-0200-000003000000}">
      <text>
        <r>
          <rPr>
            <b/>
            <sz val="8"/>
            <color indexed="81"/>
            <rFont val="Tahoma"/>
            <family val="2"/>
          </rPr>
          <t>Schumann, Ulrich:</t>
        </r>
        <r>
          <rPr>
            <sz val="8"/>
            <color indexed="81"/>
            <rFont val="Tahoma"/>
            <family val="2"/>
          </rPr>
          <t xml:space="preserve">
nice data from personal communication, April 2016</t>
        </r>
      </text>
    </comment>
    <comment ref="C14" authorId="0" shapeId="0" xr:uid="{00000000-0006-0000-0200-000004000000}">
      <text>
        <r>
          <rPr>
            <b/>
            <sz val="8"/>
            <color indexed="81"/>
            <rFont val="Tahoma"/>
            <family val="2"/>
          </rPr>
          <t>Schumann, Ulrich:</t>
        </r>
        <r>
          <rPr>
            <sz val="8"/>
            <color indexed="81"/>
            <rFont val="Tahoma"/>
            <family val="2"/>
          </rPr>
          <t xml:space="preserve">
(from NOy), delta NOy 40pptv
alternative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RAMS" type="6" refreshedVersion="4" background="1" saveData="1">
    <textPr codePage="850" sourceFile="H:\Eigene Dateien\AMS_Contrails_monography\Contrail_data\Traffic\Sept_2001\ARAMS.txt" thousands=" " space="1" consecutive="1">
      <textFields count="6">
        <textField/>
        <textField/>
        <textField/>
        <textField/>
        <textField/>
        <textField/>
      </textFields>
    </textPr>
  </connection>
  <connection id="2" xr16:uid="{00000000-0015-0000-FFFF-FFFF01000000}" name="P" type="6" refreshedVersion="4" background="1" saveData="1">
    <textPr codePage="850" sourceFile="H:\Eigene Dateien\AMS_Contrails_monography\SUCCESS\P.txt" thousands=" ">
      <textFields>
        <textField/>
      </textFields>
    </textPr>
  </connection>
  <connection id="3" xr16:uid="{00000000-0015-0000-FFFF-FFFF02000000}" name="P1P2" type="6" refreshedVersion="4" background="1" saveData="1">
    <textPr codePage="850" sourceFile="H:\Eigene Dateien\A_Publikationen_2007\Freundenthaler\P1P2.txt" delimited="0" thousands=" ">
      <textFields count="3">
        <textField/>
        <textField position="14"/>
        <textField position="26"/>
      </textFields>
    </textPr>
  </connection>
</connections>
</file>

<file path=xl/sharedStrings.xml><?xml version="1.0" encoding="utf-8"?>
<sst xmlns="http://schemas.openxmlformats.org/spreadsheetml/2006/main" count="1863" uniqueCount="488">
  <si>
    <t>ATYP</t>
  </si>
  <si>
    <t>span/m</t>
  </si>
  <si>
    <t>mass/Mg</t>
  </si>
  <si>
    <t>ETA</t>
  </si>
  <si>
    <t>T/K</t>
  </si>
  <si>
    <t>p/hPa</t>
  </si>
  <si>
    <t>SchrA</t>
  </si>
  <si>
    <t>A310</t>
  </si>
  <si>
    <t>SchrAT</t>
  </si>
  <si>
    <t>SchrB</t>
  </si>
  <si>
    <t>B757</t>
  </si>
  <si>
    <t>SchrA1</t>
  </si>
  <si>
    <t>CRJ2</t>
  </si>
  <si>
    <t>SchrB1</t>
  </si>
  <si>
    <t>B737</t>
  </si>
  <si>
    <t>DC9</t>
  </si>
  <si>
    <t>Feby</t>
  </si>
  <si>
    <t>E170</t>
  </si>
  <si>
    <t>SchrA2</t>
  </si>
  <si>
    <t>A300</t>
  </si>
  <si>
    <t>SchrE</t>
  </si>
  <si>
    <t>A330</t>
  </si>
  <si>
    <t>SchrB2</t>
  </si>
  <si>
    <t>SchrF</t>
  </si>
  <si>
    <t>SchrO</t>
  </si>
  <si>
    <t>Feba</t>
  </si>
  <si>
    <t>A319</t>
  </si>
  <si>
    <t>A343</t>
  </si>
  <si>
    <t>A380</t>
  </si>
  <si>
    <t>A321</t>
  </si>
  <si>
    <t>DC8</t>
  </si>
  <si>
    <t>BC94</t>
  </si>
  <si>
    <t>LJ35</t>
  </si>
  <si>
    <t>BG98</t>
  </si>
  <si>
    <t>age/s</t>
  </si>
  <si>
    <t>m_F/(kg/km)</t>
  </si>
  <si>
    <t>widht/m</t>
  </si>
  <si>
    <t>rvol/um</t>
  </si>
  <si>
    <t>A</t>
  </si>
  <si>
    <t>B</t>
  </si>
  <si>
    <t>C</t>
  </si>
  <si>
    <t>D</t>
  </si>
  <si>
    <t>E</t>
  </si>
  <si>
    <t>F</t>
  </si>
  <si>
    <t>G1</t>
  </si>
  <si>
    <t>G2</t>
  </si>
  <si>
    <t>J1</t>
  </si>
  <si>
    <t>J2</t>
  </si>
  <si>
    <t>N</t>
  </si>
  <si>
    <t>O</t>
  </si>
  <si>
    <t>P</t>
  </si>
  <si>
    <t>S</t>
  </si>
  <si>
    <t>T</t>
  </si>
  <si>
    <t>U</t>
  </si>
  <si>
    <t>Y</t>
  </si>
  <si>
    <t>C500</t>
  </si>
  <si>
    <t>IWC/(mg_m-3)</t>
  </si>
  <si>
    <t>reff/um</t>
  </si>
  <si>
    <t>ext/km-1</t>
  </si>
  <si>
    <t>UTCtime/s</t>
  </si>
  <si>
    <t>MASP, 0.4-40um</t>
  </si>
  <si>
    <t>FSSP300,0.4-20 um</t>
  </si>
  <si>
    <t>CONCERT</t>
  </si>
  <si>
    <t>CONTRAIL</t>
  </si>
  <si>
    <t>CONCERT2011</t>
  </si>
  <si>
    <t>SUCCESS</t>
  </si>
  <si>
    <t>PAZI-2</t>
  </si>
  <si>
    <t>FIRE</t>
  </si>
  <si>
    <t>ARM</t>
  </si>
  <si>
    <t>taumean</t>
  </si>
  <si>
    <t>B744</t>
  </si>
  <si>
    <t>Lidar</t>
  </si>
  <si>
    <t>0102e3</t>
  </si>
  <si>
    <t>0103e3</t>
  </si>
  <si>
    <t>0121</t>
  </si>
  <si>
    <t>0122</t>
  </si>
  <si>
    <t>0124</t>
  </si>
  <si>
    <t>0127</t>
  </si>
  <si>
    <t>0128e</t>
  </si>
  <si>
    <t>0130e</t>
  </si>
  <si>
    <t>0132e</t>
  </si>
  <si>
    <t>0133e</t>
  </si>
  <si>
    <t>0134e</t>
  </si>
  <si>
    <t>0137e</t>
  </si>
  <si>
    <t>0139e</t>
  </si>
  <si>
    <t>193</t>
  </si>
  <si>
    <t>195</t>
  </si>
  <si>
    <t>197</t>
  </si>
  <si>
    <t>199</t>
  </si>
  <si>
    <t>0172e</t>
  </si>
  <si>
    <t>0175e</t>
  </si>
  <si>
    <t>0176e</t>
  </si>
  <si>
    <t>0177e</t>
  </si>
  <si>
    <t>0178e</t>
  </si>
  <si>
    <t>0189e</t>
  </si>
  <si>
    <t>0141e</t>
  </si>
  <si>
    <t>0143e</t>
  </si>
  <si>
    <t>0179e</t>
  </si>
  <si>
    <t>0180e</t>
  </si>
  <si>
    <t>0181e</t>
  </si>
  <si>
    <t>0182e</t>
  </si>
  <si>
    <t>unknown</t>
  </si>
  <si>
    <t>WB57</t>
  </si>
  <si>
    <t>CRYSTAL-FACE</t>
  </si>
  <si>
    <t>CAS,0.5-50</t>
  </si>
  <si>
    <t>AIRLINERS</t>
  </si>
  <si>
    <t>Airliners</t>
  </si>
  <si>
    <t>B742</t>
  </si>
  <si>
    <t>UTC hour</t>
  </si>
  <si>
    <t>Place</t>
  </si>
  <si>
    <t>D_max/um</t>
  </si>
  <si>
    <t>y</t>
  </si>
  <si>
    <t>N_large/cm-3</t>
  </si>
  <si>
    <t>California coast</t>
  </si>
  <si>
    <t>GOES-8 + NOOA12</t>
  </si>
  <si>
    <t>Minnis/Jensen(1998)</t>
  </si>
  <si>
    <t>Sabreliner</t>
  </si>
  <si>
    <t>N_Colorado_S_Wyoming</t>
  </si>
  <si>
    <t>Opticalspectr,75_1200 um</t>
  </si>
  <si>
    <t>Munich</t>
  </si>
  <si>
    <t>Cameras</t>
  </si>
  <si>
    <t>E190</t>
  </si>
  <si>
    <t>Schumann&amp; Hempel(2013)</t>
  </si>
  <si>
    <t>min</t>
  </si>
  <si>
    <t>max</t>
  </si>
  <si>
    <t>Instrument and size range</t>
  </si>
  <si>
    <t>max_value</t>
  </si>
  <si>
    <t>Sh/(0.001_s-1)</t>
  </si>
  <si>
    <t>ShT/(0.001 s-1)</t>
  </si>
  <si>
    <t>nice/cm-3</t>
  </si>
  <si>
    <t>N(m-1)</t>
  </si>
  <si>
    <t>RHi/%</t>
  </si>
  <si>
    <t>Ambient cloud</t>
  </si>
  <si>
    <t>z_geo/km</t>
  </si>
  <si>
    <t>area/km2</t>
  </si>
  <si>
    <t>unkown</t>
  </si>
  <si>
    <t>young</t>
  </si>
  <si>
    <t>aged</t>
  </si>
  <si>
    <t>Spinhirn et al. (1998), Duda et al. (1998), estim._age</t>
  </si>
  <si>
    <t>date</t>
  </si>
  <si>
    <t>obs_case</t>
  </si>
  <si>
    <t>Schröder et al. (2000)</t>
  </si>
  <si>
    <t>Jessberger et al. (2013) and Schumann et al. (2013)</t>
  </si>
  <si>
    <t>Gayet et al. (2012)</t>
  </si>
  <si>
    <t>Heymsfield et al. (1998), Jensen et al. (1998)</t>
  </si>
  <si>
    <t>Knollenberg (1972)</t>
  </si>
  <si>
    <t>Febvre et al. (2009)</t>
  </si>
  <si>
    <t>Baumgardner and Cotton (1994)</t>
  </si>
  <si>
    <t>Baumgardner and Gandrud (1998)</t>
  </si>
  <si>
    <t>Gao et al. (2006)</t>
  </si>
  <si>
    <t>Poellot et al. (1999)</t>
  </si>
  <si>
    <t>Sussmann et al. (1999)</t>
  </si>
  <si>
    <t>AEROCONTRAIL</t>
  </si>
  <si>
    <t>SiL, DFG</t>
  </si>
  <si>
    <t>Freudenthaler et al. (1995; 1996, 1999)</t>
  </si>
  <si>
    <t>Atlas et al. (2006)</t>
  </si>
  <si>
    <t>Atlas and Wang (2010)</t>
  </si>
  <si>
    <t>Schumann and Hempel (2013)</t>
  </si>
  <si>
    <t>SiL</t>
  </si>
  <si>
    <t>UK_NorthSea</t>
  </si>
  <si>
    <t>insitu</t>
  </si>
  <si>
    <t>FSSP-300_0.35_20_um</t>
  </si>
  <si>
    <t>NCAR Sabreliner</t>
  </si>
  <si>
    <t>7000 cm-3</t>
  </si>
  <si>
    <t>MASP</t>
  </si>
  <si>
    <t>FSSP300,1-20 um</t>
  </si>
  <si>
    <t>Voigt et al. (2010)</t>
  </si>
  <si>
    <t>BAe146</t>
  </si>
  <si>
    <t>CAS_DPOL_0.6_50 um_+_CIP_GS_15_900_um</t>
  </si>
  <si>
    <t>COSIC, B587</t>
  </si>
  <si>
    <t>Jones et al. (2012)</t>
  </si>
  <si>
    <t>qsat</t>
  </si>
  <si>
    <t>q_ice</t>
  </si>
  <si>
    <t>D_RHIice</t>
  </si>
  <si>
    <t>D_RHi_emis</t>
  </si>
  <si>
    <t>Jensen et al. (1998)</t>
  </si>
  <si>
    <t>DC-8</t>
  </si>
  <si>
    <t>47.5N,11E, Garmisch; DE</t>
  </si>
  <si>
    <t>Duda et al. (2004)</t>
  </si>
  <si>
    <t>airliners</t>
  </si>
  <si>
    <t>Great Lakes (Eastern Wisconsin)</t>
  </si>
  <si>
    <t>GOES-8</t>
  </si>
  <si>
    <t>GOES-9</t>
  </si>
  <si>
    <t>ER2-Lidar+IR spectrometer</t>
  </si>
  <si>
    <t>near NASA Goddard,US, 39°N, 76.9°W</t>
  </si>
  <si>
    <t>PEIice</t>
  </si>
  <si>
    <t>remote</t>
  </si>
  <si>
    <t>Sussmann and Gierens (1999)</t>
  </si>
  <si>
    <t>EI_Murphy_Koop/Pa</t>
  </si>
  <si>
    <t>CIAP</t>
  </si>
  <si>
    <t>B-52</t>
  </si>
  <si>
    <t>Arnott in Sassen (1997)</t>
  </si>
  <si>
    <t>34.94°N,98.23°W</t>
  </si>
  <si>
    <t>Replicator</t>
  </si>
  <si>
    <t>CIRRUS'92</t>
  </si>
  <si>
    <t>Strauss et al. (1997)</t>
  </si>
  <si>
    <t>Falcon</t>
  </si>
  <si>
    <t>Southern Germany</t>
  </si>
  <si>
    <t>Gayet etal. (1996)</t>
  </si>
  <si>
    <t>MerlinIV</t>
  </si>
  <si>
    <t>Northsea_UA7</t>
  </si>
  <si>
    <t>FSSP-100+2DC</t>
  </si>
  <si>
    <t>Mullins (2006)</t>
  </si>
  <si>
    <t>Strauss et al. (1997), details in Strauss (1994)</t>
  </si>
  <si>
    <t>09:46-10:28</t>
  </si>
  <si>
    <t>48.3°N,10.3°E S.-Germany</t>
  </si>
  <si>
    <t>contrail</t>
  </si>
  <si>
    <t>cirrus</t>
  </si>
  <si>
    <t xml:space="preserve">Groundbased Cameras </t>
  </si>
  <si>
    <t>Hoshizaki (1974)</t>
  </si>
  <si>
    <t>CIRRUS'94</t>
  </si>
  <si>
    <t>Wendling et al. (1997)</t>
  </si>
  <si>
    <t>FSSP300,0.4-20 um+Replicator</t>
  </si>
  <si>
    <t>Contrail</t>
  </si>
  <si>
    <t>SchrD=C2</t>
  </si>
  <si>
    <t>SchrU=C3</t>
  </si>
  <si>
    <t>B77W</t>
  </si>
  <si>
    <t>N_Germany_52.3N,13.2E</t>
  </si>
  <si>
    <t>engine type</t>
  </si>
  <si>
    <t>GE90</t>
  </si>
  <si>
    <t>Number of engines</t>
  </si>
  <si>
    <t>FL/hft</t>
  </si>
  <si>
    <t>IEA2500-A1</t>
  </si>
  <si>
    <t>N_Germany_51.6N,7.7E</t>
  </si>
  <si>
    <t>Satellite</t>
  </si>
  <si>
    <t>Ground</t>
  </si>
  <si>
    <t>Falcon_Lidar ALEX</t>
  </si>
  <si>
    <t>CF34‐3B</t>
  </si>
  <si>
    <t>Florida;25.5°N,81°W</t>
  </si>
  <si>
    <t>Freudenthaler et al. (1994)</t>
  </si>
  <si>
    <t>48.3N,10.7E, Margertshausen near Augsburg; DE</t>
  </si>
  <si>
    <t>Ann_Geophys_paper</t>
  </si>
  <si>
    <t>Northsea, 50 km SSW of Helgoland</t>
  </si>
  <si>
    <t>ICE206</t>
  </si>
  <si>
    <t>Colorado</t>
  </si>
  <si>
    <t>ML-CIRRUS</t>
  </si>
  <si>
    <t>Voigt et al., 2016</t>
  </si>
  <si>
    <t>HALO</t>
  </si>
  <si>
    <t>NFC, West of England</t>
  </si>
  <si>
    <t>CAS-DPOL, 1-50 um</t>
  </si>
  <si>
    <t>B772</t>
  </si>
  <si>
    <t>FSSP-100</t>
  </si>
  <si>
    <t>ER-2</t>
  </si>
  <si>
    <t>Northern Germany</t>
  </si>
  <si>
    <t>near Berlin, Germany</t>
  </si>
  <si>
    <t>Schumann et al. (1996)</t>
  </si>
  <si>
    <t>ATTAS</t>
  </si>
  <si>
    <t>M45H Mk501 turbofan</t>
  </si>
  <si>
    <t>S. Germany, 12E, 49 N</t>
  </si>
  <si>
    <t>LH_path1</t>
  </si>
  <si>
    <t>FSSP-100 and PMS 2-DC</t>
  </si>
  <si>
    <t>F900</t>
  </si>
  <si>
    <t>about 38.5N, 124.5W, Pacific Ocean, off the Northern California Coast</t>
  </si>
  <si>
    <t>SULFUR-4</t>
  </si>
  <si>
    <t>SULFUR-5</t>
  </si>
  <si>
    <t>Petzold et al. (1997)</t>
  </si>
  <si>
    <t>M45H Mk50</t>
  </si>
  <si>
    <t>M45H Mk51</t>
  </si>
  <si>
    <t>M45H Mk52</t>
  </si>
  <si>
    <t>M45H Mk53</t>
  </si>
  <si>
    <t>M45H Mk54</t>
  </si>
  <si>
    <t>M45H Mk55</t>
  </si>
  <si>
    <t>CF6-80C2A2</t>
  </si>
  <si>
    <t>plume center</t>
  </si>
  <si>
    <t>plume edge</t>
  </si>
  <si>
    <t>FSSP300,0.3-20 um</t>
  </si>
  <si>
    <t>Busen and Schumann (1995)</t>
  </si>
  <si>
    <t>Northern Germany, 54N,9.5E</t>
  </si>
  <si>
    <t>airborre camera, Radiosonde</t>
  </si>
  <si>
    <t>SULFUR-1</t>
  </si>
  <si>
    <t>SULFUR-2</t>
  </si>
  <si>
    <t>threshold</t>
  </si>
  <si>
    <t>leased propeller aircraft</t>
  </si>
  <si>
    <t>Project</t>
  </si>
  <si>
    <t>ICE</t>
  </si>
  <si>
    <t>CR-AVE</t>
  </si>
  <si>
    <t>Costa Rica 83°W. equator</t>
  </si>
  <si>
    <t>CAPS, mainy 1-50 um</t>
  </si>
  <si>
    <t>1February</t>
  </si>
  <si>
    <t>?</t>
  </si>
  <si>
    <t>Flores et al. (2006), Lawson et al. (2006)</t>
  </si>
  <si>
    <t>https://espoarchive.nasa.gov/archive/browse/cr_ave/WB57/20060201</t>
  </si>
  <si>
    <t>data source</t>
  </si>
  <si>
    <t>NE_Oklahoma</t>
  </si>
  <si>
    <t>http://weather.uwyo.edu/cgi-bin/sounding?region=naconf&amp;TYPE=TEXT%3ALIST&amp;YEAR=1996&amp;MONTH=04&amp;FROM=2000&amp;TO=2100&amp;STNM=72440&amp;ICE=1&amp;REPLOT=1</t>
  </si>
  <si>
    <t xml:space="preserve">https://espoarchive.nasa.gov/archive/browse/crystalf/WB57/20020713 </t>
  </si>
  <si>
    <t>Baumann et al.(1993), see also Schumann (1994, 1996), Busen et al. (1994)</t>
  </si>
  <si>
    <t>Kästner et al (1993)</t>
  </si>
  <si>
    <t>DO-228</t>
  </si>
  <si>
    <t>AIRLINER</t>
  </si>
  <si>
    <t>Ruppersberg and Renger (1991); Schumann and Wendling (1990)</t>
  </si>
  <si>
    <t>DO228</t>
  </si>
  <si>
    <t>DO-238</t>
  </si>
  <si>
    <t>German Bay, 6.8E, 53.4N</t>
  </si>
  <si>
    <t>German Bay,7.3E,53.6N</t>
  </si>
  <si>
    <t>Lidar, ALEX-F on Do228</t>
  </si>
  <si>
    <t>Lidar, ALEX-F on DO 228+NOAA-11-AHHRR</t>
  </si>
  <si>
    <t>ICE216</t>
  </si>
  <si>
    <t>Quante (2006), Albers et al. (1990)</t>
  </si>
  <si>
    <t>NOAA AVHRR</t>
  </si>
  <si>
    <t>B707</t>
  </si>
  <si>
    <t>North Sea, 7.E,56.5N</t>
  </si>
  <si>
    <t xml:space="preserve">NOAA AVHRR </t>
  </si>
  <si>
    <t xml:space="preserve">CFM 56 </t>
  </si>
  <si>
    <t>ICE210</t>
  </si>
  <si>
    <t>Schröder et al. (2000), Gayet et al. (1998)</t>
  </si>
  <si>
    <t>length/km</t>
  </si>
  <si>
    <t>B.</t>
  </si>
  <si>
    <t>G</t>
  </si>
  <si>
    <t>Minnis et al. (2002)</t>
  </si>
  <si>
    <t>B747</t>
  </si>
  <si>
    <t>satellites</t>
  </si>
  <si>
    <t>over San Francisco</t>
  </si>
  <si>
    <t>WB-57F</t>
  </si>
  <si>
    <t>Pratt Whitney TF-33-11A, the commercial equivalent JT3D-3b</t>
  </si>
  <si>
    <t>traffic_data_source</t>
  </si>
  <si>
    <t>DFS</t>
  </si>
  <si>
    <t>EUROCONTROL</t>
  </si>
  <si>
    <t>DCMET</t>
  </si>
  <si>
    <t>DCMET_Gayet</t>
  </si>
  <si>
    <t>https://halo-db.pa.op.dlr.de</t>
  </si>
  <si>
    <t>British Atmospheric Data Centre</t>
  </si>
  <si>
    <t>http://www-pm.larc.nasa.gov/prod/flttrkdbase/</t>
  </si>
  <si>
    <t>https://espoarchive.nasa.gov/archive/browse/crystalf/WB57/20020714</t>
  </si>
  <si>
    <t>https://espoarchive.nasa.gov/archive/browse/crystalf/WB57/20020715</t>
  </si>
  <si>
    <t>https://espoarchive.nasa.gov/archive/browse/crystalf/WB57/20020716</t>
  </si>
  <si>
    <t>????</t>
  </si>
  <si>
    <t>https://espoarchive.nasa.gov/archive/browse/success</t>
  </si>
  <si>
    <t>DC8_Heymsfield</t>
  </si>
  <si>
    <t>partly</t>
  </si>
  <si>
    <t>heading (0=northbound, 90=eastbound)/degree</t>
  </si>
  <si>
    <t>total Depth/m</t>
  </si>
  <si>
    <t>D_eff/m</t>
  </si>
  <si>
    <t>Pratt &amp; Whitney Canada JT15D</t>
  </si>
  <si>
    <t>C550</t>
  </si>
  <si>
    <t>https://eosweb.larc.nasa.gov/GUIDE/dataset_documents/base_fire_ci2_citatn_dataset.html#access</t>
  </si>
  <si>
    <t>http://data.eol.ucar.edu/codiac/ds_proj?CSAE and http://data.eol.ucar.edu/codiac/dss/id=252.005</t>
  </si>
  <si>
    <t>http://data.eol.ucar.edu/codiac/ds_proj?CSAE and http://data.eol.ucar.edu/codiac/dss/id=252.006</t>
  </si>
  <si>
    <t>http://data.eol.ucar.edu/codiac/ds_proj?CSAE and http://data.eol.ucar.edu/codiac/dss/id=252.007</t>
  </si>
  <si>
    <t>http://data.eol.ucar.edu/codiac/ds_proj?CSAE and http://data.eol.ucar.edu/codiac/dss/id=252.004 and http://www.eol.ucar.edu/all-field-projects-and-deployments</t>
  </si>
  <si>
    <t>Germany:49.2N_11.7E</t>
  </si>
  <si>
    <t>MDB</t>
  </si>
  <si>
    <t>SCOUT-O3</t>
  </si>
  <si>
    <t>Soloviev D-30-V12 low bypass turbofan, 93.192 kN thrust each</t>
  </si>
  <si>
    <t>Tiwi Islands, Australia</t>
  </si>
  <si>
    <t>FSSP100</t>
  </si>
  <si>
    <t>http://scout-tropical.nilu.no/</t>
  </si>
  <si>
    <t>E1</t>
  </si>
  <si>
    <t>E2</t>
  </si>
  <si>
    <t>E3</t>
  </si>
  <si>
    <t>E4</t>
  </si>
  <si>
    <t>E5</t>
  </si>
  <si>
    <t>E6</t>
  </si>
  <si>
    <t>0430</t>
  </si>
  <si>
    <t>KS4ABC 0534A</t>
  </si>
  <si>
    <t>KS22A, 0542</t>
  </si>
  <si>
    <t>KS22B, 0543</t>
  </si>
  <si>
    <t>KS22D, 0546</t>
  </si>
  <si>
    <t>KS22E, 0547</t>
  </si>
  <si>
    <t>KS22F, 0549</t>
  </si>
  <si>
    <t>KS7, 0623-1B</t>
  </si>
  <si>
    <t>KS7, 0623-2</t>
  </si>
  <si>
    <t>KS8, 0625</t>
  </si>
  <si>
    <t>KS6A, 0661-1</t>
  </si>
  <si>
    <t>KS6B, 0661-2</t>
  </si>
  <si>
    <t>0663</t>
  </si>
  <si>
    <t>KS2A,B 0669-1</t>
  </si>
  <si>
    <t>KS2* 0669-2</t>
  </si>
  <si>
    <t>0677-1</t>
  </si>
  <si>
    <t>KS3A,B 0680-1</t>
  </si>
  <si>
    <t>KS3* 0680-2</t>
  </si>
  <si>
    <t>KS9 0681-1</t>
  </si>
  <si>
    <t>KS10 0719 W</t>
  </si>
  <si>
    <t>0723</t>
  </si>
  <si>
    <t>0732</t>
  </si>
  <si>
    <t>ca. 12:30</t>
  </si>
  <si>
    <t>ca. 10:00</t>
  </si>
  <si>
    <t>ca. 13:40</t>
  </si>
  <si>
    <t>48.3N,10.7E, Margertshausen</t>
  </si>
  <si>
    <t>EA/m</t>
  </si>
  <si>
    <t>TAS/(m/s)</t>
  </si>
  <si>
    <t>age min/s</t>
  </si>
  <si>
    <t>age max/s</t>
  </si>
  <si>
    <t>min/K</t>
  </si>
  <si>
    <t>max/K</t>
  </si>
  <si>
    <t>NOAA-15</t>
  </si>
  <si>
    <t>TERRA</t>
  </si>
  <si>
    <t>NOAA-14</t>
  </si>
  <si>
    <t>Bedka,Duda;Minnis (2016)</t>
  </si>
  <si>
    <t>CONUS</t>
  </si>
  <si>
    <t>AVHRR</t>
  </si>
  <si>
    <t xml:space="preserve">TERRA_MODIS </t>
  </si>
  <si>
    <t>escort</t>
  </si>
  <si>
    <t>IWC_from_nice_rvol/(mg_m-3)</t>
  </si>
  <si>
    <t>IWC_f(T)_Schumann_2002_mg/m3</t>
  </si>
  <si>
    <t>p_ice_Sonntag/Pa</t>
  </si>
  <si>
    <t>rho/(kg/m3)</t>
  </si>
  <si>
    <t>ISSR/(1=yes, 0=no)</t>
  </si>
  <si>
    <t>Camera</t>
  </si>
  <si>
    <t>trajectroy based</t>
  </si>
  <si>
    <t>potentials_2911</t>
  </si>
  <si>
    <t>potentials_3011a</t>
  </si>
  <si>
    <t>potentials_3011b</t>
  </si>
  <si>
    <t>upper anvil</t>
  </si>
  <si>
    <t>lower anvil</t>
  </si>
  <si>
    <t>Photo_lower</t>
  </si>
  <si>
    <t>Photo_upper</t>
  </si>
  <si>
    <t>auf Kampe (1942)</t>
  </si>
  <si>
    <t>Henschel</t>
  </si>
  <si>
    <t>HS-128</t>
  </si>
  <si>
    <t>Germany</t>
  </si>
  <si>
    <t>in-situ temperature and photos</t>
  </si>
  <si>
    <t xml:space="preserve">Bramo-Fafnir motor </t>
  </si>
  <si>
    <t>CSAE</t>
  </si>
  <si>
    <t>Area_dilution</t>
  </si>
  <si>
    <t>PMS</t>
  </si>
  <si>
    <t>Spiral</t>
  </si>
  <si>
    <t>Cluster</t>
  </si>
  <si>
    <t>Shutdown 1</t>
  </si>
  <si>
    <t>Shutdown 2</t>
  </si>
  <si>
    <t>Fallstreak 2</t>
  </si>
  <si>
    <t>WECARE-Camera</t>
  </si>
  <si>
    <t>Fallstreak-1</t>
  </si>
  <si>
    <t/>
  </si>
  <si>
    <t>286</t>
  </si>
  <si>
    <t>287</t>
  </si>
  <si>
    <t>288</t>
  </si>
  <si>
    <t>256</t>
  </si>
  <si>
    <t>0291</t>
  </si>
  <si>
    <t>0293</t>
  </si>
  <si>
    <t>0295</t>
  </si>
  <si>
    <t>0319e2</t>
  </si>
  <si>
    <t>KS7, 0623-1A</t>
  </si>
  <si>
    <t>KS7, 0623-1C</t>
  </si>
  <si>
    <t>0677-2</t>
  </si>
  <si>
    <t>KS9 0681-2</t>
  </si>
  <si>
    <t>KS9 0681-3</t>
  </si>
  <si>
    <t>Freudenthaler pers comm (2016)</t>
  </si>
  <si>
    <t>KS10 0719 F</t>
  </si>
  <si>
    <t>0733</t>
  </si>
  <si>
    <t>0735</t>
  </si>
  <si>
    <t>0736</t>
  </si>
  <si>
    <t>IFU-Lidar</t>
  </si>
  <si>
    <t>ground</t>
  </si>
  <si>
    <t>Sample-case</t>
  </si>
  <si>
    <t>IFU-Lidar+ Model</t>
  </si>
  <si>
    <t>estimated mF, Mass</t>
  </si>
  <si>
    <t>Betancor-Gothe and Graßl (1993)</t>
  </si>
  <si>
    <t>NOAA-11 AVHRR</t>
  </si>
  <si>
    <t>NOAA-11-AVHRR</t>
  </si>
  <si>
    <t>German Bay (52-556°N, 5-11°E)</t>
  </si>
  <si>
    <t>deReus et al. (2009)&amp;Schumann et al. (2016), (potential contrail)</t>
  </si>
  <si>
    <t>deReus et al. (2009)&amp;Schumann et al. (2016),(potential contrail)</t>
  </si>
  <si>
    <t>M55 Geophysica</t>
  </si>
  <si>
    <t>d_min/um</t>
  </si>
  <si>
    <t>d_max/um</t>
  </si>
  <si>
    <t>Schumann (2002), Käster (2003)</t>
  </si>
  <si>
    <t>empty</t>
  </si>
  <si>
    <t>TWC/(kg m-1)</t>
  </si>
  <si>
    <t>prime author</t>
  </si>
  <si>
    <t>validated aircraft type=1</t>
  </si>
  <si>
    <t>NBV/(0.01s-1)</t>
  </si>
  <si>
    <t>--</t>
  </si>
  <si>
    <t>(T-TLC)/K</t>
  </si>
  <si>
    <t>Ndil=7000 (t/t0)**0.8, t0=1 s; (computed_Schumann et al., 1998)</t>
  </si>
  <si>
    <t>Schumann et al. (2016, Geophysica paper)</t>
  </si>
  <si>
    <t>E7</t>
  </si>
  <si>
    <t>E10</t>
  </si>
  <si>
    <t>ALF 502 turbofan engines</t>
  </si>
  <si>
    <t>B587</t>
  </si>
  <si>
    <t>Kaufmann et al. (2014)+ new data analysis</t>
  </si>
  <si>
    <t>Kaufmann et al. (2014)+new data analysis</t>
  </si>
  <si>
    <t>Observation platform</t>
  </si>
  <si>
    <t>UTC end time/s</t>
  </si>
  <si>
    <t>Schumann et al. (2016), Table 2, lower contrail</t>
  </si>
  <si>
    <t>Schumann et al. (2016), Table 2, upper contrail</t>
  </si>
  <si>
    <t>Schumann et al. (2016), (potential contrail in anvil)</t>
  </si>
  <si>
    <t>DIAL backscatter</t>
  </si>
  <si>
    <t>Schumann et al. (2016) (potential contrail;trajectory analysis)</t>
  </si>
  <si>
    <t>Spinhirn et al. (1998), Duda et al. (1998), estim._age, young</t>
  </si>
  <si>
    <t>Spinhirn et al. (1998), Duda et al. (1998), estim._age, aged</t>
  </si>
  <si>
    <t>FSSP300_1_20 um</t>
  </si>
  <si>
    <t>FSSP300_0.9_20 um</t>
  </si>
  <si>
    <t>PNephelometer+FSSP300, 0.4-50 um</t>
  </si>
  <si>
    <t>PNephelometer</t>
  </si>
  <si>
    <t>CFM56-5B6/P</t>
  </si>
  <si>
    <t>CFM56-5C2</t>
  </si>
  <si>
    <t>Trent970-84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</si>
</sst>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0"/>
    <numFmt numFmtId="166" formatCode="0.000"/>
    <numFmt numFmtId="167" formatCode="0.00000"/>
    <numFmt numFmtId="168" formatCode="0.000E+00"/>
    <numFmt numFmtId="169" formatCode="0.000000"/>
    <numFmt numFmtId="170" formatCode="0.00000E+00"/>
  </numFmts>
  <fonts count="21" x14ac:knownFonts="1">
    <font>
      <sz val="11"/>
      <color theme="1"/>
      <name val="Calibri"/>
      <family val="2"/>
      <scheme val="minor"/>
    </font>
    <font>
      <b/>
      <sz val="8"/>
      <color indexed="81"/>
      <name val="Tahoma"/>
      <family val="2"/>
    </font>
    <font>
      <sz val="8"/>
      <color indexed="81"/>
      <name val="Tahoma"/>
      <family val="2"/>
    </font>
    <font>
      <sz val="11"/>
      <color rgb="FF000000"/>
      <name val="Calibri"/>
      <family val="2"/>
    </font>
    <font>
      <sz val="11"/>
      <color theme="1"/>
      <name val="Times New Roman"/>
      <family val="1"/>
    </font>
    <font>
      <sz val="12"/>
      <color theme="1"/>
      <name val="Times New Roman"/>
      <family val="1"/>
    </font>
    <font>
      <u/>
      <sz val="11"/>
      <color theme="10"/>
      <name val="Calibri"/>
      <family val="2"/>
      <scheme val="minor"/>
    </font>
    <font>
      <sz val="11"/>
      <color rgb="FF000000"/>
      <name val="Times New Roman"/>
      <family val="1"/>
    </font>
    <font>
      <b/>
      <sz val="11"/>
      <color rgb="FFFF3333"/>
      <name val="Calibri"/>
      <family val="2"/>
      <charset val="1"/>
    </font>
    <font>
      <sz val="11"/>
      <color rgb="FF000000"/>
      <name val="Calibri"/>
      <family val="2"/>
      <scheme val="minor"/>
    </font>
    <font>
      <sz val="10.5"/>
      <color rgb="FF000000"/>
      <name val="Calibri"/>
      <family val="2"/>
      <scheme val="minor"/>
    </font>
    <font>
      <sz val="10"/>
      <color theme="1"/>
      <name val="Calibri"/>
      <family val="2"/>
      <scheme val="minor"/>
    </font>
    <font>
      <i/>
      <sz val="11"/>
      <color rgb="FF993366"/>
      <name val="Calibri"/>
      <family val="2"/>
      <charset val="1"/>
    </font>
    <font>
      <sz val="11"/>
      <color rgb="FF000000"/>
      <name val="Calibri"/>
      <family val="2"/>
      <charset val="1"/>
    </font>
    <font>
      <u/>
      <sz val="11"/>
      <color rgb="FF0000FF"/>
      <name val="Calibri"/>
      <family val="2"/>
      <charset val="1"/>
    </font>
    <font>
      <b/>
      <sz val="11"/>
      <color rgb="FF000000"/>
      <name val="Calibri"/>
      <family val="2"/>
      <charset val="1"/>
    </font>
    <font>
      <sz val="9"/>
      <color rgb="FF000000"/>
      <name val="Times New Roman"/>
      <family val="1"/>
    </font>
    <font>
      <sz val="11"/>
      <color rgb="FF000000"/>
      <name val="Arial"/>
      <family val="2"/>
    </font>
    <font>
      <sz val="10"/>
      <color theme="1"/>
      <name val="Times New Roman"/>
      <family val="1"/>
    </font>
    <font>
      <sz val="12"/>
      <color rgb="FF000000"/>
      <name val="Calibri"/>
      <family val="2"/>
      <scheme val="minor"/>
    </font>
    <font>
      <sz val="10"/>
      <color rgb="FF000000"/>
      <name val="Calibri"/>
      <family val="2"/>
      <scheme val="minor"/>
    </font>
  </fonts>
  <fills count="4">
    <fill>
      <patternFill patternType="none"/>
    </fill>
    <fill>
      <patternFill patternType="gray125"/>
    </fill>
    <fill>
      <patternFill patternType="solid">
        <fgColor rgb="FFCCFFCC"/>
        <bgColor rgb="FFCCFFFF"/>
      </patternFill>
    </fill>
    <fill>
      <patternFill patternType="solid">
        <fgColor rgb="FFFFFF00"/>
        <bgColor indexed="64"/>
      </patternFill>
    </fill>
  </fills>
  <borders count="2">
    <border>
      <left/>
      <right/>
      <top/>
      <bottom/>
      <diagonal/>
    </border>
    <border>
      <left/>
      <right/>
      <top style="medium">
        <color indexed="64"/>
      </top>
      <bottom style="medium">
        <color indexed="64"/>
      </bottom>
      <diagonal/>
    </border>
  </borders>
  <cellStyleXfs count="5">
    <xf numFmtId="0" fontId="0" fillId="0" borderId="0"/>
    <xf numFmtId="0" fontId="3" fillId="0" borderId="0"/>
    <xf numFmtId="0" fontId="6" fillId="0" borderId="0" applyNumberFormat="0" applyFill="0" applyBorder="0" applyAlignment="0" applyProtection="0"/>
    <xf numFmtId="0" fontId="13" fillId="0" borderId="0"/>
    <xf numFmtId="0" fontId="14" fillId="0" borderId="0" applyBorder="0" applyProtection="0"/>
  </cellStyleXfs>
  <cellXfs count="49">
    <xf numFmtId="0" fontId="0" fillId="0" borderId="0" xfId="0"/>
    <xf numFmtId="166" fontId="0" fillId="0" borderId="0" xfId="0" applyNumberFormat="1"/>
    <xf numFmtId="0" fontId="4" fillId="0" borderId="0" xfId="0" applyFont="1"/>
    <xf numFmtId="1" fontId="0" fillId="0" borderId="0" xfId="0" applyNumberFormat="1"/>
    <xf numFmtId="0" fontId="0" fillId="2" borderId="0" xfId="0" applyFill="1"/>
    <xf numFmtId="20" fontId="0" fillId="0" borderId="0" xfId="0" applyNumberFormat="1"/>
    <xf numFmtId="2" fontId="0" fillId="0" borderId="0" xfId="0" applyNumberFormat="1"/>
    <xf numFmtId="164" fontId="0" fillId="0" borderId="0" xfId="0" applyNumberFormat="1"/>
    <xf numFmtId="167" fontId="0" fillId="0" borderId="0" xfId="0" applyNumberFormat="1"/>
    <xf numFmtId="0" fontId="9" fillId="0" borderId="0" xfId="0" applyFont="1" applyAlignment="1">
      <alignment horizontal="left" vertical="center" readingOrder="1"/>
    </xf>
    <xf numFmtId="0" fontId="9" fillId="0" borderId="0" xfId="0" applyFont="1"/>
    <xf numFmtId="0" fontId="9" fillId="0" borderId="0" xfId="0" applyFont="1" applyAlignment="1">
      <alignment vertical="center" readingOrder="1"/>
    </xf>
    <xf numFmtId="0" fontId="9" fillId="0" borderId="0" xfId="0" applyFont="1" applyAlignment="1">
      <alignment vertical="center"/>
    </xf>
    <xf numFmtId="168" fontId="0" fillId="0" borderId="0" xfId="0" applyNumberFormat="1"/>
    <xf numFmtId="11" fontId="0" fillId="0" borderId="0" xfId="0" applyNumberFormat="1"/>
    <xf numFmtId="165" fontId="0" fillId="0" borderId="0" xfId="0" applyNumberFormat="1"/>
    <xf numFmtId="0" fontId="7" fillId="0" borderId="0" xfId="0" applyFont="1"/>
    <xf numFmtId="21" fontId="0" fillId="0" borderId="0" xfId="0" applyNumberFormat="1"/>
    <xf numFmtId="0" fontId="6" fillId="0" borderId="0" xfId="2" applyFill="1"/>
    <xf numFmtId="2" fontId="9" fillId="0" borderId="0" xfId="0" applyNumberFormat="1" applyFont="1"/>
    <xf numFmtId="0" fontId="10" fillId="0" borderId="0" xfId="0" applyFont="1"/>
    <xf numFmtId="0" fontId="11" fillId="0" borderId="0" xfId="0" applyFont="1"/>
    <xf numFmtId="0" fontId="6" fillId="0" borderId="0" xfId="2" applyFill="1" applyAlignment="1">
      <alignment vertical="center"/>
    </xf>
    <xf numFmtId="0" fontId="5" fillId="0" borderId="0" xfId="0" applyFont="1"/>
    <xf numFmtId="169" fontId="0" fillId="0" borderId="0" xfId="0" applyNumberFormat="1"/>
    <xf numFmtId="9" fontId="0" fillId="0" borderId="0" xfId="0" applyNumberFormat="1"/>
    <xf numFmtId="0" fontId="8" fillId="0" borderId="0" xfId="0" applyFont="1"/>
    <xf numFmtId="49" fontId="0" fillId="0" borderId="0" xfId="0" applyNumberFormat="1" applyAlignment="1">
      <alignment horizontal="right"/>
    </xf>
    <xf numFmtId="0" fontId="12" fillId="0" borderId="0" xfId="0" applyFont="1"/>
    <xf numFmtId="0" fontId="8" fillId="0" borderId="0" xfId="0" applyFont="1" applyAlignment="1">
      <alignment horizontal="center"/>
    </xf>
    <xf numFmtId="0" fontId="8" fillId="0" borderId="0" xfId="3" applyFont="1"/>
    <xf numFmtId="2" fontId="15" fillId="0" borderId="0" xfId="3" applyNumberFormat="1" applyFont="1"/>
    <xf numFmtId="170" fontId="0" fillId="0" borderId="0" xfId="0" applyNumberFormat="1"/>
    <xf numFmtId="1" fontId="17" fillId="0" borderId="1" xfId="0" applyNumberFormat="1" applyFont="1" applyBorder="1" applyAlignment="1">
      <alignment horizontal="right" vertical="center" wrapText="1"/>
    </xf>
    <xf numFmtId="0" fontId="16" fillId="0" borderId="0" xfId="0" applyFont="1"/>
    <xf numFmtId="0" fontId="18" fillId="0" borderId="0" xfId="0" applyFont="1"/>
    <xf numFmtId="0" fontId="19" fillId="0" borderId="0" xfId="0" applyFont="1"/>
    <xf numFmtId="20" fontId="11" fillId="0" borderId="0" xfId="0" applyNumberFormat="1" applyFont="1"/>
    <xf numFmtId="2" fontId="20" fillId="0" borderId="0" xfId="0" applyNumberFormat="1" applyFont="1"/>
    <xf numFmtId="1" fontId="11" fillId="0" borderId="0" xfId="0" applyNumberFormat="1" applyFont="1"/>
    <xf numFmtId="2" fontId="11" fillId="0" borderId="0" xfId="0" applyNumberFormat="1" applyFont="1"/>
    <xf numFmtId="164" fontId="11" fillId="0" borderId="0" xfId="0" applyNumberFormat="1" applyFont="1"/>
    <xf numFmtId="168" fontId="11" fillId="0" borderId="0" xfId="0" applyNumberFormat="1" applyFont="1"/>
    <xf numFmtId="11" fontId="11" fillId="0" borderId="0" xfId="0" applyNumberFormat="1" applyFont="1"/>
    <xf numFmtId="167" fontId="11" fillId="0" borderId="0" xfId="0" applyNumberFormat="1" applyFont="1"/>
    <xf numFmtId="166" fontId="11" fillId="0" borderId="0" xfId="0" applyNumberFormat="1" applyFont="1"/>
    <xf numFmtId="0" fontId="0" fillId="3" borderId="0" xfId="0" applyFill="1"/>
    <xf numFmtId="2" fontId="0" fillId="3" borderId="0" xfId="0" applyNumberFormat="1" applyFill="1"/>
    <xf numFmtId="164" fontId="0" fillId="3" borderId="0" xfId="0" applyNumberFormat="1" applyFill="1"/>
  </cellXfs>
  <cellStyles count="5">
    <cellStyle name="Hyperlink" xfId="2" builtinId="8"/>
    <cellStyle name="Hyperlink 2" xfId="4" xr:uid="{00000000-0005-0000-0000-000001000000}"/>
    <cellStyle name="Normal" xfId="0" builtinId="0"/>
    <cellStyle name="Standard 2" xfId="1" xr:uid="{00000000-0005-0000-0000-000003000000}"/>
    <cellStyle name="Standard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1P2" connectionId="3" xr16:uid="{00000000-0016-0000-0000-000002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P" connectionId="2" xr16:uid="{00000000-0016-0000-0000-000001000000}"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ARAMS"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queryTable" Target="../queryTables/queryTable1.xml"/><Relationship Id="rId3" Type="http://schemas.openxmlformats.org/officeDocument/2006/relationships/hyperlink" Target="https://espoarchive.nasa.gov/archive/browse/success" TargetMode="External"/><Relationship Id="rId7" Type="http://schemas.openxmlformats.org/officeDocument/2006/relationships/vmlDrawing" Target="../drawings/vmlDrawing1.vml"/><Relationship Id="rId2" Type="http://schemas.openxmlformats.org/officeDocument/2006/relationships/hyperlink" Target="http://www-pm.larc.nasa.gov/prod/flttrkdbase/" TargetMode="External"/><Relationship Id="rId1" Type="http://schemas.openxmlformats.org/officeDocument/2006/relationships/hyperlink" Target="http://www-pm.larc.nasa.gov/prod/flttrkdbase/" TargetMode="External"/><Relationship Id="rId6" Type="http://schemas.openxmlformats.org/officeDocument/2006/relationships/printerSettings" Target="../printerSettings/printerSettings1.bin"/><Relationship Id="rId11" Type="http://schemas.openxmlformats.org/officeDocument/2006/relationships/comments" Target="../comments1.xml"/><Relationship Id="rId5" Type="http://schemas.openxmlformats.org/officeDocument/2006/relationships/hyperlink" Target="https://halo-db.pa.op.dlr.de/" TargetMode="External"/><Relationship Id="rId10" Type="http://schemas.openxmlformats.org/officeDocument/2006/relationships/queryTable" Target="../queryTables/queryTable3.xml"/><Relationship Id="rId4" Type="http://schemas.openxmlformats.org/officeDocument/2006/relationships/hyperlink" Target="http://scout-tropical.nilu.no/" TargetMode="External"/><Relationship Id="rId9" Type="http://schemas.openxmlformats.org/officeDocument/2006/relationships/queryTable" Target="../queryTables/queryTable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274"/>
  <sheetViews>
    <sheetView tabSelected="1" zoomScale="90" zoomScaleNormal="90" workbookViewId="0">
      <pane ySplit="1" topLeftCell="A13" activePane="bottomLeft" state="frozen"/>
      <selection pane="bottomLeft" activeCell="M217" sqref="M217"/>
    </sheetView>
  </sheetViews>
  <sheetFormatPr defaultColWidth="11.453125" defaultRowHeight="14.5" x14ac:dyDescent="0.35"/>
  <cols>
    <col min="1" max="1" width="11.453125" customWidth="1"/>
    <col min="3" max="3" width="11.453125" style="3" customWidth="1"/>
    <col min="4" max="4" width="18.54296875" customWidth="1"/>
    <col min="5" max="5" width="63.81640625" customWidth="1"/>
    <col min="6" max="6" width="21.453125" customWidth="1"/>
    <col min="7" max="7" width="11.453125" customWidth="1"/>
    <col min="8" max="8" width="13" customWidth="1"/>
    <col min="9" max="11" width="11.453125" customWidth="1"/>
    <col min="12" max="12" width="22.81640625" customWidth="1"/>
    <col min="13" max="13" width="27" customWidth="1"/>
    <col min="14" max="14" width="11.7265625" customWidth="1"/>
    <col min="15" max="15" width="11" customWidth="1"/>
    <col min="16" max="19" width="19.81640625" customWidth="1"/>
    <col min="20" max="20" width="17.7265625" customWidth="1"/>
    <col min="21" max="26" width="11.453125" customWidth="1"/>
    <col min="27" max="27" width="11.453125" style="3" customWidth="1"/>
    <col min="28" max="38" width="11.453125" customWidth="1"/>
    <col min="39" max="44" width="11.453125" style="6" customWidth="1"/>
    <col min="45" max="48" width="11.453125" style="7" customWidth="1"/>
    <col min="49" max="49" width="11.453125" customWidth="1"/>
    <col min="50" max="52" width="11.453125" style="7" customWidth="1"/>
    <col min="53" max="53" width="11.453125" style="6" customWidth="1"/>
    <col min="54" max="55" width="11.453125" customWidth="1"/>
    <col min="56" max="58" width="11.453125" style="6" customWidth="1"/>
    <col min="59" max="67" width="11.453125" customWidth="1"/>
    <col min="68" max="70" width="11.453125" style="3" customWidth="1"/>
    <col min="71" max="72" width="11.453125" customWidth="1"/>
    <col min="73" max="73" width="11.1796875" customWidth="1"/>
    <col min="74" max="77" width="11.453125" customWidth="1"/>
    <col min="78" max="78" width="14.81640625" customWidth="1"/>
    <col min="79" max="83" width="11.453125" customWidth="1"/>
    <col min="84" max="84" width="12.54296875" customWidth="1"/>
    <col min="85" max="85" width="13" customWidth="1"/>
    <col min="86" max="86" width="12.26953125" customWidth="1"/>
    <col min="87" max="88" width="11.453125" customWidth="1"/>
    <col min="89" max="89" width="27.26953125" customWidth="1"/>
    <col min="90" max="105" width="11.453125" customWidth="1"/>
    <col min="106" max="109" width="11.453125" style="3" customWidth="1"/>
    <col min="110" max="111" width="11.453125" customWidth="1"/>
    <col min="112" max="112" width="11.453125" style="14" customWidth="1"/>
    <col min="113" max="114" width="11.453125" style="6" customWidth="1"/>
    <col min="115" max="115" width="14.1796875" style="8" customWidth="1"/>
    <col min="116" max="116" width="11.453125" style="1" customWidth="1"/>
    <col min="117" max="120" width="11.453125" customWidth="1"/>
    <col min="121" max="121" width="11.453125" style="6" customWidth="1"/>
    <col min="122" max="123" width="13.81640625" style="6" customWidth="1"/>
    <col min="124" max="124" width="13.81640625" style="6" hidden="1" customWidth="1"/>
    <col min="125" max="133" width="11.453125" hidden="1" customWidth="1"/>
    <col min="134" max="134" width="12.26953125" hidden="1" customWidth="1"/>
    <col min="135" max="138" width="11.453125" hidden="1" customWidth="1"/>
    <col min="139" max="139" width="11.453125" customWidth="1"/>
    <col min="143" max="143" width="11.453125" style="3" customWidth="1"/>
    <col min="144" max="144" width="11.453125" customWidth="1"/>
    <col min="145" max="145" width="37.81640625" customWidth="1"/>
    <col min="146" max="146" width="21.453125" customWidth="1"/>
    <col min="147" max="147" width="11.453125" customWidth="1"/>
    <col min="148" max="148" width="13" customWidth="1"/>
    <col min="149" max="150" width="11.453125" customWidth="1"/>
    <col min="151" max="151" width="14.1796875" customWidth="1"/>
    <col min="152" max="152" width="27" customWidth="1"/>
    <col min="153" max="153" width="11.7265625" customWidth="1"/>
    <col min="154" max="154" width="11" customWidth="1"/>
    <col min="155" max="159" width="19.81640625" customWidth="1"/>
    <col min="160" max="160" width="17.7265625" customWidth="1"/>
    <col min="161" max="177" width="11.453125" customWidth="1"/>
    <col min="178" max="178" width="11.453125" style="6" customWidth="1"/>
    <col min="179" max="191" width="11.453125" customWidth="1"/>
    <col min="192" max="192" width="11.453125" style="6" customWidth="1"/>
    <col min="193" max="213" width="11.453125" customWidth="1"/>
    <col min="214" max="214" width="14.81640625" customWidth="1"/>
    <col min="215" max="250" width="11.453125" customWidth="1"/>
    <col min="251" max="252" width="11.453125" style="6" customWidth="1"/>
    <col min="253" max="256" width="11.453125" customWidth="1"/>
  </cols>
  <sheetData>
    <row r="1" spans="1:246" ht="39.75" customHeight="1" x14ac:dyDescent="0.35">
      <c r="A1" t="s">
        <v>160</v>
      </c>
      <c r="B1" t="s">
        <v>186</v>
      </c>
      <c r="C1" s="3" t="s">
        <v>34</v>
      </c>
      <c r="D1" t="s">
        <v>273</v>
      </c>
      <c r="E1" t="s">
        <v>459</v>
      </c>
      <c r="F1" t="s">
        <v>472</v>
      </c>
      <c r="G1" t="s">
        <v>0</v>
      </c>
      <c r="H1" t="s">
        <v>139</v>
      </c>
      <c r="I1" t="s">
        <v>59</v>
      </c>
      <c r="J1" t="s">
        <v>473</v>
      </c>
      <c r="K1" t="s">
        <v>108</v>
      </c>
      <c r="L1" t="s">
        <v>109</v>
      </c>
      <c r="M1" t="s">
        <v>125</v>
      </c>
      <c r="N1" t="s">
        <v>454</v>
      </c>
      <c r="O1" t="s">
        <v>455</v>
      </c>
      <c r="P1" t="s">
        <v>126</v>
      </c>
      <c r="Q1" t="s">
        <v>140</v>
      </c>
      <c r="R1" t="s">
        <v>218</v>
      </c>
      <c r="S1" t="s">
        <v>220</v>
      </c>
      <c r="T1" t="s">
        <v>460</v>
      </c>
      <c r="U1" t="s">
        <v>1</v>
      </c>
      <c r="V1" t="s">
        <v>2</v>
      </c>
      <c r="W1" t="s">
        <v>35</v>
      </c>
      <c r="X1" t="s">
        <v>3</v>
      </c>
      <c r="Y1" t="s">
        <v>380</v>
      </c>
      <c r="Z1" t="s">
        <v>330</v>
      </c>
      <c r="AA1" s="3" t="s">
        <v>34</v>
      </c>
      <c r="AB1" t="s">
        <v>457</v>
      </c>
      <c r="AC1" t="s">
        <v>457</v>
      </c>
      <c r="AD1" t="s">
        <v>457</v>
      </c>
      <c r="AE1" t="s">
        <v>457</v>
      </c>
      <c r="AF1" t="s">
        <v>457</v>
      </c>
      <c r="AG1" t="s">
        <v>457</v>
      </c>
      <c r="AH1" t="s">
        <v>457</v>
      </c>
      <c r="AI1" t="s">
        <v>457</v>
      </c>
      <c r="AJ1" t="s">
        <v>457</v>
      </c>
      <c r="AK1" t="s">
        <v>381</v>
      </c>
      <c r="AL1" t="s">
        <v>382</v>
      </c>
      <c r="AM1" s="6" t="s">
        <v>4</v>
      </c>
      <c r="AN1" s="6" t="s">
        <v>383</v>
      </c>
      <c r="AO1" s="6" t="s">
        <v>384</v>
      </c>
      <c r="AP1" s="6" t="s">
        <v>133</v>
      </c>
      <c r="AQ1" s="6" t="s">
        <v>123</v>
      </c>
      <c r="AR1" s="6" t="s">
        <v>124</v>
      </c>
      <c r="AS1" s="7" t="s">
        <v>221</v>
      </c>
      <c r="AT1" s="7" t="s">
        <v>5</v>
      </c>
      <c r="AU1" s="7" t="s">
        <v>123</v>
      </c>
      <c r="AV1" s="7" t="s">
        <v>124</v>
      </c>
      <c r="AW1" t="s">
        <v>397</v>
      </c>
      <c r="AX1" s="7" t="s">
        <v>131</v>
      </c>
      <c r="AY1" s="7" t="s">
        <v>123</v>
      </c>
      <c r="AZ1" s="7" t="s">
        <v>124</v>
      </c>
      <c r="BA1" s="6" t="s">
        <v>461</v>
      </c>
      <c r="BB1" t="s">
        <v>123</v>
      </c>
      <c r="BC1" t="s">
        <v>124</v>
      </c>
      <c r="BD1" s="6" t="s">
        <v>128</v>
      </c>
      <c r="BE1" s="6" t="s">
        <v>123</v>
      </c>
      <c r="BF1" s="6" t="s">
        <v>124</v>
      </c>
      <c r="BG1" t="s">
        <v>127</v>
      </c>
      <c r="BH1" t="s">
        <v>123</v>
      </c>
      <c r="BI1" t="s">
        <v>124</v>
      </c>
      <c r="BJ1" t="s">
        <v>332</v>
      </c>
      <c r="BK1" t="s">
        <v>123</v>
      </c>
      <c r="BL1" t="s">
        <v>124</v>
      </c>
      <c r="BM1" t="s">
        <v>331</v>
      </c>
      <c r="BN1" t="s">
        <v>123</v>
      </c>
      <c r="BO1" t="s">
        <v>124</v>
      </c>
      <c r="BP1" s="3" t="s">
        <v>36</v>
      </c>
      <c r="BQ1" s="3" t="s">
        <v>123</v>
      </c>
      <c r="BR1" s="3" t="s">
        <v>124</v>
      </c>
      <c r="BS1" t="s">
        <v>134</v>
      </c>
      <c r="BT1" t="s">
        <v>123</v>
      </c>
      <c r="BU1" t="s">
        <v>124</v>
      </c>
      <c r="BV1" t="s">
        <v>129</v>
      </c>
      <c r="BW1" t="s">
        <v>123</v>
      </c>
      <c r="BX1" t="s">
        <v>124</v>
      </c>
      <c r="BY1" t="s">
        <v>393</v>
      </c>
      <c r="BZ1" t="s">
        <v>56</v>
      </c>
      <c r="CA1" t="s">
        <v>123</v>
      </c>
      <c r="CB1" t="s">
        <v>124</v>
      </c>
      <c r="CC1" t="s">
        <v>458</v>
      </c>
      <c r="CD1" t="s">
        <v>123</v>
      </c>
      <c r="CE1" t="s">
        <v>124</v>
      </c>
      <c r="CF1" t="s">
        <v>130</v>
      </c>
      <c r="CG1" t="s">
        <v>123</v>
      </c>
      <c r="CH1" t="s">
        <v>124</v>
      </c>
      <c r="CI1" t="s">
        <v>58</v>
      </c>
      <c r="CJ1" t="s">
        <v>123</v>
      </c>
      <c r="CK1" t="s">
        <v>124</v>
      </c>
      <c r="CL1" t="s">
        <v>37</v>
      </c>
      <c r="CM1" t="s">
        <v>123</v>
      </c>
      <c r="CN1" t="s">
        <v>124</v>
      </c>
      <c r="CO1" t="s">
        <v>57</v>
      </c>
      <c r="CP1" t="s">
        <v>123</v>
      </c>
      <c r="CQ1" t="s">
        <v>124</v>
      </c>
      <c r="CR1" t="s">
        <v>112</v>
      </c>
      <c r="CS1" t="s">
        <v>123</v>
      </c>
      <c r="CT1" t="s">
        <v>124</v>
      </c>
      <c r="CU1" t="s">
        <v>110</v>
      </c>
      <c r="CV1" t="s">
        <v>123</v>
      </c>
      <c r="CW1" t="s">
        <v>124</v>
      </c>
      <c r="CX1" t="s">
        <v>132</v>
      </c>
      <c r="CY1" t="s">
        <v>69</v>
      </c>
      <c r="CZ1" t="s">
        <v>123</v>
      </c>
      <c r="DA1" t="s">
        <v>124</v>
      </c>
      <c r="DB1" s="3" t="s">
        <v>379</v>
      </c>
      <c r="DC1" s="3" t="s">
        <v>123</v>
      </c>
      <c r="DD1" s="3" t="s">
        <v>124</v>
      </c>
      <c r="DE1" s="3" t="s">
        <v>306</v>
      </c>
      <c r="DF1" t="s">
        <v>123</v>
      </c>
      <c r="DG1" t="s">
        <v>124</v>
      </c>
      <c r="DH1" s="14" t="s">
        <v>464</v>
      </c>
      <c r="DI1" s="6" t="s">
        <v>394</v>
      </c>
      <c r="DJ1" s="6" t="s">
        <v>395</v>
      </c>
      <c r="DK1" s="8" t="s">
        <v>171</v>
      </c>
      <c r="DL1" s="1" t="s">
        <v>396</v>
      </c>
      <c r="DM1" t="s">
        <v>172</v>
      </c>
      <c r="DN1" t="s">
        <v>173</v>
      </c>
      <c r="DO1" t="s">
        <v>174</v>
      </c>
      <c r="DP1" t="s">
        <v>185</v>
      </c>
      <c r="DQ1" s="6" t="s">
        <v>188</v>
      </c>
      <c r="DR1" s="6" t="s">
        <v>414</v>
      </c>
      <c r="DS1" s="6" t="s">
        <v>463</v>
      </c>
      <c r="EI1" t="s">
        <v>282</v>
      </c>
      <c r="EJ1" t="s">
        <v>315</v>
      </c>
    </row>
    <row r="2" spans="1:246" x14ac:dyDescent="0.35">
      <c r="A2">
        <v>0</v>
      </c>
      <c r="B2">
        <v>0</v>
      </c>
      <c r="C2" s="3">
        <v>0.25</v>
      </c>
      <c r="D2" t="s">
        <v>408</v>
      </c>
      <c r="E2" t="s">
        <v>407</v>
      </c>
      <c r="F2" t="s">
        <v>408</v>
      </c>
      <c r="G2" t="s">
        <v>409</v>
      </c>
      <c r="H2">
        <v>19411000</v>
      </c>
      <c r="L2" t="s">
        <v>410</v>
      </c>
      <c r="M2" t="s">
        <v>411</v>
      </c>
      <c r="Q2" t="s">
        <v>101</v>
      </c>
      <c r="R2" t="s">
        <v>412</v>
      </c>
      <c r="S2">
        <v>1</v>
      </c>
      <c r="T2">
        <v>1</v>
      </c>
      <c r="U2">
        <v>14.5</v>
      </c>
      <c r="V2">
        <v>2.5</v>
      </c>
      <c r="W2" s="6">
        <f>135/(3.6*Y2)</f>
        <v>0.56818181818181823</v>
      </c>
      <c r="X2">
        <v>0.4</v>
      </c>
      <c r="Y2">
        <v>66</v>
      </c>
      <c r="AA2" s="3">
        <f t="shared" ref="AA2:AA10" si="0">C2</f>
        <v>0.25</v>
      </c>
      <c r="AK2">
        <v>0.2</v>
      </c>
      <c r="AL2">
        <v>0.3</v>
      </c>
      <c r="AM2" s="6">
        <f>273.15-45</f>
        <v>228.14999999999998</v>
      </c>
      <c r="AN2" s="6">
        <f>273.15-42</f>
        <v>231.14999999999998</v>
      </c>
      <c r="AO2" s="6">
        <f>273.15-50</f>
        <v>223.14999999999998</v>
      </c>
      <c r="AP2" s="6">
        <v>8</v>
      </c>
      <c r="AQ2" s="6">
        <v>7</v>
      </c>
      <c r="AR2" s="6">
        <v>10</v>
      </c>
      <c r="AS2" s="7">
        <f>MAX((1-POWER(AT2/1013.25,0.190263103))*44330.76923/30.48, (11000-LOG(AT2/226.32)*6341.615566)/30.48)</f>
        <v>319.9616992028578</v>
      </c>
      <c r="AT2" s="7">
        <v>356</v>
      </c>
      <c r="AU2" s="7">
        <v>350</v>
      </c>
      <c r="AV2" s="7">
        <v>360</v>
      </c>
      <c r="AW2" s="7">
        <v>1</v>
      </c>
      <c r="AX2" s="7">
        <v>100</v>
      </c>
      <c r="BJ2">
        <v>3</v>
      </c>
      <c r="BM2">
        <v>3</v>
      </c>
      <c r="BN2">
        <v>2.5</v>
      </c>
      <c r="BO2">
        <v>3.5</v>
      </c>
      <c r="BP2" s="3">
        <v>2.5</v>
      </c>
      <c r="BQ2" s="3">
        <v>2.5</v>
      </c>
      <c r="BR2" s="3">
        <v>3.5</v>
      </c>
      <c r="BS2">
        <f>0.000001*3.141592*BM2*BJ2/4</f>
        <v>7.0685819999999995E-6</v>
      </c>
      <c r="BT2">
        <f>BS2*0.7</f>
        <v>4.9480073999999996E-6</v>
      </c>
      <c r="BU2">
        <f>BS2*1.3</f>
        <v>9.1891565999999993E-6</v>
      </c>
      <c r="CF2" s="13"/>
      <c r="CG2" s="13"/>
      <c r="CH2" s="13"/>
      <c r="DH2" s="14">
        <f>7000*POWER(AA2,0.8)</f>
        <v>2309.1388438525651</v>
      </c>
      <c r="DI2" s="6">
        <f>EXP(6.97+0.103*(AM2-273.15))</f>
        <v>10.329459929369532</v>
      </c>
      <c r="DJ2" s="6">
        <f>100*EXP(-6024.5282/AM2+24.7219+(0.010613868-0.000013198825*AM2)*AM2-0.49382577*LN(AM2))</f>
        <v>7.2002868000950722</v>
      </c>
      <c r="DK2" s="8">
        <f>(18/29)*DJ2/(AT2*100)</f>
        <v>1.2553773963745767E-4</v>
      </c>
      <c r="DL2" s="1">
        <f>AT2*100/(287.04*AM2)</f>
        <v>0.5436095822855106</v>
      </c>
      <c r="DM2">
        <f>BZ2*0.000001/DL2</f>
        <v>0</v>
      </c>
      <c r="DN2">
        <f>DM2/DK2</f>
        <v>0</v>
      </c>
      <c r="DO2">
        <f>1.24*29*AT2*100/(DH2*18*DJ2)</f>
        <v>4.2775720510153175</v>
      </c>
      <c r="DP2" s="14">
        <f>(BV2*1000000/DL2)*DH2</f>
        <v>0</v>
      </c>
      <c r="DQ2" s="6">
        <f>EXP(9.550426-5723.265/AM2+3.53068*LN(AM2)-0.00728332*AM2)</f>
        <v>7.205212969517266</v>
      </c>
      <c r="DR2" s="6">
        <f>BS2*1000000*DL2/(W2*0.001)</f>
        <v>6762.8860787327458</v>
      </c>
      <c r="DS2" s="6" t="s">
        <v>462</v>
      </c>
      <c r="HL2" s="14"/>
      <c r="HM2" s="14"/>
      <c r="HN2" s="14"/>
      <c r="IL2" s="15"/>
    </row>
    <row r="3" spans="1:246" x14ac:dyDescent="0.35">
      <c r="A3">
        <v>1</v>
      </c>
      <c r="B3">
        <v>0</v>
      </c>
      <c r="C3" s="3">
        <f>18*60</f>
        <v>1080</v>
      </c>
      <c r="D3" t="s">
        <v>415</v>
      </c>
      <c r="E3" t="s">
        <v>145</v>
      </c>
      <c r="F3" t="s">
        <v>162</v>
      </c>
      <c r="G3" t="s">
        <v>116</v>
      </c>
      <c r="H3">
        <v>19710919</v>
      </c>
      <c r="I3">
        <f>12*3600+8*60+8</f>
        <v>43688</v>
      </c>
      <c r="K3" s="5">
        <v>0.50555555555555554</v>
      </c>
      <c r="L3" t="s">
        <v>117</v>
      </c>
      <c r="M3" t="s">
        <v>118</v>
      </c>
      <c r="Q3" t="s">
        <v>116</v>
      </c>
      <c r="T3">
        <v>1</v>
      </c>
      <c r="U3">
        <v>13.56</v>
      </c>
      <c r="V3">
        <v>6</v>
      </c>
      <c r="W3">
        <v>1.26</v>
      </c>
      <c r="X3">
        <v>0.3</v>
      </c>
      <c r="Y3">
        <v>150</v>
      </c>
      <c r="AA3" s="3">
        <f t="shared" si="0"/>
        <v>1080</v>
      </c>
      <c r="AK3" s="6">
        <f>AA3-30</f>
        <v>1050</v>
      </c>
      <c r="AL3" s="6">
        <f>AA3+30</f>
        <v>1110</v>
      </c>
      <c r="AM3" s="6">
        <v>234.95</v>
      </c>
      <c r="AN3" s="6">
        <f>AM3-2</f>
        <v>232.95</v>
      </c>
      <c r="AO3" s="6">
        <f>AM3+1</f>
        <v>235.95</v>
      </c>
      <c r="AS3" s="2">
        <v>295</v>
      </c>
      <c r="AT3" s="7">
        <v>326</v>
      </c>
      <c r="AU3" s="2">
        <v>307.8</v>
      </c>
      <c r="AW3">
        <v>1</v>
      </c>
      <c r="AX3" s="7">
        <v>100</v>
      </c>
      <c r="AZ3" s="7">
        <v>120</v>
      </c>
      <c r="BG3">
        <v>12</v>
      </c>
      <c r="BM3">
        <v>400</v>
      </c>
      <c r="BO3">
        <v>600</v>
      </c>
      <c r="BP3" s="3">
        <v>2000</v>
      </c>
      <c r="BR3" s="3">
        <v>3000</v>
      </c>
      <c r="BS3">
        <f>BM3*BP3*0.000001</f>
        <v>0.79999999999999993</v>
      </c>
      <c r="BV3" s="14"/>
      <c r="BY3">
        <f>(4*3.141592*917/3)*CL3*CL3*CL3*0.000000000000000001*BV3*1000000000000</f>
        <v>0</v>
      </c>
      <c r="BZ3">
        <v>100</v>
      </c>
      <c r="CA3">
        <v>50</v>
      </c>
      <c r="CC3">
        <v>40</v>
      </c>
      <c r="CD3">
        <f>CC3*0.7</f>
        <v>28</v>
      </c>
      <c r="CE3">
        <f>CC3*1.5</f>
        <v>60</v>
      </c>
      <c r="CF3" s="13"/>
      <c r="CG3" s="13">
        <v>15000000000</v>
      </c>
      <c r="CH3" s="13">
        <v>25000000000</v>
      </c>
      <c r="CR3">
        <v>1.4E-2</v>
      </c>
      <c r="CU3">
        <v>500</v>
      </c>
      <c r="DH3" s="14">
        <f>7000*POWER(AA3,0.8)</f>
        <v>1869980.3563165951</v>
      </c>
      <c r="DI3" s="6">
        <f>EXP(6.97+0.103*(AM3-273.15))</f>
        <v>20.809299954935636</v>
      </c>
      <c r="DJ3" s="6">
        <f>100*EXP(-6024.5282/AM3+24.7219+(0.010613868-0.000013198825*AM3)*AM3-0.49382577*LN(AM3))</f>
        <v>15.712847000917751</v>
      </c>
      <c r="DK3" s="8">
        <f>(18/29)*DJ3/(AT3*100)</f>
        <v>2.9916569284590597E-4</v>
      </c>
      <c r="DL3" s="1">
        <f>AT3*100/(287.04*AM3)</f>
        <v>0.48339230126289356</v>
      </c>
      <c r="DM3">
        <f>BZ3*0.000001/DL3</f>
        <v>2.0687131288343554E-4</v>
      </c>
      <c r="DN3">
        <f>DM3/DK3</f>
        <v>0.69149410453955584</v>
      </c>
      <c r="DO3">
        <f>1.24*29*AT3*100/(DH3*18*DJ3)</f>
        <v>2.2165261119655826E-3</v>
      </c>
      <c r="DP3" s="14">
        <f>(BV3*1000000/DL3)*DH3</f>
        <v>0</v>
      </c>
      <c r="DQ3" s="6">
        <f>EXP(9.550426-5723.265/AM3+3.53068*LN(AM3)-0.00728332*AM3)</f>
        <v>15.721135841418297</v>
      </c>
      <c r="DS3" s="6" t="s">
        <v>462</v>
      </c>
      <c r="HL3" s="14"/>
      <c r="HM3" s="14"/>
      <c r="HN3" s="14"/>
      <c r="IL3" s="15"/>
    </row>
    <row r="4" spans="1:246" x14ac:dyDescent="0.35">
      <c r="A4">
        <v>1</v>
      </c>
      <c r="B4">
        <v>0</v>
      </c>
      <c r="C4" s="3">
        <f>39*60</f>
        <v>2340</v>
      </c>
      <c r="D4" t="s">
        <v>415</v>
      </c>
      <c r="E4" t="s">
        <v>145</v>
      </c>
      <c r="F4" t="s">
        <v>162</v>
      </c>
      <c r="G4" t="s">
        <v>116</v>
      </c>
      <c r="H4">
        <v>19710919</v>
      </c>
      <c r="I4">
        <f>12*3600+8*60+21*60</f>
        <v>44940</v>
      </c>
      <c r="K4" s="5">
        <v>0.52013888888888882</v>
      </c>
      <c r="L4" t="s">
        <v>117</v>
      </c>
      <c r="M4" t="s">
        <v>118</v>
      </c>
      <c r="Q4" t="s">
        <v>116</v>
      </c>
      <c r="T4">
        <v>1</v>
      </c>
      <c r="U4">
        <v>13.56</v>
      </c>
      <c r="V4">
        <v>6</v>
      </c>
      <c r="W4">
        <v>1.26</v>
      </c>
      <c r="X4">
        <v>0.3</v>
      </c>
      <c r="Y4">
        <v>150</v>
      </c>
      <c r="AA4" s="3">
        <f t="shared" si="0"/>
        <v>2340</v>
      </c>
      <c r="AK4" s="6">
        <f>AA4-30</f>
        <v>2310</v>
      </c>
      <c r="AL4" s="6">
        <f>AA4+30</f>
        <v>2370</v>
      </c>
      <c r="AM4" s="6">
        <v>234.95</v>
      </c>
      <c r="AN4" s="6">
        <f>AM4-2</f>
        <v>232.95</v>
      </c>
      <c r="AO4" s="6">
        <f>AM4+1</f>
        <v>235.95</v>
      </c>
      <c r="AS4" s="2">
        <v>295</v>
      </c>
      <c r="AT4" s="7">
        <v>326</v>
      </c>
      <c r="AU4" s="2">
        <v>307.8</v>
      </c>
      <c r="AW4">
        <v>1</v>
      </c>
      <c r="AX4" s="7">
        <v>100</v>
      </c>
      <c r="AZ4" s="7">
        <v>120</v>
      </c>
      <c r="BG4">
        <v>12</v>
      </c>
      <c r="BM4">
        <v>700</v>
      </c>
      <c r="BO4">
        <v>800</v>
      </c>
      <c r="BP4" s="3">
        <v>2000</v>
      </c>
      <c r="BR4" s="3">
        <v>2200</v>
      </c>
      <c r="BS4">
        <f>BM4*BP4*0.000001</f>
        <v>1.4</v>
      </c>
      <c r="BV4" s="14"/>
      <c r="BY4">
        <f>(4*3.141592*917/3)*CL4*CL4*CL4*0.000000000000000001*BV4*1000000000000</f>
        <v>0</v>
      </c>
      <c r="BZ4">
        <v>100</v>
      </c>
      <c r="CA4">
        <v>50</v>
      </c>
      <c r="CC4">
        <v>21</v>
      </c>
      <c r="CD4">
        <f>CC4*0.7</f>
        <v>14.7</v>
      </c>
      <c r="CE4">
        <f>CC4*1.5</f>
        <v>31.5</v>
      </c>
      <c r="CF4" s="13"/>
      <c r="CG4" s="13">
        <v>4790000000</v>
      </c>
      <c r="CH4" s="13">
        <v>15000000000</v>
      </c>
      <c r="CR4">
        <v>1.4E-2</v>
      </c>
      <c r="CU4">
        <v>500</v>
      </c>
      <c r="DH4" s="14">
        <f>7000*POWER(AA4,0.8)</f>
        <v>3471128.7760546361</v>
      </c>
      <c r="DI4" s="6">
        <f>EXP(6.97+0.103*(AM4-273.15))</f>
        <v>20.809299954935636</v>
      </c>
      <c r="DJ4" s="6">
        <f>100*EXP(-6024.5282/AM4+24.7219+(0.010613868-0.000013198825*AM4)*AM4-0.49382577*LN(AM4))</f>
        <v>15.712847000917751</v>
      </c>
      <c r="DK4" s="8">
        <f>(18/29)*DJ4/(AT4*100)</f>
        <v>2.9916569284590597E-4</v>
      </c>
      <c r="DL4" s="1">
        <f>AT4*100/(287.04*AM4)</f>
        <v>0.48339230126289356</v>
      </c>
      <c r="DM4">
        <f>BZ4*0.000001/DL4</f>
        <v>2.0687131288343554E-4</v>
      </c>
      <c r="DN4">
        <f>DM4/DK4</f>
        <v>0.69149410453955584</v>
      </c>
      <c r="DO4">
        <f>1.24*29*AT4*100/(DH4*18*DJ4)</f>
        <v>1.1940957988166546E-3</v>
      </c>
      <c r="DP4" s="14">
        <f>(BV4*1000000/DL4)*DH4</f>
        <v>0</v>
      </c>
      <c r="DQ4" s="6">
        <f>EXP(9.550426-5723.265/AM4+3.53068*LN(AM4)-0.00728332*AM4)</f>
        <v>15.721135841418297</v>
      </c>
      <c r="DS4" s="6">
        <v>7.1340000000000003</v>
      </c>
      <c r="HL4" s="14"/>
      <c r="HM4" s="14"/>
      <c r="HN4" s="14"/>
      <c r="IL4" s="15"/>
    </row>
    <row r="5" spans="1:246" x14ac:dyDescent="0.35">
      <c r="A5">
        <v>0</v>
      </c>
      <c r="B5">
        <v>1</v>
      </c>
      <c r="C5" s="3">
        <v>115</v>
      </c>
      <c r="D5" t="s">
        <v>189</v>
      </c>
      <c r="E5" t="s">
        <v>209</v>
      </c>
      <c r="F5" t="s">
        <v>208</v>
      </c>
      <c r="G5" t="s">
        <v>190</v>
      </c>
      <c r="H5">
        <v>19720000</v>
      </c>
      <c r="L5" t="s">
        <v>312</v>
      </c>
      <c r="T5" t="s">
        <v>446</v>
      </c>
      <c r="U5">
        <v>56.4</v>
      </c>
      <c r="V5">
        <v>100</v>
      </c>
      <c r="W5">
        <v>7</v>
      </c>
      <c r="X5">
        <v>0.28000000000000003</v>
      </c>
      <c r="Y5">
        <v>230</v>
      </c>
      <c r="AA5" s="3">
        <f t="shared" si="0"/>
        <v>115</v>
      </c>
      <c r="AK5">
        <v>110</v>
      </c>
      <c r="AL5">
        <v>120</v>
      </c>
      <c r="AM5" s="6">
        <v>205</v>
      </c>
      <c r="AP5" s="6">
        <f>41900*0.3048</f>
        <v>12771.12</v>
      </c>
      <c r="AS5" s="7">
        <f>MIN((1-POWER(AT5/1013.25,0.190263103))*44330.76923/30.48, (11000-LOG(AT5/226.32)*6341.615566)/30.48)</f>
        <v>386.21865886608339</v>
      </c>
      <c r="AT5" s="7">
        <v>171</v>
      </c>
      <c r="BM5">
        <v>210</v>
      </c>
      <c r="BN5">
        <v>200</v>
      </c>
      <c r="BO5">
        <v>220</v>
      </c>
      <c r="BP5" s="3">
        <v>80</v>
      </c>
      <c r="BQ5" s="3">
        <v>75</v>
      </c>
      <c r="BR5" s="3">
        <v>85</v>
      </c>
      <c r="CF5" s="13"/>
      <c r="CG5" s="13"/>
      <c r="CH5" s="13"/>
      <c r="DP5" s="14"/>
      <c r="DS5" s="6">
        <v>7.1340000000000003</v>
      </c>
    </row>
    <row r="6" spans="1:246" x14ac:dyDescent="0.35">
      <c r="A6">
        <v>0</v>
      </c>
      <c r="B6">
        <v>1</v>
      </c>
      <c r="C6" s="3">
        <v>610</v>
      </c>
      <c r="D6" t="s">
        <v>189</v>
      </c>
      <c r="E6" t="s">
        <v>209</v>
      </c>
      <c r="F6" t="s">
        <v>208</v>
      </c>
      <c r="G6" t="s">
        <v>190</v>
      </c>
      <c r="H6">
        <v>19720000</v>
      </c>
      <c r="U6">
        <v>56.4</v>
      </c>
      <c r="V6">
        <v>100</v>
      </c>
      <c r="W6">
        <v>7</v>
      </c>
      <c r="X6">
        <v>0.28000000000000003</v>
      </c>
      <c r="Y6">
        <v>230</v>
      </c>
      <c r="AA6" s="3">
        <f t="shared" si="0"/>
        <v>610</v>
      </c>
      <c r="AK6">
        <v>600</v>
      </c>
      <c r="AL6">
        <v>620</v>
      </c>
      <c r="AM6" s="6">
        <v>205</v>
      </c>
      <c r="AP6" s="6">
        <f>41900*0.3048</f>
        <v>12771.12</v>
      </c>
      <c r="AS6" s="7">
        <f>MIN((1-POWER(AT6/1013.25,0.190263103))*44330.76923/30.48, (11000-LOG(AT6/226.32)*6341.615566)/30.48)</f>
        <v>386.21865886608339</v>
      </c>
      <c r="AT6" s="7">
        <v>171</v>
      </c>
      <c r="BM6">
        <v>400</v>
      </c>
      <c r="BN6">
        <v>380</v>
      </c>
      <c r="BO6">
        <v>420</v>
      </c>
      <c r="BP6" s="3">
        <v>510</v>
      </c>
      <c r="BQ6" s="3">
        <v>500</v>
      </c>
      <c r="BR6" s="3">
        <v>520</v>
      </c>
      <c r="CF6" s="13"/>
      <c r="CG6" s="13"/>
      <c r="CH6" s="13"/>
      <c r="DP6" s="14"/>
      <c r="DS6" s="6">
        <v>-15.13</v>
      </c>
    </row>
    <row r="7" spans="1:246" x14ac:dyDescent="0.35">
      <c r="A7">
        <v>2</v>
      </c>
      <c r="B7">
        <v>0</v>
      </c>
      <c r="C7">
        <v>3</v>
      </c>
      <c r="D7" s="16" t="s">
        <v>413</v>
      </c>
      <c r="E7" t="s">
        <v>147</v>
      </c>
      <c r="F7" t="s">
        <v>162</v>
      </c>
      <c r="G7" t="s">
        <v>32</v>
      </c>
      <c r="H7">
        <v>19890323</v>
      </c>
      <c r="L7" t="s">
        <v>234</v>
      </c>
      <c r="M7" t="s">
        <v>161</v>
      </c>
      <c r="N7">
        <v>0.5</v>
      </c>
      <c r="O7">
        <v>20</v>
      </c>
      <c r="P7" t="s">
        <v>163</v>
      </c>
      <c r="Q7" t="s">
        <v>31</v>
      </c>
      <c r="T7">
        <v>1</v>
      </c>
      <c r="U7">
        <v>12.04</v>
      </c>
      <c r="V7">
        <v>6.423</v>
      </c>
      <c r="W7">
        <v>0.68</v>
      </c>
      <c r="X7">
        <v>0.3</v>
      </c>
      <c r="Y7">
        <v>189</v>
      </c>
      <c r="AA7" s="3">
        <f t="shared" si="0"/>
        <v>3</v>
      </c>
      <c r="AM7" s="6">
        <f>273.15-52</f>
        <v>221.14999999999998</v>
      </c>
      <c r="AN7" s="6">
        <v>215.8</v>
      </c>
      <c r="AP7" s="6">
        <v>10</v>
      </c>
      <c r="AS7" s="7">
        <f>MIN((1-POWER(AT7/1013.25,0.190263103))*44330.76923/30.48, (11000-LOG(AT7/226.32)*6341.615566)/30.48)</f>
        <v>334.95134594303062</v>
      </c>
      <c r="AT7" s="7">
        <v>256</v>
      </c>
      <c r="AU7" s="7">
        <f>AT7-14</f>
        <v>242</v>
      </c>
      <c r="AV7" s="7">
        <f>AT7+14</f>
        <v>270</v>
      </c>
      <c r="AW7">
        <v>1</v>
      </c>
      <c r="AX7" s="7">
        <v>104</v>
      </c>
      <c r="AY7" s="7">
        <f>AX7-21</f>
        <v>83</v>
      </c>
      <c r="AZ7" s="7">
        <f>AX7+21</f>
        <v>125</v>
      </c>
      <c r="BT7">
        <f t="shared" ref="BT7:BU9" si="1">BN7*BQ7*0.000001</f>
        <v>0</v>
      </c>
      <c r="BU7">
        <f t="shared" si="1"/>
        <v>0</v>
      </c>
      <c r="BV7">
        <f>(BW7+BX7)/2</f>
        <v>5000</v>
      </c>
      <c r="BW7">
        <v>3000</v>
      </c>
      <c r="BX7">
        <v>7000</v>
      </c>
      <c r="CF7" s="13"/>
      <c r="CG7" s="13"/>
      <c r="CH7" s="13"/>
      <c r="CU7">
        <v>10</v>
      </c>
      <c r="DH7" s="14">
        <f t="shared" ref="DH7:DH38" si="2">7000*POWER(AA7,0.8)</f>
        <v>16857.572796964847</v>
      </c>
      <c r="DI7" s="6">
        <f t="shared" ref="DI7:DI38" si="3">EXP(6.97+0.103*(AM7-273.15))</f>
        <v>5.02286254865147</v>
      </c>
      <c r="DJ7" s="6">
        <f t="shared" ref="DJ7:DJ38" si="4">100*EXP(-6024.5282/AM7+24.7219+(0.010613868-0.000013198825*AM7)*AM7-0.49382577*LN(AM7))</f>
        <v>3.0676209102065788</v>
      </c>
      <c r="DK7" s="8">
        <f t="shared" ref="DK7:DK38" si="5">(18/29)*DJ7/(AT7*100)</f>
        <v>7.4376584568586239E-5</v>
      </c>
      <c r="DL7" s="1">
        <f t="shared" ref="DL7:DL38" si="6">AT7*100/(287.04*AM7)</f>
        <v>0.40328363618674151</v>
      </c>
      <c r="DM7">
        <f t="shared" ref="DM7:DM45" si="7">BZ7*0.000001/DL7</f>
        <v>0</v>
      </c>
      <c r="DN7">
        <f t="shared" ref="DN7:DN45" si="8">DM7/DK7</f>
        <v>0</v>
      </c>
      <c r="DO7">
        <f t="shared" ref="DO7:DO38" si="9">1.24*29*AT7*100/(DH7*18*DJ7)</f>
        <v>0.98898660626744317</v>
      </c>
      <c r="DP7" s="14">
        <f t="shared" ref="DP7:DP38" si="10">(BV7*1000000/DL7)*DH7</f>
        <v>209003927810734.5</v>
      </c>
      <c r="DQ7" s="6">
        <f t="shared" ref="DQ7:DQ38" si="11">EXP(9.550426-5723.265/AM7+3.53068*LN(AM7)-0.00728332*AM7)</f>
        <v>3.0701888107235411</v>
      </c>
      <c r="DS7" s="6">
        <v>-15.13</v>
      </c>
      <c r="EI7" s="16" t="s">
        <v>339</v>
      </c>
      <c r="EM7"/>
      <c r="IL7" s="15"/>
    </row>
    <row r="8" spans="1:246" x14ac:dyDescent="0.35">
      <c r="A8">
        <v>2</v>
      </c>
      <c r="B8">
        <v>0</v>
      </c>
      <c r="C8">
        <v>3.5</v>
      </c>
      <c r="D8" s="16" t="s">
        <v>413</v>
      </c>
      <c r="E8" t="s">
        <v>147</v>
      </c>
      <c r="F8" t="s">
        <v>162</v>
      </c>
      <c r="G8" t="s">
        <v>32</v>
      </c>
      <c r="H8">
        <v>19890323</v>
      </c>
      <c r="L8" t="s">
        <v>234</v>
      </c>
      <c r="M8" t="s">
        <v>161</v>
      </c>
      <c r="N8">
        <v>0.5</v>
      </c>
      <c r="O8">
        <v>20</v>
      </c>
      <c r="P8" t="s">
        <v>163</v>
      </c>
      <c r="Q8" t="s">
        <v>31</v>
      </c>
      <c r="T8">
        <v>1</v>
      </c>
      <c r="U8">
        <v>12.04</v>
      </c>
      <c r="V8">
        <v>6.423</v>
      </c>
      <c r="W8">
        <v>0.68</v>
      </c>
      <c r="X8">
        <v>0.3</v>
      </c>
      <c r="Y8">
        <v>189</v>
      </c>
      <c r="AA8" s="3">
        <f t="shared" si="0"/>
        <v>3.5</v>
      </c>
      <c r="AM8" s="6">
        <f>273.15-52</f>
        <v>221.14999999999998</v>
      </c>
      <c r="AP8" s="6">
        <v>10</v>
      </c>
      <c r="AS8" s="7">
        <f>(1-POWER(AT8/1013.25,0.190263103))*44330.76923/30.48</f>
        <v>334.95134594303062</v>
      </c>
      <c r="AT8" s="7">
        <v>256</v>
      </c>
      <c r="AU8" s="7">
        <f t="shared" ref="AU8:AU10" si="12">AT8-14</f>
        <v>242</v>
      </c>
      <c r="AV8" s="7">
        <f t="shared" ref="AV8:AV10" si="13">AT8+14</f>
        <v>270</v>
      </c>
      <c r="AW8">
        <v>1</v>
      </c>
      <c r="AX8" s="7">
        <v>104</v>
      </c>
      <c r="AY8" s="7">
        <f t="shared" ref="AY8:AY10" si="14">AX8-21</f>
        <v>83</v>
      </c>
      <c r="AZ8" s="7">
        <f t="shared" ref="AZ8:AZ10" si="15">AX8+21</f>
        <v>125</v>
      </c>
      <c r="BT8">
        <f t="shared" si="1"/>
        <v>0</v>
      </c>
      <c r="BU8">
        <f t="shared" si="1"/>
        <v>0</v>
      </c>
      <c r="BV8">
        <f>(BW8+BX8)/2</f>
        <v>4550</v>
      </c>
      <c r="BW8">
        <v>2600</v>
      </c>
      <c r="BX8">
        <v>6500</v>
      </c>
      <c r="CF8" s="13"/>
      <c r="CG8" s="13"/>
      <c r="CH8" s="13"/>
      <c r="CU8">
        <v>10</v>
      </c>
      <c r="DH8" s="14">
        <f t="shared" si="2"/>
        <v>19070.078268003686</v>
      </c>
      <c r="DI8" s="6">
        <f t="shared" si="3"/>
        <v>5.02286254865147</v>
      </c>
      <c r="DJ8" s="6">
        <f t="shared" si="4"/>
        <v>3.0676209102065788</v>
      </c>
      <c r="DK8" s="8">
        <f t="shared" si="5"/>
        <v>7.4376584568586239E-5</v>
      </c>
      <c r="DL8" s="1">
        <f t="shared" si="6"/>
        <v>0.40328363618674151</v>
      </c>
      <c r="DM8">
        <f t="shared" si="7"/>
        <v>0</v>
      </c>
      <c r="DN8">
        <f t="shared" si="8"/>
        <v>0</v>
      </c>
      <c r="DO8">
        <f t="shared" si="9"/>
        <v>0.87424464001016922</v>
      </c>
      <c r="DP8" s="14">
        <f t="shared" si="10"/>
        <v>215155906001696.13</v>
      </c>
      <c r="DQ8" s="6">
        <f t="shared" si="11"/>
        <v>3.0701888107235411</v>
      </c>
      <c r="DS8" s="6">
        <v>-3.7890000000000001</v>
      </c>
      <c r="EI8" s="16" t="s">
        <v>336</v>
      </c>
      <c r="EM8"/>
      <c r="IL8" s="15"/>
    </row>
    <row r="9" spans="1:246" x14ac:dyDescent="0.35">
      <c r="A9">
        <v>2</v>
      </c>
      <c r="B9">
        <v>0</v>
      </c>
      <c r="C9">
        <v>4</v>
      </c>
      <c r="D9" s="16" t="s">
        <v>413</v>
      </c>
      <c r="E9" t="s">
        <v>147</v>
      </c>
      <c r="F9" t="s">
        <v>162</v>
      </c>
      <c r="G9" t="s">
        <v>32</v>
      </c>
      <c r="H9">
        <v>19890323</v>
      </c>
      <c r="L9" t="s">
        <v>234</v>
      </c>
      <c r="M9" t="s">
        <v>161</v>
      </c>
      <c r="N9">
        <v>0.5</v>
      </c>
      <c r="O9">
        <v>20</v>
      </c>
      <c r="P9" t="s">
        <v>163</v>
      </c>
      <c r="Q9" t="s">
        <v>31</v>
      </c>
      <c r="T9">
        <v>1</v>
      </c>
      <c r="U9">
        <v>12.04</v>
      </c>
      <c r="V9">
        <v>6.423</v>
      </c>
      <c r="W9">
        <v>0.68</v>
      </c>
      <c r="X9">
        <v>0.3</v>
      </c>
      <c r="Y9">
        <v>189</v>
      </c>
      <c r="AA9" s="3">
        <f t="shared" si="0"/>
        <v>4</v>
      </c>
      <c r="AM9" s="6">
        <f>273.15-52</f>
        <v>221.14999999999998</v>
      </c>
      <c r="AP9" s="6">
        <v>10</v>
      </c>
      <c r="AS9" s="7">
        <f>(1-POWER(AT9/1013.25,0.190263103))*44330.76923/30.48</f>
        <v>334.95134594303062</v>
      </c>
      <c r="AT9" s="7">
        <v>256</v>
      </c>
      <c r="AU9" s="7">
        <f t="shared" si="12"/>
        <v>242</v>
      </c>
      <c r="AV9" s="7">
        <f t="shared" si="13"/>
        <v>270</v>
      </c>
      <c r="AW9">
        <v>1</v>
      </c>
      <c r="AX9" s="7">
        <v>104</v>
      </c>
      <c r="AY9" s="7">
        <f t="shared" si="14"/>
        <v>83</v>
      </c>
      <c r="AZ9" s="7">
        <f t="shared" si="15"/>
        <v>125</v>
      </c>
      <c r="BT9">
        <f t="shared" si="1"/>
        <v>0</v>
      </c>
      <c r="BU9">
        <f t="shared" si="1"/>
        <v>0</v>
      </c>
      <c r="BV9">
        <f>(BW9+BX9)/2</f>
        <v>3750</v>
      </c>
      <c r="BW9">
        <v>2000</v>
      </c>
      <c r="BX9">
        <v>5500</v>
      </c>
      <c r="CF9" s="13"/>
      <c r="CG9" s="13"/>
      <c r="CH9" s="13"/>
      <c r="CU9">
        <v>10</v>
      </c>
      <c r="DH9" s="14">
        <f t="shared" si="2"/>
        <v>21220.031931145571</v>
      </c>
      <c r="DI9" s="6">
        <f t="shared" si="3"/>
        <v>5.02286254865147</v>
      </c>
      <c r="DJ9" s="6">
        <f t="shared" si="4"/>
        <v>3.0676209102065788</v>
      </c>
      <c r="DK9" s="8">
        <f t="shared" si="5"/>
        <v>7.4376584568586239E-5</v>
      </c>
      <c r="DL9" s="1">
        <f t="shared" si="6"/>
        <v>0.40328363618674151</v>
      </c>
      <c r="DM9">
        <f t="shared" si="7"/>
        <v>0</v>
      </c>
      <c r="DN9">
        <f t="shared" si="8"/>
        <v>0</v>
      </c>
      <c r="DO9">
        <f t="shared" si="9"/>
        <v>0.78566864387732305</v>
      </c>
      <c r="DP9" s="14">
        <f t="shared" si="10"/>
        <v>197317998057695.63</v>
      </c>
      <c r="DQ9" s="6">
        <f t="shared" si="11"/>
        <v>3.0701888107235411</v>
      </c>
      <c r="DS9" s="6">
        <v>-3.7890000000000001</v>
      </c>
      <c r="EI9" s="16" t="s">
        <v>337</v>
      </c>
      <c r="EM9"/>
      <c r="IL9" s="15"/>
    </row>
    <row r="10" spans="1:246" x14ac:dyDescent="0.35">
      <c r="A10">
        <v>2</v>
      </c>
      <c r="B10">
        <v>0</v>
      </c>
      <c r="C10">
        <v>6</v>
      </c>
      <c r="D10" s="16" t="s">
        <v>413</v>
      </c>
      <c r="E10" t="s">
        <v>147</v>
      </c>
      <c r="F10" t="s">
        <v>162</v>
      </c>
      <c r="G10" t="s">
        <v>32</v>
      </c>
      <c r="H10">
        <v>19890323</v>
      </c>
      <c r="L10" t="s">
        <v>234</v>
      </c>
      <c r="M10" t="s">
        <v>161</v>
      </c>
      <c r="N10">
        <v>0.5</v>
      </c>
      <c r="O10">
        <v>20</v>
      </c>
      <c r="P10" t="s">
        <v>163</v>
      </c>
      <c r="Q10" t="s">
        <v>31</v>
      </c>
      <c r="T10">
        <v>1</v>
      </c>
      <c r="U10">
        <v>12.04</v>
      </c>
      <c r="V10">
        <v>6.423</v>
      </c>
      <c r="W10">
        <v>0.68</v>
      </c>
      <c r="X10">
        <v>0.3</v>
      </c>
      <c r="Y10">
        <v>189</v>
      </c>
      <c r="AA10" s="3">
        <f t="shared" si="0"/>
        <v>6</v>
      </c>
      <c r="AM10" s="6">
        <f>273.15-52</f>
        <v>221.14999999999998</v>
      </c>
      <c r="AP10" s="6">
        <v>10</v>
      </c>
      <c r="AS10" s="7">
        <f>(1-POWER(AT10/1013.25,0.190263103))*44330.76923/30.48</f>
        <v>334.95134594303062</v>
      </c>
      <c r="AT10" s="7">
        <v>256</v>
      </c>
      <c r="AU10" s="7">
        <f t="shared" si="12"/>
        <v>242</v>
      </c>
      <c r="AV10" s="7">
        <f t="shared" si="13"/>
        <v>270</v>
      </c>
      <c r="AW10">
        <v>1</v>
      </c>
      <c r="AX10" s="7">
        <v>104</v>
      </c>
      <c r="AY10" s="7">
        <f t="shared" si="14"/>
        <v>83</v>
      </c>
      <c r="AZ10" s="7">
        <f t="shared" si="15"/>
        <v>125</v>
      </c>
      <c r="BJ10">
        <v>20</v>
      </c>
      <c r="BN10">
        <v>13</v>
      </c>
      <c r="BO10">
        <v>25</v>
      </c>
      <c r="BP10" s="3">
        <v>30</v>
      </c>
      <c r="BQ10" s="3">
        <v>25</v>
      </c>
      <c r="BR10" s="3">
        <v>40</v>
      </c>
      <c r="BS10">
        <f>0.000001*BJ10*BP10*3.1415/4</f>
        <v>4.7122499999999998E-4</v>
      </c>
      <c r="BT10">
        <f>BN10*BQ10*0.000001</f>
        <v>3.2499999999999999E-4</v>
      </c>
      <c r="BU10">
        <f>BO10*BR10*0.000001</f>
        <v>1E-3</v>
      </c>
      <c r="BV10">
        <f>(BW10+BX10)/2</f>
        <v>2750</v>
      </c>
      <c r="BW10">
        <v>1500</v>
      </c>
      <c r="BX10">
        <v>4000</v>
      </c>
      <c r="BY10">
        <f>(4*3.141592*917/3)*CL10*CL10*CL10*0.000000000000000001*BV10*1000000000000</f>
        <v>0</v>
      </c>
      <c r="CF10" s="13">
        <f>BV10*BS10*1000000000000</f>
        <v>1295868750000</v>
      </c>
      <c r="CG10" s="13"/>
      <c r="CH10" s="13"/>
      <c r="CU10">
        <v>10</v>
      </c>
      <c r="DH10" s="14">
        <f t="shared" si="2"/>
        <v>29350.73898840633</v>
      </c>
      <c r="DI10" s="6">
        <f t="shared" si="3"/>
        <v>5.02286254865147</v>
      </c>
      <c r="DJ10" s="6">
        <f t="shared" si="4"/>
        <v>3.0676209102065788</v>
      </c>
      <c r="DK10" s="8">
        <f t="shared" si="5"/>
        <v>7.4376584568586239E-5</v>
      </c>
      <c r="DL10" s="1">
        <f t="shared" si="6"/>
        <v>0.40328363618674151</v>
      </c>
      <c r="DM10">
        <f t="shared" si="7"/>
        <v>0</v>
      </c>
      <c r="DN10">
        <f t="shared" si="8"/>
        <v>0</v>
      </c>
      <c r="DO10">
        <f t="shared" si="9"/>
        <v>0.5680236438667563</v>
      </c>
      <c r="DP10" s="14">
        <f t="shared" si="10"/>
        <v>200143335795411.09</v>
      </c>
      <c r="DQ10" s="6">
        <f t="shared" si="11"/>
        <v>3.0701888107235411</v>
      </c>
      <c r="DR10" s="6">
        <f>BS10*1000000*DL10/(W10*0.001)</f>
        <v>279466.66391484888</v>
      </c>
      <c r="DS10" s="6">
        <v>-3.7890000000000001</v>
      </c>
      <c r="EI10" s="16" t="s">
        <v>338</v>
      </c>
      <c r="EM10"/>
      <c r="IL10" s="15"/>
    </row>
    <row r="11" spans="1:246" x14ac:dyDescent="0.35">
      <c r="A11">
        <v>3</v>
      </c>
      <c r="B11">
        <v>0</v>
      </c>
      <c r="C11" s="3">
        <v>480</v>
      </c>
      <c r="D11" t="s">
        <v>274</v>
      </c>
      <c r="E11" t="s">
        <v>298</v>
      </c>
      <c r="F11" t="s">
        <v>196</v>
      </c>
      <c r="G11" t="s">
        <v>289</v>
      </c>
      <c r="H11">
        <v>19890924</v>
      </c>
      <c r="K11" s="5">
        <v>0.54166666666666663</v>
      </c>
      <c r="L11" t="s">
        <v>232</v>
      </c>
      <c r="M11" t="s">
        <v>250</v>
      </c>
      <c r="N11">
        <v>2</v>
      </c>
      <c r="O11">
        <v>200</v>
      </c>
      <c r="Q11" t="s">
        <v>233</v>
      </c>
      <c r="W11" s="6">
        <f>1000*(1000/3600)/200</f>
        <v>1.3888888888888888</v>
      </c>
      <c r="Y11" s="3">
        <f>900/4.6</f>
        <v>195.6521739130435</v>
      </c>
      <c r="Z11" s="3"/>
      <c r="AA11" s="3">
        <v>360</v>
      </c>
      <c r="AK11">
        <v>300</v>
      </c>
      <c r="AL11">
        <v>480</v>
      </c>
      <c r="AM11" s="6">
        <f>273-50</f>
        <v>223</v>
      </c>
      <c r="AP11" s="6">
        <v>9.6999999999999993</v>
      </c>
      <c r="AS11" s="7">
        <v>320</v>
      </c>
      <c r="AT11" s="7">
        <v>277</v>
      </c>
      <c r="AW11">
        <v>1</v>
      </c>
      <c r="AX11" s="7">
        <v>93</v>
      </c>
      <c r="BA11" s="6">
        <v>1</v>
      </c>
      <c r="BV11">
        <v>0.1</v>
      </c>
      <c r="BW11">
        <v>0.03</v>
      </c>
      <c r="BX11">
        <v>0.15</v>
      </c>
      <c r="BZ11">
        <v>30</v>
      </c>
      <c r="CA11">
        <f>0.00003*0.53*1000000</f>
        <v>15.9</v>
      </c>
      <c r="CB11">
        <f>CA11*8/3</f>
        <v>42.4</v>
      </c>
      <c r="CF11" s="13"/>
      <c r="CG11" s="13"/>
      <c r="CH11" s="13"/>
      <c r="DH11" s="14">
        <f t="shared" si="2"/>
        <v>776497.46211227693</v>
      </c>
      <c r="DI11" s="6">
        <f t="shared" si="3"/>
        <v>6.0772360768732998</v>
      </c>
      <c r="DJ11" s="6">
        <f t="shared" si="4"/>
        <v>3.8635099869454406</v>
      </c>
      <c r="DK11" s="8">
        <f t="shared" si="5"/>
        <v>8.6571865760012368E-5</v>
      </c>
      <c r="DL11" s="1">
        <f t="shared" si="6"/>
        <v>0.43274542445920877</v>
      </c>
      <c r="DM11">
        <f t="shared" si="7"/>
        <v>6.9324823104693144E-5</v>
      </c>
      <c r="DN11">
        <f t="shared" si="8"/>
        <v>0.80077774108357436</v>
      </c>
      <c r="DO11">
        <f t="shared" si="9"/>
        <v>1.8446113102325166E-2</v>
      </c>
      <c r="DP11" s="14">
        <f t="shared" si="10"/>
        <v>179435164007.25592</v>
      </c>
      <c r="DQ11" s="6">
        <f t="shared" si="11"/>
        <v>3.8665916144770414</v>
      </c>
      <c r="DS11" s="6">
        <v>-3.7890000000000001</v>
      </c>
      <c r="ET11" s="5"/>
      <c r="FG11" s="6"/>
      <c r="FI11" s="3"/>
      <c r="IL11" s="15"/>
    </row>
    <row r="12" spans="1:246" x14ac:dyDescent="0.35">
      <c r="A12">
        <v>3</v>
      </c>
      <c r="B12">
        <v>0</v>
      </c>
      <c r="C12" s="3">
        <v>600</v>
      </c>
      <c r="D12" t="s">
        <v>274</v>
      </c>
      <c r="E12" t="s">
        <v>198</v>
      </c>
      <c r="F12" t="s">
        <v>199</v>
      </c>
      <c r="G12" t="s">
        <v>105</v>
      </c>
      <c r="H12">
        <v>19891013</v>
      </c>
      <c r="K12" s="5">
        <v>0.47569444444444442</v>
      </c>
      <c r="L12" t="s">
        <v>200</v>
      </c>
      <c r="M12" t="s">
        <v>201</v>
      </c>
      <c r="N12">
        <v>3</v>
      </c>
      <c r="O12">
        <v>800</v>
      </c>
      <c r="Q12" t="s">
        <v>304</v>
      </c>
      <c r="AA12" s="3">
        <f>C12</f>
        <v>600</v>
      </c>
      <c r="AK12">
        <v>400</v>
      </c>
      <c r="AL12">
        <v>700</v>
      </c>
      <c r="AM12" s="6">
        <v>242.14999999999998</v>
      </c>
      <c r="AS12" s="7">
        <v>240</v>
      </c>
      <c r="AT12" s="7">
        <v>394</v>
      </c>
      <c r="AW12">
        <v>1</v>
      </c>
      <c r="BA12" s="6">
        <v>0.8</v>
      </c>
      <c r="BD12" s="6">
        <v>5</v>
      </c>
      <c r="BG12">
        <v>5</v>
      </c>
      <c r="BV12">
        <v>0.17100000000000001</v>
      </c>
      <c r="BX12">
        <v>0.47</v>
      </c>
      <c r="BZ12">
        <v>5</v>
      </c>
      <c r="CB12">
        <v>16</v>
      </c>
      <c r="CF12" s="13"/>
      <c r="CG12" s="13"/>
      <c r="CH12" s="13"/>
      <c r="CO12">
        <v>15.5</v>
      </c>
      <c r="DH12" s="14">
        <f t="shared" si="2"/>
        <v>1168473.9652328664</v>
      </c>
      <c r="DI12" s="6">
        <f t="shared" si="3"/>
        <v>43.684790585530664</v>
      </c>
      <c r="DJ12" s="6">
        <f t="shared" si="4"/>
        <v>34.229072251870519</v>
      </c>
      <c r="DK12" s="8">
        <f t="shared" si="5"/>
        <v>5.3922921454023227E-4</v>
      </c>
      <c r="DL12" s="1">
        <f t="shared" si="6"/>
        <v>0.56685153507999564</v>
      </c>
      <c r="DM12">
        <f t="shared" si="7"/>
        <v>8.8206517766497468E-6</v>
      </c>
      <c r="DN12">
        <f t="shared" si="8"/>
        <v>1.6357889258968611E-2</v>
      </c>
      <c r="DO12">
        <f t="shared" si="9"/>
        <v>1.9680187478941544E-3</v>
      </c>
      <c r="DP12" s="14">
        <f t="shared" si="10"/>
        <v>352489206943.08881</v>
      </c>
      <c r="DQ12" s="6">
        <f t="shared" si="11"/>
        <v>34.241385741673994</v>
      </c>
      <c r="DS12" s="6">
        <v>-2.3490000000000002</v>
      </c>
      <c r="ET12" s="5"/>
      <c r="IL12" s="15"/>
    </row>
    <row r="13" spans="1:246" x14ac:dyDescent="0.35">
      <c r="A13">
        <v>3</v>
      </c>
      <c r="B13">
        <v>0</v>
      </c>
      <c r="C13" s="3">
        <v>600</v>
      </c>
      <c r="D13" t="s">
        <v>274</v>
      </c>
      <c r="E13">
        <v>0</v>
      </c>
      <c r="F13" t="s">
        <v>199</v>
      </c>
      <c r="G13" t="s">
        <v>105</v>
      </c>
      <c r="H13">
        <v>19891013</v>
      </c>
      <c r="K13" s="5">
        <v>0.50624999999999998</v>
      </c>
      <c r="L13" t="s">
        <v>200</v>
      </c>
      <c r="M13" t="s">
        <v>201</v>
      </c>
      <c r="N13">
        <v>3</v>
      </c>
      <c r="O13">
        <v>800</v>
      </c>
      <c r="Q13" t="s">
        <v>304</v>
      </c>
      <c r="AA13" s="3">
        <f>C13</f>
        <v>600</v>
      </c>
      <c r="AK13">
        <v>400</v>
      </c>
      <c r="AL13">
        <v>700</v>
      </c>
      <c r="AM13" s="6">
        <v>242.14999999999998</v>
      </c>
      <c r="AS13" s="7">
        <v>240</v>
      </c>
      <c r="AT13" s="7">
        <v>394</v>
      </c>
      <c r="AW13">
        <v>1</v>
      </c>
      <c r="BA13" s="6">
        <v>0.8</v>
      </c>
      <c r="BD13" s="6">
        <v>5</v>
      </c>
      <c r="BG13">
        <v>5</v>
      </c>
      <c r="BV13">
        <v>0.378</v>
      </c>
      <c r="BX13">
        <v>0.95199999999999996</v>
      </c>
      <c r="BZ13">
        <v>16</v>
      </c>
      <c r="CB13">
        <v>38</v>
      </c>
      <c r="CF13" s="13"/>
      <c r="CG13" s="13"/>
      <c r="CH13" s="13"/>
      <c r="CO13">
        <v>21</v>
      </c>
      <c r="DH13" s="14">
        <f t="shared" si="2"/>
        <v>1168473.9652328664</v>
      </c>
      <c r="DI13" s="6">
        <f t="shared" si="3"/>
        <v>43.684790585530664</v>
      </c>
      <c r="DJ13" s="6">
        <f t="shared" si="4"/>
        <v>34.229072251870519</v>
      </c>
      <c r="DK13" s="8">
        <f t="shared" si="5"/>
        <v>5.3922921454023227E-4</v>
      </c>
      <c r="DL13" s="1">
        <f t="shared" si="6"/>
        <v>0.56685153507999564</v>
      </c>
      <c r="DM13">
        <f t="shared" si="7"/>
        <v>2.8226085685279188E-5</v>
      </c>
      <c r="DN13">
        <f t="shared" si="8"/>
        <v>5.2345245628699556E-2</v>
      </c>
      <c r="DO13">
        <f t="shared" si="9"/>
        <v>1.9680187478941544E-3</v>
      </c>
      <c r="DP13" s="14">
        <f t="shared" si="10"/>
        <v>779186667979.45947</v>
      </c>
      <c r="DQ13" s="6">
        <f t="shared" si="11"/>
        <v>34.241385741673994</v>
      </c>
      <c r="DS13" s="6">
        <v>11.96</v>
      </c>
      <c r="ET13" s="5"/>
      <c r="IL13" s="15"/>
    </row>
    <row r="14" spans="1:246" x14ac:dyDescent="0.35">
      <c r="A14">
        <v>3</v>
      </c>
      <c r="B14">
        <v>0</v>
      </c>
      <c r="C14" s="3">
        <v>600</v>
      </c>
      <c r="D14" t="s">
        <v>274</v>
      </c>
      <c r="E14" t="s">
        <v>198</v>
      </c>
      <c r="F14" t="s">
        <v>199</v>
      </c>
      <c r="G14" t="s">
        <v>105</v>
      </c>
      <c r="H14">
        <v>19891013</v>
      </c>
      <c r="K14" s="5">
        <v>0.52847222222222223</v>
      </c>
      <c r="L14" t="s">
        <v>200</v>
      </c>
      <c r="M14" t="s">
        <v>201</v>
      </c>
      <c r="N14">
        <v>3</v>
      </c>
      <c r="O14">
        <v>800</v>
      </c>
      <c r="Q14" t="s">
        <v>304</v>
      </c>
      <c r="AA14" s="3">
        <f>C14</f>
        <v>600</v>
      </c>
      <c r="AK14">
        <v>400</v>
      </c>
      <c r="AL14">
        <v>700</v>
      </c>
      <c r="AM14" s="6">
        <v>238.14999999999998</v>
      </c>
      <c r="AS14" s="7">
        <v>255</v>
      </c>
      <c r="AT14" s="7">
        <v>361</v>
      </c>
      <c r="AW14">
        <v>1</v>
      </c>
      <c r="BA14" s="6">
        <v>0.8</v>
      </c>
      <c r="BD14" s="6">
        <v>5</v>
      </c>
      <c r="BG14">
        <v>5</v>
      </c>
      <c r="BV14">
        <v>0.48799999999999999</v>
      </c>
      <c r="BX14">
        <v>1.446</v>
      </c>
      <c r="BZ14">
        <v>16</v>
      </c>
      <c r="CB14">
        <v>46</v>
      </c>
      <c r="CF14" s="13"/>
      <c r="CG14" s="13"/>
      <c r="CH14" s="13"/>
      <c r="CO14">
        <v>12</v>
      </c>
      <c r="DH14" s="14">
        <f t="shared" si="2"/>
        <v>1168473.9652328664</v>
      </c>
      <c r="DI14" s="6">
        <f t="shared" si="3"/>
        <v>28.933497299050153</v>
      </c>
      <c r="DJ14" s="6">
        <f t="shared" si="4"/>
        <v>22.33882987086298</v>
      </c>
      <c r="DK14" s="8">
        <f t="shared" si="5"/>
        <v>3.8408533544324544E-4</v>
      </c>
      <c r="DL14" s="1">
        <f t="shared" si="6"/>
        <v>0.52809760109689818</v>
      </c>
      <c r="DM14">
        <f t="shared" si="7"/>
        <v>3.0297429806094183E-5</v>
      </c>
      <c r="DN14">
        <f t="shared" si="8"/>
        <v>7.8882027013944922E-2</v>
      </c>
      <c r="DO14">
        <f t="shared" si="9"/>
        <v>2.7629620443663794E-3</v>
      </c>
      <c r="DP14" s="14">
        <f t="shared" si="10"/>
        <v>1079753617227.6848</v>
      </c>
      <c r="DQ14" s="6">
        <f t="shared" si="11"/>
        <v>22.348939814985393</v>
      </c>
      <c r="DS14" s="6">
        <v>11.96</v>
      </c>
      <c r="ET14" s="5"/>
      <c r="IL14" s="15"/>
    </row>
    <row r="15" spans="1:246" x14ac:dyDescent="0.35">
      <c r="A15">
        <v>3</v>
      </c>
      <c r="B15">
        <v>0</v>
      </c>
      <c r="C15" s="3">
        <v>600</v>
      </c>
      <c r="D15" t="s">
        <v>274</v>
      </c>
      <c r="E15" t="s">
        <v>198</v>
      </c>
      <c r="F15" t="s">
        <v>199</v>
      </c>
      <c r="G15" t="s">
        <v>105</v>
      </c>
      <c r="H15">
        <v>19891013</v>
      </c>
      <c r="K15" s="5">
        <v>0.5395833333333333</v>
      </c>
      <c r="L15" t="s">
        <v>200</v>
      </c>
      <c r="M15" t="s">
        <v>201</v>
      </c>
      <c r="N15">
        <v>3</v>
      </c>
      <c r="O15">
        <v>800</v>
      </c>
      <c r="Q15" t="s">
        <v>304</v>
      </c>
      <c r="AA15" s="3">
        <f>C15</f>
        <v>600</v>
      </c>
      <c r="AK15">
        <v>400</v>
      </c>
      <c r="AL15">
        <v>700</v>
      </c>
      <c r="AM15" s="6">
        <v>240.14999999999998</v>
      </c>
      <c r="AS15" s="7">
        <v>260</v>
      </c>
      <c r="AT15" s="7">
        <v>372</v>
      </c>
      <c r="AW15">
        <v>1</v>
      </c>
      <c r="BA15" s="6">
        <v>0.8</v>
      </c>
      <c r="BD15" s="6">
        <v>5</v>
      </c>
      <c r="BG15">
        <v>5</v>
      </c>
      <c r="BV15">
        <v>0.54200000000000004</v>
      </c>
      <c r="BX15">
        <v>1.3340000000000001</v>
      </c>
      <c r="BZ15">
        <v>20</v>
      </c>
      <c r="CB15">
        <v>64</v>
      </c>
      <c r="CF15" s="13"/>
      <c r="CG15" s="13"/>
      <c r="CH15" s="13"/>
      <c r="CO15">
        <v>13</v>
      </c>
      <c r="DH15" s="14">
        <f t="shared" si="2"/>
        <v>1168473.9652328664</v>
      </c>
      <c r="DI15" s="6">
        <f t="shared" si="3"/>
        <v>35.552127508997579</v>
      </c>
      <c r="DJ15" s="6">
        <f t="shared" si="4"/>
        <v>27.701224430183125</v>
      </c>
      <c r="DK15" s="8">
        <f t="shared" si="5"/>
        <v>4.6220063009204328E-4</v>
      </c>
      <c r="DL15" s="1">
        <f t="shared" si="6"/>
        <v>0.53965714015139643</v>
      </c>
      <c r="DM15">
        <f t="shared" si="7"/>
        <v>3.7060567741935483E-5</v>
      </c>
      <c r="DN15">
        <f t="shared" si="8"/>
        <v>8.0182858544686944E-2</v>
      </c>
      <c r="DO15">
        <f t="shared" si="9"/>
        <v>2.2960012049660873E-3</v>
      </c>
      <c r="DP15" s="14">
        <f t="shared" si="10"/>
        <v>1173546761520.7366</v>
      </c>
      <c r="DQ15" s="6">
        <f t="shared" si="11"/>
        <v>27.712468772736568</v>
      </c>
      <c r="DS15" s="6">
        <v>9.1140000000000008</v>
      </c>
      <c r="ET15" s="5"/>
      <c r="IL15" s="15"/>
    </row>
    <row r="16" spans="1:246" x14ac:dyDescent="0.35">
      <c r="A16">
        <v>0</v>
      </c>
      <c r="B16">
        <v>2</v>
      </c>
      <c r="C16" s="3">
        <v>3600</v>
      </c>
      <c r="D16" t="s">
        <v>274</v>
      </c>
      <c r="E16" t="s">
        <v>287</v>
      </c>
      <c r="F16" t="s">
        <v>288</v>
      </c>
      <c r="G16" t="s">
        <v>289</v>
      </c>
      <c r="H16">
        <v>19891018</v>
      </c>
      <c r="K16" s="5">
        <v>0.51458333333333328</v>
      </c>
      <c r="L16" t="s">
        <v>294</v>
      </c>
      <c r="M16" t="s">
        <v>296</v>
      </c>
      <c r="Q16" t="s">
        <v>297</v>
      </c>
      <c r="AA16" s="3">
        <v>3600</v>
      </c>
      <c r="AK16">
        <v>2400</v>
      </c>
      <c r="AL16">
        <v>5400</v>
      </c>
      <c r="AM16" s="6">
        <f>273.15-43</f>
        <v>230.14999999999998</v>
      </c>
      <c r="AP16" s="6">
        <v>9</v>
      </c>
      <c r="AQ16" s="6">
        <v>8.8000000000000007</v>
      </c>
      <c r="AR16" s="6">
        <v>9.1</v>
      </c>
      <c r="AS16" s="7">
        <v>300</v>
      </c>
      <c r="AT16" s="7">
        <v>314</v>
      </c>
      <c r="AW16">
        <v>1</v>
      </c>
      <c r="AX16" s="7">
        <v>80</v>
      </c>
      <c r="BA16" s="6">
        <v>0.6</v>
      </c>
      <c r="BD16" s="6">
        <v>1</v>
      </c>
      <c r="BJ16">
        <f>BS16*1000000/BP16</f>
        <v>200</v>
      </c>
      <c r="BM16">
        <v>200</v>
      </c>
      <c r="BO16">
        <v>300</v>
      </c>
      <c r="BP16" s="3">
        <v>1200</v>
      </c>
      <c r="BS16">
        <f>BM16*BP16*0.000001</f>
        <v>0.24</v>
      </c>
      <c r="CF16" s="13"/>
      <c r="CG16" s="13"/>
      <c r="CH16" s="13"/>
      <c r="CX16" t="s">
        <v>54</v>
      </c>
      <c r="CY16">
        <v>0.3</v>
      </c>
      <c r="CZ16">
        <v>0.3</v>
      </c>
      <c r="DA16">
        <v>0.41</v>
      </c>
      <c r="DB16" s="3">
        <f>CY16*BP16</f>
        <v>360</v>
      </c>
      <c r="DH16" s="14">
        <f t="shared" si="2"/>
        <v>4899367.7668997189</v>
      </c>
      <c r="DI16" s="6">
        <f t="shared" si="3"/>
        <v>12.692356983754006</v>
      </c>
      <c r="DJ16" s="6">
        <f t="shared" si="4"/>
        <v>9.1012172685786616</v>
      </c>
      <c r="DK16" s="8">
        <f t="shared" si="5"/>
        <v>1.7990545885615628E-4</v>
      </c>
      <c r="DL16" s="1">
        <f t="shared" si="6"/>
        <v>0.47530922952434446</v>
      </c>
      <c r="DM16">
        <f t="shared" si="7"/>
        <v>0</v>
      </c>
      <c r="DN16">
        <f t="shared" si="8"/>
        <v>0</v>
      </c>
      <c r="DO16">
        <f t="shared" si="9"/>
        <v>1.4068160137242394E-3</v>
      </c>
      <c r="DP16" s="14">
        <f t="shared" si="10"/>
        <v>0</v>
      </c>
      <c r="DQ16" s="6">
        <f t="shared" si="11"/>
        <v>9.1070306715848677</v>
      </c>
      <c r="DS16" s="6">
        <v>10.68</v>
      </c>
      <c r="ET16" s="5"/>
      <c r="IL16" s="15"/>
    </row>
    <row r="17" spans="1:246" x14ac:dyDescent="0.35">
      <c r="A17">
        <v>0</v>
      </c>
      <c r="B17">
        <v>2</v>
      </c>
      <c r="C17" s="3">
        <v>3600</v>
      </c>
      <c r="D17" t="s">
        <v>274</v>
      </c>
      <c r="E17" t="s">
        <v>287</v>
      </c>
      <c r="F17" t="s">
        <v>288</v>
      </c>
      <c r="G17" t="s">
        <v>289</v>
      </c>
      <c r="H17">
        <v>19891018</v>
      </c>
      <c r="K17" s="5">
        <v>0.51597222222222217</v>
      </c>
      <c r="L17" t="s">
        <v>294</v>
      </c>
      <c r="M17" t="s">
        <v>296</v>
      </c>
      <c r="Q17" t="s">
        <v>297</v>
      </c>
      <c r="AA17" s="3">
        <v>3600</v>
      </c>
      <c r="AK17">
        <v>2400</v>
      </c>
      <c r="AL17">
        <v>5400</v>
      </c>
      <c r="AM17" s="6">
        <f>273.15-51</f>
        <v>222.14999999999998</v>
      </c>
      <c r="AP17" s="6">
        <v>10.1</v>
      </c>
      <c r="AQ17" s="6">
        <v>10</v>
      </c>
      <c r="AR17" s="6">
        <v>10.199999999999999</v>
      </c>
      <c r="AS17" s="7">
        <v>335</v>
      </c>
      <c r="AT17" s="7">
        <v>270</v>
      </c>
      <c r="AW17">
        <v>1</v>
      </c>
      <c r="AX17" s="7">
        <v>80</v>
      </c>
      <c r="BA17" s="6">
        <v>1</v>
      </c>
      <c r="BD17" s="6">
        <v>1</v>
      </c>
      <c r="BJ17">
        <f>BS17*1000000/BP17</f>
        <v>149.99999999999997</v>
      </c>
      <c r="BM17">
        <v>150</v>
      </c>
      <c r="BO17">
        <v>200</v>
      </c>
      <c r="BP17" s="3">
        <v>1800</v>
      </c>
      <c r="BS17">
        <f>BM17*BP17*0.000001</f>
        <v>0.26999999999999996</v>
      </c>
      <c r="CF17" s="13"/>
      <c r="CG17" s="13"/>
      <c r="CH17" s="13"/>
      <c r="CY17">
        <v>0.3</v>
      </c>
      <c r="CZ17">
        <v>0.3</v>
      </c>
      <c r="DA17">
        <v>0.36</v>
      </c>
      <c r="DB17" s="3">
        <f>CY17*BP17</f>
        <v>540</v>
      </c>
      <c r="DH17" s="14">
        <f t="shared" si="2"/>
        <v>4899367.7668997189</v>
      </c>
      <c r="DI17" s="6">
        <f t="shared" si="3"/>
        <v>5.5677999841497714</v>
      </c>
      <c r="DJ17" s="6">
        <f t="shared" si="4"/>
        <v>3.4766362227311713</v>
      </c>
      <c r="DK17" s="8">
        <f t="shared" si="5"/>
        <v>7.9922671786923478E-5</v>
      </c>
      <c r="DL17" s="1">
        <f t="shared" si="6"/>
        <v>0.42342356583615426</v>
      </c>
      <c r="DM17">
        <f t="shared" si="7"/>
        <v>0</v>
      </c>
      <c r="DN17">
        <f t="shared" si="8"/>
        <v>0</v>
      </c>
      <c r="DO17">
        <f t="shared" si="9"/>
        <v>3.1667344799233537E-3</v>
      </c>
      <c r="DP17" s="14">
        <f t="shared" si="10"/>
        <v>0</v>
      </c>
      <c r="DQ17" s="6">
        <f t="shared" si="11"/>
        <v>3.4794726096685009</v>
      </c>
      <c r="DS17" s="6">
        <v>3.8260000000000001</v>
      </c>
      <c r="ET17" s="5"/>
      <c r="IL17" s="15"/>
    </row>
    <row r="18" spans="1:246" x14ac:dyDescent="0.35">
      <c r="A18">
        <v>0</v>
      </c>
      <c r="B18">
        <v>2</v>
      </c>
      <c r="C18" s="3">
        <v>3600</v>
      </c>
      <c r="D18" t="s">
        <v>274</v>
      </c>
      <c r="E18" t="s">
        <v>287</v>
      </c>
      <c r="F18" t="s">
        <v>292</v>
      </c>
      <c r="G18" t="s">
        <v>289</v>
      </c>
      <c r="H18">
        <v>19891018</v>
      </c>
      <c r="K18" s="5">
        <v>0.5180555555555556</v>
      </c>
      <c r="L18" t="s">
        <v>294</v>
      </c>
      <c r="M18" t="s">
        <v>296</v>
      </c>
      <c r="Q18" t="s">
        <v>297</v>
      </c>
      <c r="AA18" s="3">
        <v>3600</v>
      </c>
      <c r="AK18">
        <v>2400</v>
      </c>
      <c r="AL18">
        <v>5400</v>
      </c>
      <c r="AM18" s="6">
        <f>273.15-41</f>
        <v>232.14999999999998</v>
      </c>
      <c r="AP18" s="6">
        <v>8.4</v>
      </c>
      <c r="AQ18" s="6">
        <v>8.1</v>
      </c>
      <c r="AR18" s="6">
        <v>8.5</v>
      </c>
      <c r="AS18" s="7">
        <v>270</v>
      </c>
      <c r="AT18" s="7">
        <v>347</v>
      </c>
      <c r="AW18">
        <v>1</v>
      </c>
      <c r="AX18" s="7">
        <v>90</v>
      </c>
      <c r="BA18" s="6">
        <v>0.6</v>
      </c>
      <c r="BD18" s="6">
        <v>1</v>
      </c>
      <c r="BJ18">
        <f>BS18*1000000/BP18</f>
        <v>250</v>
      </c>
      <c r="BM18">
        <v>250</v>
      </c>
      <c r="BO18">
        <v>400</v>
      </c>
      <c r="BP18" s="3">
        <v>3000</v>
      </c>
      <c r="BS18">
        <f>BM18*BP18*0.000001</f>
        <v>0.75</v>
      </c>
      <c r="CF18" s="13"/>
      <c r="CG18" s="13"/>
      <c r="CH18" s="13"/>
      <c r="CX18" t="s">
        <v>54</v>
      </c>
      <c r="CY18">
        <v>0.3</v>
      </c>
      <c r="CZ18">
        <v>0.3</v>
      </c>
      <c r="DA18">
        <v>0.5</v>
      </c>
      <c r="DB18" s="3">
        <f>CY18*BP18</f>
        <v>900</v>
      </c>
      <c r="DH18" s="14">
        <f t="shared" si="2"/>
        <v>4899367.7668997189</v>
      </c>
      <c r="DI18" s="6">
        <f t="shared" si="3"/>
        <v>15.595774310040003</v>
      </c>
      <c r="DJ18" s="6">
        <f t="shared" si="4"/>
        <v>11.457830710324622</v>
      </c>
      <c r="DK18" s="8">
        <f t="shared" si="5"/>
        <v>2.049497692396335E-4</v>
      </c>
      <c r="DL18" s="1">
        <f t="shared" si="6"/>
        <v>0.52073691446660575</v>
      </c>
      <c r="DM18">
        <f t="shared" si="7"/>
        <v>0</v>
      </c>
      <c r="DN18">
        <f t="shared" si="8"/>
        <v>0</v>
      </c>
      <c r="DO18">
        <f t="shared" si="9"/>
        <v>1.2349068818873511E-3</v>
      </c>
      <c r="DP18" s="14">
        <f t="shared" si="10"/>
        <v>0</v>
      </c>
      <c r="DQ18" s="6">
        <f t="shared" si="11"/>
        <v>11.464621965734125</v>
      </c>
      <c r="DS18" s="6">
        <v>-2.4569999999999999</v>
      </c>
      <c r="ET18" s="5"/>
      <c r="IL18" s="15"/>
    </row>
    <row r="19" spans="1:246" x14ac:dyDescent="0.35">
      <c r="A19">
        <v>0</v>
      </c>
      <c r="B19">
        <v>2</v>
      </c>
      <c r="C19" s="3">
        <v>3600</v>
      </c>
      <c r="D19" t="s">
        <v>274</v>
      </c>
      <c r="E19" t="s">
        <v>290</v>
      </c>
      <c r="F19" t="s">
        <v>291</v>
      </c>
      <c r="G19" t="s">
        <v>289</v>
      </c>
      <c r="H19">
        <v>19891018</v>
      </c>
      <c r="K19" s="5">
        <v>0.55138888888888882</v>
      </c>
      <c r="L19" t="s">
        <v>293</v>
      </c>
      <c r="M19" t="s">
        <v>295</v>
      </c>
      <c r="Q19" t="s">
        <v>297</v>
      </c>
      <c r="AA19" s="3">
        <v>3600</v>
      </c>
      <c r="AK19">
        <v>2400</v>
      </c>
      <c r="AL19">
        <v>5400</v>
      </c>
      <c r="AM19" s="6">
        <f>273.15-37</f>
        <v>236.14999999999998</v>
      </c>
      <c r="AP19" s="6">
        <v>8.1999999999999993</v>
      </c>
      <c r="AQ19" s="6">
        <v>7.6</v>
      </c>
      <c r="AR19" s="6">
        <v>8.3000000000000007</v>
      </c>
      <c r="AS19" s="7">
        <v>270</v>
      </c>
      <c r="AT19" s="7">
        <v>361</v>
      </c>
      <c r="AW19">
        <v>1</v>
      </c>
      <c r="AX19" s="7">
        <v>90</v>
      </c>
      <c r="BA19" s="6">
        <v>0.5</v>
      </c>
      <c r="BD19" s="6">
        <v>1</v>
      </c>
      <c r="BJ19">
        <f>BS19*1000000/BP19</f>
        <v>400</v>
      </c>
      <c r="BM19">
        <v>400</v>
      </c>
      <c r="BO19">
        <v>700</v>
      </c>
      <c r="BP19" s="3">
        <v>3000</v>
      </c>
      <c r="BR19" s="3">
        <v>3300</v>
      </c>
      <c r="BS19">
        <f>BM19*BP19*0.000001</f>
        <v>1.2</v>
      </c>
      <c r="CF19" s="13"/>
      <c r="CG19" s="13"/>
      <c r="CH19" s="13"/>
      <c r="CX19" t="s">
        <v>54</v>
      </c>
      <c r="CY19">
        <v>0.6</v>
      </c>
      <c r="CZ19">
        <v>0.4</v>
      </c>
      <c r="DA19">
        <v>1</v>
      </c>
      <c r="DB19" s="3">
        <f>CY19*BP19</f>
        <v>1800</v>
      </c>
      <c r="DH19" s="14">
        <f t="shared" si="2"/>
        <v>4899367.7668997189</v>
      </c>
      <c r="DI19" s="6">
        <f t="shared" si="3"/>
        <v>23.547037114509564</v>
      </c>
      <c r="DJ19" s="6">
        <f t="shared" si="4"/>
        <v>17.949044829087661</v>
      </c>
      <c r="DK19" s="8">
        <f t="shared" si="5"/>
        <v>3.086090428155296E-4</v>
      </c>
      <c r="DL19" s="1">
        <f t="shared" si="6"/>
        <v>0.53257016176678518</v>
      </c>
      <c r="DM19">
        <f t="shared" si="7"/>
        <v>0</v>
      </c>
      <c r="DN19">
        <f t="shared" si="8"/>
        <v>0</v>
      </c>
      <c r="DO19">
        <f t="shared" si="9"/>
        <v>8.2011167970387152E-4</v>
      </c>
      <c r="DP19" s="14">
        <f t="shared" si="10"/>
        <v>0</v>
      </c>
      <c r="DQ19" s="6">
        <f t="shared" si="11"/>
        <v>17.958009013130802</v>
      </c>
      <c r="DS19" s="6">
        <v>4.3319999999999999</v>
      </c>
      <c r="ET19" s="5"/>
      <c r="IL19" s="15"/>
    </row>
    <row r="20" spans="1:246" x14ac:dyDescent="0.35">
      <c r="A20">
        <v>0</v>
      </c>
      <c r="B20">
        <v>2</v>
      </c>
      <c r="C20" s="3">
        <v>3600</v>
      </c>
      <c r="D20" t="s">
        <v>274</v>
      </c>
      <c r="E20" t="s">
        <v>447</v>
      </c>
      <c r="F20" t="s">
        <v>448</v>
      </c>
      <c r="G20" t="s">
        <v>289</v>
      </c>
      <c r="H20">
        <v>19891018</v>
      </c>
      <c r="K20" s="5">
        <v>0.51597222222222217</v>
      </c>
      <c r="L20" t="s">
        <v>450</v>
      </c>
      <c r="M20" t="s">
        <v>449</v>
      </c>
      <c r="Q20" t="s">
        <v>297</v>
      </c>
      <c r="AA20" s="3">
        <v>3600</v>
      </c>
      <c r="AK20">
        <v>2000</v>
      </c>
      <c r="AL20">
        <v>7200</v>
      </c>
      <c r="AM20" s="6">
        <f>273.15-51</f>
        <v>222.14999999999998</v>
      </c>
      <c r="AN20" s="6">
        <f>AM20-2</f>
        <v>220.14999999999998</v>
      </c>
      <c r="AO20" s="6">
        <f>AM20+2</f>
        <v>224.14999999999998</v>
      </c>
      <c r="AP20" s="6">
        <v>10.5</v>
      </c>
      <c r="AQ20" s="6">
        <v>9.5</v>
      </c>
      <c r="AR20" s="6">
        <v>11</v>
      </c>
      <c r="AT20" s="7">
        <v>260</v>
      </c>
      <c r="AW20">
        <v>1</v>
      </c>
      <c r="AX20" s="7">
        <v>100</v>
      </c>
      <c r="CF20" s="13"/>
      <c r="CG20" s="13"/>
      <c r="CH20" s="13"/>
      <c r="CO20">
        <v>25</v>
      </c>
      <c r="CP20">
        <v>20</v>
      </c>
      <c r="CQ20">
        <v>30</v>
      </c>
      <c r="CY20">
        <v>0.2</v>
      </c>
      <c r="CZ20">
        <v>0.1</v>
      </c>
      <c r="DA20">
        <v>0.3</v>
      </c>
      <c r="DH20" s="14">
        <f t="shared" si="2"/>
        <v>4899367.7668997189</v>
      </c>
      <c r="DI20" s="6">
        <f t="shared" si="3"/>
        <v>5.5677999841497714</v>
      </c>
      <c r="DJ20" s="6">
        <f t="shared" si="4"/>
        <v>3.4766362227311713</v>
      </c>
      <c r="DK20" s="8">
        <f t="shared" si="5"/>
        <v>8.2996620701805156E-5</v>
      </c>
      <c r="DL20" s="1">
        <f t="shared" si="6"/>
        <v>0.40774121154592635</v>
      </c>
      <c r="DM20">
        <f t="shared" si="7"/>
        <v>0</v>
      </c>
      <c r="DN20">
        <f t="shared" si="8"/>
        <v>0</v>
      </c>
      <c r="DO20">
        <f t="shared" si="9"/>
        <v>3.0494480177039695E-3</v>
      </c>
      <c r="DP20" s="14">
        <f t="shared" si="10"/>
        <v>0</v>
      </c>
      <c r="DQ20" s="6">
        <f t="shared" si="11"/>
        <v>3.4794726096685009</v>
      </c>
      <c r="DS20" s="6">
        <v>7.7619999999999996</v>
      </c>
      <c r="ET20" s="5"/>
      <c r="IL20" s="15"/>
    </row>
    <row r="21" spans="1:246" x14ac:dyDescent="0.35">
      <c r="A21">
        <v>0</v>
      </c>
      <c r="B21">
        <v>4</v>
      </c>
      <c r="C21" s="3">
        <v>19.600000000000001</v>
      </c>
      <c r="D21" t="s">
        <v>158</v>
      </c>
      <c r="E21" t="s">
        <v>286</v>
      </c>
      <c r="F21" t="s">
        <v>226</v>
      </c>
      <c r="G21" t="s">
        <v>107</v>
      </c>
      <c r="H21">
        <v>19910409</v>
      </c>
      <c r="I21">
        <f t="shared" ref="I21:I27" si="16">12*3600+26*60</f>
        <v>44760</v>
      </c>
      <c r="K21" s="5">
        <v>0.51736111111111105</v>
      </c>
      <c r="L21" t="s">
        <v>340</v>
      </c>
      <c r="U21">
        <v>59.64</v>
      </c>
      <c r="V21">
        <v>255.8</v>
      </c>
      <c r="W21">
        <v>12.46</v>
      </c>
      <c r="X21" s="14">
        <v>0.33</v>
      </c>
      <c r="Y21" s="3">
        <v>225</v>
      </c>
      <c r="Z21" s="3">
        <v>310</v>
      </c>
      <c r="AA21" s="3">
        <f t="shared" ref="AA21:AA84" si="17">C21</f>
        <v>19.600000000000001</v>
      </c>
      <c r="AB21" s="7"/>
      <c r="AC21" s="7"/>
      <c r="AD21" s="7"/>
      <c r="AE21" s="7"/>
      <c r="AF21" s="7"/>
      <c r="AG21" s="7"/>
      <c r="AH21" s="7"/>
      <c r="AI21" s="7"/>
      <c r="AJ21" s="7"/>
      <c r="AM21" s="6">
        <v>210.14999999999998</v>
      </c>
      <c r="AS21" s="7">
        <f t="shared" ref="AS21:AS35" si="18">(1-POWER(AT21/1013.25,0.190263103))*44330.76923/30.48</f>
        <v>350.37283509805695</v>
      </c>
      <c r="AT21" s="7">
        <v>238</v>
      </c>
      <c r="AX21" s="7">
        <v>21</v>
      </c>
      <c r="BA21" s="6">
        <v>2.7</v>
      </c>
      <c r="BB21">
        <v>2.5099999999999998</v>
      </c>
      <c r="BC21">
        <v>2.89</v>
      </c>
      <c r="BD21" s="6">
        <v>4</v>
      </c>
      <c r="BE21" s="6">
        <v>3.3</v>
      </c>
      <c r="BF21" s="6">
        <v>4.4000000000000004</v>
      </c>
      <c r="BG21">
        <v>2</v>
      </c>
      <c r="BH21">
        <v>1.65</v>
      </c>
      <c r="BI21">
        <v>2.2000000000000002</v>
      </c>
      <c r="BJ21">
        <v>37</v>
      </c>
      <c r="BK21">
        <v>34</v>
      </c>
      <c r="BL21">
        <v>41</v>
      </c>
      <c r="BM21">
        <f t="shared" ref="BM21:BM26" si="19">2.4*AA21</f>
        <v>47.04</v>
      </c>
      <c r="BN21">
        <v>40</v>
      </c>
      <c r="BP21" s="3">
        <f>42+12</f>
        <v>54</v>
      </c>
      <c r="BS21">
        <f t="shared" ref="BS21:BS26" si="20">BJ21*BP21*0.000001</f>
        <v>1.9979999999999998E-3</v>
      </c>
      <c r="BT21">
        <f t="shared" ref="BT21:BT26" si="21">BK21*(BP21-3)*0.001*0.001</f>
        <v>1.7340000000000001E-3</v>
      </c>
      <c r="BU21">
        <f t="shared" ref="BU21:BU26" si="22">BL21*(BP21+3)*0.001*0.001</f>
        <v>2.3370000000000001E-3</v>
      </c>
      <c r="BY21">
        <f t="shared" ref="BY21:BY40" si="23">(4*3.141592*917/3)*CL21*CL21*CL21*0.000000000000000001*BV21*1000000000000</f>
        <v>0</v>
      </c>
      <c r="CF21" s="13"/>
      <c r="CG21" s="13"/>
      <c r="CH21" s="13"/>
      <c r="DH21" s="14">
        <f t="shared" si="2"/>
        <v>75666.369541743989</v>
      </c>
      <c r="DI21" s="6">
        <f t="shared" si="3"/>
        <v>1.6176912849017002</v>
      </c>
      <c r="DJ21" s="6">
        <f t="shared" si="4"/>
        <v>0.71607518012176541</v>
      </c>
      <c r="DK21" s="8">
        <f t="shared" si="5"/>
        <v>1.8674809101987508E-5</v>
      </c>
      <c r="DL21" s="1">
        <f t="shared" si="6"/>
        <v>0.39455281052897662</v>
      </c>
      <c r="DM21">
        <f t="shared" si="7"/>
        <v>0</v>
      </c>
      <c r="DN21">
        <f t="shared" si="8"/>
        <v>0</v>
      </c>
      <c r="DO21">
        <f t="shared" si="9"/>
        <v>0.87753130216429232</v>
      </c>
      <c r="DP21" s="14">
        <f t="shared" si="10"/>
        <v>0</v>
      </c>
      <c r="DQ21" s="6">
        <f t="shared" si="11"/>
        <v>0.71683690577299397</v>
      </c>
      <c r="DR21" s="6">
        <f t="shared" ref="DR21:DR26" si="24">BS21*1000000*DL21/(W21*0.001)</f>
        <v>63267.778124951459</v>
      </c>
      <c r="DS21" s="6">
        <v>-2.819</v>
      </c>
      <c r="ET21" s="5"/>
      <c r="FH21" s="14"/>
      <c r="FI21" s="3"/>
      <c r="FL21" s="7"/>
      <c r="FM21" s="7"/>
      <c r="FN21" s="7"/>
      <c r="FO21" s="7"/>
      <c r="FP21" s="7"/>
      <c r="FQ21" s="7"/>
      <c r="FR21" s="7"/>
      <c r="FS21" s="7"/>
      <c r="IL21" s="15"/>
    </row>
    <row r="22" spans="1:246" x14ac:dyDescent="0.35">
      <c r="A22">
        <v>0</v>
      </c>
      <c r="B22">
        <v>4</v>
      </c>
      <c r="C22" s="3">
        <v>21.3</v>
      </c>
      <c r="D22" t="s">
        <v>158</v>
      </c>
      <c r="E22" t="s">
        <v>286</v>
      </c>
      <c r="F22" t="s">
        <v>226</v>
      </c>
      <c r="G22" t="s">
        <v>107</v>
      </c>
      <c r="H22">
        <v>19910409</v>
      </c>
      <c r="I22">
        <f t="shared" si="16"/>
        <v>44760</v>
      </c>
      <c r="L22" t="s">
        <v>340</v>
      </c>
      <c r="U22">
        <v>59.64</v>
      </c>
      <c r="V22">
        <v>255.8</v>
      </c>
      <c r="W22">
        <v>12.46</v>
      </c>
      <c r="X22" s="14">
        <v>0.33</v>
      </c>
      <c r="Y22" s="3">
        <v>225</v>
      </c>
      <c r="Z22" s="3">
        <v>310</v>
      </c>
      <c r="AA22" s="3">
        <f t="shared" si="17"/>
        <v>21.3</v>
      </c>
      <c r="AB22" s="7"/>
      <c r="AC22" s="7"/>
      <c r="AD22" s="7"/>
      <c r="AE22" s="7"/>
      <c r="AF22" s="7"/>
      <c r="AG22" s="7"/>
      <c r="AH22" s="7"/>
      <c r="AI22" s="7"/>
      <c r="AJ22" s="7"/>
      <c r="AM22" s="6">
        <v>210.14999999999998</v>
      </c>
      <c r="AS22" s="7">
        <f t="shared" si="18"/>
        <v>350.37283509805695</v>
      </c>
      <c r="AT22" s="7">
        <v>238</v>
      </c>
      <c r="AX22" s="7">
        <v>21</v>
      </c>
      <c r="BA22" s="6">
        <v>2.7</v>
      </c>
      <c r="BB22">
        <v>2.5099999999999998</v>
      </c>
      <c r="BC22">
        <v>2.89</v>
      </c>
      <c r="BD22" s="6">
        <v>4</v>
      </c>
      <c r="BE22" s="6">
        <v>3.3</v>
      </c>
      <c r="BF22" s="6">
        <v>4.4000000000000004</v>
      </c>
      <c r="BG22">
        <v>2</v>
      </c>
      <c r="BH22">
        <v>1.65</v>
      </c>
      <c r="BI22">
        <v>2.2000000000000002</v>
      </c>
      <c r="BJ22">
        <v>37</v>
      </c>
      <c r="BK22">
        <v>34</v>
      </c>
      <c r="BL22">
        <v>41</v>
      </c>
      <c r="BM22">
        <f t="shared" si="19"/>
        <v>51.12</v>
      </c>
      <c r="BN22">
        <v>40</v>
      </c>
      <c r="BP22" s="3">
        <f>44+12</f>
        <v>56</v>
      </c>
      <c r="BS22">
        <f t="shared" si="20"/>
        <v>2.0720000000000001E-3</v>
      </c>
      <c r="BT22">
        <f t="shared" si="21"/>
        <v>1.802E-3</v>
      </c>
      <c r="BU22">
        <f t="shared" si="22"/>
        <v>2.4190000000000001E-3</v>
      </c>
      <c r="BY22">
        <f t="shared" si="23"/>
        <v>0</v>
      </c>
      <c r="CF22" s="13"/>
      <c r="CG22" s="13"/>
      <c r="CH22" s="13"/>
      <c r="DH22" s="14">
        <f t="shared" si="2"/>
        <v>80872.659059010053</v>
      </c>
      <c r="DI22" s="6">
        <f t="shared" si="3"/>
        <v>1.6176912849017002</v>
      </c>
      <c r="DJ22" s="6">
        <f t="shared" si="4"/>
        <v>0.71607518012176541</v>
      </c>
      <c r="DK22" s="8">
        <f t="shared" si="5"/>
        <v>1.8674809101987508E-5</v>
      </c>
      <c r="DL22" s="1">
        <f t="shared" si="6"/>
        <v>0.39455281052897662</v>
      </c>
      <c r="DM22">
        <f t="shared" si="7"/>
        <v>0</v>
      </c>
      <c r="DN22">
        <f t="shared" si="8"/>
        <v>0</v>
      </c>
      <c r="DO22">
        <f t="shared" si="9"/>
        <v>0.82103900832000087</v>
      </c>
      <c r="DP22" s="14">
        <f t="shared" si="10"/>
        <v>0</v>
      </c>
      <c r="DQ22" s="6">
        <f t="shared" si="11"/>
        <v>0.71683690577299397</v>
      </c>
      <c r="DR22" s="6">
        <f t="shared" si="24"/>
        <v>65611.029166616339</v>
      </c>
      <c r="DS22" s="6">
        <v>-12.01</v>
      </c>
      <c r="FH22" s="14"/>
      <c r="FI22" s="3"/>
      <c r="FL22" s="7"/>
      <c r="FM22" s="7"/>
      <c r="FN22" s="7"/>
      <c r="FO22" s="7"/>
      <c r="FP22" s="7"/>
      <c r="FQ22" s="7"/>
      <c r="FR22" s="7"/>
      <c r="FS22" s="7"/>
      <c r="IL22" s="15"/>
    </row>
    <row r="23" spans="1:246" x14ac:dyDescent="0.35">
      <c r="A23">
        <v>0</v>
      </c>
      <c r="B23">
        <v>4</v>
      </c>
      <c r="C23" s="3">
        <v>23.1</v>
      </c>
      <c r="D23" t="s">
        <v>158</v>
      </c>
      <c r="E23" t="s">
        <v>286</v>
      </c>
      <c r="F23" t="s">
        <v>226</v>
      </c>
      <c r="G23" t="s">
        <v>107</v>
      </c>
      <c r="H23">
        <v>19910409</v>
      </c>
      <c r="I23">
        <f t="shared" si="16"/>
        <v>44760</v>
      </c>
      <c r="L23" t="s">
        <v>340</v>
      </c>
      <c r="U23">
        <v>59.64</v>
      </c>
      <c r="V23">
        <v>255.8</v>
      </c>
      <c r="W23">
        <v>12.46</v>
      </c>
      <c r="X23" s="14">
        <v>0.33</v>
      </c>
      <c r="Y23" s="3">
        <v>225</v>
      </c>
      <c r="Z23" s="3">
        <v>310</v>
      </c>
      <c r="AA23" s="3">
        <f t="shared" si="17"/>
        <v>23.1</v>
      </c>
      <c r="AB23" s="7"/>
      <c r="AC23" s="7"/>
      <c r="AD23" s="7"/>
      <c r="AE23" s="7"/>
      <c r="AF23" s="7"/>
      <c r="AG23" s="7"/>
      <c r="AH23" s="7"/>
      <c r="AI23" s="7"/>
      <c r="AJ23" s="7"/>
      <c r="AM23" s="6">
        <v>210.14999999999998</v>
      </c>
      <c r="AS23" s="7">
        <f t="shared" si="18"/>
        <v>350.37283509805695</v>
      </c>
      <c r="AT23" s="7">
        <v>238</v>
      </c>
      <c r="AX23" s="7">
        <v>21</v>
      </c>
      <c r="BA23" s="6">
        <v>2.7</v>
      </c>
      <c r="BB23">
        <v>2.5099999999999998</v>
      </c>
      <c r="BC23">
        <v>2.89</v>
      </c>
      <c r="BD23" s="6">
        <v>4</v>
      </c>
      <c r="BE23" s="6">
        <v>3.3</v>
      </c>
      <c r="BF23" s="6">
        <v>4.4000000000000004</v>
      </c>
      <c r="BG23">
        <v>2</v>
      </c>
      <c r="BH23">
        <v>1.65</v>
      </c>
      <c r="BI23">
        <v>2.2000000000000002</v>
      </c>
      <c r="BJ23">
        <v>35</v>
      </c>
      <c r="BK23">
        <v>32</v>
      </c>
      <c r="BL23">
        <v>38</v>
      </c>
      <c r="BM23">
        <f t="shared" si="19"/>
        <v>55.440000000000005</v>
      </c>
      <c r="BN23">
        <v>40</v>
      </c>
      <c r="BP23" s="3">
        <f>41+15</f>
        <v>56</v>
      </c>
      <c r="BS23">
        <f t="shared" si="20"/>
        <v>1.9599999999999999E-3</v>
      </c>
      <c r="BT23">
        <f t="shared" si="21"/>
        <v>1.696E-3</v>
      </c>
      <c r="BU23">
        <f t="shared" si="22"/>
        <v>2.2420000000000001E-3</v>
      </c>
      <c r="BY23">
        <f t="shared" si="23"/>
        <v>0</v>
      </c>
      <c r="CF23" s="13"/>
      <c r="CG23" s="13"/>
      <c r="CH23" s="13"/>
      <c r="DH23" s="14">
        <f t="shared" si="2"/>
        <v>86295.395585310966</v>
      </c>
      <c r="DI23" s="6">
        <f t="shared" si="3"/>
        <v>1.6176912849017002</v>
      </c>
      <c r="DJ23" s="6">
        <f t="shared" si="4"/>
        <v>0.71607518012176541</v>
      </c>
      <c r="DK23" s="8">
        <f t="shared" si="5"/>
        <v>1.8674809101987508E-5</v>
      </c>
      <c r="DL23" s="1">
        <f t="shared" si="6"/>
        <v>0.39455281052897662</v>
      </c>
      <c r="DM23">
        <f t="shared" si="7"/>
        <v>0</v>
      </c>
      <c r="DN23">
        <f t="shared" si="8"/>
        <v>0</v>
      </c>
      <c r="DO23">
        <f t="shared" si="9"/>
        <v>0.76944554623854755</v>
      </c>
      <c r="DP23" s="14">
        <f t="shared" si="10"/>
        <v>0</v>
      </c>
      <c r="DQ23" s="6">
        <f t="shared" si="11"/>
        <v>0.71683690577299397</v>
      </c>
      <c r="DR23" s="6">
        <f t="shared" si="24"/>
        <v>62064.487049501935</v>
      </c>
      <c r="DS23" s="6">
        <v>-12.01</v>
      </c>
      <c r="FH23" s="14"/>
      <c r="FI23" s="3"/>
      <c r="FL23" s="7"/>
      <c r="FM23" s="7"/>
      <c r="FN23" s="7"/>
      <c r="FO23" s="7"/>
      <c r="FP23" s="7"/>
      <c r="FQ23" s="7"/>
      <c r="FR23" s="7"/>
      <c r="FS23" s="7"/>
      <c r="IL23" s="15"/>
    </row>
    <row r="24" spans="1:246" x14ac:dyDescent="0.35">
      <c r="A24">
        <v>0</v>
      </c>
      <c r="B24">
        <v>4</v>
      </c>
      <c r="C24" s="3">
        <v>25.3</v>
      </c>
      <c r="D24" t="s">
        <v>158</v>
      </c>
      <c r="E24" t="s">
        <v>286</v>
      </c>
      <c r="F24" t="s">
        <v>226</v>
      </c>
      <c r="G24" t="s">
        <v>107</v>
      </c>
      <c r="H24">
        <v>19910409</v>
      </c>
      <c r="I24">
        <f t="shared" si="16"/>
        <v>44760</v>
      </c>
      <c r="L24" t="s">
        <v>340</v>
      </c>
      <c r="U24">
        <v>59.64</v>
      </c>
      <c r="V24">
        <v>255.8</v>
      </c>
      <c r="W24">
        <v>12.46</v>
      </c>
      <c r="X24" s="14">
        <v>0.33</v>
      </c>
      <c r="Y24" s="3">
        <v>225</v>
      </c>
      <c r="Z24" s="3">
        <v>310</v>
      </c>
      <c r="AA24" s="3">
        <f t="shared" si="17"/>
        <v>25.3</v>
      </c>
      <c r="AB24" s="7"/>
      <c r="AC24" s="7"/>
      <c r="AD24" s="7"/>
      <c r="AE24" s="7"/>
      <c r="AF24" s="7"/>
      <c r="AG24" s="7"/>
      <c r="AH24" s="7"/>
      <c r="AI24" s="7"/>
      <c r="AJ24" s="7"/>
      <c r="AM24" s="6">
        <v>210.14999999999998</v>
      </c>
      <c r="AS24" s="7">
        <f t="shared" si="18"/>
        <v>350.37283509805695</v>
      </c>
      <c r="AT24" s="7">
        <v>238</v>
      </c>
      <c r="AX24" s="7">
        <v>21</v>
      </c>
      <c r="BA24" s="6">
        <v>2.7</v>
      </c>
      <c r="BB24">
        <v>2.5099999999999998</v>
      </c>
      <c r="BC24">
        <v>2.89</v>
      </c>
      <c r="BD24" s="6">
        <v>4</v>
      </c>
      <c r="BE24" s="6">
        <v>3.3</v>
      </c>
      <c r="BF24" s="6">
        <v>4.4000000000000004</v>
      </c>
      <c r="BG24">
        <v>2</v>
      </c>
      <c r="BH24">
        <v>1.65</v>
      </c>
      <c r="BI24">
        <v>2.2000000000000002</v>
      </c>
      <c r="BJ24">
        <v>35</v>
      </c>
      <c r="BK24">
        <v>32</v>
      </c>
      <c r="BL24">
        <v>38</v>
      </c>
      <c r="BM24">
        <f t="shared" si="19"/>
        <v>60.72</v>
      </c>
      <c r="BN24">
        <v>40</v>
      </c>
      <c r="BP24" s="3">
        <f>44+11.5</f>
        <v>55.5</v>
      </c>
      <c r="BS24">
        <f t="shared" si="20"/>
        <v>1.9425E-3</v>
      </c>
      <c r="BT24">
        <f t="shared" si="21"/>
        <v>1.6800000000000001E-3</v>
      </c>
      <c r="BU24">
        <f t="shared" si="22"/>
        <v>2.2229999999999997E-3</v>
      </c>
      <c r="BY24">
        <f t="shared" si="23"/>
        <v>0</v>
      </c>
      <c r="CF24" s="13"/>
      <c r="CG24" s="13"/>
      <c r="CH24" s="13"/>
      <c r="DH24" s="14">
        <f t="shared" si="2"/>
        <v>92809.932530383536</v>
      </c>
      <c r="DI24" s="6">
        <f t="shared" si="3"/>
        <v>1.6176912849017002</v>
      </c>
      <c r="DJ24" s="6">
        <f t="shared" si="4"/>
        <v>0.71607518012176541</v>
      </c>
      <c r="DK24" s="8">
        <f t="shared" si="5"/>
        <v>1.8674809101987508E-5</v>
      </c>
      <c r="DL24" s="1">
        <f t="shared" si="6"/>
        <v>0.39455281052897662</v>
      </c>
      <c r="DM24">
        <f t="shared" si="7"/>
        <v>0</v>
      </c>
      <c r="DN24">
        <f t="shared" si="8"/>
        <v>0</v>
      </c>
      <c r="DO24">
        <f t="shared" si="9"/>
        <v>0.71543644073088464</v>
      </c>
      <c r="DP24" s="14">
        <f t="shared" si="10"/>
        <v>0</v>
      </c>
      <c r="DQ24" s="6">
        <f t="shared" si="11"/>
        <v>0.71683690577299397</v>
      </c>
      <c r="DR24" s="6">
        <f t="shared" si="24"/>
        <v>61510.339843702815</v>
      </c>
      <c r="DS24" s="6">
        <v>-12.01</v>
      </c>
      <c r="FH24" s="14"/>
      <c r="FI24" s="3"/>
      <c r="FL24" s="7"/>
      <c r="FM24" s="7"/>
      <c r="FN24" s="7"/>
      <c r="FO24" s="7"/>
      <c r="FP24" s="7"/>
      <c r="FQ24" s="7"/>
      <c r="FR24" s="7"/>
      <c r="FS24" s="7"/>
      <c r="IL24" s="15"/>
    </row>
    <row r="25" spans="1:246" x14ac:dyDescent="0.35">
      <c r="A25">
        <v>0</v>
      </c>
      <c r="B25">
        <v>4</v>
      </c>
      <c r="C25" s="3">
        <v>31.1</v>
      </c>
      <c r="D25" t="s">
        <v>158</v>
      </c>
      <c r="E25" t="s">
        <v>286</v>
      </c>
      <c r="F25" t="s">
        <v>226</v>
      </c>
      <c r="G25" t="s">
        <v>107</v>
      </c>
      <c r="H25">
        <v>19910409</v>
      </c>
      <c r="I25">
        <f t="shared" si="16"/>
        <v>44760</v>
      </c>
      <c r="L25" t="s">
        <v>340</v>
      </c>
      <c r="U25">
        <v>59.64</v>
      </c>
      <c r="V25">
        <v>255.8</v>
      </c>
      <c r="W25">
        <v>12.46</v>
      </c>
      <c r="X25" s="14">
        <v>0.33</v>
      </c>
      <c r="Y25" s="3">
        <v>225</v>
      </c>
      <c r="Z25" s="3">
        <v>310</v>
      </c>
      <c r="AA25" s="3">
        <f t="shared" si="17"/>
        <v>31.1</v>
      </c>
      <c r="AB25" s="7"/>
      <c r="AC25" s="7"/>
      <c r="AD25" s="7"/>
      <c r="AE25" s="7"/>
      <c r="AF25" s="7"/>
      <c r="AG25" s="7"/>
      <c r="AH25" s="7"/>
      <c r="AI25" s="7"/>
      <c r="AJ25" s="7"/>
      <c r="AM25" s="6">
        <v>210.14999999999998</v>
      </c>
      <c r="AS25" s="7">
        <f t="shared" si="18"/>
        <v>350.37283509805695</v>
      </c>
      <c r="AT25" s="7">
        <v>238</v>
      </c>
      <c r="AX25" s="7">
        <v>21</v>
      </c>
      <c r="BA25" s="6">
        <v>2.7</v>
      </c>
      <c r="BB25">
        <v>2.5099999999999998</v>
      </c>
      <c r="BC25">
        <v>2.89</v>
      </c>
      <c r="BD25" s="6">
        <v>4</v>
      </c>
      <c r="BE25" s="6">
        <v>3.3</v>
      </c>
      <c r="BF25" s="6">
        <v>4.4000000000000004</v>
      </c>
      <c r="BG25">
        <v>2</v>
      </c>
      <c r="BH25">
        <v>1.65</v>
      </c>
      <c r="BI25">
        <v>2.2000000000000002</v>
      </c>
      <c r="BJ25">
        <v>32</v>
      </c>
      <c r="BK25">
        <v>30</v>
      </c>
      <c r="BL25">
        <v>35</v>
      </c>
      <c r="BM25">
        <f t="shared" si="19"/>
        <v>74.64</v>
      </c>
      <c r="BN25">
        <v>40</v>
      </c>
      <c r="BP25" s="3">
        <f>36+9.5</f>
        <v>45.5</v>
      </c>
      <c r="BS25">
        <f t="shared" si="20"/>
        <v>1.4559999999999998E-3</v>
      </c>
      <c r="BT25">
        <f t="shared" si="21"/>
        <v>1.2750000000000001E-3</v>
      </c>
      <c r="BU25">
        <f t="shared" si="22"/>
        <v>1.6975E-3</v>
      </c>
      <c r="BY25">
        <f t="shared" si="23"/>
        <v>0</v>
      </c>
      <c r="CF25" s="13"/>
      <c r="CG25" s="13"/>
      <c r="CH25" s="13"/>
      <c r="DH25" s="14">
        <f t="shared" si="2"/>
        <v>109472.83150958644</v>
      </c>
      <c r="DI25" s="6">
        <f t="shared" si="3"/>
        <v>1.6176912849017002</v>
      </c>
      <c r="DJ25" s="6">
        <f t="shared" si="4"/>
        <v>0.71607518012176541</v>
      </c>
      <c r="DK25" s="8">
        <f t="shared" si="5"/>
        <v>1.8674809101987508E-5</v>
      </c>
      <c r="DL25" s="1">
        <f t="shared" si="6"/>
        <v>0.39455281052897662</v>
      </c>
      <c r="DM25">
        <f t="shared" si="7"/>
        <v>0</v>
      </c>
      <c r="DN25">
        <f t="shared" si="8"/>
        <v>0</v>
      </c>
      <c r="DO25">
        <f t="shared" si="9"/>
        <v>0.60653960328226819</v>
      </c>
      <c r="DP25" s="14">
        <f t="shared" si="10"/>
        <v>0</v>
      </c>
      <c r="DQ25" s="6">
        <f t="shared" si="11"/>
        <v>0.71683690577299397</v>
      </c>
      <c r="DR25" s="6">
        <f t="shared" si="24"/>
        <v>46105.047522487141</v>
      </c>
      <c r="DS25" s="6">
        <v>-12.01</v>
      </c>
      <c r="FH25" s="14"/>
      <c r="FI25" s="3"/>
      <c r="FL25" s="7"/>
      <c r="FM25" s="7"/>
      <c r="FN25" s="7"/>
      <c r="FO25" s="7"/>
      <c r="FP25" s="7"/>
      <c r="FQ25" s="7"/>
      <c r="FR25" s="7"/>
      <c r="FS25" s="7"/>
      <c r="IL25" s="15"/>
    </row>
    <row r="26" spans="1:246" x14ac:dyDescent="0.35">
      <c r="A26">
        <v>0</v>
      </c>
      <c r="B26">
        <v>4</v>
      </c>
      <c r="C26" s="3">
        <v>32</v>
      </c>
      <c r="D26" t="s">
        <v>158</v>
      </c>
      <c r="E26" t="s">
        <v>286</v>
      </c>
      <c r="F26" t="s">
        <v>226</v>
      </c>
      <c r="G26" t="s">
        <v>107</v>
      </c>
      <c r="H26">
        <v>19910409</v>
      </c>
      <c r="I26">
        <f t="shared" si="16"/>
        <v>44760</v>
      </c>
      <c r="L26" t="s">
        <v>340</v>
      </c>
      <c r="U26">
        <v>59.64</v>
      </c>
      <c r="V26">
        <v>255.8</v>
      </c>
      <c r="W26">
        <v>12.46</v>
      </c>
      <c r="X26" s="14">
        <v>0.33</v>
      </c>
      <c r="Y26" s="3">
        <v>225</v>
      </c>
      <c r="Z26" s="3">
        <v>310</v>
      </c>
      <c r="AA26" s="3">
        <f t="shared" si="17"/>
        <v>32</v>
      </c>
      <c r="AB26" s="7"/>
      <c r="AC26" s="7"/>
      <c r="AD26" s="7"/>
      <c r="AE26" s="7"/>
      <c r="AF26" s="7"/>
      <c r="AG26" s="7"/>
      <c r="AH26" s="7"/>
      <c r="AI26" s="7"/>
      <c r="AJ26" s="7"/>
      <c r="AM26" s="6">
        <v>210.14999999999998</v>
      </c>
      <c r="AS26" s="7">
        <f t="shared" si="18"/>
        <v>350.37283509805695</v>
      </c>
      <c r="AT26" s="7">
        <v>238</v>
      </c>
      <c r="AX26" s="7">
        <v>21</v>
      </c>
      <c r="BA26" s="6">
        <v>2.7</v>
      </c>
      <c r="BB26">
        <v>2.5099999999999998</v>
      </c>
      <c r="BC26">
        <v>2.89</v>
      </c>
      <c r="BD26" s="6">
        <v>4</v>
      </c>
      <c r="BE26" s="6">
        <v>3.3</v>
      </c>
      <c r="BF26" s="6">
        <v>4.4000000000000004</v>
      </c>
      <c r="BG26">
        <v>2</v>
      </c>
      <c r="BH26">
        <v>1.65</v>
      </c>
      <c r="BI26">
        <v>2.2000000000000002</v>
      </c>
      <c r="BJ26">
        <v>32</v>
      </c>
      <c r="BK26">
        <v>30</v>
      </c>
      <c r="BL26">
        <v>35</v>
      </c>
      <c r="BM26">
        <f t="shared" si="19"/>
        <v>76.8</v>
      </c>
      <c r="BN26">
        <v>40</v>
      </c>
      <c r="BP26" s="3">
        <f>51+12</f>
        <v>63</v>
      </c>
      <c r="BS26">
        <f t="shared" si="20"/>
        <v>2.016E-3</v>
      </c>
      <c r="BT26">
        <f t="shared" si="21"/>
        <v>1.8000000000000002E-3</v>
      </c>
      <c r="BU26">
        <f t="shared" si="22"/>
        <v>2.31E-3</v>
      </c>
      <c r="BY26">
        <f t="shared" si="23"/>
        <v>0</v>
      </c>
      <c r="CF26" s="13"/>
      <c r="CG26" s="13"/>
      <c r="CH26" s="13"/>
      <c r="DH26" s="14">
        <f t="shared" si="2"/>
        <v>112000.00000000004</v>
      </c>
      <c r="DI26" s="6">
        <f t="shared" si="3"/>
        <v>1.6176912849017002</v>
      </c>
      <c r="DJ26" s="6">
        <f t="shared" si="4"/>
        <v>0.71607518012176541</v>
      </c>
      <c r="DK26" s="8">
        <f t="shared" si="5"/>
        <v>1.8674809101987508E-5</v>
      </c>
      <c r="DL26" s="1">
        <f t="shared" si="6"/>
        <v>0.39455281052897662</v>
      </c>
      <c r="DM26">
        <f t="shared" si="7"/>
        <v>0</v>
      </c>
      <c r="DN26">
        <f t="shared" si="8"/>
        <v>0</v>
      </c>
      <c r="DO26">
        <f t="shared" si="9"/>
        <v>0.59285364101795646</v>
      </c>
      <c r="DP26" s="14">
        <f t="shared" si="10"/>
        <v>0</v>
      </c>
      <c r="DQ26" s="6">
        <f t="shared" si="11"/>
        <v>0.71683690577299397</v>
      </c>
      <c r="DR26" s="6">
        <f t="shared" si="24"/>
        <v>63837.758108059134</v>
      </c>
      <c r="DS26" s="6">
        <v>-12.01</v>
      </c>
      <c r="FH26" s="14"/>
      <c r="FI26" s="3"/>
      <c r="FL26" s="7"/>
      <c r="FM26" s="7"/>
      <c r="FN26" s="7"/>
      <c r="FO26" s="7"/>
      <c r="FP26" s="7"/>
      <c r="FQ26" s="7"/>
      <c r="FR26" s="7"/>
      <c r="FS26" s="7"/>
      <c r="IL26" s="15"/>
    </row>
    <row r="27" spans="1:246" x14ac:dyDescent="0.35">
      <c r="A27">
        <v>0</v>
      </c>
      <c r="B27">
        <v>4</v>
      </c>
      <c r="C27" s="3">
        <v>48.888888888888886</v>
      </c>
      <c r="D27" t="s">
        <v>158</v>
      </c>
      <c r="E27" t="s">
        <v>286</v>
      </c>
      <c r="F27" t="s">
        <v>226</v>
      </c>
      <c r="G27" t="s">
        <v>107</v>
      </c>
      <c r="H27">
        <v>19910409</v>
      </c>
      <c r="I27">
        <f t="shared" si="16"/>
        <v>44760</v>
      </c>
      <c r="L27" t="s">
        <v>340</v>
      </c>
      <c r="U27">
        <v>59.64</v>
      </c>
      <c r="V27">
        <v>255.8</v>
      </c>
      <c r="W27">
        <v>12.46</v>
      </c>
      <c r="X27" s="14">
        <v>0.33</v>
      </c>
      <c r="Y27" s="3">
        <v>225</v>
      </c>
      <c r="Z27" s="3">
        <v>310</v>
      </c>
      <c r="AA27" s="3">
        <f t="shared" si="17"/>
        <v>48.888888888888886</v>
      </c>
      <c r="AB27" s="7"/>
      <c r="AC27" s="7"/>
      <c r="AD27" s="7"/>
      <c r="AE27" s="7"/>
      <c r="AF27" s="7"/>
      <c r="AG27" s="7"/>
      <c r="AH27" s="7"/>
      <c r="AI27" s="7"/>
      <c r="AJ27" s="7"/>
      <c r="AM27" s="6">
        <v>210.14999999999998</v>
      </c>
      <c r="AS27" s="7">
        <f t="shared" si="18"/>
        <v>350.37283509805695</v>
      </c>
      <c r="AT27" s="7">
        <v>238</v>
      </c>
      <c r="AX27" s="7">
        <v>21</v>
      </c>
      <c r="BA27" s="6">
        <v>2.7</v>
      </c>
      <c r="BB27">
        <v>2.5099999999999998</v>
      </c>
      <c r="BC27">
        <v>2.89</v>
      </c>
      <c r="BD27" s="6">
        <v>4</v>
      </c>
      <c r="BE27" s="6">
        <v>3.3</v>
      </c>
      <c r="BF27" s="6">
        <v>4.4000000000000004</v>
      </c>
      <c r="BG27">
        <v>2</v>
      </c>
      <c r="BH27">
        <v>1.65</v>
      </c>
      <c r="BI27">
        <v>2.2000000000000002</v>
      </c>
      <c r="BM27">
        <v>122</v>
      </c>
      <c r="BP27" s="3">
        <f>AVERAGE(BP21:BP26)</f>
        <v>55</v>
      </c>
      <c r="BU27">
        <f>BS27*2</f>
        <v>0</v>
      </c>
      <c r="BY27">
        <f t="shared" si="23"/>
        <v>0</v>
      </c>
      <c r="CF27" s="13"/>
      <c r="CG27" s="13"/>
      <c r="CH27" s="13"/>
      <c r="DH27" s="14">
        <f t="shared" si="2"/>
        <v>157204.93438439493</v>
      </c>
      <c r="DI27" s="6">
        <f t="shared" si="3"/>
        <v>1.6176912849017002</v>
      </c>
      <c r="DJ27" s="6">
        <f t="shared" si="4"/>
        <v>0.71607518012176541</v>
      </c>
      <c r="DK27" s="8">
        <f t="shared" si="5"/>
        <v>1.8674809101987508E-5</v>
      </c>
      <c r="DL27" s="1">
        <f t="shared" si="6"/>
        <v>0.39455281052897662</v>
      </c>
      <c r="DM27">
        <f t="shared" si="7"/>
        <v>0</v>
      </c>
      <c r="DN27">
        <f t="shared" si="8"/>
        <v>0</v>
      </c>
      <c r="DO27">
        <f t="shared" si="9"/>
        <v>0.42237610450351332</v>
      </c>
      <c r="DP27" s="14">
        <f t="shared" si="10"/>
        <v>0</v>
      </c>
      <c r="DQ27" s="6">
        <f t="shared" si="11"/>
        <v>0.71683690577299397</v>
      </c>
      <c r="DS27" s="6">
        <v>-12.01</v>
      </c>
      <c r="FH27" s="14"/>
      <c r="FI27" s="3"/>
      <c r="FL27" s="7"/>
      <c r="FM27" s="7"/>
      <c r="FN27" s="7"/>
      <c r="FO27" s="7"/>
      <c r="FP27" s="7"/>
      <c r="FQ27" s="7"/>
      <c r="FR27" s="7"/>
      <c r="FS27" s="7"/>
      <c r="IL27" s="15"/>
    </row>
    <row r="28" spans="1:246" x14ac:dyDescent="0.35">
      <c r="A28">
        <v>4</v>
      </c>
      <c r="B28">
        <v>0</v>
      </c>
      <c r="C28" s="3">
        <v>694</v>
      </c>
      <c r="D28" t="s">
        <v>67</v>
      </c>
      <c r="E28" t="s">
        <v>150</v>
      </c>
      <c r="F28" t="s">
        <v>334</v>
      </c>
      <c r="G28" t="s">
        <v>334</v>
      </c>
      <c r="H28">
        <v>19911122</v>
      </c>
      <c r="Q28" t="s">
        <v>38</v>
      </c>
      <c r="R28" t="s">
        <v>333</v>
      </c>
      <c r="S28">
        <v>2</v>
      </c>
      <c r="T28" t="s">
        <v>54</v>
      </c>
      <c r="U28">
        <v>15.9</v>
      </c>
      <c r="V28">
        <v>4.5</v>
      </c>
      <c r="W28">
        <v>0.6</v>
      </c>
      <c r="X28">
        <v>0.3</v>
      </c>
      <c r="Y28" s="3">
        <f t="shared" ref="Y28:Y37" si="25">0.7*SQRT(1.4*287.04*AM28)</f>
        <v>207.92178229324603</v>
      </c>
      <c r="Z28" s="3"/>
      <c r="AA28" s="3">
        <f t="shared" si="17"/>
        <v>694</v>
      </c>
      <c r="AM28" s="6">
        <v>219.54999999999998</v>
      </c>
      <c r="AS28" s="7">
        <f t="shared" si="18"/>
        <v>339.99144093596396</v>
      </c>
      <c r="AT28" s="7">
        <v>250</v>
      </c>
      <c r="BV28">
        <v>26.5</v>
      </c>
      <c r="BX28">
        <v>46.7</v>
      </c>
      <c r="BY28">
        <f t="shared" si="23"/>
        <v>10.56810944773588</v>
      </c>
      <c r="BZ28">
        <v>10.568099999999999</v>
      </c>
      <c r="CF28" s="13"/>
      <c r="CG28" s="13"/>
      <c r="CH28" s="13"/>
      <c r="CL28">
        <v>4.7</v>
      </c>
      <c r="CX28" t="s">
        <v>54</v>
      </c>
      <c r="DH28" s="14">
        <f t="shared" si="2"/>
        <v>1312760.8498484823</v>
      </c>
      <c r="DI28" s="6">
        <f t="shared" si="3"/>
        <v>4.2597053873896149</v>
      </c>
      <c r="DJ28" s="6">
        <f t="shared" si="4"/>
        <v>2.5049887734686345</v>
      </c>
      <c r="DK28" s="8">
        <f t="shared" si="5"/>
        <v>6.2192824720600585E-5</v>
      </c>
      <c r="DL28" s="1">
        <f t="shared" si="6"/>
        <v>0.39670177699546072</v>
      </c>
      <c r="DM28">
        <f t="shared" si="7"/>
        <v>2.6639910917567999E-5</v>
      </c>
      <c r="DN28">
        <f t="shared" si="8"/>
        <v>0.42834380070767014</v>
      </c>
      <c r="DO28">
        <f t="shared" si="9"/>
        <v>1.5187832064930322E-2</v>
      </c>
      <c r="DP28" s="14">
        <f t="shared" si="10"/>
        <v>87693488001146.125</v>
      </c>
      <c r="DQ28" s="6">
        <f t="shared" si="11"/>
        <v>2.5071699522997934</v>
      </c>
      <c r="DS28" s="6">
        <v>-12.01</v>
      </c>
      <c r="EI28" t="s">
        <v>335</v>
      </c>
      <c r="FI28" s="3"/>
      <c r="IL28" s="15"/>
    </row>
    <row r="29" spans="1:246" x14ac:dyDescent="0.35">
      <c r="A29">
        <v>4</v>
      </c>
      <c r="B29">
        <v>0</v>
      </c>
      <c r="C29" s="3">
        <v>233</v>
      </c>
      <c r="D29" t="s">
        <v>67</v>
      </c>
      <c r="E29" t="s">
        <v>150</v>
      </c>
      <c r="F29" t="s">
        <v>334</v>
      </c>
      <c r="G29" t="s">
        <v>334</v>
      </c>
      <c r="H29">
        <v>19911125</v>
      </c>
      <c r="Q29" t="s">
        <v>39</v>
      </c>
      <c r="T29" t="s">
        <v>54</v>
      </c>
      <c r="U29">
        <v>15.9</v>
      </c>
      <c r="V29">
        <v>4.5</v>
      </c>
      <c r="W29">
        <v>0.6</v>
      </c>
      <c r="X29">
        <v>0.3</v>
      </c>
      <c r="Y29" s="3">
        <f t="shared" si="25"/>
        <v>210.04180543882211</v>
      </c>
      <c r="Z29" s="3"/>
      <c r="AA29" s="3">
        <f t="shared" si="17"/>
        <v>233</v>
      </c>
      <c r="AM29" s="6">
        <v>224.04999999999998</v>
      </c>
      <c r="AS29" s="7">
        <f t="shared" si="18"/>
        <v>306.57265152844633</v>
      </c>
      <c r="AT29" s="7">
        <v>292</v>
      </c>
      <c r="BP29" s="3">
        <v>137</v>
      </c>
      <c r="BV29">
        <v>3.9</v>
      </c>
      <c r="BX29">
        <v>5.7</v>
      </c>
      <c r="BY29">
        <f t="shared" si="23"/>
        <v>2.1677059609159497</v>
      </c>
      <c r="BZ29">
        <v>2.1677</v>
      </c>
      <c r="CF29" s="13"/>
      <c r="CG29" s="13"/>
      <c r="CH29" s="13"/>
      <c r="CL29">
        <v>5.25</v>
      </c>
      <c r="CX29" t="s">
        <v>54</v>
      </c>
      <c r="DH29" s="14">
        <f t="shared" si="2"/>
        <v>548255.22189223289</v>
      </c>
      <c r="DI29" s="6">
        <f t="shared" si="3"/>
        <v>6.7713467754644681</v>
      </c>
      <c r="DJ29" s="6">
        <f t="shared" si="4"/>
        <v>4.396521957988778</v>
      </c>
      <c r="DK29" s="8">
        <f t="shared" si="5"/>
        <v>9.3454647193904117E-5</v>
      </c>
      <c r="DL29" s="1">
        <f t="shared" si="6"/>
        <v>0.4540414289790885</v>
      </c>
      <c r="DM29">
        <f t="shared" si="7"/>
        <v>4.7742339391232877E-6</v>
      </c>
      <c r="DN29">
        <f t="shared" si="8"/>
        <v>5.1086105212269237E-2</v>
      </c>
      <c r="DO29">
        <f t="shared" si="9"/>
        <v>2.4201261594464334E-2</v>
      </c>
      <c r="DP29" s="14">
        <f t="shared" si="10"/>
        <v>4709251686982.4795</v>
      </c>
      <c r="DQ29" s="6">
        <f t="shared" si="11"/>
        <v>4.3999289148806531</v>
      </c>
      <c r="DS29" s="6">
        <v>-4.9349999999999996</v>
      </c>
      <c r="FI29" s="3"/>
      <c r="IL29" s="15"/>
    </row>
    <row r="30" spans="1:246" x14ac:dyDescent="0.35">
      <c r="A30">
        <v>4</v>
      </c>
      <c r="B30">
        <v>0</v>
      </c>
      <c r="C30" s="3">
        <v>2640</v>
      </c>
      <c r="D30" t="s">
        <v>67</v>
      </c>
      <c r="E30" t="s">
        <v>150</v>
      </c>
      <c r="F30" t="s">
        <v>334</v>
      </c>
      <c r="G30" t="s">
        <v>334</v>
      </c>
      <c r="H30">
        <v>19911126</v>
      </c>
      <c r="Q30" t="s">
        <v>41</v>
      </c>
      <c r="T30" t="s">
        <v>54</v>
      </c>
      <c r="U30">
        <v>15.9</v>
      </c>
      <c r="V30">
        <v>4.5</v>
      </c>
      <c r="W30">
        <v>0.6</v>
      </c>
      <c r="X30">
        <v>0.3</v>
      </c>
      <c r="Y30" s="3">
        <f t="shared" si="25"/>
        <v>208.96092534251468</v>
      </c>
      <c r="Z30" s="3"/>
      <c r="AA30" s="3">
        <f t="shared" si="17"/>
        <v>2640</v>
      </c>
      <c r="AM30" s="6">
        <v>221.74999999999997</v>
      </c>
      <c r="AS30" s="7">
        <f t="shared" si="18"/>
        <v>309.58107129100915</v>
      </c>
      <c r="AT30" s="7">
        <v>288</v>
      </c>
      <c r="BP30" s="3">
        <v>2377</v>
      </c>
      <c r="BV30">
        <v>0.3</v>
      </c>
      <c r="BX30">
        <v>1</v>
      </c>
      <c r="BY30">
        <f t="shared" si="23"/>
        <v>2.3051051695155458</v>
      </c>
      <c r="BZ30">
        <v>2.3050999999999999</v>
      </c>
      <c r="CF30" s="13"/>
      <c r="CG30" s="13"/>
      <c r="CH30" s="13"/>
      <c r="CL30">
        <v>12.6</v>
      </c>
      <c r="CX30" t="s">
        <v>54</v>
      </c>
      <c r="DH30" s="14">
        <f t="shared" si="2"/>
        <v>3822796.515808309</v>
      </c>
      <c r="DI30" s="6">
        <f t="shared" si="3"/>
        <v>5.3430678940625498</v>
      </c>
      <c r="DJ30" s="6">
        <f t="shared" si="4"/>
        <v>3.307308583054843</v>
      </c>
      <c r="DK30" s="8">
        <f t="shared" si="5"/>
        <v>7.1278202221009555E-5</v>
      </c>
      <c r="DL30" s="1">
        <f t="shared" si="6"/>
        <v>0.4524665080520186</v>
      </c>
      <c r="DM30">
        <f t="shared" si="7"/>
        <v>5.094520719166666E-6</v>
      </c>
      <c r="DN30">
        <f t="shared" si="8"/>
        <v>7.147375439366839E-2</v>
      </c>
      <c r="DO30">
        <f t="shared" si="9"/>
        <v>4.5507582623108096E-3</v>
      </c>
      <c r="DP30" s="14">
        <f t="shared" si="10"/>
        <v>2534638330867.6729</v>
      </c>
      <c r="DQ30" s="6">
        <f t="shared" si="11"/>
        <v>3.3100350202386428</v>
      </c>
      <c r="DS30" s="6">
        <v>-2.1429999999999998</v>
      </c>
      <c r="FI30" s="3"/>
      <c r="IL30" s="15"/>
    </row>
    <row r="31" spans="1:246" x14ac:dyDescent="0.35">
      <c r="A31">
        <v>4</v>
      </c>
      <c r="B31">
        <v>0</v>
      </c>
      <c r="C31" s="3">
        <v>732</v>
      </c>
      <c r="D31" t="s">
        <v>67</v>
      </c>
      <c r="E31" t="s">
        <v>150</v>
      </c>
      <c r="F31" t="s">
        <v>334</v>
      </c>
      <c r="G31" t="s">
        <v>334</v>
      </c>
      <c r="H31">
        <v>19911126</v>
      </c>
      <c r="Q31" t="s">
        <v>44</v>
      </c>
      <c r="T31" t="s">
        <v>54</v>
      </c>
      <c r="U31">
        <v>15.9</v>
      </c>
      <c r="V31">
        <v>4.5</v>
      </c>
      <c r="W31">
        <v>0.6</v>
      </c>
      <c r="X31">
        <v>0.3</v>
      </c>
      <c r="Y31" s="3">
        <f t="shared" si="25"/>
        <v>205.15699549369501</v>
      </c>
      <c r="Z31" s="3"/>
      <c r="AA31" s="3">
        <f t="shared" si="17"/>
        <v>732</v>
      </c>
      <c r="AM31" s="6">
        <v>213.74999999999997</v>
      </c>
      <c r="AS31" s="7">
        <f t="shared" si="18"/>
        <v>339.99144093596396</v>
      </c>
      <c r="AT31" s="7">
        <v>250</v>
      </c>
      <c r="BP31" s="3">
        <v>225</v>
      </c>
      <c r="BV31">
        <v>12.5</v>
      </c>
      <c r="BX31">
        <v>19.7</v>
      </c>
      <c r="BY31">
        <f t="shared" si="23"/>
        <v>2.2401410782464004</v>
      </c>
      <c r="BZ31">
        <v>2.2401</v>
      </c>
      <c r="CF31" s="13"/>
      <c r="CG31" s="13"/>
      <c r="CH31" s="13"/>
      <c r="CL31">
        <v>3.6</v>
      </c>
      <c r="DH31" s="14">
        <f t="shared" si="2"/>
        <v>1369956.9023989013</v>
      </c>
      <c r="DI31" s="6">
        <f t="shared" si="3"/>
        <v>2.3438620087625179</v>
      </c>
      <c r="DJ31" s="6">
        <f t="shared" si="4"/>
        <v>1.1717932623180152</v>
      </c>
      <c r="DK31" s="8">
        <f t="shared" si="5"/>
        <v>2.9092798236861066E-5</v>
      </c>
      <c r="DL31" s="1">
        <f t="shared" si="6"/>
        <v>0.40746608252329081</v>
      </c>
      <c r="DM31">
        <f t="shared" si="7"/>
        <v>5.4976354991999995E-6</v>
      </c>
      <c r="DN31">
        <f t="shared" si="8"/>
        <v>0.18896894875634213</v>
      </c>
      <c r="DO31">
        <f t="shared" si="9"/>
        <v>3.1112097076572403E-2</v>
      </c>
      <c r="DP31" s="14">
        <f t="shared" si="10"/>
        <v>42026715877652.047</v>
      </c>
      <c r="DQ31" s="6">
        <f t="shared" si="11"/>
        <v>1.1729532777900722</v>
      </c>
      <c r="DS31" s="6">
        <v>-4.2130000000000001</v>
      </c>
      <c r="FI31" s="3"/>
      <c r="IL31" s="15"/>
    </row>
    <row r="32" spans="1:246" x14ac:dyDescent="0.35">
      <c r="A32">
        <v>4</v>
      </c>
      <c r="B32">
        <v>0</v>
      </c>
      <c r="C32" s="3">
        <v>907</v>
      </c>
      <c r="D32" t="s">
        <v>67</v>
      </c>
      <c r="E32" t="s">
        <v>150</v>
      </c>
      <c r="F32" t="s">
        <v>334</v>
      </c>
      <c r="G32" t="s">
        <v>334</v>
      </c>
      <c r="H32">
        <v>19911126</v>
      </c>
      <c r="Q32" t="s">
        <v>45</v>
      </c>
      <c r="T32" t="s">
        <v>54</v>
      </c>
      <c r="U32">
        <v>15.9</v>
      </c>
      <c r="V32">
        <v>4.5</v>
      </c>
      <c r="W32">
        <v>0.6</v>
      </c>
      <c r="X32">
        <v>0.3</v>
      </c>
      <c r="Y32" s="3">
        <f t="shared" si="25"/>
        <v>205.39680503844255</v>
      </c>
      <c r="Z32" s="3"/>
      <c r="AA32" s="3">
        <f t="shared" si="17"/>
        <v>907</v>
      </c>
      <c r="AM32" s="6">
        <v>214.24999999999997</v>
      </c>
      <c r="AS32" s="7">
        <f t="shared" si="18"/>
        <v>339.14467143884303</v>
      </c>
      <c r="AT32" s="7">
        <v>251</v>
      </c>
      <c r="BP32" s="3">
        <v>360</v>
      </c>
      <c r="BV32">
        <v>25.7</v>
      </c>
      <c r="BX32">
        <v>37.1</v>
      </c>
      <c r="BY32">
        <f t="shared" si="23"/>
        <v>5.2057676604937493</v>
      </c>
      <c r="BZ32">
        <v>5.2058</v>
      </c>
      <c r="CF32" s="13"/>
      <c r="CG32" s="13"/>
      <c r="CH32" s="13"/>
      <c r="CL32">
        <v>3.75</v>
      </c>
      <c r="DH32" s="14">
        <f t="shared" si="2"/>
        <v>1626237.1190463135</v>
      </c>
      <c r="DI32" s="6">
        <f t="shared" si="3"/>
        <v>2.4677332087066617</v>
      </c>
      <c r="DJ32" s="6">
        <f t="shared" si="4"/>
        <v>1.2531240301132576</v>
      </c>
      <c r="DK32" s="8">
        <f t="shared" si="5"/>
        <v>3.0988092515508501E-5</v>
      </c>
      <c r="DL32" s="1">
        <f t="shared" si="6"/>
        <v>0.40814123052467127</v>
      </c>
      <c r="DM32">
        <f t="shared" si="7"/>
        <v>1.2754898575936253E-5</v>
      </c>
      <c r="DN32">
        <f t="shared" si="8"/>
        <v>0.41160644429962423</v>
      </c>
      <c r="DO32">
        <f t="shared" si="9"/>
        <v>2.4606110592006344E-2</v>
      </c>
      <c r="DP32" s="14">
        <f t="shared" si="10"/>
        <v>102401548370310.7</v>
      </c>
      <c r="DQ32" s="6">
        <f t="shared" si="11"/>
        <v>1.2543517874858858</v>
      </c>
      <c r="DS32" s="6">
        <v>-10.53</v>
      </c>
      <c r="FI32" s="3"/>
      <c r="IL32" s="15"/>
    </row>
    <row r="33" spans="1:256" x14ac:dyDescent="0.35">
      <c r="A33">
        <v>4</v>
      </c>
      <c r="B33">
        <v>0</v>
      </c>
      <c r="C33" s="3">
        <v>187</v>
      </c>
      <c r="D33" t="s">
        <v>67</v>
      </c>
      <c r="E33" t="s">
        <v>150</v>
      </c>
      <c r="F33" t="s">
        <v>334</v>
      </c>
      <c r="G33" t="s">
        <v>334</v>
      </c>
      <c r="H33">
        <v>19911126</v>
      </c>
      <c r="Q33" t="s">
        <v>46</v>
      </c>
      <c r="T33" t="s">
        <v>54</v>
      </c>
      <c r="U33">
        <v>15.9</v>
      </c>
      <c r="V33">
        <v>4.5</v>
      </c>
      <c r="W33">
        <v>0.6</v>
      </c>
      <c r="X33">
        <v>0.3</v>
      </c>
      <c r="Y33" s="3">
        <f t="shared" si="25"/>
        <v>204.91690530554084</v>
      </c>
      <c r="Z33" s="3"/>
      <c r="AA33" s="3">
        <f t="shared" si="17"/>
        <v>187</v>
      </c>
      <c r="AM33" s="6">
        <v>213.24999999999997</v>
      </c>
      <c r="AS33" s="7">
        <f t="shared" si="18"/>
        <v>339.14467143884303</v>
      </c>
      <c r="AT33" s="7">
        <v>251</v>
      </c>
      <c r="BP33" s="3">
        <v>30</v>
      </c>
      <c r="BV33">
        <v>3.4</v>
      </c>
      <c r="BX33">
        <v>4.3</v>
      </c>
      <c r="BY33">
        <f t="shared" si="23"/>
        <v>0.30232311359579289</v>
      </c>
      <c r="BZ33">
        <v>0.30230000000000001</v>
      </c>
      <c r="CF33" s="13"/>
      <c r="CG33" s="13"/>
      <c r="CH33" s="13"/>
      <c r="CL33">
        <v>2.85</v>
      </c>
      <c r="DH33" s="14">
        <f t="shared" si="2"/>
        <v>459802.49681729206</v>
      </c>
      <c r="DI33" s="6">
        <f t="shared" si="3"/>
        <v>2.2262086909303709</v>
      </c>
      <c r="DJ33" s="6">
        <f t="shared" si="4"/>
        <v>1.0953988649311857</v>
      </c>
      <c r="DK33" s="8">
        <f t="shared" si="5"/>
        <v>2.7087758715155027E-5</v>
      </c>
      <c r="DL33" s="1">
        <f t="shared" si="6"/>
        <v>0.41005514016370842</v>
      </c>
      <c r="DM33">
        <f t="shared" si="7"/>
        <v>7.3721792605577683E-7</v>
      </c>
      <c r="DN33">
        <f t="shared" si="8"/>
        <v>2.7215907148616138E-2</v>
      </c>
      <c r="DO33">
        <f t="shared" si="9"/>
        <v>9.955825767898667E-2</v>
      </c>
      <c r="DP33" s="14">
        <f t="shared" si="10"/>
        <v>3812483581000.0024</v>
      </c>
      <c r="DQ33" s="6">
        <f t="shared" si="11"/>
        <v>1.0964944204075742</v>
      </c>
      <c r="DS33" s="6">
        <v>-10.09</v>
      </c>
      <c r="FI33" s="3"/>
      <c r="IL33" s="15"/>
    </row>
    <row r="34" spans="1:256" x14ac:dyDescent="0.35">
      <c r="A34">
        <v>4</v>
      </c>
      <c r="B34">
        <v>0</v>
      </c>
      <c r="C34" s="3">
        <v>254</v>
      </c>
      <c r="D34" t="s">
        <v>67</v>
      </c>
      <c r="E34" t="s">
        <v>150</v>
      </c>
      <c r="F34" t="s">
        <v>334</v>
      </c>
      <c r="G34" t="s">
        <v>334</v>
      </c>
      <c r="H34">
        <v>19911126</v>
      </c>
      <c r="Q34" t="s">
        <v>47</v>
      </c>
      <c r="T34" t="s">
        <v>54</v>
      </c>
      <c r="U34">
        <v>15.9</v>
      </c>
      <c r="V34">
        <v>4.5</v>
      </c>
      <c r="W34">
        <v>0.6</v>
      </c>
      <c r="X34">
        <v>0.3</v>
      </c>
      <c r="Y34" s="3">
        <f t="shared" si="25"/>
        <v>205.39680503844255</v>
      </c>
      <c r="Z34" s="3"/>
      <c r="AA34" s="3">
        <f t="shared" si="17"/>
        <v>254</v>
      </c>
      <c r="AM34" s="6">
        <v>214.24999999999997</v>
      </c>
      <c r="AS34" s="7">
        <f t="shared" si="18"/>
        <v>339.14467143884303</v>
      </c>
      <c r="AT34" s="7">
        <v>251</v>
      </c>
      <c r="BP34" s="3">
        <v>15</v>
      </c>
      <c r="BV34">
        <v>14.5</v>
      </c>
      <c r="BX34">
        <v>19.399999999999999</v>
      </c>
      <c r="BY34">
        <f t="shared" si="23"/>
        <v>2.1890849136166826</v>
      </c>
      <c r="BZ34">
        <v>2.1890999999999998</v>
      </c>
      <c r="CF34" s="13"/>
      <c r="CG34" s="13"/>
      <c r="CH34" s="13"/>
      <c r="CL34">
        <v>3.4</v>
      </c>
      <c r="DH34" s="14">
        <f t="shared" si="2"/>
        <v>587442.0263935111</v>
      </c>
      <c r="DI34" s="6">
        <f t="shared" si="3"/>
        <v>2.4677332087066617</v>
      </c>
      <c r="DJ34" s="6">
        <f t="shared" si="4"/>
        <v>1.2531240301132576</v>
      </c>
      <c r="DK34" s="8">
        <f t="shared" si="5"/>
        <v>3.0988092515508501E-5</v>
      </c>
      <c r="DL34" s="1">
        <f t="shared" si="6"/>
        <v>0.40814123052467127</v>
      </c>
      <c r="DM34">
        <f t="shared" si="7"/>
        <v>5.3635845542629473E-6</v>
      </c>
      <c r="DN34">
        <f t="shared" si="8"/>
        <v>0.17308534081530358</v>
      </c>
      <c r="DO34">
        <f t="shared" si="9"/>
        <v>6.8117990545801019E-2</v>
      </c>
      <c r="DP34" s="14">
        <f t="shared" si="10"/>
        <v>20870004659308.785</v>
      </c>
      <c r="DQ34" s="6">
        <f t="shared" si="11"/>
        <v>1.2543517874858858</v>
      </c>
      <c r="DS34" s="6">
        <v>-11.05</v>
      </c>
      <c r="FI34" s="3"/>
      <c r="IL34" s="15"/>
    </row>
    <row r="35" spans="1:256" x14ac:dyDescent="0.35">
      <c r="A35">
        <v>4</v>
      </c>
      <c r="B35">
        <v>0</v>
      </c>
      <c r="C35" s="3">
        <v>310</v>
      </c>
      <c r="D35" t="s">
        <v>67</v>
      </c>
      <c r="E35" t="s">
        <v>150</v>
      </c>
      <c r="F35" t="s">
        <v>334</v>
      </c>
      <c r="G35" t="s">
        <v>334</v>
      </c>
      <c r="H35">
        <v>19911128</v>
      </c>
      <c r="Q35" t="s">
        <v>48</v>
      </c>
      <c r="T35" t="s">
        <v>54</v>
      </c>
      <c r="U35">
        <v>15.9</v>
      </c>
      <c r="V35">
        <v>4.5</v>
      </c>
      <c r="W35">
        <v>0.6</v>
      </c>
      <c r="X35">
        <v>0.3</v>
      </c>
      <c r="Y35" s="3">
        <f t="shared" si="25"/>
        <v>208.25298115513255</v>
      </c>
      <c r="Z35" s="3"/>
      <c r="AA35" s="3">
        <f t="shared" si="17"/>
        <v>310</v>
      </c>
      <c r="AM35" s="6">
        <v>220.24999999999997</v>
      </c>
      <c r="AS35" s="7">
        <f t="shared" si="18"/>
        <v>350.37283509805695</v>
      </c>
      <c r="AT35" s="7">
        <v>238</v>
      </c>
      <c r="BV35">
        <v>5.0999999999999996</v>
      </c>
      <c r="BX35">
        <v>17.3</v>
      </c>
      <c r="BY35">
        <f t="shared" si="23"/>
        <v>6.159632032797286</v>
      </c>
      <c r="BZ35">
        <v>6.1596000000000002</v>
      </c>
      <c r="CF35" s="13"/>
      <c r="CG35" s="13"/>
      <c r="CH35" s="13"/>
      <c r="CL35">
        <v>6.8</v>
      </c>
      <c r="CX35" t="s">
        <v>54</v>
      </c>
      <c r="DH35" s="14">
        <f t="shared" si="2"/>
        <v>688949.50919133704</v>
      </c>
      <c r="DI35" s="6">
        <f t="shared" si="3"/>
        <v>4.5781729531008706</v>
      </c>
      <c r="DJ35" s="6">
        <f t="shared" si="4"/>
        <v>2.738169639115076</v>
      </c>
      <c r="DK35" s="8">
        <f t="shared" si="5"/>
        <v>7.1409813827979379E-5</v>
      </c>
      <c r="DL35" s="1">
        <f t="shared" si="6"/>
        <v>0.37645980990994071</v>
      </c>
      <c r="DM35">
        <f t="shared" si="7"/>
        <v>1.6361905940168066E-5</v>
      </c>
      <c r="DN35">
        <f t="shared" si="8"/>
        <v>0.22912685334235164</v>
      </c>
      <c r="DO35">
        <f t="shared" si="9"/>
        <v>2.5204401502697531E-2</v>
      </c>
      <c r="DP35" s="14">
        <f t="shared" si="10"/>
        <v>9333380096314.6016</v>
      </c>
      <c r="DQ35" s="6">
        <f t="shared" si="11"/>
        <v>2.7405137108327882</v>
      </c>
      <c r="DS35" s="6">
        <v>-10.09</v>
      </c>
      <c r="FI35" s="3"/>
      <c r="IL35" s="15"/>
    </row>
    <row r="36" spans="1:256" x14ac:dyDescent="0.35">
      <c r="A36">
        <v>4</v>
      </c>
      <c r="B36">
        <v>0</v>
      </c>
      <c r="C36" s="3">
        <v>179</v>
      </c>
      <c r="D36" t="s">
        <v>67</v>
      </c>
      <c r="E36" t="s">
        <v>150</v>
      </c>
      <c r="F36" t="s">
        <v>334</v>
      </c>
      <c r="G36" t="s">
        <v>334</v>
      </c>
      <c r="H36">
        <v>19911130</v>
      </c>
      <c r="Q36" t="s">
        <v>49</v>
      </c>
      <c r="T36" t="s">
        <v>54</v>
      </c>
      <c r="U36">
        <v>15.9</v>
      </c>
      <c r="V36">
        <v>4.5</v>
      </c>
      <c r="W36">
        <v>0.6</v>
      </c>
      <c r="X36">
        <v>0.3</v>
      </c>
      <c r="Y36" s="3">
        <f t="shared" si="25"/>
        <v>207.63747707964473</v>
      </c>
      <c r="Z36" s="3"/>
      <c r="AA36" s="3">
        <f t="shared" si="17"/>
        <v>179</v>
      </c>
      <c r="AM36" s="6">
        <v>218.95</v>
      </c>
      <c r="AT36" s="7">
        <v>217</v>
      </c>
      <c r="BP36" s="3">
        <v>230</v>
      </c>
      <c r="BV36">
        <v>16.100000000000001</v>
      </c>
      <c r="BX36">
        <v>31.2</v>
      </c>
      <c r="BY36">
        <f t="shared" si="23"/>
        <v>4.1081737220734649</v>
      </c>
      <c r="BZ36">
        <v>4.1082000000000001</v>
      </c>
      <c r="CF36" s="13"/>
      <c r="CG36" s="13"/>
      <c r="CH36" s="13"/>
      <c r="CL36">
        <v>4.05</v>
      </c>
      <c r="DH36" s="14">
        <f t="shared" si="2"/>
        <v>443997.43870267522</v>
      </c>
      <c r="DI36" s="6">
        <f t="shared" si="3"/>
        <v>4.0044250012964078</v>
      </c>
      <c r="DJ36" s="6">
        <f t="shared" si="4"/>
        <v>2.3199456234454177</v>
      </c>
      <c r="DK36" s="8">
        <f t="shared" si="5"/>
        <v>6.6357891660603075E-5</v>
      </c>
      <c r="DL36" s="1">
        <f t="shared" si="6"/>
        <v>0.34528074729828157</v>
      </c>
      <c r="DM36">
        <f t="shared" si="7"/>
        <v>1.1898143850027651E-5</v>
      </c>
      <c r="DN36">
        <f t="shared" si="8"/>
        <v>0.17930262026530935</v>
      </c>
      <c r="DO36">
        <f t="shared" si="9"/>
        <v>4.2087065061067588E-2</v>
      </c>
      <c r="DP36" s="14">
        <f t="shared" si="10"/>
        <v>20703033166624.082</v>
      </c>
      <c r="DQ36" s="6">
        <f t="shared" si="11"/>
        <v>2.3219946887590015</v>
      </c>
      <c r="DS36" s="6">
        <v>-3.7810000000000001</v>
      </c>
      <c r="FI36" s="3"/>
      <c r="IL36" s="15"/>
    </row>
    <row r="37" spans="1:256" s="1" customFormat="1" x14ac:dyDescent="0.35">
      <c r="A37">
        <v>4</v>
      </c>
      <c r="B37">
        <v>0</v>
      </c>
      <c r="C37" s="3">
        <v>178</v>
      </c>
      <c r="D37" t="s">
        <v>67</v>
      </c>
      <c r="E37" t="s">
        <v>150</v>
      </c>
      <c r="F37" t="s">
        <v>334</v>
      </c>
      <c r="G37" t="s">
        <v>334</v>
      </c>
      <c r="H37">
        <v>19911130</v>
      </c>
      <c r="I37"/>
      <c r="J37"/>
      <c r="K37"/>
      <c r="L37"/>
      <c r="M37"/>
      <c r="N37"/>
      <c r="O37"/>
      <c r="P37"/>
      <c r="Q37" t="s">
        <v>50</v>
      </c>
      <c r="R37"/>
      <c r="S37"/>
      <c r="T37" t="s">
        <v>54</v>
      </c>
      <c r="U37">
        <v>15.9</v>
      </c>
      <c r="V37">
        <v>4.5</v>
      </c>
      <c r="W37">
        <v>0.6</v>
      </c>
      <c r="X37">
        <v>0.3</v>
      </c>
      <c r="Y37" s="3">
        <f t="shared" si="25"/>
        <v>207.54262212856418</v>
      </c>
      <c r="Z37" s="3"/>
      <c r="AA37" s="3">
        <f t="shared" si="17"/>
        <v>178</v>
      </c>
      <c r="AB37"/>
      <c r="AC37"/>
      <c r="AD37"/>
      <c r="AE37"/>
      <c r="AF37"/>
      <c r="AG37"/>
      <c r="AH37"/>
      <c r="AI37"/>
      <c r="AJ37"/>
      <c r="AK37"/>
      <c r="AL37"/>
      <c r="AM37" s="6">
        <v>218.74999999999997</v>
      </c>
      <c r="AN37" s="6"/>
      <c r="AO37" s="6"/>
      <c r="AP37" s="6"/>
      <c r="AQ37" s="6"/>
      <c r="AR37" s="6"/>
      <c r="AS37" s="7"/>
      <c r="AT37" s="7">
        <v>217</v>
      </c>
      <c r="AU37" s="7"/>
      <c r="AV37" s="7"/>
      <c r="AW37"/>
      <c r="AX37" s="7"/>
      <c r="AY37" s="7"/>
      <c r="AZ37" s="7"/>
      <c r="BA37" s="6"/>
      <c r="BB37"/>
      <c r="BC37"/>
      <c r="BD37" s="6"/>
      <c r="BE37" s="6"/>
      <c r="BF37" s="6"/>
      <c r="BG37"/>
      <c r="BH37"/>
      <c r="BI37"/>
      <c r="BJ37"/>
      <c r="BK37"/>
      <c r="BL37"/>
      <c r="BM37"/>
      <c r="BN37"/>
      <c r="BO37"/>
      <c r="BP37" s="3">
        <v>66</v>
      </c>
      <c r="BQ37" s="3"/>
      <c r="BR37" s="3"/>
      <c r="BS37"/>
      <c r="BT37"/>
      <c r="BU37"/>
      <c r="BV37">
        <v>18.8</v>
      </c>
      <c r="BW37"/>
      <c r="BX37">
        <v>31.6</v>
      </c>
      <c r="BY37">
        <f t="shared" si="23"/>
        <v>2.8382618190340438</v>
      </c>
      <c r="BZ37">
        <v>2.8382999999999998</v>
      </c>
      <c r="CA37"/>
      <c r="CB37"/>
      <c r="CC37"/>
      <c r="CD37"/>
      <c r="CE37"/>
      <c r="CF37" s="13"/>
      <c r="CG37" s="13"/>
      <c r="CH37" s="13"/>
      <c r="CI37"/>
      <c r="CJ37"/>
      <c r="CK37"/>
      <c r="CL37">
        <v>3.4</v>
      </c>
      <c r="CM37"/>
      <c r="CN37"/>
      <c r="CO37"/>
      <c r="CP37"/>
      <c r="CQ37"/>
      <c r="CR37"/>
      <c r="CS37"/>
      <c r="CT37"/>
      <c r="CU37"/>
      <c r="CV37"/>
      <c r="CW37"/>
      <c r="CX37" t="s">
        <v>54</v>
      </c>
      <c r="CY37"/>
      <c r="CZ37"/>
      <c r="DA37"/>
      <c r="DB37" s="3"/>
      <c r="DC37" s="3"/>
      <c r="DD37" s="3"/>
      <c r="DE37" s="3"/>
      <c r="DF37"/>
      <c r="DG37"/>
      <c r="DH37" s="14">
        <f t="shared" si="2"/>
        <v>442011.98154977965</v>
      </c>
      <c r="DI37" s="6">
        <f t="shared" si="3"/>
        <v>3.9227777007654474</v>
      </c>
      <c r="DJ37" s="6">
        <f t="shared" si="4"/>
        <v>2.2611434173247122</v>
      </c>
      <c r="DK37" s="8">
        <f t="shared" si="5"/>
        <v>6.4675959815421613E-5</v>
      </c>
      <c r="DL37" s="1">
        <f t="shared" si="6"/>
        <v>0.34559643255295436</v>
      </c>
      <c r="DM37">
        <f t="shared" si="7"/>
        <v>8.2127583870967713E-6</v>
      </c>
      <c r="DN37">
        <f t="shared" si="8"/>
        <v>0.12698316979809995</v>
      </c>
      <c r="DO37">
        <f t="shared" si="9"/>
        <v>4.337552663942236E-2</v>
      </c>
      <c r="DP37" s="14">
        <f t="shared" si="10"/>
        <v>24044881458267.297</v>
      </c>
      <c r="DQ37" s="6">
        <f t="shared" si="11"/>
        <v>2.2631499437838882</v>
      </c>
      <c r="DR37" s="6"/>
      <c r="DS37" s="6">
        <v>-4.1390000000000002</v>
      </c>
      <c r="DT37" s="6"/>
      <c r="DU37"/>
      <c r="DV37"/>
      <c r="DW37"/>
      <c r="DX37"/>
      <c r="DY37"/>
      <c r="DZ37"/>
      <c r="EA37"/>
      <c r="EB37"/>
      <c r="EC37"/>
      <c r="ED37"/>
      <c r="EE37"/>
      <c r="EF37"/>
      <c r="EG37"/>
      <c r="EH37"/>
      <c r="EI37"/>
      <c r="EJ37"/>
      <c r="EK37"/>
      <c r="EL37"/>
      <c r="EM37" s="3"/>
      <c r="EN37"/>
      <c r="EO37"/>
      <c r="EP37"/>
      <c r="EQ37"/>
      <c r="ER37"/>
      <c r="ES37"/>
      <c r="ET37"/>
      <c r="EU37"/>
      <c r="EV37"/>
      <c r="EW37"/>
      <c r="EX37"/>
      <c r="EY37"/>
      <c r="EZ37"/>
      <c r="FA37"/>
      <c r="FB37"/>
      <c r="FC37"/>
      <c r="FD37"/>
      <c r="FE37"/>
      <c r="FF37"/>
      <c r="FG37"/>
      <c r="FH37"/>
      <c r="FI37" s="3"/>
      <c r="FJ37"/>
      <c r="FK37"/>
      <c r="FL37"/>
      <c r="FM37"/>
      <c r="FN37"/>
      <c r="FO37"/>
      <c r="FP37"/>
      <c r="FQ37"/>
      <c r="FR37"/>
      <c r="FS37"/>
      <c r="FT37"/>
      <c r="FU37"/>
      <c r="FV37" s="6"/>
      <c r="FW37"/>
      <c r="FX37"/>
      <c r="FY37"/>
      <c r="FZ37"/>
      <c r="GA37"/>
      <c r="GB37"/>
      <c r="GC37"/>
      <c r="GD37"/>
      <c r="GE37"/>
      <c r="GF37"/>
      <c r="GG37"/>
      <c r="GH37"/>
      <c r="GI37"/>
      <c r="GJ37" s="6"/>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s="15"/>
      <c r="IM37"/>
      <c r="IN37"/>
      <c r="IO37"/>
      <c r="IP37"/>
      <c r="IQ37" s="6"/>
      <c r="IR37" s="6"/>
      <c r="IS37"/>
      <c r="IT37"/>
      <c r="IU37"/>
      <c r="IV37"/>
    </row>
    <row r="38" spans="1:256" x14ac:dyDescent="0.35">
      <c r="A38">
        <v>5</v>
      </c>
      <c r="B38">
        <v>0</v>
      </c>
      <c r="C38" s="3">
        <v>1800</v>
      </c>
      <c r="D38" t="s">
        <v>194</v>
      </c>
      <c r="E38" t="s">
        <v>195</v>
      </c>
      <c r="F38" t="s">
        <v>196</v>
      </c>
      <c r="G38" t="s">
        <v>105</v>
      </c>
      <c r="H38">
        <v>19921009</v>
      </c>
      <c r="L38" t="s">
        <v>197</v>
      </c>
      <c r="M38" t="s">
        <v>193</v>
      </c>
      <c r="N38">
        <v>1</v>
      </c>
      <c r="O38">
        <v>100</v>
      </c>
      <c r="Q38" t="s">
        <v>206</v>
      </c>
      <c r="T38">
        <v>0</v>
      </c>
      <c r="AA38" s="3">
        <f t="shared" si="17"/>
        <v>1800</v>
      </c>
      <c r="AK38">
        <v>1200</v>
      </c>
      <c r="AL38">
        <v>2400</v>
      </c>
      <c r="AM38" s="6">
        <f>273-41</f>
        <v>232</v>
      </c>
      <c r="AN38" s="6">
        <f>273-45</f>
        <v>228</v>
      </c>
      <c r="AO38" s="6">
        <f>273-37</f>
        <v>236</v>
      </c>
      <c r="AP38" s="6">
        <v>9000</v>
      </c>
      <c r="AQ38" s="6">
        <v>8500</v>
      </c>
      <c r="AR38" s="6">
        <v>9500</v>
      </c>
      <c r="AS38" s="7">
        <f>(1-POWER(AT38/1013.25,0.190263103))*44330.76923/30.48</f>
        <v>300.65456668169077</v>
      </c>
      <c r="AT38" s="7">
        <v>300</v>
      </c>
      <c r="AU38" s="7">
        <v>285</v>
      </c>
      <c r="AV38" s="7">
        <v>330</v>
      </c>
      <c r="AW38">
        <v>1</v>
      </c>
      <c r="AX38" s="7">
        <v>90</v>
      </c>
      <c r="BV38">
        <v>1.3</v>
      </c>
      <c r="BW38">
        <v>0.8</v>
      </c>
      <c r="BX38">
        <v>1.6</v>
      </c>
      <c r="BY38">
        <f t="shared" si="23"/>
        <v>2.000000000000008</v>
      </c>
      <c r="BZ38">
        <v>2</v>
      </c>
      <c r="CF38" s="13"/>
      <c r="CG38" s="13"/>
      <c r="CH38" s="13"/>
      <c r="CI38">
        <v>0.19800000000000001</v>
      </c>
      <c r="CL38" s="6">
        <f>POWER(BZ38*0.000001/(BV38*1000000*(4*3.141592/3)*917),1/3)*1000000</f>
        <v>7.3712803611244588</v>
      </c>
      <c r="CM38" s="6"/>
      <c r="CN38" s="6"/>
      <c r="CO38" s="6">
        <f>1000000*3*BZ38*0.000001/(2*917*CI38*0.001)</f>
        <v>16.522917286276066</v>
      </c>
      <c r="DH38" s="14">
        <f t="shared" si="2"/>
        <v>2813947.8471816014</v>
      </c>
      <c r="DI38" s="6">
        <f t="shared" si="3"/>
        <v>15.356671422938598</v>
      </c>
      <c r="DJ38" s="6">
        <f t="shared" si="4"/>
        <v>11.263199875584204</v>
      </c>
      <c r="DK38" s="8">
        <f t="shared" si="5"/>
        <v>2.3303172156381111E-4</v>
      </c>
      <c r="DL38" s="1">
        <f t="shared" si="6"/>
        <v>0.45049590589320726</v>
      </c>
      <c r="DM38">
        <f t="shared" si="7"/>
        <v>4.4395519999999993E-6</v>
      </c>
      <c r="DN38">
        <f t="shared" si="8"/>
        <v>1.9051277526541878E-2</v>
      </c>
      <c r="DO38">
        <f t="shared" si="9"/>
        <v>1.8909959445516586E-3</v>
      </c>
      <c r="DP38" s="14">
        <f t="shared" si="10"/>
        <v>8120234065353.002</v>
      </c>
      <c r="DQ38" s="6">
        <f t="shared" si="11"/>
        <v>11.269914863224734</v>
      </c>
      <c r="DS38" s="6">
        <v>-4.3319999999999999</v>
      </c>
      <c r="IL38" s="15"/>
    </row>
    <row r="39" spans="1:256" x14ac:dyDescent="0.35">
      <c r="A39">
        <v>5</v>
      </c>
      <c r="B39">
        <v>0</v>
      </c>
      <c r="D39" t="s">
        <v>194</v>
      </c>
      <c r="E39" t="s">
        <v>203</v>
      </c>
      <c r="F39" t="s">
        <v>196</v>
      </c>
      <c r="G39" t="s">
        <v>105</v>
      </c>
      <c r="H39">
        <v>19921015</v>
      </c>
      <c r="I39">
        <v>36000</v>
      </c>
      <c r="K39" s="5" t="s">
        <v>204</v>
      </c>
      <c r="L39" t="s">
        <v>205</v>
      </c>
      <c r="M39" t="s">
        <v>193</v>
      </c>
      <c r="N39">
        <v>1</v>
      </c>
      <c r="O39">
        <v>100</v>
      </c>
      <c r="Q39" t="s">
        <v>207</v>
      </c>
      <c r="T39">
        <v>0</v>
      </c>
      <c r="AA39" s="3">
        <f t="shared" si="17"/>
        <v>0</v>
      </c>
      <c r="AM39" s="6">
        <v>217</v>
      </c>
      <c r="AN39" s="6">
        <v>216</v>
      </c>
      <c r="AO39" s="6">
        <v>218</v>
      </c>
      <c r="AP39" s="6">
        <v>10500</v>
      </c>
      <c r="AQ39" s="6">
        <v>10350</v>
      </c>
      <c r="AR39" s="6">
        <v>10665</v>
      </c>
      <c r="AS39" s="7">
        <f>(1-POWER(AT39/1013.25,0.190263103))*44330.76923/30.48</f>
        <v>345.99688218601369</v>
      </c>
      <c r="AT39" s="7">
        <v>243</v>
      </c>
      <c r="AU39" s="7">
        <v>239</v>
      </c>
      <c r="AV39" s="7">
        <v>250</v>
      </c>
      <c r="AW39">
        <v>1</v>
      </c>
      <c r="BV39">
        <v>0.7</v>
      </c>
      <c r="BW39">
        <v>0.5</v>
      </c>
      <c r="BX39">
        <v>2.4</v>
      </c>
      <c r="BY39">
        <f t="shared" si="23"/>
        <v>1.9999999999999967</v>
      </c>
      <c r="BZ39">
        <v>2</v>
      </c>
      <c r="CF39" s="13"/>
      <c r="CG39" s="13"/>
      <c r="CH39" s="13"/>
      <c r="CI39">
        <v>0.13</v>
      </c>
      <c r="CL39" s="6">
        <f>POWER(BZ39*0.000001/(BV39*1000000*(4*3.141592/3)*917),1/3)*1000000</f>
        <v>9.0606224427305992</v>
      </c>
      <c r="CM39" s="6"/>
      <c r="CN39" s="6"/>
      <c r="CO39" s="6">
        <f>1000000*3*BZ39*0.000001/(2*917*CI39*0.001)</f>
        <v>25.165674020635851</v>
      </c>
      <c r="DH39" s="14">
        <f t="shared" ref="DH39:DH70" si="26">7000*POWER(AA39,0.8)</f>
        <v>0</v>
      </c>
      <c r="DI39" s="6">
        <f t="shared" ref="DI39:DI70" si="27">EXP(6.97+0.103*(AM39-273.15))</f>
        <v>3.2757603169825007</v>
      </c>
      <c r="DJ39" s="6">
        <f t="shared" ref="DJ39:DJ70" si="28">100*EXP(-6024.5282/AM39+24.7219+(0.010613868-0.000013198825*AM39)*AM39-0.49382577*LN(AM39))</f>
        <v>1.8025915031276289</v>
      </c>
      <c r="DK39" s="8">
        <f t="shared" ref="DK39:DK70" si="29">(18/29)*DJ39/(AT39*100)</f>
        <v>4.6043205699300867E-5</v>
      </c>
      <c r="DL39" s="1">
        <f t="shared" ref="DL39:DL70" si="30">AT39*100/(287.04*AM39)</f>
        <v>0.39012530246751842</v>
      </c>
      <c r="DM39">
        <f t="shared" si="7"/>
        <v>5.126558024691358E-6</v>
      </c>
      <c r="DN39">
        <f t="shared" si="8"/>
        <v>0.11134233480987188</v>
      </c>
      <c r="DP39" s="14">
        <f t="shared" ref="DP39:DP70" si="31">(BV39*1000000/DL39)*DH39</f>
        <v>0</v>
      </c>
      <c r="DQ39" s="6">
        <f t="shared" ref="DQ39:DQ70" si="32">EXP(9.550426-5723.265/AM39+3.53068*LN(AM39)-0.00728332*AM39)</f>
        <v>1.804256256555125</v>
      </c>
      <c r="DS39" s="6">
        <v>5.65</v>
      </c>
      <c r="ET39" s="5"/>
      <c r="IL39" s="15"/>
    </row>
    <row r="40" spans="1:256" x14ac:dyDescent="0.35">
      <c r="A40">
        <v>0</v>
      </c>
      <c r="B40">
        <v>4</v>
      </c>
      <c r="C40" s="3">
        <v>3600</v>
      </c>
      <c r="D40" t="s">
        <v>158</v>
      </c>
      <c r="E40" t="s">
        <v>229</v>
      </c>
      <c r="F40" t="s">
        <v>225</v>
      </c>
      <c r="G40" t="s">
        <v>101</v>
      </c>
      <c r="H40">
        <v>19930401</v>
      </c>
      <c r="I40">
        <f>16*3600</f>
        <v>57600</v>
      </c>
      <c r="K40" s="5">
        <v>0.66666666666666663</v>
      </c>
      <c r="L40" t="s">
        <v>177</v>
      </c>
      <c r="M40" t="s">
        <v>71</v>
      </c>
      <c r="Q40" t="s">
        <v>231</v>
      </c>
      <c r="AA40" s="3">
        <f t="shared" si="17"/>
        <v>3600</v>
      </c>
      <c r="AK40">
        <v>3000</v>
      </c>
      <c r="AL40">
        <v>4200</v>
      </c>
      <c r="AM40" s="6">
        <f>273.15-61</f>
        <v>212.14999999999998</v>
      </c>
      <c r="AN40" s="6">
        <v>211</v>
      </c>
      <c r="AO40" s="6">
        <v>213</v>
      </c>
      <c r="AP40" s="6">
        <v>10.5</v>
      </c>
      <c r="AQ40" s="6">
        <v>10.3</v>
      </c>
      <c r="AR40" s="6">
        <v>10.6</v>
      </c>
      <c r="AS40" s="7">
        <v>340</v>
      </c>
      <c r="AT40" s="7">
        <v>250</v>
      </c>
      <c r="AW40">
        <v>1</v>
      </c>
      <c r="AX40" s="7">
        <v>60</v>
      </c>
      <c r="BA40" s="6">
        <v>1.58</v>
      </c>
      <c r="BB40">
        <v>1.38</v>
      </c>
      <c r="BC40">
        <v>1.78</v>
      </c>
      <c r="BD40" s="6">
        <v>1</v>
      </c>
      <c r="BG40">
        <v>1</v>
      </c>
      <c r="BJ40">
        <f>BS40*1000000/BP40</f>
        <v>121.48148148148147</v>
      </c>
      <c r="BM40">
        <v>250</v>
      </c>
      <c r="BN40">
        <v>230</v>
      </c>
      <c r="BO40">
        <v>270</v>
      </c>
      <c r="BP40" s="3">
        <v>1350</v>
      </c>
      <c r="BQ40" s="3">
        <v>1300</v>
      </c>
      <c r="BR40" s="3">
        <v>1450</v>
      </c>
      <c r="BS40">
        <f>(80*1050+500*160)*0.000001</f>
        <v>0.16399999999999998</v>
      </c>
      <c r="BT40">
        <v>0.15</v>
      </c>
      <c r="BU40">
        <v>0.18</v>
      </c>
      <c r="BY40">
        <f t="shared" si="23"/>
        <v>0</v>
      </c>
      <c r="CF40" s="13"/>
      <c r="CG40" s="13"/>
      <c r="CH40" s="13"/>
      <c r="CI40">
        <v>0.8</v>
      </c>
      <c r="CJ40">
        <f>CI40/5</f>
        <v>0.16</v>
      </c>
      <c r="CK40">
        <v>1</v>
      </c>
      <c r="CY40">
        <v>0.15</v>
      </c>
      <c r="CZ40">
        <v>0.1</v>
      </c>
      <c r="DA40">
        <v>0.4</v>
      </c>
      <c r="DB40" s="3">
        <f>CY40*BP40</f>
        <v>202.5</v>
      </c>
      <c r="DH40" s="14">
        <f t="shared" si="26"/>
        <v>4899367.7668997189</v>
      </c>
      <c r="DI40" s="6">
        <f t="shared" si="27"/>
        <v>1.9877433493982581</v>
      </c>
      <c r="DJ40" s="6">
        <f t="shared" si="28"/>
        <v>0.94335901118572751</v>
      </c>
      <c r="DK40" s="8">
        <f t="shared" si="29"/>
        <v>2.3421327174266339E-5</v>
      </c>
      <c r="DL40" s="1">
        <f t="shared" si="30"/>
        <v>0.41053912391870562</v>
      </c>
      <c r="DM40">
        <f t="shared" si="7"/>
        <v>0</v>
      </c>
      <c r="DN40">
        <f t="shared" si="8"/>
        <v>0</v>
      </c>
      <c r="DO40">
        <f t="shared" ref="DO40:DO71" si="33">1.24*29*AT40*100/(DH40*18*DJ40)</f>
        <v>1.0806128900898888E-2</v>
      </c>
      <c r="DP40" s="14">
        <f t="shared" si="31"/>
        <v>0</v>
      </c>
      <c r="DQ40" s="6">
        <f t="shared" si="32"/>
        <v>0.94432369504612412</v>
      </c>
      <c r="DS40" s="6" t="s">
        <v>462</v>
      </c>
      <c r="ET40" s="5"/>
      <c r="IL40" s="15"/>
    </row>
    <row r="41" spans="1:256" x14ac:dyDescent="0.35">
      <c r="A41">
        <v>5</v>
      </c>
      <c r="B41">
        <v>0</v>
      </c>
      <c r="C41" s="3">
        <v>120</v>
      </c>
      <c r="D41" t="s">
        <v>210</v>
      </c>
      <c r="E41" t="s">
        <v>211</v>
      </c>
      <c r="F41" t="s">
        <v>196</v>
      </c>
      <c r="G41" t="s">
        <v>106</v>
      </c>
      <c r="H41">
        <v>19940321</v>
      </c>
      <c r="I41">
        <f>15*3600+3*60</f>
        <v>54180</v>
      </c>
      <c r="K41" s="5">
        <v>0.62708333333333333</v>
      </c>
      <c r="L41" t="s">
        <v>197</v>
      </c>
      <c r="M41" t="s">
        <v>193</v>
      </c>
      <c r="N41">
        <v>1</v>
      </c>
      <c r="O41">
        <v>100</v>
      </c>
      <c r="Q41" t="s">
        <v>213</v>
      </c>
      <c r="T41">
        <v>0</v>
      </c>
      <c r="AA41" s="3">
        <f t="shared" si="17"/>
        <v>120</v>
      </c>
      <c r="AK41">
        <v>100</v>
      </c>
      <c r="AL41">
        <v>180</v>
      </c>
      <c r="AM41" s="6">
        <f>273.15-60</f>
        <v>213.14999999999998</v>
      </c>
      <c r="AN41" s="6">
        <f>AM41-1</f>
        <v>212.14999999999998</v>
      </c>
      <c r="AO41" s="6">
        <f>AM41+1</f>
        <v>214.14999999999998</v>
      </c>
      <c r="AS41" s="7">
        <f>(1-POWER(AT41/1013.25,0.190263103))*44330.76923/30.48</f>
        <v>348.61360264886594</v>
      </c>
      <c r="AT41" s="7">
        <v>240</v>
      </c>
      <c r="AW41">
        <v>1</v>
      </c>
      <c r="AX41" s="7">
        <v>100</v>
      </c>
      <c r="BV41">
        <v>1200</v>
      </c>
      <c r="BX41">
        <v>8400</v>
      </c>
      <c r="CF41" s="13"/>
      <c r="CG41" s="13"/>
      <c r="CH41" s="13"/>
      <c r="DH41" s="14">
        <f t="shared" si="26"/>
        <v>322435.63769539713</v>
      </c>
      <c r="DI41" s="6">
        <f t="shared" si="27"/>
        <v>2.2033964262559369</v>
      </c>
      <c r="DJ41" s="6">
        <f t="shared" si="28"/>
        <v>1.0806876397672791</v>
      </c>
      <c r="DK41" s="8">
        <f t="shared" si="29"/>
        <v>2.7948818269843425E-5</v>
      </c>
      <c r="DL41" s="1">
        <f t="shared" si="30"/>
        <v>0.39226854390701038</v>
      </c>
      <c r="DM41">
        <f t="shared" si="7"/>
        <v>0</v>
      </c>
      <c r="DN41">
        <f t="shared" si="8"/>
        <v>0</v>
      </c>
      <c r="DO41">
        <f t="shared" si="33"/>
        <v>0.13759897491718126</v>
      </c>
      <c r="DP41" s="14">
        <f t="shared" si="31"/>
        <v>986372145420355</v>
      </c>
      <c r="DQ41" s="6">
        <f t="shared" si="32"/>
        <v>1.0817706860491449</v>
      </c>
      <c r="DS41" s="6">
        <v>-10.94</v>
      </c>
      <c r="ET41" s="5"/>
      <c r="IL41" s="15"/>
    </row>
    <row r="42" spans="1:256" x14ac:dyDescent="0.35">
      <c r="A42">
        <v>4</v>
      </c>
      <c r="B42">
        <v>0</v>
      </c>
      <c r="C42" s="3">
        <v>244</v>
      </c>
      <c r="D42" t="s">
        <v>68</v>
      </c>
      <c r="E42" t="s">
        <v>150</v>
      </c>
      <c r="F42" t="s">
        <v>55</v>
      </c>
      <c r="G42" t="s">
        <v>55</v>
      </c>
      <c r="H42">
        <v>19940418</v>
      </c>
      <c r="Q42" t="s">
        <v>51</v>
      </c>
      <c r="T42" t="s">
        <v>54</v>
      </c>
      <c r="U42">
        <v>15.9</v>
      </c>
      <c r="V42">
        <v>6</v>
      </c>
      <c r="W42">
        <v>0.6</v>
      </c>
      <c r="X42">
        <v>0.3</v>
      </c>
      <c r="Y42" s="3">
        <f>0.7*SQRT(1.4*287.04*AM42)</f>
        <v>202.30577624971559</v>
      </c>
      <c r="Z42" s="3"/>
      <c r="AA42" s="3">
        <f t="shared" si="17"/>
        <v>244</v>
      </c>
      <c r="AM42" s="6">
        <v>207.84999999999997</v>
      </c>
      <c r="AT42" s="7">
        <v>180</v>
      </c>
      <c r="BV42">
        <v>3.1</v>
      </c>
      <c r="BX42">
        <v>9.5</v>
      </c>
      <c r="BY42">
        <f>(4*3.141592*917/3)*CL42*CL42*CL42*0.000000000000000001*BV42*1000000000000</f>
        <v>0.91408448709748313</v>
      </c>
      <c r="BZ42">
        <v>0.91410000000000002</v>
      </c>
      <c r="CF42" s="13"/>
      <c r="CG42" s="13"/>
      <c r="CH42" s="13"/>
      <c r="CL42">
        <v>4.25</v>
      </c>
      <c r="DH42" s="14">
        <f t="shared" si="26"/>
        <v>568865.89975271584</v>
      </c>
      <c r="DI42" s="6">
        <f t="shared" si="27"/>
        <v>1.2764719713044363</v>
      </c>
      <c r="DJ42" s="6">
        <f t="shared" si="28"/>
        <v>0.51815227155626153</v>
      </c>
      <c r="DK42" s="8">
        <f t="shared" si="29"/>
        <v>1.7867319708836604E-5</v>
      </c>
      <c r="DL42" s="1">
        <f t="shared" si="30"/>
        <v>0.30170329612862379</v>
      </c>
      <c r="DM42">
        <f t="shared" si="7"/>
        <v>3.0297978567999994E-6</v>
      </c>
      <c r="DN42">
        <f t="shared" si="8"/>
        <v>0.1695720402485191</v>
      </c>
      <c r="DO42">
        <f t="shared" si="33"/>
        <v>0.12199790575983688</v>
      </c>
      <c r="DP42" s="14">
        <f t="shared" si="31"/>
        <v>5845094541100.4082</v>
      </c>
      <c r="DQ42" s="6">
        <f t="shared" si="32"/>
        <v>0.51872848491521295</v>
      </c>
      <c r="DS42" s="6">
        <v>-10.72</v>
      </c>
      <c r="FI42" s="3"/>
      <c r="IL42" s="15"/>
    </row>
    <row r="43" spans="1:256" x14ac:dyDescent="0.35">
      <c r="A43">
        <v>4</v>
      </c>
      <c r="B43">
        <v>0</v>
      </c>
      <c r="C43" s="3">
        <v>206</v>
      </c>
      <c r="D43" t="s">
        <v>68</v>
      </c>
      <c r="E43" t="s">
        <v>150</v>
      </c>
      <c r="F43" t="s">
        <v>55</v>
      </c>
      <c r="G43" t="s">
        <v>55</v>
      </c>
      <c r="H43">
        <v>19940418</v>
      </c>
      <c r="Q43" t="s">
        <v>52</v>
      </c>
      <c r="T43" t="s">
        <v>54</v>
      </c>
      <c r="U43">
        <v>15.9</v>
      </c>
      <c r="V43">
        <v>6</v>
      </c>
      <c r="W43">
        <v>0.6</v>
      </c>
      <c r="X43">
        <v>0.3</v>
      </c>
      <c r="Y43" s="3">
        <f>0.7*SQRT(1.4*287.04*AM43)</f>
        <v>202.35443668968563</v>
      </c>
      <c r="Z43" s="3"/>
      <c r="AA43" s="3">
        <f t="shared" si="17"/>
        <v>206</v>
      </c>
      <c r="AM43" s="6">
        <v>207.95</v>
      </c>
      <c r="AT43" s="7">
        <v>180</v>
      </c>
      <c r="BP43" s="3">
        <v>271</v>
      </c>
      <c r="BV43">
        <v>8.4</v>
      </c>
      <c r="BX43">
        <v>13</v>
      </c>
      <c r="BY43">
        <f>(4*3.141592*917/3)*CL43*CL43*CL43*0.000000000000000001*BV43*1000000000000</f>
        <v>1.6343396342693508</v>
      </c>
      <c r="BZ43">
        <v>1.6343000000000001</v>
      </c>
      <c r="CF43" s="13"/>
      <c r="CG43" s="13"/>
      <c r="CH43" s="13"/>
      <c r="CL43">
        <v>3.7</v>
      </c>
      <c r="DH43" s="14">
        <f t="shared" si="26"/>
        <v>496811.70150056301</v>
      </c>
      <c r="DI43" s="6">
        <f t="shared" si="27"/>
        <v>1.2896875761370099</v>
      </c>
      <c r="DJ43" s="6">
        <f t="shared" si="28"/>
        <v>0.52556961016906856</v>
      </c>
      <c r="DK43" s="8">
        <f t="shared" si="29"/>
        <v>1.812309000582995E-5</v>
      </c>
      <c r="DL43" s="1">
        <f t="shared" si="30"/>
        <v>0.30155821159093266</v>
      </c>
      <c r="DM43">
        <f t="shared" si="7"/>
        <v>5.4195174834666664E-6</v>
      </c>
      <c r="DN43">
        <f t="shared" si="8"/>
        <v>0.29903937362355326</v>
      </c>
      <c r="DO43">
        <f t="shared" si="33"/>
        <v>0.13772019264626245</v>
      </c>
      <c r="DP43" s="14">
        <f t="shared" si="31"/>
        <v>13838848130143.941</v>
      </c>
      <c r="DQ43" s="6">
        <f t="shared" si="32"/>
        <v>0.52615295162145215</v>
      </c>
      <c r="DS43" s="6">
        <v>-13.1</v>
      </c>
      <c r="FI43" s="3"/>
      <c r="IL43" s="15"/>
    </row>
    <row r="44" spans="1:256" x14ac:dyDescent="0.35">
      <c r="A44">
        <v>4</v>
      </c>
      <c r="B44">
        <v>0</v>
      </c>
      <c r="C44" s="3">
        <v>300</v>
      </c>
      <c r="D44" t="s">
        <v>68</v>
      </c>
      <c r="E44" t="s">
        <v>191</v>
      </c>
      <c r="F44" t="s">
        <v>55</v>
      </c>
      <c r="G44" t="s">
        <v>55</v>
      </c>
      <c r="H44">
        <v>19940418</v>
      </c>
      <c r="K44" s="17">
        <v>5.2638888888888895E-2</v>
      </c>
      <c r="L44" t="s">
        <v>192</v>
      </c>
      <c r="M44" t="s">
        <v>193</v>
      </c>
      <c r="N44">
        <v>2</v>
      </c>
      <c r="O44">
        <v>50</v>
      </c>
      <c r="T44" t="s">
        <v>54</v>
      </c>
      <c r="U44">
        <v>15.9</v>
      </c>
      <c r="V44">
        <v>6</v>
      </c>
      <c r="W44">
        <v>0.6</v>
      </c>
      <c r="X44">
        <v>0.3</v>
      </c>
      <c r="Y44" s="3">
        <f>0.7*SQRT(1.4*287.04*AM44)</f>
        <v>202.0135674651581</v>
      </c>
      <c r="Z44" s="3"/>
      <c r="AA44" s="3">
        <f t="shared" si="17"/>
        <v>300</v>
      </c>
      <c r="AK44">
        <v>270</v>
      </c>
      <c r="AL44">
        <v>330</v>
      </c>
      <c r="AM44" s="6">
        <f>-65.9+273.15</f>
        <v>207.24999999999997</v>
      </c>
      <c r="AP44" s="6">
        <v>12.97</v>
      </c>
      <c r="AT44" s="7">
        <v>166</v>
      </c>
      <c r="AW44">
        <v>1</v>
      </c>
      <c r="BV44">
        <v>22</v>
      </c>
      <c r="BY44">
        <f>(4*3.141592*917/3)*CL44*CL44*CL44*0.000000000000000001*BV44*1000000000000</f>
        <v>2.1008946244648334</v>
      </c>
      <c r="BZ44">
        <v>2.12</v>
      </c>
      <c r="CF44" s="13"/>
      <c r="CG44" s="13"/>
      <c r="CH44" s="13"/>
      <c r="CL44">
        <v>2.9186000000000001</v>
      </c>
      <c r="CO44">
        <v>3.6</v>
      </c>
      <c r="DH44" s="14">
        <f t="shared" si="26"/>
        <v>671112.06085992826</v>
      </c>
      <c r="DI44" s="6">
        <f t="shared" si="27"/>
        <v>1.1999741321260693</v>
      </c>
      <c r="DJ44" s="6">
        <f t="shared" si="28"/>
        <v>0.47565967647043284</v>
      </c>
      <c r="DK44" s="8">
        <f t="shared" si="29"/>
        <v>1.7785363889629814E-5</v>
      </c>
      <c r="DL44" s="1">
        <f t="shared" si="30"/>
        <v>0.27904299682765099</v>
      </c>
      <c r="DM44">
        <f t="shared" si="7"/>
        <v>7.5973954698795165E-6</v>
      </c>
      <c r="DN44">
        <f t="shared" si="8"/>
        <v>0.42717121319678825</v>
      </c>
      <c r="DO44">
        <f t="shared" si="33"/>
        <v>0.10388764131318096</v>
      </c>
      <c r="DP44" s="14">
        <f t="shared" si="31"/>
        <v>52911076453345.266</v>
      </c>
      <c r="DQ44" s="6">
        <f t="shared" si="32"/>
        <v>0.4761947551643303</v>
      </c>
      <c r="DS44" s="6">
        <v>-13</v>
      </c>
      <c r="ET44" s="17"/>
      <c r="FI44" s="3"/>
      <c r="IL44" s="15"/>
    </row>
    <row r="45" spans="1:256" x14ac:dyDescent="0.35">
      <c r="A45">
        <v>4</v>
      </c>
      <c r="B45">
        <v>0</v>
      </c>
      <c r="C45" s="3">
        <v>206</v>
      </c>
      <c r="D45" t="s">
        <v>68</v>
      </c>
      <c r="E45" t="s">
        <v>150</v>
      </c>
      <c r="F45" t="s">
        <v>55</v>
      </c>
      <c r="G45" t="s">
        <v>55</v>
      </c>
      <c r="H45">
        <v>19940419</v>
      </c>
      <c r="Q45" t="s">
        <v>53</v>
      </c>
      <c r="T45" t="s">
        <v>54</v>
      </c>
      <c r="U45">
        <v>15.9</v>
      </c>
      <c r="V45">
        <v>6</v>
      </c>
      <c r="W45">
        <v>0.6</v>
      </c>
      <c r="X45">
        <v>0.3</v>
      </c>
      <c r="Y45" s="3">
        <f>0.7*SQRT(1.4*287.04*AM45)</f>
        <v>202.06229827456676</v>
      </c>
      <c r="Z45" s="3"/>
      <c r="AA45" s="3">
        <f t="shared" si="17"/>
        <v>206</v>
      </c>
      <c r="AM45" s="6">
        <v>207.34999999999997</v>
      </c>
      <c r="AT45" s="7">
        <v>179</v>
      </c>
      <c r="BV45">
        <v>5</v>
      </c>
      <c r="BX45">
        <v>11.2</v>
      </c>
      <c r="BY45">
        <f>(4*3.141592*917/3)*CL45*CL45*CL45*0.000000000000000001*BV45*1000000000000</f>
        <v>1.5808680774696595</v>
      </c>
      <c r="BZ45">
        <v>1.5809</v>
      </c>
      <c r="CF45" s="13"/>
      <c r="CG45" s="13"/>
      <c r="CH45" s="13"/>
      <c r="CL45">
        <v>4.3499999999999996</v>
      </c>
      <c r="DH45" s="14">
        <f t="shared" si="26"/>
        <v>496811.70150056301</v>
      </c>
      <c r="DI45" s="6">
        <f t="shared" si="27"/>
        <v>1.2123977374193977</v>
      </c>
      <c r="DJ45" s="6">
        <f t="shared" si="28"/>
        <v>0.48250815319352591</v>
      </c>
      <c r="DK45" s="8">
        <f t="shared" si="29"/>
        <v>1.6731163085115521E-5</v>
      </c>
      <c r="DL45" s="1">
        <f t="shared" si="30"/>
        <v>0.30075064673150248</v>
      </c>
      <c r="DM45">
        <f t="shared" si="7"/>
        <v>5.2565140496983236E-6</v>
      </c>
      <c r="DN45">
        <f t="shared" si="8"/>
        <v>0.31417505304067328</v>
      </c>
      <c r="DO45">
        <f t="shared" si="33"/>
        <v>0.14917764140192299</v>
      </c>
      <c r="DP45" s="14">
        <f t="shared" si="31"/>
        <v>8259528398356.124</v>
      </c>
      <c r="DQ45" s="6">
        <f t="shared" si="32"/>
        <v>0.48304989682782601</v>
      </c>
      <c r="DS45" s="6">
        <v>-12.93</v>
      </c>
      <c r="FI45" s="3"/>
      <c r="IL45" s="15"/>
    </row>
    <row r="46" spans="1:256" x14ac:dyDescent="0.35">
      <c r="A46">
        <v>0</v>
      </c>
      <c r="B46">
        <v>3</v>
      </c>
      <c r="C46">
        <v>1800</v>
      </c>
      <c r="D46" t="s">
        <v>153</v>
      </c>
      <c r="E46" t="s">
        <v>154</v>
      </c>
      <c r="F46" t="s">
        <v>443</v>
      </c>
      <c r="G46" t="s">
        <v>101</v>
      </c>
      <c r="H46">
        <v>19940929</v>
      </c>
      <c r="I46" s="3"/>
      <c r="J46" s="3"/>
      <c r="K46" s="17">
        <v>0.40972222222222199</v>
      </c>
      <c r="L46" t="s">
        <v>177</v>
      </c>
      <c r="M46" t="s">
        <v>442</v>
      </c>
      <c r="Q46" t="s">
        <v>444</v>
      </c>
      <c r="AA46" s="3">
        <f t="shared" si="17"/>
        <v>1800</v>
      </c>
      <c r="AM46">
        <v>229.155</v>
      </c>
      <c r="AN46">
        <v>228.16</v>
      </c>
      <c r="AO46">
        <v>230.15</v>
      </c>
      <c r="AP46" s="6">
        <v>9.4499999999999993</v>
      </c>
      <c r="AQ46" s="6">
        <v>9.3000000000000007</v>
      </c>
      <c r="AR46" s="6">
        <v>9.6</v>
      </c>
      <c r="AS46" s="7">
        <f t="shared" ref="AS46:AS82" si="34">(1-POWER(AT46/1013.25,0.190263103))*44330.76923/30.48</f>
        <v>308.44897220000894</v>
      </c>
      <c r="AT46">
        <v>289.5</v>
      </c>
      <c r="AU46">
        <v>282</v>
      </c>
      <c r="AV46">
        <v>297</v>
      </c>
      <c r="AX46">
        <v>70</v>
      </c>
      <c r="AY46"/>
      <c r="AZ46"/>
      <c r="BM46">
        <v>580</v>
      </c>
      <c r="BN46" s="6"/>
      <c r="BP46">
        <v>2340</v>
      </c>
      <c r="BQ46" s="6"/>
      <c r="BR46"/>
      <c r="BS46">
        <v>0.80100000000000005</v>
      </c>
      <c r="CI46">
        <v>0.24137931034482801</v>
      </c>
      <c r="CY46">
        <v>0.14000000000000001</v>
      </c>
      <c r="DB46">
        <v>193.344827586207</v>
      </c>
      <c r="DC46" s="6"/>
      <c r="DD46"/>
      <c r="DH46" s="14">
        <f t="shared" si="26"/>
        <v>2813947.8471816014</v>
      </c>
      <c r="DI46" s="6">
        <f t="shared" si="27"/>
        <v>11.456015921350364</v>
      </c>
      <c r="DJ46" s="6">
        <f t="shared" si="28"/>
        <v>8.1040132257424187</v>
      </c>
      <c r="DK46" s="8">
        <f t="shared" si="29"/>
        <v>1.7375050689460251E-4</v>
      </c>
      <c r="DL46" s="1">
        <f t="shared" si="30"/>
        <v>0.44012578128939461</v>
      </c>
      <c r="DO46">
        <f t="shared" si="33"/>
        <v>2.5361770063575401E-3</v>
      </c>
      <c r="DP46" s="14">
        <f t="shared" si="31"/>
        <v>0</v>
      </c>
      <c r="DQ46" s="6">
        <f t="shared" si="32"/>
        <v>8.1093734478282009</v>
      </c>
      <c r="DS46" s="6">
        <v>-13.54</v>
      </c>
    </row>
    <row r="47" spans="1:256" x14ac:dyDescent="0.35">
      <c r="A47">
        <v>0</v>
      </c>
      <c r="B47">
        <v>3</v>
      </c>
      <c r="C47">
        <v>2040</v>
      </c>
      <c r="D47" t="s">
        <v>153</v>
      </c>
      <c r="E47" t="s">
        <v>154</v>
      </c>
      <c r="F47" t="s">
        <v>443</v>
      </c>
      <c r="G47" t="s">
        <v>101</v>
      </c>
      <c r="H47">
        <v>19940929</v>
      </c>
      <c r="L47" t="s">
        <v>177</v>
      </c>
      <c r="M47" t="s">
        <v>442</v>
      </c>
      <c r="Q47" t="s">
        <v>72</v>
      </c>
      <c r="AA47" s="3">
        <f t="shared" si="17"/>
        <v>2040</v>
      </c>
      <c r="AM47">
        <v>229.155</v>
      </c>
      <c r="AN47">
        <v>228.16</v>
      </c>
      <c r="AO47">
        <v>230.15</v>
      </c>
      <c r="AP47" s="6">
        <v>9.4499999999999993</v>
      </c>
      <c r="AQ47" s="6">
        <v>9.3000000000000007</v>
      </c>
      <c r="AR47" s="6">
        <v>9.6</v>
      </c>
      <c r="AS47" s="7">
        <f t="shared" si="34"/>
        <v>308.44897220000894</v>
      </c>
      <c r="AT47">
        <v>289.5</v>
      </c>
      <c r="AU47">
        <v>282</v>
      </c>
      <c r="AV47">
        <v>297</v>
      </c>
      <c r="AX47">
        <v>70</v>
      </c>
      <c r="AY47"/>
      <c r="AZ47"/>
      <c r="BM47">
        <v>570</v>
      </c>
      <c r="BN47" s="6"/>
      <c r="BP47">
        <v>2135</v>
      </c>
      <c r="BQ47" s="6"/>
      <c r="BR47"/>
      <c r="BS47">
        <v>0.83599999999999997</v>
      </c>
      <c r="CI47">
        <v>0.24561403508771901</v>
      </c>
      <c r="CY47">
        <v>0.14000000000000001</v>
      </c>
      <c r="DB47">
        <v>205.333333333333</v>
      </c>
      <c r="DC47" s="6"/>
      <c r="DD47"/>
      <c r="DH47" s="14">
        <f t="shared" si="26"/>
        <v>3110299.2379218312</v>
      </c>
      <c r="DI47" s="6">
        <f t="shared" si="27"/>
        <v>11.456015921350364</v>
      </c>
      <c r="DJ47" s="6">
        <f t="shared" si="28"/>
        <v>8.1040132257424187</v>
      </c>
      <c r="DK47" s="8">
        <f t="shared" si="29"/>
        <v>1.7375050689460251E-4</v>
      </c>
      <c r="DL47" s="1">
        <f t="shared" si="30"/>
        <v>0.44012578128939461</v>
      </c>
      <c r="DO47">
        <f t="shared" si="33"/>
        <v>2.2945283656628799E-3</v>
      </c>
      <c r="DP47" s="14">
        <f t="shared" si="31"/>
        <v>0</v>
      </c>
      <c r="DQ47" s="6">
        <f t="shared" si="32"/>
        <v>8.1093734478282009</v>
      </c>
      <c r="DS47" s="6">
        <v>4.0279999999999996</v>
      </c>
    </row>
    <row r="48" spans="1:256" x14ac:dyDescent="0.35">
      <c r="A48">
        <v>0</v>
      </c>
      <c r="B48">
        <v>3</v>
      </c>
      <c r="C48">
        <v>135</v>
      </c>
      <c r="D48" t="s">
        <v>153</v>
      </c>
      <c r="E48" t="s">
        <v>154</v>
      </c>
      <c r="F48" t="s">
        <v>443</v>
      </c>
      <c r="G48" t="s">
        <v>101</v>
      </c>
      <c r="H48">
        <v>19940930</v>
      </c>
      <c r="K48" s="17">
        <v>0.42517361111111102</v>
      </c>
      <c r="L48" t="s">
        <v>177</v>
      </c>
      <c r="M48" t="s">
        <v>442</v>
      </c>
      <c r="Q48" t="s">
        <v>73</v>
      </c>
      <c r="AA48" s="3">
        <f t="shared" si="17"/>
        <v>135</v>
      </c>
      <c r="AM48">
        <v>224.155</v>
      </c>
      <c r="AN48">
        <v>223.16</v>
      </c>
      <c r="AO48">
        <v>225.15</v>
      </c>
      <c r="AP48" s="6">
        <v>10.41</v>
      </c>
      <c r="AQ48" s="6">
        <v>10.29</v>
      </c>
      <c r="AR48" s="6">
        <v>10.53</v>
      </c>
      <c r="AS48" s="7">
        <f t="shared" si="34"/>
        <v>330.82382278725322</v>
      </c>
      <c r="AT48">
        <v>261</v>
      </c>
      <c r="AU48">
        <v>257</v>
      </c>
      <c r="AV48">
        <v>265</v>
      </c>
      <c r="AX48">
        <v>65</v>
      </c>
      <c r="AY48"/>
      <c r="AZ48"/>
      <c r="BM48">
        <v>240</v>
      </c>
      <c r="BN48" s="6" t="s">
        <v>423</v>
      </c>
      <c r="BP48">
        <v>140</v>
      </c>
      <c r="BQ48" s="6" t="s">
        <v>423</v>
      </c>
      <c r="BR48"/>
      <c r="BS48">
        <v>2.2700000000000001E-2</v>
      </c>
      <c r="BT48" t="s">
        <v>423</v>
      </c>
      <c r="CI48">
        <v>1.2916666666666701</v>
      </c>
      <c r="CY48">
        <v>0.31</v>
      </c>
      <c r="DB48">
        <v>29.320833333333301</v>
      </c>
      <c r="DC48" s="6"/>
      <c r="DD48"/>
      <c r="DH48" s="14">
        <f t="shared" si="26"/>
        <v>354295.02563975996</v>
      </c>
      <c r="DI48" s="6">
        <f t="shared" si="27"/>
        <v>6.8449763249628406</v>
      </c>
      <c r="DJ48" s="6">
        <f t="shared" si="28"/>
        <v>4.4534153293092595</v>
      </c>
      <c r="DK48" s="8">
        <f t="shared" si="29"/>
        <v>1.0590761781948298E-4</v>
      </c>
      <c r="DL48" s="1">
        <f t="shared" si="30"/>
        <v>0.40564829535582497</v>
      </c>
      <c r="DO48">
        <f t="shared" si="33"/>
        <v>3.3046801422878511E-2</v>
      </c>
      <c r="DP48" s="14">
        <f t="shared" si="31"/>
        <v>0</v>
      </c>
      <c r="DQ48" s="6">
        <f t="shared" si="32"/>
        <v>4.4568562093048794</v>
      </c>
      <c r="DS48" s="6">
        <v>4.0279999999999996</v>
      </c>
    </row>
    <row r="49" spans="1:123" x14ac:dyDescent="0.35">
      <c r="A49">
        <v>0</v>
      </c>
      <c r="B49">
        <v>3</v>
      </c>
      <c r="C49">
        <v>342</v>
      </c>
      <c r="D49" t="s">
        <v>153</v>
      </c>
      <c r="E49" t="s">
        <v>154</v>
      </c>
      <c r="F49" t="s">
        <v>443</v>
      </c>
      <c r="G49" t="s">
        <v>101</v>
      </c>
      <c r="H49">
        <v>19940930</v>
      </c>
      <c r="L49" t="s">
        <v>177</v>
      </c>
      <c r="M49" t="s">
        <v>442</v>
      </c>
      <c r="Q49" t="s">
        <v>74</v>
      </c>
      <c r="AA49" s="3">
        <f t="shared" si="17"/>
        <v>342</v>
      </c>
      <c r="AM49">
        <v>224.155</v>
      </c>
      <c r="AN49">
        <v>223.16</v>
      </c>
      <c r="AO49">
        <v>225.15</v>
      </c>
      <c r="AP49" s="6">
        <v>10.440000000000001</v>
      </c>
      <c r="AQ49" s="6">
        <v>10.31</v>
      </c>
      <c r="AR49" s="6">
        <v>10.57</v>
      </c>
      <c r="AS49" s="7">
        <f t="shared" si="34"/>
        <v>330.82382278725322</v>
      </c>
      <c r="AT49">
        <v>261</v>
      </c>
      <c r="AU49">
        <v>257</v>
      </c>
      <c r="AV49">
        <v>265</v>
      </c>
      <c r="AX49">
        <v>65</v>
      </c>
      <c r="AY49"/>
      <c r="AZ49"/>
      <c r="BM49">
        <v>260</v>
      </c>
      <c r="BN49" s="6"/>
      <c r="BP49">
        <v>210</v>
      </c>
      <c r="BQ49" s="6"/>
      <c r="BR49"/>
      <c r="BS49">
        <v>3.5000000000000003E-2</v>
      </c>
      <c r="DB49"/>
      <c r="DC49" s="6"/>
      <c r="DD49"/>
      <c r="DH49" s="14">
        <f t="shared" si="26"/>
        <v>745279.06989816146</v>
      </c>
      <c r="DI49" s="6">
        <f t="shared" si="27"/>
        <v>6.8449763249628406</v>
      </c>
      <c r="DJ49" s="6">
        <f t="shared" si="28"/>
        <v>4.4534153293092595</v>
      </c>
      <c r="DK49" s="8">
        <f t="shared" si="29"/>
        <v>1.0590761781948298E-4</v>
      </c>
      <c r="DL49" s="1">
        <f t="shared" si="30"/>
        <v>0.40564829535582497</v>
      </c>
      <c r="DO49">
        <f t="shared" si="33"/>
        <v>1.5709977416956955E-2</v>
      </c>
      <c r="DP49" s="14">
        <f t="shared" si="31"/>
        <v>0</v>
      </c>
      <c r="DQ49" s="6">
        <f t="shared" si="32"/>
        <v>4.4568562093048794</v>
      </c>
      <c r="DS49" s="6">
        <v>0.31159999999999999</v>
      </c>
    </row>
    <row r="50" spans="1:123" x14ac:dyDescent="0.35">
      <c r="A50">
        <v>0</v>
      </c>
      <c r="B50">
        <v>3</v>
      </c>
      <c r="C50">
        <v>618</v>
      </c>
      <c r="D50" t="s">
        <v>153</v>
      </c>
      <c r="E50" t="s">
        <v>154</v>
      </c>
      <c r="F50" t="s">
        <v>443</v>
      </c>
      <c r="G50" t="s">
        <v>101</v>
      </c>
      <c r="H50">
        <v>19940930</v>
      </c>
      <c r="L50" t="s">
        <v>177</v>
      </c>
      <c r="M50" t="s">
        <v>442</v>
      </c>
      <c r="Q50" t="s">
        <v>75</v>
      </c>
      <c r="AA50" s="3">
        <f t="shared" si="17"/>
        <v>618</v>
      </c>
      <c r="AM50">
        <v>223.655</v>
      </c>
      <c r="AN50">
        <v>222.16</v>
      </c>
      <c r="AO50">
        <v>225.15</v>
      </c>
      <c r="AP50" s="6">
        <v>10.5</v>
      </c>
      <c r="AQ50" s="6">
        <v>10.35</v>
      </c>
      <c r="AR50" s="6">
        <v>10.65</v>
      </c>
      <c r="AS50" s="7">
        <f t="shared" si="34"/>
        <v>332.87950345627178</v>
      </c>
      <c r="AT50">
        <v>258.5</v>
      </c>
      <c r="AU50">
        <v>252</v>
      </c>
      <c r="AV50">
        <v>265</v>
      </c>
      <c r="AX50">
        <v>65</v>
      </c>
      <c r="AY50"/>
      <c r="AZ50"/>
      <c r="BM50">
        <v>300</v>
      </c>
      <c r="BN50" s="6"/>
      <c r="BP50">
        <v>260</v>
      </c>
      <c r="BQ50" s="6"/>
      <c r="BR50"/>
      <c r="BS50">
        <v>4.53E-2</v>
      </c>
      <c r="DB50"/>
      <c r="DC50" s="6"/>
      <c r="DD50"/>
      <c r="DH50" s="14">
        <f t="shared" si="26"/>
        <v>1196434.2034899581</v>
      </c>
      <c r="DI50" s="6">
        <f t="shared" si="27"/>
        <v>6.5013834973545492</v>
      </c>
      <c r="DJ50" s="6">
        <f t="shared" si="28"/>
        <v>4.1884779359439133</v>
      </c>
      <c r="DK50" s="8">
        <f t="shared" si="29"/>
        <v>1.0057040331753544E-4</v>
      </c>
      <c r="DL50" s="1">
        <f t="shared" si="30"/>
        <v>0.40266095054477391</v>
      </c>
      <c r="DO50">
        <f t="shared" si="33"/>
        <v>1.0305348268022232E-2</v>
      </c>
      <c r="DP50" s="14">
        <f t="shared" si="31"/>
        <v>0</v>
      </c>
      <c r="DQ50" s="6">
        <f t="shared" si="32"/>
        <v>4.1917595558607657</v>
      </c>
      <c r="DS50" s="6">
        <v>0.31159999999999999</v>
      </c>
    </row>
    <row r="51" spans="1:123" x14ac:dyDescent="0.35">
      <c r="A51">
        <v>0</v>
      </c>
      <c r="B51">
        <v>3</v>
      </c>
      <c r="C51">
        <v>888</v>
      </c>
      <c r="D51" t="s">
        <v>153</v>
      </c>
      <c r="E51" t="s">
        <v>154</v>
      </c>
      <c r="F51" t="s">
        <v>443</v>
      </c>
      <c r="G51" t="s">
        <v>101</v>
      </c>
      <c r="H51">
        <v>19940930</v>
      </c>
      <c r="L51" t="s">
        <v>177</v>
      </c>
      <c r="M51" t="s">
        <v>442</v>
      </c>
      <c r="Q51" t="s">
        <v>76</v>
      </c>
      <c r="AA51" s="3">
        <f t="shared" si="17"/>
        <v>888</v>
      </c>
      <c r="AM51">
        <v>223.155</v>
      </c>
      <c r="AN51">
        <v>222.16</v>
      </c>
      <c r="AO51">
        <v>224.15</v>
      </c>
      <c r="AP51" s="6">
        <v>10.52</v>
      </c>
      <c r="AQ51" s="6">
        <v>10.37</v>
      </c>
      <c r="AR51" s="6">
        <v>10.67</v>
      </c>
      <c r="AS51" s="7">
        <f t="shared" si="34"/>
        <v>332.87950345627178</v>
      </c>
      <c r="AT51">
        <v>258.5</v>
      </c>
      <c r="AU51">
        <v>252</v>
      </c>
      <c r="AV51">
        <v>265</v>
      </c>
      <c r="AX51">
        <v>65</v>
      </c>
      <c r="AY51"/>
      <c r="AZ51"/>
      <c r="BM51">
        <v>300</v>
      </c>
      <c r="BN51" s="6"/>
      <c r="BP51">
        <v>370</v>
      </c>
      <c r="BQ51" s="6"/>
      <c r="BR51"/>
      <c r="BS51">
        <v>8.1500000000000003E-2</v>
      </c>
      <c r="DB51"/>
      <c r="DC51" s="6"/>
      <c r="DD51"/>
      <c r="DH51" s="14">
        <f t="shared" si="26"/>
        <v>1598926.176857735</v>
      </c>
      <c r="DI51" s="6">
        <f t="shared" si="27"/>
        <v>6.1750377755913561</v>
      </c>
      <c r="DJ51" s="6">
        <f t="shared" si="28"/>
        <v>3.9382250957414073</v>
      </c>
      <c r="DK51" s="8">
        <f t="shared" si="29"/>
        <v>9.4561531012266173E-5</v>
      </c>
      <c r="DL51" s="1">
        <f t="shared" si="30"/>
        <v>0.40356315069835502</v>
      </c>
      <c r="DO51">
        <f t="shared" si="33"/>
        <v>8.2012259541379088E-3</v>
      </c>
      <c r="DP51" s="14">
        <f t="shared" si="31"/>
        <v>0</v>
      </c>
      <c r="DQ51" s="6">
        <f t="shared" si="32"/>
        <v>3.9413531739161756</v>
      </c>
      <c r="DS51" s="6">
        <v>-8.5300000000000001E-2</v>
      </c>
    </row>
    <row r="52" spans="1:123" x14ac:dyDescent="0.35">
      <c r="A52">
        <v>0</v>
      </c>
      <c r="B52">
        <v>3</v>
      </c>
      <c r="C52">
        <v>300</v>
      </c>
      <c r="D52" t="s">
        <v>153</v>
      </c>
      <c r="E52" t="s">
        <v>154</v>
      </c>
      <c r="F52" t="s">
        <v>443</v>
      </c>
      <c r="G52" t="s">
        <v>101</v>
      </c>
      <c r="H52">
        <v>19940930</v>
      </c>
      <c r="K52" s="17">
        <v>0.4375</v>
      </c>
      <c r="L52" t="s">
        <v>177</v>
      </c>
      <c r="M52" t="s">
        <v>442</v>
      </c>
      <c r="Q52" t="s">
        <v>77</v>
      </c>
      <c r="AA52" s="3">
        <f t="shared" si="17"/>
        <v>300</v>
      </c>
      <c r="AM52">
        <v>217.655</v>
      </c>
      <c r="AN52">
        <v>216.16</v>
      </c>
      <c r="AO52">
        <v>219.15</v>
      </c>
      <c r="AP52" s="6">
        <v>11.074999999999999</v>
      </c>
      <c r="AQ52" s="6">
        <v>10.9</v>
      </c>
      <c r="AR52" s="6">
        <v>11.25</v>
      </c>
      <c r="AS52" s="7">
        <f t="shared" si="34"/>
        <v>360.72733521943002</v>
      </c>
      <c r="AT52">
        <v>226.5</v>
      </c>
      <c r="AU52">
        <v>220</v>
      </c>
      <c r="AV52">
        <v>233</v>
      </c>
      <c r="AX52">
        <v>75</v>
      </c>
      <c r="AY52"/>
      <c r="AZ52"/>
      <c r="BM52">
        <v>240</v>
      </c>
      <c r="BN52" s="6"/>
      <c r="BP52">
        <v>180</v>
      </c>
      <c r="BQ52" s="6"/>
      <c r="BR52"/>
      <c r="BS52">
        <v>1.9599999999999999E-2</v>
      </c>
      <c r="CI52">
        <v>0.58333333333333304</v>
      </c>
      <c r="CY52">
        <v>0.14000000000000001</v>
      </c>
      <c r="DA52">
        <v>0.22</v>
      </c>
      <c r="DB52">
        <v>11.4333333333333</v>
      </c>
      <c r="DC52" s="6"/>
      <c r="DD52"/>
      <c r="DH52" s="14">
        <f t="shared" si="26"/>
        <v>671112.06085992826</v>
      </c>
      <c r="DI52" s="6">
        <f t="shared" si="27"/>
        <v>3.5043848546815211</v>
      </c>
      <c r="DJ52" s="6">
        <f t="shared" si="28"/>
        <v>1.963010747694625</v>
      </c>
      <c r="DK52" s="8">
        <f t="shared" si="29"/>
        <v>5.3793397972905917E-5</v>
      </c>
      <c r="DL52" s="1">
        <f t="shared" si="30"/>
        <v>0.36254100698929115</v>
      </c>
      <c r="DO52">
        <f t="shared" si="33"/>
        <v>3.434770016426332E-2</v>
      </c>
      <c r="DP52" s="14">
        <f t="shared" si="31"/>
        <v>0</v>
      </c>
      <c r="DQ52" s="6">
        <f t="shared" si="32"/>
        <v>1.9647971881614672</v>
      </c>
      <c r="DS52" s="6">
        <v>-0.57569999999999999</v>
      </c>
    </row>
    <row r="53" spans="1:123" x14ac:dyDescent="0.35">
      <c r="A53">
        <v>0</v>
      </c>
      <c r="B53">
        <v>3</v>
      </c>
      <c r="C53">
        <v>600</v>
      </c>
      <c r="D53" t="s">
        <v>153</v>
      </c>
      <c r="E53" t="s">
        <v>154</v>
      </c>
      <c r="F53" t="s">
        <v>443</v>
      </c>
      <c r="G53" t="s">
        <v>101</v>
      </c>
      <c r="H53">
        <v>19940930</v>
      </c>
      <c r="L53" t="s">
        <v>177</v>
      </c>
      <c r="M53" t="s">
        <v>442</v>
      </c>
      <c r="Q53" t="s">
        <v>78</v>
      </c>
      <c r="AA53" s="3">
        <f t="shared" si="17"/>
        <v>600</v>
      </c>
      <c r="AM53">
        <v>217.655</v>
      </c>
      <c r="AN53">
        <v>216.16</v>
      </c>
      <c r="AO53">
        <v>219.15</v>
      </c>
      <c r="AP53" s="6">
        <v>11.1</v>
      </c>
      <c r="AQ53" s="6">
        <v>10.95</v>
      </c>
      <c r="AR53" s="6">
        <v>11.25</v>
      </c>
      <c r="AS53" s="7">
        <f t="shared" si="34"/>
        <v>363.03446322619624</v>
      </c>
      <c r="AT53">
        <v>224</v>
      </c>
      <c r="AU53">
        <v>220</v>
      </c>
      <c r="AV53">
        <v>228</v>
      </c>
      <c r="AX53">
        <v>75</v>
      </c>
      <c r="AY53"/>
      <c r="AZ53"/>
      <c r="BM53">
        <v>260</v>
      </c>
      <c r="BN53" s="6"/>
      <c r="BP53">
        <v>290</v>
      </c>
      <c r="BQ53" s="6"/>
      <c r="BR53"/>
      <c r="BS53">
        <v>3.9640000000000002E-2</v>
      </c>
      <c r="CI53">
        <v>0.46153846153846201</v>
      </c>
      <c r="CY53">
        <v>0.12</v>
      </c>
      <c r="DA53">
        <v>0.15</v>
      </c>
      <c r="DB53">
        <v>18.295384615384599</v>
      </c>
      <c r="DC53" s="6"/>
      <c r="DD53"/>
      <c r="DH53" s="14">
        <f t="shared" si="26"/>
        <v>1168473.9652328664</v>
      </c>
      <c r="DI53" s="6">
        <f t="shared" si="27"/>
        <v>3.5043848546815211</v>
      </c>
      <c r="DJ53" s="6">
        <f t="shared" si="28"/>
        <v>1.963010747694625</v>
      </c>
      <c r="DK53" s="8">
        <f t="shared" si="29"/>
        <v>5.4393770718139238E-5</v>
      </c>
      <c r="DL53" s="1">
        <f t="shared" si="30"/>
        <v>0.35853945062075593</v>
      </c>
      <c r="DO53">
        <f t="shared" si="33"/>
        <v>1.9509829703229651E-2</v>
      </c>
      <c r="DP53" s="14">
        <f t="shared" si="31"/>
        <v>0</v>
      </c>
      <c r="DQ53" s="6">
        <f t="shared" si="32"/>
        <v>1.9647971881614672</v>
      </c>
      <c r="DS53" s="6">
        <v>-4.9859999999999998</v>
      </c>
    </row>
    <row r="54" spans="1:123" x14ac:dyDescent="0.35">
      <c r="A54">
        <v>0</v>
      </c>
      <c r="B54">
        <v>3</v>
      </c>
      <c r="C54">
        <v>840</v>
      </c>
      <c r="D54" t="s">
        <v>153</v>
      </c>
      <c r="E54" t="s">
        <v>154</v>
      </c>
      <c r="F54" t="s">
        <v>443</v>
      </c>
      <c r="G54" t="s">
        <v>101</v>
      </c>
      <c r="H54">
        <v>19940930</v>
      </c>
      <c r="L54" t="s">
        <v>177</v>
      </c>
      <c r="M54" t="s">
        <v>442</v>
      </c>
      <c r="Q54" t="s">
        <v>79</v>
      </c>
      <c r="AA54" s="3">
        <f t="shared" si="17"/>
        <v>840</v>
      </c>
      <c r="AM54">
        <v>217.655</v>
      </c>
      <c r="AN54">
        <v>216.16</v>
      </c>
      <c r="AO54">
        <v>219.15</v>
      </c>
      <c r="AP54" s="6">
        <v>11.125</v>
      </c>
      <c r="AQ54" s="6">
        <v>10.95</v>
      </c>
      <c r="AR54" s="6">
        <v>11.3</v>
      </c>
      <c r="AS54" s="7">
        <f t="shared" si="34"/>
        <v>363.96315531535913</v>
      </c>
      <c r="AT54">
        <v>223</v>
      </c>
      <c r="AU54">
        <v>218</v>
      </c>
      <c r="AV54">
        <v>228</v>
      </c>
      <c r="AX54">
        <v>75</v>
      </c>
      <c r="AY54"/>
      <c r="AZ54"/>
      <c r="BM54">
        <v>260</v>
      </c>
      <c r="BN54" s="6"/>
      <c r="BP54">
        <v>640</v>
      </c>
      <c r="BQ54" s="6"/>
      <c r="BR54"/>
      <c r="BS54">
        <v>0.16109999999999999</v>
      </c>
      <c r="CI54">
        <v>0.34615384615384598</v>
      </c>
      <c r="CY54">
        <v>0.09</v>
      </c>
      <c r="DA54">
        <v>0.2</v>
      </c>
      <c r="DB54">
        <v>55.765384615384598</v>
      </c>
      <c r="DC54" s="6"/>
      <c r="DD54"/>
      <c r="DH54" s="14">
        <f t="shared" si="26"/>
        <v>1529401.3488015123</v>
      </c>
      <c r="DI54" s="6">
        <f t="shared" si="27"/>
        <v>3.5043848546815211</v>
      </c>
      <c r="DJ54" s="6">
        <f t="shared" si="28"/>
        <v>1.963010747694625</v>
      </c>
      <c r="DK54" s="8">
        <f t="shared" si="29"/>
        <v>5.4637688972480669E-5</v>
      </c>
      <c r="DL54" s="1">
        <f t="shared" si="30"/>
        <v>0.35693882807334187</v>
      </c>
      <c r="DO54">
        <f t="shared" si="33"/>
        <v>1.4839111384765298E-2</v>
      </c>
      <c r="DP54" s="14">
        <f t="shared" si="31"/>
        <v>0</v>
      </c>
      <c r="DQ54" s="6">
        <f t="shared" si="32"/>
        <v>1.9647971881614672</v>
      </c>
      <c r="DS54" s="6">
        <v>-4.88</v>
      </c>
    </row>
    <row r="55" spans="1:123" x14ac:dyDescent="0.35">
      <c r="A55">
        <v>0</v>
      </c>
      <c r="B55">
        <v>3</v>
      </c>
      <c r="C55">
        <v>816</v>
      </c>
      <c r="D55" t="s">
        <v>153</v>
      </c>
      <c r="E55" t="s">
        <v>154</v>
      </c>
      <c r="F55" t="s">
        <v>443</v>
      </c>
      <c r="G55" t="s">
        <v>101</v>
      </c>
      <c r="H55">
        <v>19940930</v>
      </c>
      <c r="L55" t="s">
        <v>177</v>
      </c>
      <c r="M55" t="s">
        <v>442</v>
      </c>
      <c r="Q55" t="s">
        <v>80</v>
      </c>
      <c r="AA55" s="3">
        <f t="shared" si="17"/>
        <v>816</v>
      </c>
      <c r="AM55">
        <v>218.155</v>
      </c>
      <c r="AN55">
        <v>216.16</v>
      </c>
      <c r="AO55">
        <v>220.15</v>
      </c>
      <c r="AP55" s="6">
        <v>11.05</v>
      </c>
      <c r="AQ55" s="6">
        <v>10.8</v>
      </c>
      <c r="AR55" s="6">
        <v>11.3</v>
      </c>
      <c r="AS55" s="7">
        <f t="shared" si="34"/>
        <v>359.81025493221767</v>
      </c>
      <c r="AT55">
        <v>227.5</v>
      </c>
      <c r="AU55">
        <v>218</v>
      </c>
      <c r="AV55">
        <v>237</v>
      </c>
      <c r="AX55">
        <v>75</v>
      </c>
      <c r="AY55"/>
      <c r="AZ55"/>
      <c r="BM55">
        <v>450</v>
      </c>
      <c r="BN55" s="6"/>
      <c r="BP55">
        <v>1100</v>
      </c>
      <c r="BQ55" s="6"/>
      <c r="BR55"/>
      <c r="BS55">
        <v>0.20438000000000001</v>
      </c>
      <c r="DB55"/>
      <c r="DC55" s="6"/>
      <c r="DD55"/>
      <c r="DH55" s="14">
        <f t="shared" si="26"/>
        <v>1494342.5646646956</v>
      </c>
      <c r="DI55" s="6">
        <f t="shared" si="27"/>
        <v>3.6895887427059151</v>
      </c>
      <c r="DJ55" s="6">
        <f t="shared" si="28"/>
        <v>2.0942940666473886</v>
      </c>
      <c r="DK55" s="8">
        <f t="shared" si="29"/>
        <v>5.7138754376131862E-5</v>
      </c>
      <c r="DL55" s="1">
        <f t="shared" si="30"/>
        <v>0.36330703571685996</v>
      </c>
      <c r="DO55">
        <f t="shared" si="33"/>
        <v>1.452247874797382E-2</v>
      </c>
      <c r="DP55" s="14">
        <f t="shared" si="31"/>
        <v>0</v>
      </c>
      <c r="DQ55" s="6">
        <f t="shared" si="32"/>
        <v>2.0961783563125032</v>
      </c>
      <c r="DS55" s="6">
        <v>-4.8369999999999997</v>
      </c>
    </row>
    <row r="56" spans="1:123" x14ac:dyDescent="0.35">
      <c r="A56">
        <v>0</v>
      </c>
      <c r="B56">
        <v>3</v>
      </c>
      <c r="C56">
        <v>990</v>
      </c>
      <c r="D56" t="s">
        <v>153</v>
      </c>
      <c r="E56" t="s">
        <v>154</v>
      </c>
      <c r="F56" t="s">
        <v>443</v>
      </c>
      <c r="G56" t="s">
        <v>101</v>
      </c>
      <c r="H56">
        <v>19940930</v>
      </c>
      <c r="L56" t="s">
        <v>177</v>
      </c>
      <c r="M56" t="s">
        <v>442</v>
      </c>
      <c r="Q56" t="s">
        <v>81</v>
      </c>
      <c r="AA56" s="3">
        <f t="shared" si="17"/>
        <v>990</v>
      </c>
      <c r="AM56">
        <v>218.155</v>
      </c>
      <c r="AN56">
        <v>216.16</v>
      </c>
      <c r="AO56">
        <v>220.15</v>
      </c>
      <c r="AP56" s="6">
        <v>11.05</v>
      </c>
      <c r="AQ56" s="6">
        <v>10.8</v>
      </c>
      <c r="AR56" s="6">
        <v>11.3</v>
      </c>
      <c r="AS56" s="7">
        <f t="shared" si="34"/>
        <v>359.81025493221767</v>
      </c>
      <c r="AT56">
        <v>227.5</v>
      </c>
      <c r="AU56">
        <v>218</v>
      </c>
      <c r="AV56">
        <v>237</v>
      </c>
      <c r="AX56">
        <v>75</v>
      </c>
      <c r="AY56"/>
      <c r="AZ56"/>
      <c r="BM56">
        <v>480</v>
      </c>
      <c r="BN56" s="6"/>
      <c r="BP56">
        <v>1530</v>
      </c>
      <c r="BQ56" s="6"/>
      <c r="BR56"/>
      <c r="BS56">
        <v>0.2994</v>
      </c>
      <c r="CI56">
        <v>0.3125</v>
      </c>
      <c r="CY56">
        <v>0.15</v>
      </c>
      <c r="DA56">
        <v>0.33</v>
      </c>
      <c r="DB56">
        <v>93.5625</v>
      </c>
      <c r="DC56" s="6"/>
      <c r="DD56"/>
      <c r="DH56" s="14">
        <f t="shared" si="26"/>
        <v>1744239.8148985219</v>
      </c>
      <c r="DI56" s="6">
        <f t="shared" si="27"/>
        <v>3.6895887427059151</v>
      </c>
      <c r="DJ56" s="6">
        <f t="shared" si="28"/>
        <v>2.0942940666473886</v>
      </c>
      <c r="DK56" s="8">
        <f t="shared" si="29"/>
        <v>5.7138754376131862E-5</v>
      </c>
      <c r="DL56" s="1">
        <f t="shared" si="30"/>
        <v>0.36330703571685996</v>
      </c>
      <c r="DO56">
        <f t="shared" si="33"/>
        <v>1.2441843118228733E-2</v>
      </c>
      <c r="DP56" s="14">
        <f t="shared" si="31"/>
        <v>0</v>
      </c>
      <c r="DQ56" s="6">
        <f t="shared" si="32"/>
        <v>2.0961783563125032</v>
      </c>
      <c r="DS56" s="6">
        <v>-4.5389999999999997</v>
      </c>
    </row>
    <row r="57" spans="1:123" x14ac:dyDescent="0.35">
      <c r="A57">
        <v>0</v>
      </c>
      <c r="B57">
        <v>3</v>
      </c>
      <c r="C57">
        <v>1380</v>
      </c>
      <c r="D57" t="s">
        <v>153</v>
      </c>
      <c r="E57" t="s">
        <v>154</v>
      </c>
      <c r="F57" t="s">
        <v>443</v>
      </c>
      <c r="G57" t="s">
        <v>101</v>
      </c>
      <c r="H57">
        <v>19940930</v>
      </c>
      <c r="L57" t="s">
        <v>177</v>
      </c>
      <c r="M57" t="s">
        <v>442</v>
      </c>
      <c r="Q57" t="s">
        <v>82</v>
      </c>
      <c r="AA57" s="3">
        <f t="shared" si="17"/>
        <v>1380</v>
      </c>
      <c r="AM57">
        <v>218.155</v>
      </c>
      <c r="AN57">
        <v>216.16</v>
      </c>
      <c r="AO57">
        <v>220.15</v>
      </c>
      <c r="AP57" s="6">
        <v>11.05</v>
      </c>
      <c r="AQ57" s="6">
        <v>10.8</v>
      </c>
      <c r="AR57" s="6">
        <v>11.3</v>
      </c>
      <c r="AS57" s="7">
        <f t="shared" si="34"/>
        <v>359.81025493221767</v>
      </c>
      <c r="AT57">
        <v>227.5</v>
      </c>
      <c r="AU57">
        <v>218</v>
      </c>
      <c r="AV57">
        <v>237</v>
      </c>
      <c r="AX57">
        <v>75</v>
      </c>
      <c r="AY57"/>
      <c r="AZ57"/>
      <c r="BM57">
        <v>430</v>
      </c>
      <c r="BN57" s="6"/>
      <c r="BP57">
        <v>1850</v>
      </c>
      <c r="BQ57" s="6"/>
      <c r="BR57"/>
      <c r="BS57">
        <v>0.26629999999999998</v>
      </c>
      <c r="DA57">
        <v>0.32</v>
      </c>
      <c r="DB57"/>
      <c r="DC57" s="6"/>
      <c r="DD57"/>
      <c r="DH57" s="14">
        <f t="shared" si="26"/>
        <v>2275104.2888254151</v>
      </c>
      <c r="DI57" s="6">
        <f t="shared" si="27"/>
        <v>3.6895887427059151</v>
      </c>
      <c r="DJ57" s="6">
        <f t="shared" si="28"/>
        <v>2.0942940666473886</v>
      </c>
      <c r="DK57" s="8">
        <f t="shared" si="29"/>
        <v>5.7138754376131862E-5</v>
      </c>
      <c r="DL57" s="1">
        <f t="shared" si="30"/>
        <v>0.36330703571685996</v>
      </c>
      <c r="DO57">
        <f t="shared" si="33"/>
        <v>9.5387091678068789E-3</v>
      </c>
      <c r="DP57" s="14">
        <f t="shared" si="31"/>
        <v>0</v>
      </c>
      <c r="DQ57" s="6">
        <f t="shared" si="32"/>
        <v>2.0961783563125032</v>
      </c>
      <c r="DS57" s="6">
        <v>-4.5389999999999997</v>
      </c>
    </row>
    <row r="58" spans="1:123" x14ac:dyDescent="0.35">
      <c r="A58">
        <v>0</v>
      </c>
      <c r="B58">
        <v>3</v>
      </c>
      <c r="C58">
        <v>1740</v>
      </c>
      <c r="D58" t="s">
        <v>153</v>
      </c>
      <c r="E58" t="s">
        <v>154</v>
      </c>
      <c r="F58" t="s">
        <v>443</v>
      </c>
      <c r="G58" t="s">
        <v>101</v>
      </c>
      <c r="H58">
        <v>19940930</v>
      </c>
      <c r="L58" t="s">
        <v>177</v>
      </c>
      <c r="M58" t="s">
        <v>442</v>
      </c>
      <c r="Q58" t="s">
        <v>83</v>
      </c>
      <c r="AA58" s="3">
        <f t="shared" si="17"/>
        <v>1740</v>
      </c>
      <c r="AM58">
        <v>218.155</v>
      </c>
      <c r="AN58">
        <v>216.16</v>
      </c>
      <c r="AO58">
        <v>220.15</v>
      </c>
      <c r="AP58" s="6">
        <v>11.05</v>
      </c>
      <c r="AQ58" s="6">
        <v>10.8</v>
      </c>
      <c r="AR58" s="6">
        <v>11.3</v>
      </c>
      <c r="AS58" s="7">
        <f t="shared" si="34"/>
        <v>359.81025493221767</v>
      </c>
      <c r="AT58">
        <v>227.5</v>
      </c>
      <c r="AU58">
        <v>218</v>
      </c>
      <c r="AV58">
        <v>237</v>
      </c>
      <c r="AX58">
        <v>75</v>
      </c>
      <c r="AY58"/>
      <c r="AZ58"/>
      <c r="BM58">
        <v>410</v>
      </c>
      <c r="BN58" s="6"/>
      <c r="BP58">
        <v>3250</v>
      </c>
      <c r="BQ58" s="6" t="s">
        <v>423</v>
      </c>
      <c r="BR58"/>
      <c r="BS58">
        <v>0.3513</v>
      </c>
      <c r="BT58" t="s">
        <v>423</v>
      </c>
      <c r="DA58">
        <v>0.23</v>
      </c>
      <c r="DB58"/>
      <c r="DC58" s="6"/>
      <c r="DD58"/>
      <c r="DH58" s="14">
        <f t="shared" si="26"/>
        <v>2738655.7116984436</v>
      </c>
      <c r="DI58" s="6">
        <f t="shared" si="27"/>
        <v>3.6895887427059151</v>
      </c>
      <c r="DJ58" s="6">
        <f t="shared" si="28"/>
        <v>2.0942940666473886</v>
      </c>
      <c r="DK58" s="8">
        <f t="shared" si="29"/>
        <v>5.7138754376131862E-5</v>
      </c>
      <c r="DL58" s="1">
        <f t="shared" si="30"/>
        <v>0.36330703571685996</v>
      </c>
      <c r="DO58">
        <f t="shared" si="33"/>
        <v>7.9241644157151073E-3</v>
      </c>
      <c r="DP58" s="14">
        <f t="shared" si="31"/>
        <v>0</v>
      </c>
      <c r="DQ58" s="6">
        <f t="shared" si="32"/>
        <v>2.0961783563125032</v>
      </c>
      <c r="DS58" s="6">
        <v>-4.5389999999999997</v>
      </c>
    </row>
    <row r="59" spans="1:123" x14ac:dyDescent="0.35">
      <c r="A59">
        <v>0</v>
      </c>
      <c r="B59">
        <v>3</v>
      </c>
      <c r="C59">
        <v>1500</v>
      </c>
      <c r="D59" t="s">
        <v>153</v>
      </c>
      <c r="E59" t="s">
        <v>154</v>
      </c>
      <c r="F59" t="s">
        <v>443</v>
      </c>
      <c r="G59" t="s">
        <v>101</v>
      </c>
      <c r="H59">
        <v>19940930</v>
      </c>
      <c r="K59" s="17">
        <v>0.46736111111111101</v>
      </c>
      <c r="L59" t="s">
        <v>177</v>
      </c>
      <c r="M59" t="s">
        <v>442</v>
      </c>
      <c r="Q59" t="s">
        <v>94</v>
      </c>
      <c r="AA59" s="3">
        <f t="shared" si="17"/>
        <v>1500</v>
      </c>
      <c r="AM59">
        <v>218.655</v>
      </c>
      <c r="AN59">
        <v>216.16</v>
      </c>
      <c r="AO59">
        <v>221.15</v>
      </c>
      <c r="AP59" s="6">
        <v>11</v>
      </c>
      <c r="AQ59" s="6">
        <v>10.7</v>
      </c>
      <c r="AR59" s="6">
        <v>11.3</v>
      </c>
      <c r="AS59" s="7">
        <f t="shared" si="34"/>
        <v>358.44073586546841</v>
      </c>
      <c r="AT59">
        <v>229</v>
      </c>
      <c r="AU59">
        <v>218</v>
      </c>
      <c r="AV59">
        <v>240</v>
      </c>
      <c r="AX59">
        <v>75</v>
      </c>
      <c r="AY59"/>
      <c r="AZ59"/>
      <c r="BM59">
        <v>370</v>
      </c>
      <c r="BN59" s="6"/>
      <c r="BP59">
        <v>1620</v>
      </c>
      <c r="BQ59" s="6" t="s">
        <v>423</v>
      </c>
      <c r="BR59"/>
      <c r="BS59">
        <v>0.30030000000000001</v>
      </c>
      <c r="BT59" t="s">
        <v>423</v>
      </c>
      <c r="CI59">
        <v>0.45945945945945998</v>
      </c>
      <c r="CY59">
        <v>0.17</v>
      </c>
      <c r="DA59">
        <v>0.26</v>
      </c>
      <c r="DB59">
        <v>137.975675675676</v>
      </c>
      <c r="DC59" s="6"/>
      <c r="DD59"/>
      <c r="DH59" s="14">
        <f t="shared" si="26"/>
        <v>2432041.86880052</v>
      </c>
      <c r="DI59" s="6">
        <f t="shared" si="27"/>
        <v>3.8845805055105376</v>
      </c>
      <c r="DJ59" s="6">
        <f t="shared" si="28"/>
        <v>2.2337003065347845</v>
      </c>
      <c r="DK59" s="8">
        <f t="shared" si="29"/>
        <v>6.0542998821903513E-5</v>
      </c>
      <c r="DL59" s="1">
        <f t="shared" si="30"/>
        <v>0.36486621219568593</v>
      </c>
      <c r="DO59">
        <f t="shared" si="33"/>
        <v>8.4214467954597111E-3</v>
      </c>
      <c r="DP59" s="14">
        <f t="shared" si="31"/>
        <v>0</v>
      </c>
      <c r="DQ59" s="6">
        <f t="shared" si="32"/>
        <v>2.2356868852242906</v>
      </c>
      <c r="DS59" s="6">
        <v>-4.5389999999999997</v>
      </c>
    </row>
    <row r="60" spans="1:123" x14ac:dyDescent="0.35">
      <c r="A60">
        <v>0</v>
      </c>
      <c r="B60">
        <v>3</v>
      </c>
      <c r="C60">
        <v>1860</v>
      </c>
      <c r="D60" t="s">
        <v>153</v>
      </c>
      <c r="E60" t="s">
        <v>154</v>
      </c>
      <c r="F60" t="s">
        <v>443</v>
      </c>
      <c r="G60" t="s">
        <v>101</v>
      </c>
      <c r="H60">
        <v>19940930</v>
      </c>
      <c r="K60" s="17"/>
      <c r="L60" t="s">
        <v>177</v>
      </c>
      <c r="M60" t="s">
        <v>442</v>
      </c>
      <c r="Q60" t="s">
        <v>95</v>
      </c>
      <c r="AA60" s="3">
        <f t="shared" si="17"/>
        <v>1860</v>
      </c>
      <c r="AM60">
        <v>218.655</v>
      </c>
      <c r="AN60">
        <v>216.16</v>
      </c>
      <c r="AO60">
        <v>221.15</v>
      </c>
      <c r="AP60" s="6">
        <v>11</v>
      </c>
      <c r="AQ60" s="6">
        <v>10.7</v>
      </c>
      <c r="AR60" s="6">
        <v>11.3</v>
      </c>
      <c r="AS60" s="7">
        <f t="shared" si="34"/>
        <v>358.44073586546841</v>
      </c>
      <c r="AT60">
        <v>229</v>
      </c>
      <c r="AU60">
        <v>218</v>
      </c>
      <c r="AV60">
        <v>240</v>
      </c>
      <c r="AX60">
        <v>75</v>
      </c>
      <c r="AY60"/>
      <c r="AZ60"/>
      <c r="BM60">
        <v>480</v>
      </c>
      <c r="BN60" s="6"/>
      <c r="BP60">
        <v>2260</v>
      </c>
      <c r="BQ60" s="6"/>
      <c r="BR60"/>
      <c r="BS60">
        <v>0.52829999999999999</v>
      </c>
      <c r="CI60">
        <v>0.66666666666666696</v>
      </c>
      <c r="CY60">
        <v>0.32</v>
      </c>
      <c r="DA60">
        <v>0.51</v>
      </c>
      <c r="DB60">
        <v>352.2</v>
      </c>
      <c r="DC60" s="6"/>
      <c r="DD60"/>
      <c r="DH60" s="14">
        <f t="shared" si="26"/>
        <v>2888739.6029236536</v>
      </c>
      <c r="DI60" s="6">
        <f t="shared" si="27"/>
        <v>3.8845805055105376</v>
      </c>
      <c r="DJ60" s="6">
        <f t="shared" si="28"/>
        <v>2.2337003065347845</v>
      </c>
      <c r="DK60" s="8">
        <f t="shared" si="29"/>
        <v>6.0542998821903513E-5</v>
      </c>
      <c r="DL60" s="1">
        <f t="shared" si="30"/>
        <v>0.36486621219568593</v>
      </c>
      <c r="DO60">
        <f t="shared" si="33"/>
        <v>7.0900510318427923E-3</v>
      </c>
      <c r="DP60" s="14">
        <f t="shared" si="31"/>
        <v>0</v>
      </c>
      <c r="DQ60" s="6">
        <f t="shared" si="32"/>
        <v>2.2356868852242906</v>
      </c>
      <c r="DS60" s="6">
        <v>-4.1130000000000004</v>
      </c>
    </row>
    <row r="61" spans="1:123" x14ac:dyDescent="0.35">
      <c r="A61">
        <v>0</v>
      </c>
      <c r="B61">
        <v>3</v>
      </c>
      <c r="C61">
        <v>67.8</v>
      </c>
      <c r="D61" t="s">
        <v>153</v>
      </c>
      <c r="E61" t="s">
        <v>154</v>
      </c>
      <c r="F61" t="s">
        <v>443</v>
      </c>
      <c r="G61" t="s">
        <v>101</v>
      </c>
      <c r="H61">
        <v>19941011</v>
      </c>
      <c r="K61" s="17">
        <v>0.484143518518519</v>
      </c>
      <c r="L61" t="s">
        <v>177</v>
      </c>
      <c r="M61" t="s">
        <v>442</v>
      </c>
      <c r="Q61" t="s">
        <v>84</v>
      </c>
      <c r="AA61" s="3">
        <f t="shared" si="17"/>
        <v>67.8</v>
      </c>
      <c r="AM61">
        <v>223.155</v>
      </c>
      <c r="AN61">
        <v>222.16</v>
      </c>
      <c r="AO61">
        <v>224.15</v>
      </c>
      <c r="AP61" s="6">
        <v>10.285</v>
      </c>
      <c r="AQ61" s="6">
        <v>10.15</v>
      </c>
      <c r="AR61" s="6">
        <v>10.42</v>
      </c>
      <c r="AS61" s="7">
        <f t="shared" si="34"/>
        <v>342.97689937867068</v>
      </c>
      <c r="AT61">
        <v>246.5</v>
      </c>
      <c r="AU61">
        <v>238</v>
      </c>
      <c r="AV61">
        <v>255</v>
      </c>
      <c r="AX61">
        <v>87.5</v>
      </c>
      <c r="AY61"/>
      <c r="AZ61"/>
      <c r="BM61">
        <v>270</v>
      </c>
      <c r="BN61" s="6"/>
      <c r="BP61">
        <v>170</v>
      </c>
      <c r="BQ61" s="6"/>
      <c r="BR61"/>
      <c r="BS61">
        <v>2.69E-2</v>
      </c>
      <c r="CI61">
        <v>0.37037037037037002</v>
      </c>
      <c r="CY61">
        <v>0.1</v>
      </c>
      <c r="DA61">
        <v>0.17</v>
      </c>
      <c r="DB61">
        <v>9.9629629629629601</v>
      </c>
      <c r="DC61" s="6"/>
      <c r="DD61"/>
      <c r="DH61" s="14">
        <f t="shared" si="26"/>
        <v>204212.25222090777</v>
      </c>
      <c r="DI61" s="6">
        <f t="shared" si="27"/>
        <v>6.1750377755913561</v>
      </c>
      <c r="DJ61" s="6">
        <f t="shared" si="28"/>
        <v>3.9382250957414073</v>
      </c>
      <c r="DK61" s="8">
        <f t="shared" si="29"/>
        <v>9.9164932116311587E-5</v>
      </c>
      <c r="DL61" s="1">
        <f t="shared" si="30"/>
        <v>0.3848290779386635</v>
      </c>
      <c r="DO61">
        <f t="shared" si="33"/>
        <v>6.123246897676328E-2</v>
      </c>
      <c r="DP61" s="14">
        <f t="shared" si="31"/>
        <v>0</v>
      </c>
      <c r="DQ61" s="6">
        <f t="shared" si="32"/>
        <v>3.9413531739161756</v>
      </c>
      <c r="DS61" s="6">
        <v>-4.1130000000000004</v>
      </c>
    </row>
    <row r="62" spans="1:123" x14ac:dyDescent="0.35">
      <c r="A62">
        <v>0</v>
      </c>
      <c r="B62">
        <v>3</v>
      </c>
      <c r="C62">
        <v>372</v>
      </c>
      <c r="D62" t="s">
        <v>153</v>
      </c>
      <c r="E62" t="s">
        <v>154</v>
      </c>
      <c r="F62" t="s">
        <v>443</v>
      </c>
      <c r="G62" t="s">
        <v>101</v>
      </c>
      <c r="H62">
        <v>19941011</v>
      </c>
      <c r="K62" s="17"/>
      <c r="L62" t="s">
        <v>177</v>
      </c>
      <c r="M62" t="s">
        <v>442</v>
      </c>
      <c r="Q62" t="s">
        <v>85</v>
      </c>
      <c r="AA62" s="3">
        <f t="shared" si="17"/>
        <v>372</v>
      </c>
      <c r="AM62">
        <v>222.655</v>
      </c>
      <c r="AN62">
        <v>221.16</v>
      </c>
      <c r="AO62">
        <v>224.15</v>
      </c>
      <c r="AP62" s="6">
        <v>10.35</v>
      </c>
      <c r="AQ62" s="6">
        <v>10.199999999999999</v>
      </c>
      <c r="AR62" s="6">
        <v>10.5</v>
      </c>
      <c r="AS62" s="7">
        <f t="shared" si="34"/>
        <v>340.41585460192857</v>
      </c>
      <c r="AT62">
        <v>249.5</v>
      </c>
      <c r="AU62">
        <v>244</v>
      </c>
      <c r="AV62">
        <v>255</v>
      </c>
      <c r="AX62">
        <v>87.5</v>
      </c>
      <c r="AY62"/>
      <c r="AZ62"/>
      <c r="BM62">
        <v>279</v>
      </c>
      <c r="BN62" s="6"/>
      <c r="BP62">
        <v>350</v>
      </c>
      <c r="BQ62" s="6"/>
      <c r="BR62"/>
      <c r="BS62">
        <v>4.7E-2</v>
      </c>
      <c r="DB62"/>
      <c r="DC62" s="6"/>
      <c r="DD62"/>
      <c r="DH62" s="14">
        <f t="shared" si="26"/>
        <v>797135.94287829113</v>
      </c>
      <c r="DI62" s="6">
        <f t="shared" si="27"/>
        <v>5.8650734179111321</v>
      </c>
      <c r="DJ62" s="6">
        <f t="shared" si="28"/>
        <v>3.7019054874854929</v>
      </c>
      <c r="DK62" s="8">
        <f t="shared" si="29"/>
        <v>9.2093564749829151E-5</v>
      </c>
      <c r="DL62" s="1">
        <f t="shared" si="30"/>
        <v>0.39038729599189187</v>
      </c>
      <c r="DO62">
        <f t="shared" si="33"/>
        <v>1.6891180751764996E-2</v>
      </c>
      <c r="DP62" s="14">
        <f t="shared" si="31"/>
        <v>0</v>
      </c>
      <c r="DQ62" s="6">
        <f t="shared" si="32"/>
        <v>3.7048856525410425</v>
      </c>
      <c r="DS62" s="6">
        <v>-0.8518</v>
      </c>
    </row>
    <row r="63" spans="1:123" x14ac:dyDescent="0.35">
      <c r="A63">
        <v>0</v>
      </c>
      <c r="B63">
        <v>3</v>
      </c>
      <c r="C63">
        <v>654</v>
      </c>
      <c r="D63" t="s">
        <v>153</v>
      </c>
      <c r="E63" t="s">
        <v>154</v>
      </c>
      <c r="F63" t="s">
        <v>443</v>
      </c>
      <c r="G63" t="s">
        <v>101</v>
      </c>
      <c r="H63">
        <v>19941011</v>
      </c>
      <c r="K63" s="17"/>
      <c r="L63" t="s">
        <v>177</v>
      </c>
      <c r="M63" t="s">
        <v>442</v>
      </c>
      <c r="Q63" t="s">
        <v>86</v>
      </c>
      <c r="AA63" s="3">
        <f t="shared" si="17"/>
        <v>654</v>
      </c>
      <c r="AM63">
        <v>222.155</v>
      </c>
      <c r="AN63">
        <v>220.16</v>
      </c>
      <c r="AO63">
        <v>224.15</v>
      </c>
      <c r="AP63" s="6">
        <v>10.35</v>
      </c>
      <c r="AQ63" s="6">
        <v>10.199999999999999</v>
      </c>
      <c r="AR63" s="6">
        <v>10.5</v>
      </c>
      <c r="AS63" s="7">
        <f t="shared" si="34"/>
        <v>340.41585460192857</v>
      </c>
      <c r="AT63">
        <v>249.5</v>
      </c>
      <c r="AU63">
        <v>244</v>
      </c>
      <c r="AV63">
        <v>255</v>
      </c>
      <c r="AX63">
        <v>87.5</v>
      </c>
      <c r="AY63"/>
      <c r="AZ63"/>
      <c r="BM63">
        <v>320</v>
      </c>
      <c r="BN63" s="6"/>
      <c r="BP63">
        <v>650</v>
      </c>
      <c r="BQ63" s="6"/>
      <c r="BR63"/>
      <c r="BS63">
        <v>7.3899999999999993E-2</v>
      </c>
      <c r="DB63"/>
      <c r="DC63" s="6"/>
      <c r="DD63"/>
      <c r="DH63" s="14">
        <f t="shared" si="26"/>
        <v>1251872.9016101228</v>
      </c>
      <c r="DI63" s="6">
        <f t="shared" si="27"/>
        <v>5.5706681396282676</v>
      </c>
      <c r="DJ63" s="6">
        <f t="shared" si="28"/>
        <v>3.478802840811126</v>
      </c>
      <c r="DK63" s="8">
        <f t="shared" si="29"/>
        <v>8.6543364155345555E-5</v>
      </c>
      <c r="DL63" s="1">
        <f t="shared" si="30"/>
        <v>0.3912659331956278</v>
      </c>
      <c r="DO63">
        <f t="shared" si="33"/>
        <v>1.1445312978351491E-2</v>
      </c>
      <c r="DP63" s="14">
        <f t="shared" si="31"/>
        <v>0</v>
      </c>
      <c r="DQ63" s="6">
        <f t="shared" si="32"/>
        <v>3.4816406239818032</v>
      </c>
      <c r="DS63" s="6">
        <v>-1.454</v>
      </c>
    </row>
    <row r="64" spans="1:123" x14ac:dyDescent="0.35">
      <c r="A64">
        <v>0</v>
      </c>
      <c r="B64">
        <v>3</v>
      </c>
      <c r="C64">
        <v>930</v>
      </c>
      <c r="D64" t="s">
        <v>153</v>
      </c>
      <c r="E64" t="s">
        <v>154</v>
      </c>
      <c r="F64" t="s">
        <v>443</v>
      </c>
      <c r="G64" t="s">
        <v>101</v>
      </c>
      <c r="H64">
        <v>19941011</v>
      </c>
      <c r="K64" s="17"/>
      <c r="L64" t="s">
        <v>177</v>
      </c>
      <c r="M64" t="s">
        <v>442</v>
      </c>
      <c r="Q64" t="s">
        <v>87</v>
      </c>
      <c r="AA64" s="3">
        <f t="shared" si="17"/>
        <v>930</v>
      </c>
      <c r="AM64">
        <v>221.655</v>
      </c>
      <c r="AN64">
        <v>219.16</v>
      </c>
      <c r="AO64">
        <v>224.15</v>
      </c>
      <c r="AP64" s="6">
        <v>10.425000000000001</v>
      </c>
      <c r="AQ64" s="6">
        <v>10.199999999999999</v>
      </c>
      <c r="AR64" s="6">
        <v>10.65</v>
      </c>
      <c r="AS64" s="7">
        <f t="shared" si="34"/>
        <v>342.54831224116123</v>
      </c>
      <c r="AT64">
        <v>247</v>
      </c>
      <c r="AU64">
        <v>239</v>
      </c>
      <c r="AV64">
        <v>255</v>
      </c>
      <c r="AX64">
        <v>87.5</v>
      </c>
      <c r="AY64"/>
      <c r="AZ64"/>
      <c r="BM64">
        <v>280</v>
      </c>
      <c r="BN64" s="6"/>
      <c r="BP64">
        <v>850</v>
      </c>
      <c r="BQ64" s="6"/>
      <c r="BR64"/>
      <c r="BS64">
        <v>0.1037</v>
      </c>
      <c r="CI64">
        <v>0.182142857142857</v>
      </c>
      <c r="CY64">
        <v>5.0999999999999997E-2</v>
      </c>
      <c r="DA64">
        <v>0.15</v>
      </c>
      <c r="DB64">
        <v>18.888214285714302</v>
      </c>
      <c r="DC64" s="6"/>
      <c r="DD64"/>
      <c r="DH64" s="14">
        <f t="shared" si="26"/>
        <v>1659145.2149465943</v>
      </c>
      <c r="DI64" s="6">
        <f t="shared" si="27"/>
        <v>5.291040931747065</v>
      </c>
      <c r="DJ64" s="6">
        <f t="shared" si="28"/>
        <v>3.2682344706411453</v>
      </c>
      <c r="DK64" s="8">
        <f t="shared" si="29"/>
        <v>8.212790795971049E-5</v>
      </c>
      <c r="DL64" s="1">
        <f t="shared" si="30"/>
        <v>0.38821919035294106</v>
      </c>
      <c r="DO64">
        <f t="shared" si="33"/>
        <v>9.1001075713820073E-3</v>
      </c>
      <c r="DP64" s="14">
        <f t="shared" si="31"/>
        <v>0</v>
      </c>
      <c r="DQ64" s="6">
        <f t="shared" si="32"/>
        <v>3.2709352989820299</v>
      </c>
      <c r="DS64" s="6">
        <v>-1.9390000000000001</v>
      </c>
    </row>
    <row r="65" spans="1:123" x14ac:dyDescent="0.35">
      <c r="A65">
        <v>0</v>
      </c>
      <c r="B65">
        <v>3</v>
      </c>
      <c r="C65">
        <v>510</v>
      </c>
      <c r="D65" t="s">
        <v>153</v>
      </c>
      <c r="E65" t="s">
        <v>154</v>
      </c>
      <c r="F65" t="s">
        <v>443</v>
      </c>
      <c r="G65" t="s">
        <v>101</v>
      </c>
      <c r="H65">
        <v>19941011</v>
      </c>
      <c r="K65" s="17">
        <v>0.398321759259259</v>
      </c>
      <c r="L65" t="s">
        <v>177</v>
      </c>
      <c r="M65" t="s">
        <v>442</v>
      </c>
      <c r="Q65" t="s">
        <v>431</v>
      </c>
      <c r="AA65" s="3">
        <f t="shared" si="17"/>
        <v>510</v>
      </c>
      <c r="AM65">
        <v>215.155</v>
      </c>
      <c r="AN65">
        <v>212.16</v>
      </c>
      <c r="AO65">
        <v>218.15</v>
      </c>
      <c r="AP65" s="6">
        <v>11.3</v>
      </c>
      <c r="AQ65" s="6">
        <v>10.9</v>
      </c>
      <c r="AR65" s="6">
        <v>11.7</v>
      </c>
      <c r="AS65" s="7">
        <f t="shared" si="34"/>
        <v>371.03796949944137</v>
      </c>
      <c r="AT65">
        <v>215.5</v>
      </c>
      <c r="AU65">
        <v>202</v>
      </c>
      <c r="AV65">
        <v>229</v>
      </c>
      <c r="AX65">
        <v>90</v>
      </c>
      <c r="AY65"/>
      <c r="AZ65"/>
      <c r="BM65">
        <v>500</v>
      </c>
      <c r="BN65" s="6"/>
      <c r="BP65">
        <v>1340</v>
      </c>
      <c r="BQ65" s="6"/>
      <c r="BR65"/>
      <c r="BS65">
        <v>0.25940000000000002</v>
      </c>
      <c r="CI65">
        <v>0.94</v>
      </c>
      <c r="CY65">
        <v>0.47</v>
      </c>
      <c r="DA65">
        <v>0.8</v>
      </c>
      <c r="DB65">
        <v>243.83600000000001</v>
      </c>
      <c r="DC65" s="6"/>
      <c r="DD65"/>
      <c r="DH65" s="14">
        <f t="shared" si="26"/>
        <v>1026016.11232719</v>
      </c>
      <c r="DI65" s="6">
        <f t="shared" si="27"/>
        <v>2.7088251042000611</v>
      </c>
      <c r="DJ65" s="6">
        <f t="shared" si="28"/>
        <v>1.4138425176265574</v>
      </c>
      <c r="DK65" s="8">
        <f t="shared" si="29"/>
        <v>4.0721922261425769E-5</v>
      </c>
      <c r="DL65" s="1">
        <f t="shared" si="30"/>
        <v>0.34894213181251948</v>
      </c>
      <c r="DO65">
        <f t="shared" si="33"/>
        <v>2.9678314571438016E-2</v>
      </c>
      <c r="DP65" s="14">
        <f t="shared" si="31"/>
        <v>0</v>
      </c>
      <c r="DQ65" s="6">
        <f t="shared" si="32"/>
        <v>1.4152016448199987</v>
      </c>
      <c r="DS65" s="6">
        <v>-2.3260000000000001</v>
      </c>
    </row>
    <row r="66" spans="1:123" x14ac:dyDescent="0.35">
      <c r="A66">
        <v>0</v>
      </c>
      <c r="B66">
        <v>3</v>
      </c>
      <c r="C66">
        <v>1080</v>
      </c>
      <c r="D66" t="s">
        <v>153</v>
      </c>
      <c r="E66" t="s">
        <v>154</v>
      </c>
      <c r="F66" t="s">
        <v>443</v>
      </c>
      <c r="G66" t="s">
        <v>101</v>
      </c>
      <c r="H66">
        <v>19941011</v>
      </c>
      <c r="K66" s="17"/>
      <c r="L66" t="s">
        <v>177</v>
      </c>
      <c r="M66" t="s">
        <v>442</v>
      </c>
      <c r="Q66" t="s">
        <v>89</v>
      </c>
      <c r="AA66" s="3">
        <f t="shared" si="17"/>
        <v>1080</v>
      </c>
      <c r="AM66">
        <v>215.655</v>
      </c>
      <c r="AN66">
        <v>212.16</v>
      </c>
      <c r="AO66">
        <v>219.15</v>
      </c>
      <c r="AP66" s="6">
        <v>11.2</v>
      </c>
      <c r="AQ66" s="6">
        <v>10.7</v>
      </c>
      <c r="AR66" s="6">
        <v>11.7</v>
      </c>
      <c r="AS66" s="7">
        <f t="shared" si="34"/>
        <v>366.76961225353102</v>
      </c>
      <c r="AT66">
        <v>220</v>
      </c>
      <c r="AU66">
        <v>202</v>
      </c>
      <c r="AV66">
        <v>238</v>
      </c>
      <c r="AX66">
        <v>90</v>
      </c>
      <c r="AY66"/>
      <c r="AZ66"/>
      <c r="BM66">
        <v>670</v>
      </c>
      <c r="BN66" s="6"/>
      <c r="BP66">
        <v>1700</v>
      </c>
      <c r="BQ66" s="6"/>
      <c r="BR66"/>
      <c r="BS66">
        <v>0.44929999999999998</v>
      </c>
      <c r="CI66">
        <v>0.77611940298507498</v>
      </c>
      <c r="CY66">
        <v>0.52</v>
      </c>
      <c r="DA66">
        <v>0.86</v>
      </c>
      <c r="DB66">
        <v>348.71044776119402</v>
      </c>
      <c r="DC66" s="6"/>
      <c r="DD66"/>
      <c r="DH66" s="14">
        <f t="shared" si="26"/>
        <v>1869980.3563165951</v>
      </c>
      <c r="DI66" s="6">
        <f t="shared" si="27"/>
        <v>2.8519843067647375</v>
      </c>
      <c r="DJ66" s="6">
        <f t="shared" si="28"/>
        <v>1.510663997418362</v>
      </c>
      <c r="DK66" s="8">
        <f t="shared" si="29"/>
        <v>4.2620614347226515E-5</v>
      </c>
      <c r="DL66" s="1">
        <f t="shared" si="30"/>
        <v>0.35540270396063611</v>
      </c>
      <c r="DO66">
        <f t="shared" si="33"/>
        <v>1.5558400087688476E-2</v>
      </c>
      <c r="DP66" s="14">
        <f t="shared" si="31"/>
        <v>0</v>
      </c>
      <c r="DQ66" s="6">
        <f t="shared" si="32"/>
        <v>1.5121007734870822</v>
      </c>
      <c r="DS66" s="6">
        <v>-7.4050000000000002</v>
      </c>
    </row>
    <row r="67" spans="1:123" x14ac:dyDescent="0.35">
      <c r="A67">
        <v>0</v>
      </c>
      <c r="B67">
        <v>3</v>
      </c>
      <c r="C67">
        <v>1380</v>
      </c>
      <c r="D67" t="s">
        <v>153</v>
      </c>
      <c r="E67" t="s">
        <v>154</v>
      </c>
      <c r="F67" t="s">
        <v>443</v>
      </c>
      <c r="G67" t="s">
        <v>101</v>
      </c>
      <c r="H67">
        <v>19941011</v>
      </c>
      <c r="K67" s="17"/>
      <c r="L67" t="s">
        <v>177</v>
      </c>
      <c r="M67" t="s">
        <v>442</v>
      </c>
      <c r="Q67" t="s">
        <v>90</v>
      </c>
      <c r="AA67" s="3">
        <f t="shared" si="17"/>
        <v>1380</v>
      </c>
      <c r="AM67">
        <v>215.655</v>
      </c>
      <c r="AN67">
        <v>212.16</v>
      </c>
      <c r="AO67">
        <v>219.15</v>
      </c>
      <c r="AP67" s="6">
        <v>11.2</v>
      </c>
      <c r="AQ67" s="6">
        <v>10.7</v>
      </c>
      <c r="AR67" s="6">
        <v>11.7</v>
      </c>
      <c r="AS67" s="7">
        <f t="shared" si="34"/>
        <v>366.76961225353102</v>
      </c>
      <c r="AT67">
        <v>220</v>
      </c>
      <c r="AU67">
        <v>202</v>
      </c>
      <c r="AV67">
        <v>238</v>
      </c>
      <c r="AX67">
        <v>90</v>
      </c>
      <c r="AY67"/>
      <c r="AZ67"/>
      <c r="BM67">
        <v>620</v>
      </c>
      <c r="BN67" s="6"/>
      <c r="BP67">
        <v>1720</v>
      </c>
      <c r="BQ67" s="6"/>
      <c r="BR67"/>
      <c r="BS67">
        <v>0.45540000000000003</v>
      </c>
      <c r="CI67">
        <v>0.54838709677419395</v>
      </c>
      <c r="CY67">
        <v>0.34</v>
      </c>
      <c r="DA67">
        <v>0.55000000000000004</v>
      </c>
      <c r="DB67">
        <v>249.73548387096801</v>
      </c>
      <c r="DC67" s="6"/>
      <c r="DD67"/>
      <c r="DH67" s="14">
        <f t="shared" si="26"/>
        <v>2275104.2888254151</v>
      </c>
      <c r="DI67" s="6">
        <f t="shared" si="27"/>
        <v>2.8519843067647375</v>
      </c>
      <c r="DJ67" s="6">
        <f t="shared" si="28"/>
        <v>1.510663997418362</v>
      </c>
      <c r="DK67" s="8">
        <f t="shared" si="29"/>
        <v>4.2620614347226515E-5</v>
      </c>
      <c r="DL67" s="1">
        <f t="shared" si="30"/>
        <v>0.35540270396063611</v>
      </c>
      <c r="DO67">
        <f t="shared" si="33"/>
        <v>1.2787942373715258E-2</v>
      </c>
      <c r="DP67" s="14">
        <f t="shared" si="31"/>
        <v>0</v>
      </c>
      <c r="DQ67" s="6">
        <f t="shared" si="32"/>
        <v>1.5121007734870822</v>
      </c>
      <c r="DS67" s="6">
        <v>-7.117</v>
      </c>
    </row>
    <row r="68" spans="1:123" x14ac:dyDescent="0.35">
      <c r="A68">
        <v>0</v>
      </c>
      <c r="B68">
        <v>3</v>
      </c>
      <c r="C68">
        <v>1770</v>
      </c>
      <c r="D68" t="s">
        <v>153</v>
      </c>
      <c r="E68" t="s">
        <v>154</v>
      </c>
      <c r="F68" t="s">
        <v>443</v>
      </c>
      <c r="G68" t="s">
        <v>101</v>
      </c>
      <c r="H68">
        <v>19941011</v>
      </c>
      <c r="K68" s="17"/>
      <c r="L68" t="s">
        <v>177</v>
      </c>
      <c r="M68" t="s">
        <v>442</v>
      </c>
      <c r="Q68" t="s">
        <v>91</v>
      </c>
      <c r="AA68" s="3">
        <f t="shared" si="17"/>
        <v>1770</v>
      </c>
      <c r="AM68">
        <v>216.155</v>
      </c>
      <c r="AN68">
        <v>212.16</v>
      </c>
      <c r="AO68">
        <v>220.15</v>
      </c>
      <c r="AP68" s="6">
        <v>11.1</v>
      </c>
      <c r="AQ68" s="6">
        <v>10.5</v>
      </c>
      <c r="AR68" s="6">
        <v>11.7</v>
      </c>
      <c r="AS68" s="7">
        <f t="shared" si="34"/>
        <v>363.96315531535913</v>
      </c>
      <c r="AT68">
        <v>223</v>
      </c>
      <c r="AU68">
        <v>202</v>
      </c>
      <c r="AV68">
        <v>244</v>
      </c>
      <c r="AX68">
        <v>90</v>
      </c>
      <c r="AY68"/>
      <c r="AZ68"/>
      <c r="BM68">
        <v>740</v>
      </c>
      <c r="BN68" s="6"/>
      <c r="BP68">
        <v>2500</v>
      </c>
      <c r="BQ68" s="6"/>
      <c r="BR68"/>
      <c r="BS68">
        <v>0.65300000000000002</v>
      </c>
      <c r="DB68"/>
      <c r="DC68" s="6"/>
      <c r="DD68"/>
      <c r="DH68" s="14">
        <f t="shared" si="26"/>
        <v>2776365.5896343156</v>
      </c>
      <c r="DI68" s="6">
        <f t="shared" si="27"/>
        <v>3.0027093566951901</v>
      </c>
      <c r="DJ68" s="6">
        <f t="shared" si="28"/>
        <v>1.6136248375927951</v>
      </c>
      <c r="DK68" s="8">
        <f t="shared" si="29"/>
        <v>4.491301542704548E-5</v>
      </c>
      <c r="DL68" s="1">
        <f t="shared" si="30"/>
        <v>0.35941579248364935</v>
      </c>
      <c r="DO68">
        <f t="shared" si="33"/>
        <v>9.944267947077862E-3</v>
      </c>
      <c r="DP68" s="14">
        <f t="shared" si="31"/>
        <v>0</v>
      </c>
      <c r="DQ68" s="6">
        <f t="shared" si="32"/>
        <v>1.6151430367046413</v>
      </c>
      <c r="DS68" s="6">
        <v>-7.117</v>
      </c>
    </row>
    <row r="69" spans="1:123" x14ac:dyDescent="0.35">
      <c r="A69">
        <v>0</v>
      </c>
      <c r="B69">
        <v>3</v>
      </c>
      <c r="C69">
        <v>2250</v>
      </c>
      <c r="D69" t="s">
        <v>153</v>
      </c>
      <c r="E69" t="s">
        <v>154</v>
      </c>
      <c r="F69" t="s">
        <v>443</v>
      </c>
      <c r="G69" t="s">
        <v>101</v>
      </c>
      <c r="H69">
        <v>19941011</v>
      </c>
      <c r="K69" s="17"/>
      <c r="L69" t="s">
        <v>177</v>
      </c>
      <c r="M69" t="s">
        <v>442</v>
      </c>
      <c r="Q69" t="s">
        <v>92</v>
      </c>
      <c r="AA69" s="3">
        <f t="shared" si="17"/>
        <v>2250</v>
      </c>
      <c r="AM69">
        <v>216.155</v>
      </c>
      <c r="AN69">
        <v>213.16</v>
      </c>
      <c r="AO69">
        <v>219.15</v>
      </c>
      <c r="AP69" s="6">
        <v>11.149999999999999</v>
      </c>
      <c r="AQ69" s="6">
        <v>10.7</v>
      </c>
      <c r="AR69" s="6">
        <v>11.6</v>
      </c>
      <c r="AS69" s="7">
        <f t="shared" si="34"/>
        <v>365.36253641913947</v>
      </c>
      <c r="AT69">
        <v>221.5</v>
      </c>
      <c r="AU69">
        <v>205</v>
      </c>
      <c r="AV69">
        <v>238</v>
      </c>
      <c r="AX69">
        <v>90</v>
      </c>
      <c r="AY69"/>
      <c r="AZ69"/>
      <c r="BM69">
        <v>490</v>
      </c>
      <c r="BN69" s="6"/>
      <c r="BP69">
        <v>2500</v>
      </c>
      <c r="BQ69" s="6"/>
      <c r="BR69"/>
      <c r="BS69">
        <v>0.63980000000000004</v>
      </c>
      <c r="CI69">
        <v>0.530612244897959</v>
      </c>
      <c r="CY69">
        <v>0.26</v>
      </c>
      <c r="DA69">
        <v>0.41</v>
      </c>
      <c r="DB69">
        <v>339.48571428571398</v>
      </c>
      <c r="DC69" s="6"/>
      <c r="DD69"/>
      <c r="DH69" s="14">
        <f t="shared" si="26"/>
        <v>3363907.5724136475</v>
      </c>
      <c r="DI69" s="6">
        <f t="shared" si="27"/>
        <v>3.0027093566951901</v>
      </c>
      <c r="DJ69" s="6">
        <f t="shared" si="28"/>
        <v>1.6136248375927951</v>
      </c>
      <c r="DK69" s="8">
        <f t="shared" si="29"/>
        <v>4.5217166773052559E-5</v>
      </c>
      <c r="DL69" s="1">
        <f t="shared" si="30"/>
        <v>0.35699819746694322</v>
      </c>
      <c r="DO69">
        <f t="shared" si="33"/>
        <v>8.1521898284489368E-3</v>
      </c>
      <c r="DP69" s="14">
        <f t="shared" si="31"/>
        <v>0</v>
      </c>
      <c r="DQ69" s="6">
        <f t="shared" si="32"/>
        <v>1.6151430367046413</v>
      </c>
      <c r="DS69" s="6">
        <v>-6.7610000000000001</v>
      </c>
    </row>
    <row r="70" spans="1:123" x14ac:dyDescent="0.35">
      <c r="A70">
        <v>0</v>
      </c>
      <c r="B70">
        <v>3</v>
      </c>
      <c r="C70">
        <v>120</v>
      </c>
      <c r="D70" t="s">
        <v>153</v>
      </c>
      <c r="E70" t="s">
        <v>154</v>
      </c>
      <c r="F70" t="s">
        <v>443</v>
      </c>
      <c r="G70" t="s">
        <v>101</v>
      </c>
      <c r="H70">
        <v>19941011</v>
      </c>
      <c r="K70" s="17">
        <v>0.47152777777777799</v>
      </c>
      <c r="L70" t="s">
        <v>177</v>
      </c>
      <c r="M70" t="s">
        <v>442</v>
      </c>
      <c r="Q70" t="s">
        <v>93</v>
      </c>
      <c r="AA70" s="3">
        <f t="shared" si="17"/>
        <v>120</v>
      </c>
      <c r="AM70">
        <v>223.155</v>
      </c>
      <c r="AN70">
        <v>222.16</v>
      </c>
      <c r="AO70">
        <v>224.15</v>
      </c>
      <c r="AP70" s="6">
        <v>10.275</v>
      </c>
      <c r="AQ70" s="6">
        <v>10.15</v>
      </c>
      <c r="AR70" s="6">
        <v>10.4</v>
      </c>
      <c r="AS70" s="7">
        <f t="shared" si="34"/>
        <v>338.72231066397291</v>
      </c>
      <c r="AT70">
        <v>251.5</v>
      </c>
      <c r="AU70">
        <v>248</v>
      </c>
      <c r="AV70">
        <v>255</v>
      </c>
      <c r="AX70">
        <v>85</v>
      </c>
      <c r="AY70"/>
      <c r="AZ70"/>
      <c r="BM70">
        <v>230</v>
      </c>
      <c r="BN70" s="6"/>
      <c r="BP70">
        <v>170</v>
      </c>
      <c r="BQ70" s="6"/>
      <c r="BR70"/>
      <c r="BS70">
        <v>2.3910000000000001E-2</v>
      </c>
      <c r="CI70">
        <v>0.91304347826086996</v>
      </c>
      <c r="CY70">
        <v>0.21</v>
      </c>
      <c r="DA70">
        <v>0.38</v>
      </c>
      <c r="DB70">
        <v>21.830869565217402</v>
      </c>
      <c r="DC70" s="6"/>
      <c r="DD70"/>
      <c r="DH70" s="14">
        <f t="shared" si="26"/>
        <v>322435.63769539713</v>
      </c>
      <c r="DI70" s="6">
        <f t="shared" si="27"/>
        <v>6.1750377755913561</v>
      </c>
      <c r="DJ70" s="6">
        <f t="shared" si="28"/>
        <v>3.9382250957414073</v>
      </c>
      <c r="DK70" s="8">
        <f t="shared" si="29"/>
        <v>9.7193462292925663E-5</v>
      </c>
      <c r="DL70" s="1">
        <f t="shared" si="30"/>
        <v>0.39263494158853496</v>
      </c>
      <c r="DO70">
        <f t="shared" si="33"/>
        <v>3.9567771878386504E-2</v>
      </c>
      <c r="DP70" s="14">
        <f t="shared" si="31"/>
        <v>0</v>
      </c>
      <c r="DQ70" s="6">
        <f t="shared" si="32"/>
        <v>3.9413531739161756</v>
      </c>
      <c r="DS70" s="6">
        <v>-6.6959999999999997</v>
      </c>
    </row>
    <row r="71" spans="1:123" x14ac:dyDescent="0.35">
      <c r="A71">
        <v>0</v>
      </c>
      <c r="B71">
        <v>3</v>
      </c>
      <c r="C71">
        <v>1980</v>
      </c>
      <c r="D71" t="s">
        <v>153</v>
      </c>
      <c r="E71" t="s">
        <v>154</v>
      </c>
      <c r="F71" t="s">
        <v>443</v>
      </c>
      <c r="G71" t="s">
        <v>101</v>
      </c>
      <c r="H71">
        <v>19941011</v>
      </c>
      <c r="K71" s="17">
        <v>0.42453703703703699</v>
      </c>
      <c r="L71" t="s">
        <v>177</v>
      </c>
      <c r="M71" t="s">
        <v>442</v>
      </c>
      <c r="Q71" t="s">
        <v>96</v>
      </c>
      <c r="AA71" s="3">
        <f t="shared" si="17"/>
        <v>1980</v>
      </c>
      <c r="AM71">
        <v>216.155</v>
      </c>
      <c r="AN71">
        <v>214.16</v>
      </c>
      <c r="AO71">
        <v>218.15</v>
      </c>
      <c r="AP71" s="6">
        <v>11.095000000000001</v>
      </c>
      <c r="AQ71" s="6">
        <v>10.88</v>
      </c>
      <c r="AR71" s="6">
        <v>11.31</v>
      </c>
      <c r="AS71" s="7">
        <f t="shared" si="34"/>
        <v>364.89522573074464</v>
      </c>
      <c r="AT71">
        <v>222</v>
      </c>
      <c r="AU71">
        <v>215</v>
      </c>
      <c r="AV71">
        <v>229</v>
      </c>
      <c r="AX71">
        <v>90</v>
      </c>
      <c r="AY71"/>
      <c r="AZ71"/>
      <c r="BM71">
        <v>430</v>
      </c>
      <c r="BN71" s="6"/>
      <c r="BP71">
        <v>1590</v>
      </c>
      <c r="BQ71" s="6"/>
      <c r="BR71"/>
      <c r="BS71">
        <v>0.47970000000000002</v>
      </c>
      <c r="CI71">
        <v>0.60465116279069797</v>
      </c>
      <c r="CY71">
        <v>0.26</v>
      </c>
      <c r="DA71">
        <v>0.5</v>
      </c>
      <c r="DB71">
        <v>290.05116279069802</v>
      </c>
      <c r="DC71" s="6"/>
      <c r="DD71"/>
      <c r="DH71" s="14">
        <f t="shared" ref="DH71:DH102" si="35">7000*POWER(AA71,0.8)</f>
        <v>3036897.9067668715</v>
      </c>
      <c r="DI71" s="6">
        <f t="shared" ref="DI71:DI102" si="36">EXP(6.97+0.103*(AM71-273.15))</f>
        <v>3.0027093566951901</v>
      </c>
      <c r="DJ71" s="6">
        <f t="shared" ref="DJ71:DJ102" si="37">100*EXP(-6024.5282/AM71+24.7219+(0.010613868-0.000013198825*AM71)*AM71-0.49382577*LN(AM71))</f>
        <v>1.6136248375927951</v>
      </c>
      <c r="DK71" s="8">
        <f t="shared" ref="DK71:DK102" si="38">(18/29)*DJ71/(AT71*100)</f>
        <v>4.5115326307347486E-5</v>
      </c>
      <c r="DL71" s="1">
        <f t="shared" ref="DL71:DL102" si="39">AT71*100/(287.04*AM71)</f>
        <v>0.35780406247251195</v>
      </c>
      <c r="DO71">
        <f t="shared" si="33"/>
        <v>9.0503919970427397E-3</v>
      </c>
      <c r="DP71" s="14">
        <f t="shared" ref="DP71:DP102" si="40">(BV71*1000000/DL71)*DH71</f>
        <v>0</v>
      </c>
      <c r="DQ71" s="6">
        <f t="shared" ref="DQ71:DQ102" si="41">EXP(9.550426-5723.265/AM71+3.53068*LN(AM71)-0.00728332*AM71)</f>
        <v>1.6151430367046413</v>
      </c>
      <c r="DS71" s="6">
        <v>-0.95809999999999995</v>
      </c>
    </row>
    <row r="72" spans="1:123" x14ac:dyDescent="0.35">
      <c r="A72">
        <v>0</v>
      </c>
      <c r="B72">
        <v>3</v>
      </c>
      <c r="C72">
        <v>2190</v>
      </c>
      <c r="D72" t="s">
        <v>153</v>
      </c>
      <c r="E72" t="s">
        <v>154</v>
      </c>
      <c r="F72" t="s">
        <v>443</v>
      </c>
      <c r="G72" t="s">
        <v>101</v>
      </c>
      <c r="H72">
        <v>19941011</v>
      </c>
      <c r="K72" s="17"/>
      <c r="L72" t="s">
        <v>177</v>
      </c>
      <c r="M72" t="s">
        <v>442</v>
      </c>
      <c r="Q72" t="s">
        <v>97</v>
      </c>
      <c r="AA72" s="3">
        <f t="shared" si="17"/>
        <v>2190</v>
      </c>
      <c r="AM72">
        <v>216.155</v>
      </c>
      <c r="AN72">
        <v>214.16</v>
      </c>
      <c r="AO72">
        <v>218.15</v>
      </c>
      <c r="AP72" s="6">
        <v>11.125</v>
      </c>
      <c r="AQ72" s="6">
        <v>10.9</v>
      </c>
      <c r="AR72" s="6">
        <v>11.35</v>
      </c>
      <c r="AS72" s="7">
        <f t="shared" si="34"/>
        <v>365.36253641913947</v>
      </c>
      <c r="AT72">
        <v>221.5</v>
      </c>
      <c r="AU72">
        <v>214</v>
      </c>
      <c r="AV72">
        <v>229</v>
      </c>
      <c r="AX72">
        <v>90</v>
      </c>
      <c r="AY72"/>
      <c r="AZ72"/>
      <c r="BM72">
        <v>450</v>
      </c>
      <c r="BN72" s="6"/>
      <c r="BP72">
        <v>1650</v>
      </c>
      <c r="BQ72" s="6"/>
      <c r="BR72"/>
      <c r="BS72">
        <v>0.4773</v>
      </c>
      <c r="CI72">
        <v>0.62222222222222201</v>
      </c>
      <c r="CY72">
        <v>0.28000000000000003</v>
      </c>
      <c r="DA72">
        <v>0.42</v>
      </c>
      <c r="DB72">
        <v>296.98666666666702</v>
      </c>
      <c r="DC72" s="6"/>
      <c r="DD72"/>
      <c r="DH72" s="14">
        <f t="shared" si="35"/>
        <v>3291950.77017646</v>
      </c>
      <c r="DI72" s="6">
        <f t="shared" si="36"/>
        <v>3.0027093566951901</v>
      </c>
      <c r="DJ72" s="6">
        <f t="shared" si="37"/>
        <v>1.6136248375927951</v>
      </c>
      <c r="DK72" s="8">
        <f t="shared" si="38"/>
        <v>4.5217166773052559E-5</v>
      </c>
      <c r="DL72" s="1">
        <f t="shared" si="39"/>
        <v>0.35699819746694322</v>
      </c>
      <c r="DO72">
        <f t="shared" ref="DO72:DO103" si="42">1.24*29*AT72*100/(DH72*18*DJ72)</f>
        <v>8.3303837177987061E-3</v>
      </c>
      <c r="DP72" s="14">
        <f t="shared" si="40"/>
        <v>0</v>
      </c>
      <c r="DQ72" s="6">
        <f t="shared" si="41"/>
        <v>1.6151430367046413</v>
      </c>
      <c r="DS72" s="6">
        <v>-6.718</v>
      </c>
    </row>
    <row r="73" spans="1:123" x14ac:dyDescent="0.35">
      <c r="A73">
        <v>0</v>
      </c>
      <c r="B73">
        <v>3</v>
      </c>
      <c r="C73">
        <v>2490</v>
      </c>
      <c r="D73" t="s">
        <v>153</v>
      </c>
      <c r="E73" t="s">
        <v>154</v>
      </c>
      <c r="F73" t="s">
        <v>443</v>
      </c>
      <c r="G73" t="s">
        <v>101</v>
      </c>
      <c r="H73">
        <v>19941011</v>
      </c>
      <c r="K73" s="17"/>
      <c r="L73" t="s">
        <v>177</v>
      </c>
      <c r="M73" t="s">
        <v>442</v>
      </c>
      <c r="Q73" t="s">
        <v>98</v>
      </c>
      <c r="AA73" s="3">
        <f t="shared" si="17"/>
        <v>2490</v>
      </c>
      <c r="AM73">
        <v>216.155</v>
      </c>
      <c r="AN73">
        <v>214.16</v>
      </c>
      <c r="AO73">
        <v>218.15</v>
      </c>
      <c r="AP73" s="6">
        <v>11.15</v>
      </c>
      <c r="AQ73" s="6">
        <v>10.9</v>
      </c>
      <c r="AR73" s="6">
        <v>11.4</v>
      </c>
      <c r="AS73" s="7">
        <f t="shared" si="34"/>
        <v>366.29972616559382</v>
      </c>
      <c r="AT73">
        <v>220.5</v>
      </c>
      <c r="AU73">
        <v>212</v>
      </c>
      <c r="AV73">
        <v>229</v>
      </c>
      <c r="AX73">
        <v>90</v>
      </c>
      <c r="AY73"/>
      <c r="AZ73"/>
      <c r="BM73">
        <v>400</v>
      </c>
      <c r="BN73" s="6"/>
      <c r="BP73">
        <v>1460</v>
      </c>
      <c r="BQ73" s="6"/>
      <c r="BR73"/>
      <c r="BS73">
        <v>0.40864</v>
      </c>
      <c r="CI73">
        <v>0.7</v>
      </c>
      <c r="CY73">
        <v>0.28000000000000003</v>
      </c>
      <c r="DA73">
        <v>0.44</v>
      </c>
      <c r="DB73">
        <v>286.048</v>
      </c>
      <c r="DC73" s="6"/>
      <c r="DD73"/>
      <c r="DH73" s="14">
        <f t="shared" si="35"/>
        <v>3648022.5791035634</v>
      </c>
      <c r="DI73" s="6">
        <f t="shared" si="36"/>
        <v>3.0027093566951901</v>
      </c>
      <c r="DJ73" s="6">
        <f t="shared" si="37"/>
        <v>1.6136248375927951</v>
      </c>
      <c r="DK73" s="8">
        <f t="shared" si="38"/>
        <v>4.5422233289030122E-5</v>
      </c>
      <c r="DL73" s="1">
        <f t="shared" si="39"/>
        <v>0.35538646745580577</v>
      </c>
      <c r="DO73">
        <f t="shared" si="42"/>
        <v>7.4833435573881581E-3</v>
      </c>
      <c r="DP73" s="14">
        <f t="shared" si="40"/>
        <v>0</v>
      </c>
      <c r="DQ73" s="6">
        <f t="shared" si="41"/>
        <v>1.6151430367046413</v>
      </c>
      <c r="DS73" s="6">
        <v>-6.6959999999999997</v>
      </c>
    </row>
    <row r="74" spans="1:123" x14ac:dyDescent="0.35">
      <c r="A74">
        <v>0</v>
      </c>
      <c r="B74">
        <v>3</v>
      </c>
      <c r="C74">
        <v>2706</v>
      </c>
      <c r="D74" t="s">
        <v>153</v>
      </c>
      <c r="E74" t="s">
        <v>154</v>
      </c>
      <c r="F74" t="s">
        <v>443</v>
      </c>
      <c r="G74" t="s">
        <v>101</v>
      </c>
      <c r="H74">
        <v>19941011</v>
      </c>
      <c r="K74" s="17"/>
      <c r="L74" t="s">
        <v>177</v>
      </c>
      <c r="M74" t="s">
        <v>442</v>
      </c>
      <c r="Q74" t="s">
        <v>99</v>
      </c>
      <c r="AA74" s="3">
        <f t="shared" si="17"/>
        <v>2706</v>
      </c>
      <c r="AM74">
        <v>216.155</v>
      </c>
      <c r="AN74">
        <v>214.16</v>
      </c>
      <c r="AO74">
        <v>218.15</v>
      </c>
      <c r="AP74" s="6">
        <v>11.190000000000001</v>
      </c>
      <c r="AQ74" s="6">
        <v>10.97</v>
      </c>
      <c r="AR74" s="6">
        <v>11.41</v>
      </c>
      <c r="AS74" s="7">
        <f t="shared" si="34"/>
        <v>370.08325143006442</v>
      </c>
      <c r="AT74">
        <v>216.5</v>
      </c>
      <c r="AU74">
        <v>212</v>
      </c>
      <c r="AV74">
        <v>221</v>
      </c>
      <c r="AX74">
        <v>90</v>
      </c>
      <c r="AY74"/>
      <c r="AZ74"/>
      <c r="BM74">
        <v>440</v>
      </c>
      <c r="BN74" s="6"/>
      <c r="BP74">
        <v>1650</v>
      </c>
      <c r="BQ74" s="6"/>
      <c r="BR74"/>
      <c r="BS74">
        <v>0.43390000000000001</v>
      </c>
      <c r="CI74">
        <v>0.59090909090909105</v>
      </c>
      <c r="CY74">
        <v>0.26</v>
      </c>
      <c r="DA74">
        <v>0.49</v>
      </c>
      <c r="DB74">
        <v>256.39545454545498</v>
      </c>
      <c r="DC74" s="6"/>
      <c r="DD74"/>
      <c r="DH74" s="14">
        <f t="shared" si="35"/>
        <v>3899063.1918284982</v>
      </c>
      <c r="DI74" s="6">
        <f t="shared" si="36"/>
        <v>3.0027093566951901</v>
      </c>
      <c r="DJ74" s="6">
        <f t="shared" si="37"/>
        <v>1.6136248375927951</v>
      </c>
      <c r="DK74" s="8">
        <f t="shared" si="38"/>
        <v>4.6261443141945227E-5</v>
      </c>
      <c r="DL74" s="1">
        <f t="shared" si="39"/>
        <v>0.34893954741125599</v>
      </c>
      <c r="DO74">
        <f t="shared" si="42"/>
        <v>6.8745177036857192E-3</v>
      </c>
      <c r="DP74" s="14">
        <f t="shared" si="40"/>
        <v>0</v>
      </c>
      <c r="DQ74" s="6">
        <f t="shared" si="41"/>
        <v>1.6151430367046413</v>
      </c>
      <c r="DS74" s="6">
        <v>-6.6529999999999996</v>
      </c>
    </row>
    <row r="75" spans="1:123" x14ac:dyDescent="0.35">
      <c r="A75">
        <v>0</v>
      </c>
      <c r="B75">
        <v>3</v>
      </c>
      <c r="C75">
        <v>3600</v>
      </c>
      <c r="D75" t="s">
        <v>153</v>
      </c>
      <c r="E75" t="s">
        <v>154</v>
      </c>
      <c r="F75" t="s">
        <v>443</v>
      </c>
      <c r="G75" t="s">
        <v>101</v>
      </c>
      <c r="H75">
        <v>19941027</v>
      </c>
      <c r="K75" s="17">
        <v>0.57986111111111105</v>
      </c>
      <c r="L75" t="s">
        <v>177</v>
      </c>
      <c r="M75" t="s">
        <v>442</v>
      </c>
      <c r="Q75" t="s">
        <v>426</v>
      </c>
      <c r="AA75" s="3">
        <f t="shared" si="17"/>
        <v>3600</v>
      </c>
      <c r="AM75">
        <v>217.655</v>
      </c>
      <c r="AN75">
        <v>216.16</v>
      </c>
      <c r="AO75">
        <v>219.15</v>
      </c>
      <c r="AP75" s="6">
        <v>10.25</v>
      </c>
      <c r="AQ75" s="6">
        <v>10</v>
      </c>
      <c r="AR75" s="6">
        <v>10.5</v>
      </c>
      <c r="AS75" s="7">
        <f t="shared" si="34"/>
        <v>343.40619103608549</v>
      </c>
      <c r="AT75">
        <v>246</v>
      </c>
      <c r="AU75">
        <v>237</v>
      </c>
      <c r="AV75">
        <v>255</v>
      </c>
      <c r="AX75">
        <v>62.5</v>
      </c>
      <c r="AY75"/>
      <c r="AZ75"/>
      <c r="BM75">
        <v>370</v>
      </c>
      <c r="BN75" s="6"/>
      <c r="BP75">
        <v>3680</v>
      </c>
      <c r="BQ75" s="6"/>
      <c r="BR75"/>
      <c r="BS75">
        <v>0.74790000000000001</v>
      </c>
      <c r="CI75">
        <v>0.23513513513513501</v>
      </c>
      <c r="CY75">
        <v>8.6999999999999994E-2</v>
      </c>
      <c r="DA75">
        <v>0.28000000000000003</v>
      </c>
      <c r="DB75">
        <v>175.857567567568</v>
      </c>
      <c r="DC75" s="6"/>
      <c r="DD75"/>
      <c r="DH75" s="14">
        <f t="shared" si="35"/>
        <v>4899367.7668997189</v>
      </c>
      <c r="DI75" s="6">
        <f t="shared" si="36"/>
        <v>3.5043848546815211</v>
      </c>
      <c r="DJ75" s="6">
        <f t="shared" si="37"/>
        <v>1.963010747694625</v>
      </c>
      <c r="DK75" s="8">
        <f t="shared" si="38"/>
        <v>4.9529287157980445E-5</v>
      </c>
      <c r="DL75" s="1">
        <f t="shared" si="39"/>
        <v>0.39375314666386591</v>
      </c>
      <c r="DO75">
        <f t="shared" si="42"/>
        <v>5.1099843142900555E-3</v>
      </c>
      <c r="DP75" s="14">
        <f t="shared" si="40"/>
        <v>0</v>
      </c>
      <c r="DQ75" s="6">
        <f t="shared" si="41"/>
        <v>1.9647971881614672</v>
      </c>
      <c r="DS75" s="6">
        <v>-6.4770000000000003</v>
      </c>
    </row>
    <row r="76" spans="1:123" x14ac:dyDescent="0.35">
      <c r="A76">
        <v>0</v>
      </c>
      <c r="B76">
        <v>3</v>
      </c>
      <c r="C76">
        <v>168</v>
      </c>
      <c r="D76" t="s">
        <v>153</v>
      </c>
      <c r="E76" t="s">
        <v>154</v>
      </c>
      <c r="F76" t="s">
        <v>443</v>
      </c>
      <c r="G76" t="s">
        <v>101</v>
      </c>
      <c r="H76">
        <v>19941109</v>
      </c>
      <c r="K76" s="17">
        <v>0.47504629629629602</v>
      </c>
      <c r="L76" t="s">
        <v>177</v>
      </c>
      <c r="M76" t="s">
        <v>442</v>
      </c>
      <c r="Q76" t="s">
        <v>88</v>
      </c>
      <c r="AA76" s="3">
        <f t="shared" si="17"/>
        <v>168</v>
      </c>
      <c r="AM76">
        <v>221.655</v>
      </c>
      <c r="AN76">
        <v>221.16</v>
      </c>
      <c r="AO76">
        <v>222.15</v>
      </c>
      <c r="AP76" s="6">
        <v>9.8000000000000007</v>
      </c>
      <c r="AQ76" s="6">
        <v>9.6999999999999993</v>
      </c>
      <c r="AR76" s="6">
        <v>9.9</v>
      </c>
      <c r="AS76" s="7">
        <f t="shared" si="34"/>
        <v>325.5527088291883</v>
      </c>
      <c r="AT76">
        <v>267.5</v>
      </c>
      <c r="AU76">
        <v>263</v>
      </c>
      <c r="AV76">
        <v>272</v>
      </c>
      <c r="AX76">
        <v>47.5</v>
      </c>
      <c r="AY76"/>
      <c r="AZ76"/>
      <c r="BM76">
        <v>160</v>
      </c>
      <c r="BN76" s="6"/>
      <c r="BP76">
        <v>110</v>
      </c>
      <c r="BQ76" s="6"/>
      <c r="BR76"/>
      <c r="BS76">
        <v>1.5800000000000002E-2</v>
      </c>
      <c r="CI76">
        <v>0.375</v>
      </c>
      <c r="CY76">
        <v>0.06</v>
      </c>
      <c r="DA76">
        <v>0.21</v>
      </c>
      <c r="DB76">
        <v>5.9249999999999998</v>
      </c>
      <c r="DC76" s="6"/>
      <c r="DD76"/>
      <c r="DH76" s="14">
        <f t="shared" si="35"/>
        <v>422032.08104404702</v>
      </c>
      <c r="DI76" s="6">
        <f t="shared" si="36"/>
        <v>5.291040931747065</v>
      </c>
      <c r="DJ76" s="6">
        <f t="shared" si="37"/>
        <v>3.2682344706411453</v>
      </c>
      <c r="DK76" s="8">
        <f t="shared" si="38"/>
        <v>7.5833993517938279E-5</v>
      </c>
      <c r="DL76" s="1">
        <f t="shared" si="39"/>
        <v>0.42043981141462239</v>
      </c>
      <c r="DO76">
        <f t="shared" si="42"/>
        <v>3.8744699121885474E-2</v>
      </c>
      <c r="DP76" s="14">
        <f t="shared" si="40"/>
        <v>0</v>
      </c>
      <c r="DQ76" s="6">
        <f t="shared" si="41"/>
        <v>3.2709352989820299</v>
      </c>
      <c r="DS76" s="6">
        <v>-5.4279999999999999</v>
      </c>
    </row>
    <row r="77" spans="1:123" x14ac:dyDescent="0.35">
      <c r="A77">
        <v>0</v>
      </c>
      <c r="B77">
        <v>3</v>
      </c>
      <c r="C77">
        <v>378</v>
      </c>
      <c r="D77" t="s">
        <v>153</v>
      </c>
      <c r="E77" t="s">
        <v>154</v>
      </c>
      <c r="F77" t="s">
        <v>443</v>
      </c>
      <c r="G77" t="s">
        <v>101</v>
      </c>
      <c r="H77">
        <v>19941109</v>
      </c>
      <c r="L77" t="s">
        <v>177</v>
      </c>
      <c r="M77" t="s">
        <v>442</v>
      </c>
      <c r="Q77" t="s">
        <v>424</v>
      </c>
      <c r="AA77" s="3">
        <f t="shared" si="17"/>
        <v>378</v>
      </c>
      <c r="AM77">
        <v>221.655</v>
      </c>
      <c r="AN77">
        <v>221.16</v>
      </c>
      <c r="AO77">
        <v>222.15</v>
      </c>
      <c r="AP77" s="6">
        <v>9.8000000000000007</v>
      </c>
      <c r="AQ77" s="6">
        <v>9.6999999999999993</v>
      </c>
      <c r="AR77" s="6">
        <v>9.9</v>
      </c>
      <c r="AS77" s="7">
        <f t="shared" si="34"/>
        <v>325.5527088291883</v>
      </c>
      <c r="AT77">
        <v>267.5</v>
      </c>
      <c r="AU77">
        <v>263</v>
      </c>
      <c r="AV77">
        <v>272</v>
      </c>
      <c r="AX77">
        <v>47.5</v>
      </c>
      <c r="AY77"/>
      <c r="AZ77"/>
      <c r="BM77">
        <v>190</v>
      </c>
      <c r="BN77" s="6"/>
      <c r="BP77">
        <v>220</v>
      </c>
      <c r="BQ77" s="6"/>
      <c r="BR77"/>
      <c r="BS77">
        <v>2.5899999999999999E-2</v>
      </c>
      <c r="CI77">
        <v>0.31578947368421001</v>
      </c>
      <c r="CY77">
        <v>0.06</v>
      </c>
      <c r="DA77">
        <v>0.21</v>
      </c>
      <c r="DB77">
        <v>8.1789473684210492</v>
      </c>
      <c r="DC77" s="6"/>
      <c r="DD77"/>
      <c r="DH77" s="14">
        <f t="shared" si="35"/>
        <v>807405.08432050061</v>
      </c>
      <c r="DI77" s="6">
        <f t="shared" si="36"/>
        <v>5.291040931747065</v>
      </c>
      <c r="DJ77" s="6">
        <f t="shared" si="37"/>
        <v>3.2682344706411453</v>
      </c>
      <c r="DK77" s="8">
        <f t="shared" si="38"/>
        <v>7.5833993517938279E-5</v>
      </c>
      <c r="DL77" s="1">
        <f t="shared" si="39"/>
        <v>0.42043981141462239</v>
      </c>
      <c r="DO77">
        <f t="shared" si="42"/>
        <v>2.0251923498346508E-2</v>
      </c>
      <c r="DP77" s="14">
        <f t="shared" si="40"/>
        <v>0</v>
      </c>
      <c r="DQ77" s="6">
        <f t="shared" si="41"/>
        <v>3.2709352989820299</v>
      </c>
      <c r="DS77" s="6">
        <v>-1.895</v>
      </c>
    </row>
    <row r="78" spans="1:123" x14ac:dyDescent="0.35">
      <c r="A78">
        <v>0</v>
      </c>
      <c r="B78">
        <v>3</v>
      </c>
      <c r="C78">
        <v>684</v>
      </c>
      <c r="D78" t="s">
        <v>153</v>
      </c>
      <c r="E78" t="s">
        <v>154</v>
      </c>
      <c r="F78" t="s">
        <v>443</v>
      </c>
      <c r="G78" t="s">
        <v>101</v>
      </c>
      <c r="H78">
        <v>19941109</v>
      </c>
      <c r="L78" t="s">
        <v>177</v>
      </c>
      <c r="M78" t="s">
        <v>442</v>
      </c>
      <c r="Q78" t="s">
        <v>425</v>
      </c>
      <c r="AA78" s="3">
        <f t="shared" si="17"/>
        <v>684</v>
      </c>
      <c r="AM78">
        <v>221.655</v>
      </c>
      <c r="AN78">
        <v>221.16</v>
      </c>
      <c r="AO78">
        <v>222.15</v>
      </c>
      <c r="AP78" s="6">
        <v>9.8000000000000007</v>
      </c>
      <c r="AQ78" s="6">
        <v>9.6999999999999993</v>
      </c>
      <c r="AR78" s="6">
        <v>9.9</v>
      </c>
      <c r="AS78" s="7">
        <f t="shared" si="34"/>
        <v>325.5527088291883</v>
      </c>
      <c r="AT78">
        <v>267.5</v>
      </c>
      <c r="AU78">
        <v>263</v>
      </c>
      <c r="AV78">
        <v>272</v>
      </c>
      <c r="AX78">
        <v>47.5</v>
      </c>
      <c r="AY78"/>
      <c r="AZ78"/>
      <c r="BM78">
        <v>210</v>
      </c>
      <c r="BN78" s="6"/>
      <c r="BP78">
        <v>520</v>
      </c>
      <c r="BQ78" s="6" t="s">
        <v>423</v>
      </c>
      <c r="BR78"/>
      <c r="BS78">
        <v>5.2400000000000002E-2</v>
      </c>
      <c r="CI78">
        <v>0.28571428571428598</v>
      </c>
      <c r="CY78">
        <v>0.06</v>
      </c>
      <c r="DA78">
        <v>0.21</v>
      </c>
      <c r="DB78">
        <v>14.9714285714286</v>
      </c>
      <c r="DC78" s="6"/>
      <c r="DD78"/>
      <c r="DH78" s="14">
        <f t="shared" si="35"/>
        <v>1297606.2282253131</v>
      </c>
      <c r="DI78" s="6">
        <f t="shared" si="36"/>
        <v>5.291040931747065</v>
      </c>
      <c r="DJ78" s="6">
        <f t="shared" si="37"/>
        <v>3.2682344706411453</v>
      </c>
      <c r="DK78" s="8">
        <f t="shared" si="38"/>
        <v>7.5833993517938279E-5</v>
      </c>
      <c r="DL78" s="1">
        <f t="shared" si="39"/>
        <v>0.42043981141462239</v>
      </c>
      <c r="DO78">
        <f t="shared" si="42"/>
        <v>1.2601285077213389E-2</v>
      </c>
      <c r="DP78" s="14">
        <f t="shared" si="40"/>
        <v>0</v>
      </c>
      <c r="DQ78" s="6">
        <f t="shared" si="41"/>
        <v>3.2709352989820299</v>
      </c>
      <c r="DS78" s="6">
        <v>-1.895</v>
      </c>
    </row>
    <row r="79" spans="1:123" x14ac:dyDescent="0.35">
      <c r="A79">
        <v>0</v>
      </c>
      <c r="B79">
        <v>3</v>
      </c>
      <c r="C79">
        <v>120</v>
      </c>
      <c r="D79" t="s">
        <v>153</v>
      </c>
      <c r="E79" t="s">
        <v>154</v>
      </c>
      <c r="F79" t="s">
        <v>443</v>
      </c>
      <c r="G79" t="s">
        <v>101</v>
      </c>
      <c r="H79">
        <v>19941109</v>
      </c>
      <c r="K79" s="17">
        <v>0.58750000000000002</v>
      </c>
      <c r="L79" t="s">
        <v>177</v>
      </c>
      <c r="M79" t="s">
        <v>442</v>
      </c>
      <c r="Q79" t="s">
        <v>427</v>
      </c>
      <c r="AA79" s="3">
        <f t="shared" si="17"/>
        <v>120</v>
      </c>
      <c r="AM79">
        <v>220.655</v>
      </c>
      <c r="AN79">
        <v>220.16</v>
      </c>
      <c r="AO79">
        <v>221.15</v>
      </c>
      <c r="AP79" s="6">
        <v>9.8850000000000016</v>
      </c>
      <c r="AQ79" s="6">
        <v>9.81</v>
      </c>
      <c r="AR79" s="6">
        <v>9.9600000000000009</v>
      </c>
      <c r="AS79" s="7">
        <f t="shared" si="34"/>
        <v>328.78402485174024</v>
      </c>
      <c r="AT79">
        <v>263.5</v>
      </c>
      <c r="AU79">
        <v>260</v>
      </c>
      <c r="AV79">
        <v>267</v>
      </c>
      <c r="AX79">
        <v>47.5</v>
      </c>
      <c r="AY79"/>
      <c r="AZ79"/>
      <c r="BM79">
        <v>139</v>
      </c>
      <c r="BN79" s="6"/>
      <c r="BP79">
        <v>124</v>
      </c>
      <c r="BQ79" s="6"/>
      <c r="BR79"/>
      <c r="BS79">
        <v>9.9000000000000008E-3</v>
      </c>
      <c r="CI79">
        <v>0.79136690647482</v>
      </c>
      <c r="CY79">
        <v>0.11</v>
      </c>
      <c r="DA79">
        <v>0.21</v>
      </c>
      <c r="DB79">
        <v>7.8345323741007196</v>
      </c>
      <c r="DC79" s="6"/>
      <c r="DD79"/>
      <c r="DH79" s="14">
        <f t="shared" si="35"/>
        <v>322435.63769539713</v>
      </c>
      <c r="DI79" s="6">
        <f t="shared" si="36"/>
        <v>4.7731907423238038</v>
      </c>
      <c r="DJ79" s="6">
        <f t="shared" si="37"/>
        <v>2.8821293255213365</v>
      </c>
      <c r="DK79" s="8">
        <f t="shared" si="38"/>
        <v>6.7890241260726378E-5</v>
      </c>
      <c r="DL79" s="1">
        <f t="shared" si="39"/>
        <v>0.41602978585066497</v>
      </c>
      <c r="DO79">
        <f t="shared" si="42"/>
        <v>5.6646267160958629E-2</v>
      </c>
      <c r="DP79" s="14">
        <f t="shared" si="40"/>
        <v>0</v>
      </c>
      <c r="DQ79" s="6">
        <f t="shared" si="41"/>
        <v>2.884572079664216</v>
      </c>
      <c r="DS79" s="6">
        <v>-1.895</v>
      </c>
    </row>
    <row r="80" spans="1:123" x14ac:dyDescent="0.35">
      <c r="A80">
        <v>0</v>
      </c>
      <c r="B80">
        <v>3</v>
      </c>
      <c r="C80">
        <v>390</v>
      </c>
      <c r="D80" t="s">
        <v>153</v>
      </c>
      <c r="E80" t="s">
        <v>154</v>
      </c>
      <c r="F80" t="s">
        <v>443</v>
      </c>
      <c r="G80" t="s">
        <v>101</v>
      </c>
      <c r="H80">
        <v>19941109</v>
      </c>
      <c r="L80" t="s">
        <v>177</v>
      </c>
      <c r="M80" t="s">
        <v>442</v>
      </c>
      <c r="Q80" t="s">
        <v>428</v>
      </c>
      <c r="AA80" s="3">
        <f t="shared" si="17"/>
        <v>390</v>
      </c>
      <c r="AM80">
        <v>220.655</v>
      </c>
      <c r="AN80">
        <v>220.16</v>
      </c>
      <c r="AO80">
        <v>221.15</v>
      </c>
      <c r="AP80" s="6">
        <v>9.93</v>
      </c>
      <c r="AQ80" s="6">
        <v>9.86</v>
      </c>
      <c r="AR80" s="6">
        <v>10</v>
      </c>
      <c r="AS80" s="7">
        <f t="shared" si="34"/>
        <v>330.0060130618167</v>
      </c>
      <c r="AT80">
        <v>262</v>
      </c>
      <c r="AU80">
        <v>259</v>
      </c>
      <c r="AV80">
        <v>265</v>
      </c>
      <c r="AX80">
        <v>47.5</v>
      </c>
      <c r="AY80"/>
      <c r="AZ80"/>
      <c r="BM80">
        <v>135</v>
      </c>
      <c r="BN80" s="6"/>
      <c r="BP80">
        <v>321</v>
      </c>
      <c r="BQ80" s="6"/>
      <c r="BR80"/>
      <c r="BS80">
        <v>2.2239999999999999E-2</v>
      </c>
      <c r="CI80">
        <v>0.96296296296296302</v>
      </c>
      <c r="CY80">
        <v>0.13</v>
      </c>
      <c r="DA80">
        <v>0.18</v>
      </c>
      <c r="DB80">
        <v>21.416296296296299</v>
      </c>
      <c r="DC80" s="6"/>
      <c r="DD80"/>
      <c r="DH80" s="14">
        <f t="shared" si="35"/>
        <v>827846.32584481908</v>
      </c>
      <c r="DI80" s="6">
        <f t="shared" si="36"/>
        <v>4.7731907423238038</v>
      </c>
      <c r="DJ80" s="6">
        <f t="shared" si="37"/>
        <v>2.8821293255213365</v>
      </c>
      <c r="DK80" s="8">
        <f t="shared" si="38"/>
        <v>6.8278925848096946E-5</v>
      </c>
      <c r="DL80" s="1">
        <f t="shared" si="39"/>
        <v>0.41366149484961756</v>
      </c>
      <c r="DO80">
        <f t="shared" si="42"/>
        <v>2.1937406322091138E-2</v>
      </c>
      <c r="DP80" s="14">
        <f t="shared" si="40"/>
        <v>0</v>
      </c>
      <c r="DQ80" s="6">
        <f t="shared" si="41"/>
        <v>2.884572079664216</v>
      </c>
      <c r="DS80" s="6">
        <v>-2.7370000000000001</v>
      </c>
    </row>
    <row r="81" spans="1:246" x14ac:dyDescent="0.35">
      <c r="A81">
        <v>0</v>
      </c>
      <c r="B81">
        <v>3</v>
      </c>
      <c r="C81">
        <v>720</v>
      </c>
      <c r="D81" t="s">
        <v>153</v>
      </c>
      <c r="E81" t="s">
        <v>154</v>
      </c>
      <c r="F81" t="s">
        <v>443</v>
      </c>
      <c r="G81" t="s">
        <v>101</v>
      </c>
      <c r="H81">
        <v>19941109</v>
      </c>
      <c r="L81" t="s">
        <v>177</v>
      </c>
      <c r="M81" t="s">
        <v>442</v>
      </c>
      <c r="Q81" t="s">
        <v>429</v>
      </c>
      <c r="AA81" s="3">
        <f t="shared" si="17"/>
        <v>720</v>
      </c>
      <c r="AM81">
        <v>220.655</v>
      </c>
      <c r="AN81">
        <v>220.16</v>
      </c>
      <c r="AO81">
        <v>221.15</v>
      </c>
      <c r="AP81" s="6">
        <v>9.9550000000000001</v>
      </c>
      <c r="AQ81" s="6">
        <v>9.86</v>
      </c>
      <c r="AR81" s="6">
        <v>10.050000000000001</v>
      </c>
      <c r="AS81" s="7">
        <f t="shared" si="34"/>
        <v>330.82382278725322</v>
      </c>
      <c r="AT81">
        <v>261</v>
      </c>
      <c r="AU81">
        <v>257</v>
      </c>
      <c r="AV81">
        <v>265</v>
      </c>
      <c r="AX81">
        <v>47.5</v>
      </c>
      <c r="AY81"/>
      <c r="AZ81"/>
      <c r="BM81">
        <v>180</v>
      </c>
      <c r="BN81" s="6"/>
      <c r="BP81">
        <v>433</v>
      </c>
      <c r="BQ81" s="6"/>
      <c r="BR81"/>
      <c r="BS81">
        <v>4.24E-2</v>
      </c>
      <c r="CI81">
        <v>0.73888888888888904</v>
      </c>
      <c r="CY81">
        <v>0.13300000000000001</v>
      </c>
      <c r="DA81">
        <v>0.18</v>
      </c>
      <c r="DB81">
        <v>31.328888888888901</v>
      </c>
      <c r="DC81" s="6"/>
      <c r="DD81"/>
      <c r="DH81" s="14">
        <f t="shared" si="35"/>
        <v>1351960.6060797081</v>
      </c>
      <c r="DI81" s="6">
        <f t="shared" si="36"/>
        <v>4.7731907423238038</v>
      </c>
      <c r="DJ81" s="6">
        <f t="shared" si="37"/>
        <v>2.8821293255213365</v>
      </c>
      <c r="DK81" s="8">
        <f t="shared" si="38"/>
        <v>6.8540530927974712E-5</v>
      </c>
      <c r="DL81" s="1">
        <f t="shared" si="39"/>
        <v>0.41208263418225261</v>
      </c>
      <c r="DO81">
        <f t="shared" si="42"/>
        <v>1.3381665934459764E-2</v>
      </c>
      <c r="DP81" s="14">
        <f t="shared" si="40"/>
        <v>0</v>
      </c>
      <c r="DQ81" s="6">
        <f t="shared" si="41"/>
        <v>2.884572079664216</v>
      </c>
      <c r="DS81" s="6">
        <v>-2.6819999999999999</v>
      </c>
    </row>
    <row r="82" spans="1:246" x14ac:dyDescent="0.35">
      <c r="A82">
        <v>0</v>
      </c>
      <c r="B82">
        <v>3</v>
      </c>
      <c r="C82">
        <v>1140</v>
      </c>
      <c r="D82" t="s">
        <v>153</v>
      </c>
      <c r="E82" t="s">
        <v>154</v>
      </c>
      <c r="F82" t="s">
        <v>443</v>
      </c>
      <c r="G82" t="s">
        <v>101</v>
      </c>
      <c r="H82">
        <v>19941124</v>
      </c>
      <c r="K82" s="17">
        <v>0.61111111111111105</v>
      </c>
      <c r="L82" t="s">
        <v>177</v>
      </c>
      <c r="M82" t="s">
        <v>442</v>
      </c>
      <c r="Q82" t="s">
        <v>430</v>
      </c>
      <c r="AA82" s="3">
        <f t="shared" si="17"/>
        <v>1140</v>
      </c>
      <c r="AM82">
        <v>222.655</v>
      </c>
      <c r="AN82">
        <v>220.16</v>
      </c>
      <c r="AO82">
        <v>225.15</v>
      </c>
      <c r="AP82" s="6">
        <v>9.61</v>
      </c>
      <c r="AQ82" s="6">
        <v>9.41</v>
      </c>
      <c r="AR82" s="6">
        <v>9.81</v>
      </c>
      <c r="AS82" s="7">
        <f t="shared" si="34"/>
        <v>316.08802855043194</v>
      </c>
      <c r="AT82">
        <v>279.5</v>
      </c>
      <c r="AU82">
        <v>272</v>
      </c>
      <c r="AV82">
        <v>287</v>
      </c>
      <c r="AX82">
        <v>85</v>
      </c>
      <c r="AY82"/>
      <c r="AZ82"/>
      <c r="BM82">
        <v>350</v>
      </c>
      <c r="BN82" s="6"/>
      <c r="BP82">
        <v>2786</v>
      </c>
      <c r="BQ82" s="6" t="s">
        <v>423</v>
      </c>
      <c r="BR82"/>
      <c r="BS82">
        <v>0.28549999999999998</v>
      </c>
      <c r="BT82" t="s">
        <v>423</v>
      </c>
      <c r="CI82">
        <v>0.34285714285714303</v>
      </c>
      <c r="CY82">
        <v>0.12</v>
      </c>
      <c r="DA82">
        <v>0.26</v>
      </c>
      <c r="DB82">
        <v>97.8857142857143</v>
      </c>
      <c r="DC82" s="6"/>
      <c r="DD82"/>
      <c r="DH82" s="14">
        <f t="shared" si="35"/>
        <v>1952638.8285684565</v>
      </c>
      <c r="DI82" s="6">
        <f t="shared" si="36"/>
        <v>5.8650734179111321</v>
      </c>
      <c r="DJ82" s="6">
        <f t="shared" si="37"/>
        <v>3.7019054874854929</v>
      </c>
      <c r="DK82" s="8">
        <f t="shared" si="38"/>
        <v>8.2208745635357328E-5</v>
      </c>
      <c r="DL82" s="1">
        <f t="shared" si="39"/>
        <v>0.43732765222338188</v>
      </c>
      <c r="DO82">
        <f t="shared" si="42"/>
        <v>7.7247021423953455E-3</v>
      </c>
      <c r="DP82" s="14">
        <f t="shared" si="40"/>
        <v>0</v>
      </c>
      <c r="DQ82" s="6">
        <f t="shared" si="41"/>
        <v>3.7048856525410425</v>
      </c>
      <c r="DS82" s="6">
        <v>-2.645</v>
      </c>
    </row>
    <row r="83" spans="1:246" x14ac:dyDescent="0.35">
      <c r="A83">
        <v>6</v>
      </c>
      <c r="B83">
        <v>0</v>
      </c>
      <c r="C83">
        <v>0.3</v>
      </c>
      <c r="D83" t="s">
        <v>269</v>
      </c>
      <c r="E83" t="s">
        <v>266</v>
      </c>
      <c r="F83" t="s">
        <v>272</v>
      </c>
      <c r="G83" t="s">
        <v>246</v>
      </c>
      <c r="H83">
        <v>19941213</v>
      </c>
      <c r="I83">
        <f>10*3600+20*60</f>
        <v>37200</v>
      </c>
      <c r="K83" s="5">
        <v>0.43055555555555558</v>
      </c>
      <c r="L83" t="s">
        <v>267</v>
      </c>
      <c r="M83" t="s">
        <v>268</v>
      </c>
      <c r="Q83" t="s">
        <v>271</v>
      </c>
      <c r="R83" t="s">
        <v>247</v>
      </c>
      <c r="S83">
        <v>2</v>
      </c>
      <c r="T83">
        <v>1</v>
      </c>
      <c r="U83">
        <v>21.5</v>
      </c>
      <c r="V83">
        <v>19</v>
      </c>
      <c r="W83">
        <f>2*0.1255*1000/Y83</f>
        <v>2.1826086956521737</v>
      </c>
      <c r="X83">
        <v>0.14000000000000001</v>
      </c>
      <c r="Y83">
        <v>115</v>
      </c>
      <c r="AA83" s="3">
        <f t="shared" si="17"/>
        <v>0.3</v>
      </c>
      <c r="AK83" s="1">
        <f>25/115</f>
        <v>0.21739130434782608</v>
      </c>
      <c r="AL83" s="1">
        <f>35/115</f>
        <v>0.30434782608695654</v>
      </c>
      <c r="AM83" s="6">
        <f>273.15-49.7</f>
        <v>223.45</v>
      </c>
      <c r="AN83" s="6">
        <f>AM83-0.5</f>
        <v>222.95</v>
      </c>
      <c r="AO83" s="6">
        <f>AM83+0.5</f>
        <v>223.95</v>
      </c>
      <c r="AS83" s="7">
        <v>299</v>
      </c>
      <c r="AT83" s="7">
        <v>302.3</v>
      </c>
      <c r="AU83" s="7">
        <f>AT83-0.7</f>
        <v>301.60000000000002</v>
      </c>
      <c r="AV83" s="7">
        <f>AT83+0.7</f>
        <v>303</v>
      </c>
      <c r="AW83">
        <v>0</v>
      </c>
      <c r="AX83" s="7">
        <v>80</v>
      </c>
      <c r="AY83" s="7">
        <v>55</v>
      </c>
      <c r="AZ83" s="7">
        <v>100</v>
      </c>
      <c r="BA83" s="6">
        <v>1</v>
      </c>
      <c r="BD83" s="6">
        <v>3</v>
      </c>
      <c r="BJ83">
        <v>2</v>
      </c>
      <c r="BP83" s="3">
        <v>8</v>
      </c>
      <c r="BS83">
        <f>0.000001*2*3.1415*2*2/4</f>
        <v>6.2829999999999998E-6</v>
      </c>
      <c r="CF83" s="13"/>
      <c r="CG83" s="13"/>
      <c r="CH83" s="13"/>
      <c r="CI83">
        <v>0.530612244897959</v>
      </c>
      <c r="DH83" s="14">
        <f t="shared" si="35"/>
        <v>2671.7452367327228</v>
      </c>
      <c r="DI83" s="6">
        <f t="shared" si="36"/>
        <v>6.3655459366719791</v>
      </c>
      <c r="DJ83" s="6">
        <f t="shared" si="37"/>
        <v>4.0841416943001319</v>
      </c>
      <c r="DK83" s="8">
        <f t="shared" si="38"/>
        <v>8.3856582861740892E-5</v>
      </c>
      <c r="DL83" s="1">
        <f t="shared" si="39"/>
        <v>0.47131945499443334</v>
      </c>
      <c r="DM83">
        <f>BZ83*0.000001/DL83</f>
        <v>0</v>
      </c>
      <c r="DN83">
        <f>DM83/DK83</f>
        <v>0</v>
      </c>
      <c r="DO83">
        <f t="shared" si="42"/>
        <v>5.5346413107583894</v>
      </c>
      <c r="DP83" s="14">
        <f t="shared" si="40"/>
        <v>0</v>
      </c>
      <c r="DQ83" s="6">
        <f t="shared" si="41"/>
        <v>4.0873596753857102</v>
      </c>
      <c r="DR83" s="6">
        <f>BS83*1000000*DL83/(W83*0.001)</f>
        <v>1356.7709785217244</v>
      </c>
      <c r="DS83" s="6">
        <v>-2.4769999999999999</v>
      </c>
      <c r="EM83"/>
      <c r="ET83" s="5"/>
      <c r="FT83" s="1"/>
      <c r="FU83" s="1"/>
      <c r="FX83" s="6"/>
      <c r="IL83" s="15"/>
    </row>
    <row r="84" spans="1:246" x14ac:dyDescent="0.35">
      <c r="A84">
        <v>6</v>
      </c>
      <c r="B84">
        <v>0</v>
      </c>
      <c r="C84" s="3">
        <v>19</v>
      </c>
      <c r="D84" t="s">
        <v>270</v>
      </c>
      <c r="E84" t="s">
        <v>245</v>
      </c>
      <c r="F84" t="s">
        <v>196</v>
      </c>
      <c r="G84" t="s">
        <v>246</v>
      </c>
      <c r="H84">
        <v>19950322</v>
      </c>
      <c r="I84">
        <f>10*3600+40*60+47</f>
        <v>38447</v>
      </c>
      <c r="K84" s="5">
        <v>0.44498842592592597</v>
      </c>
      <c r="L84" t="s">
        <v>248</v>
      </c>
      <c r="M84" t="s">
        <v>241</v>
      </c>
      <c r="N84">
        <v>1</v>
      </c>
      <c r="O84">
        <v>100</v>
      </c>
      <c r="Q84" t="s">
        <v>249</v>
      </c>
      <c r="R84" t="s">
        <v>247</v>
      </c>
      <c r="S84">
        <v>2</v>
      </c>
      <c r="T84">
        <v>1</v>
      </c>
      <c r="U84">
        <v>21.5</v>
      </c>
      <c r="V84">
        <v>18.649999999999999</v>
      </c>
      <c r="W84" s="6">
        <f>1000*0.164/Y84</f>
        <v>1.0061349693251533</v>
      </c>
      <c r="X84">
        <v>0.16800000000000001</v>
      </c>
      <c r="Y84">
        <v>163</v>
      </c>
      <c r="AA84" s="3">
        <f t="shared" si="17"/>
        <v>19</v>
      </c>
      <c r="AK84">
        <v>18</v>
      </c>
      <c r="AL84">
        <v>20</v>
      </c>
      <c r="AM84" s="6">
        <f>273.15-55</f>
        <v>218.14999999999998</v>
      </c>
      <c r="AN84" s="6">
        <f>AM84-0.5</f>
        <v>217.64999999999998</v>
      </c>
      <c r="AO84" s="6">
        <f>AM84+0.5</f>
        <v>218.64999999999998</v>
      </c>
      <c r="AS84" s="7">
        <v>310</v>
      </c>
      <c r="AT84" s="7">
        <v>287</v>
      </c>
      <c r="AU84" s="7">
        <v>285</v>
      </c>
      <c r="AV84" s="7">
        <v>289</v>
      </c>
      <c r="AW84">
        <v>0</v>
      </c>
      <c r="AX84" s="7">
        <v>70</v>
      </c>
      <c r="AY84" s="7">
        <v>60</v>
      </c>
      <c r="AZ84" s="7">
        <v>80</v>
      </c>
      <c r="BA84" s="6">
        <v>0.8</v>
      </c>
      <c r="BB84">
        <v>0.6</v>
      </c>
      <c r="BC84">
        <v>1.1000000000000001</v>
      </c>
      <c r="BD84" s="6">
        <v>3</v>
      </c>
      <c r="BE84" s="6">
        <v>3</v>
      </c>
      <c r="BF84" s="6">
        <v>4</v>
      </c>
      <c r="BJ84">
        <v>20</v>
      </c>
      <c r="BP84" s="3">
        <v>40</v>
      </c>
      <c r="BS84">
        <f>2*10*10*3.1415*0.000001</f>
        <v>6.2830000000000004E-4</v>
      </c>
      <c r="BY84">
        <f>(4*3.141592*917/3)*CL84*CL84*CL84*0.000000000000000001*BV84*1000000000000</f>
        <v>0</v>
      </c>
      <c r="BZ84">
        <v>0.15</v>
      </c>
      <c r="CA84">
        <v>0.05</v>
      </c>
      <c r="CB84">
        <v>0.3</v>
      </c>
      <c r="CF84" s="13"/>
      <c r="CG84" s="13"/>
      <c r="CH84" s="13"/>
      <c r="CI84">
        <v>0.91304347826086996</v>
      </c>
      <c r="CL84">
        <v>1</v>
      </c>
      <c r="CM84">
        <v>0.5</v>
      </c>
      <c r="CN84">
        <v>1</v>
      </c>
      <c r="DH84" s="14">
        <f t="shared" si="35"/>
        <v>73807.57232617111</v>
      </c>
      <c r="DI84" s="6">
        <f t="shared" si="36"/>
        <v>3.6876890937050155</v>
      </c>
      <c r="DJ84" s="6">
        <f t="shared" si="37"/>
        <v>2.0929417734359563</v>
      </c>
      <c r="DK84" s="8">
        <f t="shared" si="38"/>
        <v>4.5263669256094218E-5</v>
      </c>
      <c r="DL84" s="1">
        <f t="shared" si="39"/>
        <v>0.45833630373585932</v>
      </c>
      <c r="DM84">
        <f>BZ84*0.000001/DL84</f>
        <v>3.2727060627177695E-7</v>
      </c>
      <c r="DN84">
        <f>DM84/DK84</f>
        <v>7.2303154306853686E-3</v>
      </c>
      <c r="DO84">
        <f t="shared" si="42"/>
        <v>0.37116841101594489</v>
      </c>
      <c r="DP84" s="14">
        <f t="shared" si="40"/>
        <v>0</v>
      </c>
      <c r="DQ84" s="6">
        <f t="shared" si="41"/>
        <v>2.094825062853205</v>
      </c>
      <c r="DR84" s="6">
        <f>BS84*1000000*DL84/(W84*0.001)</f>
        <v>286216.76854189142</v>
      </c>
      <c r="DS84" s="6">
        <v>-0.28599999999999998</v>
      </c>
      <c r="ET84" s="5"/>
      <c r="FG84" s="6"/>
      <c r="FJ84" s="3"/>
      <c r="FX84" s="6"/>
      <c r="IL84" s="15"/>
    </row>
    <row r="85" spans="1:246" x14ac:dyDescent="0.35">
      <c r="A85">
        <v>0</v>
      </c>
      <c r="B85">
        <v>3</v>
      </c>
      <c r="C85">
        <v>48</v>
      </c>
      <c r="D85" t="s">
        <v>153</v>
      </c>
      <c r="E85" t="s">
        <v>154</v>
      </c>
      <c r="F85" t="s">
        <v>443</v>
      </c>
      <c r="G85" t="s">
        <v>101</v>
      </c>
      <c r="H85">
        <v>19950515</v>
      </c>
      <c r="K85" s="17">
        <v>0.46614583333333298</v>
      </c>
      <c r="L85" t="s">
        <v>177</v>
      </c>
      <c r="M85" t="s">
        <v>442</v>
      </c>
      <c r="Q85" t="s">
        <v>100</v>
      </c>
      <c r="AA85" s="3">
        <f t="shared" ref="AA85:AA148" si="43">C85</f>
        <v>48</v>
      </c>
      <c r="AG85" s="24"/>
      <c r="AH85" s="24"/>
      <c r="AI85" s="25"/>
      <c r="AM85"/>
      <c r="AN85"/>
      <c r="AO85"/>
      <c r="AP85" s="6">
        <v>10.685</v>
      </c>
      <c r="AQ85" s="6">
        <v>10.66</v>
      </c>
      <c r="AR85" s="6">
        <v>10.71</v>
      </c>
      <c r="AS85" s="7">
        <f t="shared" ref="AS85:AS108" si="44">(1-POWER(AT85/1013.25,0.190263103))*44330.76923/30.48</f>
        <v>350.55824817260333</v>
      </c>
      <c r="AT85">
        <v>237.79</v>
      </c>
      <c r="AU85">
        <v>236.86</v>
      </c>
      <c r="AV85">
        <v>238.72</v>
      </c>
      <c r="AX85"/>
      <c r="AY85"/>
      <c r="AZ85"/>
      <c r="BM85" s="26">
        <v>25</v>
      </c>
      <c r="BN85" s="3">
        <v>23.75</v>
      </c>
      <c r="BO85" s="3">
        <v>26.25</v>
      </c>
      <c r="BP85" s="26">
        <v>62</v>
      </c>
      <c r="BQ85" s="3">
        <v>58.9</v>
      </c>
      <c r="BR85" s="3">
        <v>65.100000000000009</v>
      </c>
      <c r="BS85" s="26">
        <v>5.1999999999999995E-4</v>
      </c>
      <c r="BT85" s="8">
        <v>4.6799999999999999E-4</v>
      </c>
      <c r="BU85" s="8">
        <v>5.7200000000000003E-4</v>
      </c>
      <c r="DB85"/>
      <c r="DC85" s="6"/>
      <c r="DD85"/>
      <c r="DH85" s="14">
        <f t="shared" si="35"/>
        <v>154914.12912893033</v>
      </c>
      <c r="DI85" s="6">
        <f t="shared" si="36"/>
        <v>6.4327422831745127E-10</v>
      </c>
      <c r="DJ85" s="6" t="e">
        <f t="shared" si="37"/>
        <v>#DIV/0!</v>
      </c>
      <c r="DK85" s="8" t="e">
        <f t="shared" si="38"/>
        <v>#DIV/0!</v>
      </c>
      <c r="DL85" s="1" t="e">
        <f t="shared" si="39"/>
        <v>#DIV/0!</v>
      </c>
      <c r="DO85" t="e">
        <f t="shared" si="42"/>
        <v>#DIV/0!</v>
      </c>
      <c r="DP85" s="14" t="e">
        <f t="shared" si="40"/>
        <v>#DIV/0!</v>
      </c>
      <c r="DQ85" s="6" t="e">
        <f t="shared" si="41"/>
        <v>#DIV/0!</v>
      </c>
      <c r="DS85" s="6">
        <v>-4.9710000000000001</v>
      </c>
    </row>
    <row r="86" spans="1:246" x14ac:dyDescent="0.35">
      <c r="A86">
        <v>0</v>
      </c>
      <c r="B86">
        <v>3</v>
      </c>
      <c r="C86">
        <v>37.799999999999997</v>
      </c>
      <c r="D86" t="s">
        <v>153</v>
      </c>
      <c r="E86" t="s">
        <v>154</v>
      </c>
      <c r="F86" t="s">
        <v>443</v>
      </c>
      <c r="G86" t="s">
        <v>101</v>
      </c>
      <c r="H86">
        <v>19951002</v>
      </c>
      <c r="K86" s="17">
        <v>0.45486111111111099</v>
      </c>
      <c r="L86" t="s">
        <v>177</v>
      </c>
      <c r="M86" t="s">
        <v>442</v>
      </c>
      <c r="Q86" s="27" t="s">
        <v>353</v>
      </c>
      <c r="AA86" s="3">
        <f t="shared" si="43"/>
        <v>37.799999999999997</v>
      </c>
      <c r="AG86" s="24"/>
      <c r="AH86" s="24"/>
      <c r="AI86" s="25"/>
      <c r="AM86">
        <v>215.655</v>
      </c>
      <c r="AN86">
        <v>214.16</v>
      </c>
      <c r="AO86">
        <v>217.15</v>
      </c>
      <c r="AP86" s="6">
        <v>11.515000000000001</v>
      </c>
      <c r="AQ86" s="6">
        <v>11.46</v>
      </c>
      <c r="AR86" s="6">
        <v>11.57</v>
      </c>
      <c r="AS86" s="7">
        <f t="shared" si="44"/>
        <v>384.79579558082236</v>
      </c>
      <c r="AT86">
        <v>201.5</v>
      </c>
      <c r="AU86">
        <v>197</v>
      </c>
      <c r="AV86">
        <v>206</v>
      </c>
      <c r="AX86">
        <v>80</v>
      </c>
      <c r="AY86"/>
      <c r="AZ86"/>
      <c r="BM86" s="26">
        <v>59</v>
      </c>
      <c r="BN86" s="3">
        <v>56.05</v>
      </c>
      <c r="BO86" s="3">
        <v>61.95</v>
      </c>
      <c r="BP86" s="26">
        <v>95</v>
      </c>
      <c r="BQ86" s="3">
        <v>90.25</v>
      </c>
      <c r="BR86" s="3">
        <v>99.75</v>
      </c>
      <c r="BS86" s="26">
        <v>3.5000000000000001E-3</v>
      </c>
      <c r="BT86" s="8">
        <v>3.15E-3</v>
      </c>
      <c r="BU86" s="8">
        <v>3.8500000000000006E-3</v>
      </c>
      <c r="CI86">
        <v>3.00000000000002</v>
      </c>
      <c r="CY86">
        <v>0.33</v>
      </c>
      <c r="DA86">
        <v>0.65</v>
      </c>
      <c r="DB86">
        <f>CY86*BP86</f>
        <v>31.35</v>
      </c>
      <c r="DC86" s="6"/>
      <c r="DD86"/>
      <c r="DH86" s="14">
        <f t="shared" si="35"/>
        <v>127965.08216980529</v>
      </c>
      <c r="DI86" s="6">
        <f t="shared" si="36"/>
        <v>2.8519843067647375</v>
      </c>
      <c r="DJ86" s="6">
        <f t="shared" si="37"/>
        <v>1.510663997418362</v>
      </c>
      <c r="DK86" s="8">
        <f t="shared" si="38"/>
        <v>4.6533673232703889E-5</v>
      </c>
      <c r="DL86" s="1">
        <f t="shared" si="39"/>
        <v>0.32551656749121899</v>
      </c>
      <c r="DO86">
        <f t="shared" si="42"/>
        <v>0.2082393835434474</v>
      </c>
      <c r="DP86" s="14">
        <f t="shared" si="40"/>
        <v>0</v>
      </c>
      <c r="DQ86" s="6">
        <f t="shared" si="41"/>
        <v>1.5121007734870822</v>
      </c>
      <c r="DS86" s="6" t="s">
        <v>462</v>
      </c>
    </row>
    <row r="87" spans="1:246" x14ac:dyDescent="0.35">
      <c r="A87">
        <v>0</v>
      </c>
      <c r="B87">
        <v>3</v>
      </c>
      <c r="C87">
        <v>336</v>
      </c>
      <c r="D87" t="s">
        <v>153</v>
      </c>
      <c r="E87" t="s">
        <v>154</v>
      </c>
      <c r="F87" t="s">
        <v>443</v>
      </c>
      <c r="G87" t="s">
        <v>101</v>
      </c>
      <c r="H87">
        <v>19951002</v>
      </c>
      <c r="K87" s="17">
        <v>0.55109953703703696</v>
      </c>
      <c r="L87" t="s">
        <v>177</v>
      </c>
      <c r="M87" t="s">
        <v>442</v>
      </c>
      <c r="Q87" s="27" t="s">
        <v>354</v>
      </c>
      <c r="AA87" s="3">
        <f t="shared" si="43"/>
        <v>336</v>
      </c>
      <c r="AG87" s="24"/>
      <c r="AH87" s="24"/>
      <c r="AI87" s="25"/>
      <c r="AM87">
        <v>215.655</v>
      </c>
      <c r="AN87">
        <v>214.16</v>
      </c>
      <c r="AO87">
        <v>217.15</v>
      </c>
      <c r="AP87" s="6">
        <v>11.51</v>
      </c>
      <c r="AQ87" s="6">
        <v>11.42</v>
      </c>
      <c r="AR87" s="6">
        <v>11.6</v>
      </c>
      <c r="AS87" s="7">
        <f t="shared" si="44"/>
        <v>384.79579558082236</v>
      </c>
      <c r="AT87">
        <v>201.5</v>
      </c>
      <c r="AU87">
        <v>197</v>
      </c>
      <c r="AV87">
        <v>206</v>
      </c>
      <c r="AX87">
        <v>80</v>
      </c>
      <c r="AY87"/>
      <c r="AZ87"/>
      <c r="BM87" s="26">
        <v>170</v>
      </c>
      <c r="BN87" s="3">
        <v>161.5</v>
      </c>
      <c r="BO87" s="3">
        <v>178.5</v>
      </c>
      <c r="BP87" s="26">
        <v>280</v>
      </c>
      <c r="BQ87" s="3">
        <v>266</v>
      </c>
      <c r="BR87" s="3">
        <v>294</v>
      </c>
      <c r="BS87" s="26">
        <v>2.1999999999999999E-2</v>
      </c>
      <c r="BT87" s="8">
        <v>1.9799999999999998E-2</v>
      </c>
      <c r="BU87" s="8">
        <v>2.4199999999999999E-2</v>
      </c>
      <c r="CI87">
        <v>0.94444444444444597</v>
      </c>
      <c r="CY87">
        <v>0.17</v>
      </c>
      <c r="DA87">
        <v>0.3</v>
      </c>
      <c r="DB87">
        <f>CY87*BP87</f>
        <v>47.6</v>
      </c>
      <c r="DC87" s="6"/>
      <c r="DD87"/>
      <c r="DH87" s="14">
        <f t="shared" si="35"/>
        <v>734800.53176386142</v>
      </c>
      <c r="DI87" s="6">
        <f t="shared" si="36"/>
        <v>2.8519843067647375</v>
      </c>
      <c r="DJ87" s="6">
        <f t="shared" si="37"/>
        <v>1.510663997418362</v>
      </c>
      <c r="DK87" s="8">
        <f t="shared" si="38"/>
        <v>4.6533673232703889E-5</v>
      </c>
      <c r="DL87" s="1">
        <f t="shared" si="39"/>
        <v>0.32551656749121899</v>
      </c>
      <c r="DO87">
        <f t="shared" si="42"/>
        <v>3.6264766660090493E-2</v>
      </c>
      <c r="DP87" s="14">
        <f t="shared" si="40"/>
        <v>0</v>
      </c>
      <c r="DQ87" s="6">
        <f t="shared" si="41"/>
        <v>1.5121007734870822</v>
      </c>
      <c r="DS87" s="6">
        <v>-5.9729999999999999</v>
      </c>
    </row>
    <row r="88" spans="1:246" x14ac:dyDescent="0.35">
      <c r="A88">
        <v>0</v>
      </c>
      <c r="B88">
        <v>3</v>
      </c>
      <c r="C88">
        <v>552</v>
      </c>
      <c r="D88" t="s">
        <v>153</v>
      </c>
      <c r="E88" t="s">
        <v>154</v>
      </c>
      <c r="F88" t="s">
        <v>443</v>
      </c>
      <c r="G88" t="s">
        <v>101</v>
      </c>
      <c r="H88">
        <v>19951002</v>
      </c>
      <c r="L88" t="s">
        <v>177</v>
      </c>
      <c r="M88" t="s">
        <v>442</v>
      </c>
      <c r="Q88" s="27" t="s">
        <v>355</v>
      </c>
      <c r="AA88" s="3">
        <f t="shared" si="43"/>
        <v>552</v>
      </c>
      <c r="AG88" s="24"/>
      <c r="AH88" s="24"/>
      <c r="AI88" s="25"/>
      <c r="AM88">
        <v>215.655</v>
      </c>
      <c r="AN88">
        <v>214.16</v>
      </c>
      <c r="AO88">
        <v>217.15</v>
      </c>
      <c r="AP88" s="6">
        <v>11.524999999999999</v>
      </c>
      <c r="AQ88" s="6">
        <v>11.44</v>
      </c>
      <c r="AR88" s="6">
        <v>11.61</v>
      </c>
      <c r="AS88" s="7">
        <f t="shared" si="44"/>
        <v>384.79579558082236</v>
      </c>
      <c r="AT88">
        <v>201.5</v>
      </c>
      <c r="AU88">
        <v>197</v>
      </c>
      <c r="AV88">
        <v>206</v>
      </c>
      <c r="AX88">
        <v>80</v>
      </c>
      <c r="AY88"/>
      <c r="AZ88"/>
      <c r="BM88" s="26">
        <v>180</v>
      </c>
      <c r="BN88" s="3">
        <v>162</v>
      </c>
      <c r="BO88" s="3">
        <v>198.00000000000003</v>
      </c>
      <c r="BP88" s="26">
        <v>382</v>
      </c>
      <c r="BQ88" s="3">
        <v>343.8</v>
      </c>
      <c r="BR88" s="3">
        <v>420.20000000000005</v>
      </c>
      <c r="BS88" s="26">
        <v>2.9000000000000001E-2</v>
      </c>
      <c r="BT88" s="8">
        <v>2.3200000000000002E-2</v>
      </c>
      <c r="BU88" s="8">
        <v>3.4799999999999998E-2</v>
      </c>
      <c r="CI88">
        <v>0</v>
      </c>
      <c r="DB88"/>
      <c r="DC88" s="6"/>
      <c r="DD88"/>
      <c r="DH88" s="14">
        <f t="shared" si="35"/>
        <v>1093073.3404656611</v>
      </c>
      <c r="DI88" s="6">
        <f t="shared" si="36"/>
        <v>2.8519843067647375</v>
      </c>
      <c r="DJ88" s="6">
        <f t="shared" si="37"/>
        <v>1.510663997418362</v>
      </c>
      <c r="DK88" s="8">
        <f t="shared" si="38"/>
        <v>4.6533673232703889E-5</v>
      </c>
      <c r="DL88" s="1">
        <f t="shared" si="39"/>
        <v>0.32551656749121899</v>
      </c>
      <c r="DO88">
        <f t="shared" si="42"/>
        <v>2.4378391494549467E-2</v>
      </c>
      <c r="DP88" s="14">
        <f t="shared" si="40"/>
        <v>0</v>
      </c>
      <c r="DQ88" s="6">
        <f t="shared" si="41"/>
        <v>1.5121007734870822</v>
      </c>
      <c r="DS88" s="6">
        <v>-5.9729999999999999</v>
      </c>
    </row>
    <row r="89" spans="1:246" x14ac:dyDescent="0.35">
      <c r="A89">
        <v>0</v>
      </c>
      <c r="B89">
        <v>3</v>
      </c>
      <c r="C89">
        <v>978</v>
      </c>
      <c r="D89" t="s">
        <v>153</v>
      </c>
      <c r="E89" t="s">
        <v>154</v>
      </c>
      <c r="F89" t="s">
        <v>443</v>
      </c>
      <c r="G89" t="s">
        <v>101</v>
      </c>
      <c r="H89">
        <v>19951002</v>
      </c>
      <c r="L89" t="s">
        <v>177</v>
      </c>
      <c r="M89" t="s">
        <v>442</v>
      </c>
      <c r="Q89" s="27" t="s">
        <v>356</v>
      </c>
      <c r="AA89" s="3">
        <f t="shared" si="43"/>
        <v>978</v>
      </c>
      <c r="AG89" s="24"/>
      <c r="AH89" s="24"/>
      <c r="AI89" s="25"/>
      <c r="AM89">
        <v>215.655</v>
      </c>
      <c r="AN89">
        <v>214.16</v>
      </c>
      <c r="AO89">
        <v>217.15</v>
      </c>
      <c r="AP89" s="6">
        <v>11.635</v>
      </c>
      <c r="AQ89" s="6">
        <v>11.53</v>
      </c>
      <c r="AR89" s="6">
        <v>11.74</v>
      </c>
      <c r="AS89" s="7">
        <f t="shared" si="44"/>
        <v>384.79579558082236</v>
      </c>
      <c r="AT89">
        <v>201.5</v>
      </c>
      <c r="AU89">
        <v>197</v>
      </c>
      <c r="AV89">
        <v>206</v>
      </c>
      <c r="AX89">
        <v>80</v>
      </c>
      <c r="AY89"/>
      <c r="AZ89"/>
      <c r="BM89" s="26">
        <v>160</v>
      </c>
      <c r="BN89" s="3">
        <v>144</v>
      </c>
      <c r="BO89" s="3">
        <v>176</v>
      </c>
      <c r="BP89" s="26">
        <v>700</v>
      </c>
      <c r="BQ89" s="3">
        <v>630</v>
      </c>
      <c r="BR89" s="3">
        <v>770.00000000000011</v>
      </c>
      <c r="BS89" s="26">
        <v>4.7E-2</v>
      </c>
      <c r="BT89" s="8">
        <v>3.5250000000000004E-2</v>
      </c>
      <c r="BU89" s="8">
        <v>5.8749999999999997E-2</v>
      </c>
      <c r="CI89">
        <v>0.19047619047618999</v>
      </c>
      <c r="CY89">
        <v>0.04</v>
      </c>
      <c r="DA89">
        <v>0.1</v>
      </c>
      <c r="DB89">
        <f>CY89*BP89</f>
        <v>28</v>
      </c>
      <c r="DC89" s="6"/>
      <c r="DD89"/>
      <c r="DH89" s="14">
        <f t="shared" si="35"/>
        <v>1727305.3725745166</v>
      </c>
      <c r="DI89" s="6">
        <f t="shared" si="36"/>
        <v>2.8519843067647375</v>
      </c>
      <c r="DJ89" s="6">
        <f t="shared" si="37"/>
        <v>1.510663997418362</v>
      </c>
      <c r="DK89" s="8">
        <f t="shared" si="38"/>
        <v>4.6533673232703889E-5</v>
      </c>
      <c r="DL89" s="1">
        <f t="shared" si="39"/>
        <v>0.32551656749121899</v>
      </c>
      <c r="DO89">
        <f t="shared" si="42"/>
        <v>1.5427133064728118E-2</v>
      </c>
      <c r="DP89" s="14">
        <f t="shared" si="40"/>
        <v>0</v>
      </c>
      <c r="DQ89" s="6">
        <f t="shared" si="41"/>
        <v>1.5121007734870822</v>
      </c>
      <c r="DS89" s="6">
        <v>-5.9729999999999999</v>
      </c>
    </row>
    <row r="90" spans="1:246" x14ac:dyDescent="0.35">
      <c r="A90">
        <v>0</v>
      </c>
      <c r="B90">
        <v>3</v>
      </c>
      <c r="C90">
        <v>1188</v>
      </c>
      <c r="D90" t="s">
        <v>153</v>
      </c>
      <c r="E90" t="s">
        <v>154</v>
      </c>
      <c r="F90" t="s">
        <v>443</v>
      </c>
      <c r="G90" t="s">
        <v>101</v>
      </c>
      <c r="H90">
        <v>19951002</v>
      </c>
      <c r="L90" t="s">
        <v>177</v>
      </c>
      <c r="M90" t="s">
        <v>442</v>
      </c>
      <c r="Q90" s="27" t="s">
        <v>357</v>
      </c>
      <c r="AA90" s="3">
        <f t="shared" si="43"/>
        <v>1188</v>
      </c>
      <c r="AG90" s="24"/>
      <c r="AH90" s="24"/>
      <c r="AI90" s="25"/>
      <c r="AM90">
        <v>215.655</v>
      </c>
      <c r="AN90">
        <v>214.16</v>
      </c>
      <c r="AO90">
        <v>217.15</v>
      </c>
      <c r="AP90" s="6">
        <v>11.645</v>
      </c>
      <c r="AQ90" s="6">
        <v>11.55</v>
      </c>
      <c r="AR90" s="6">
        <v>11.74</v>
      </c>
      <c r="AS90" s="7">
        <f t="shared" si="44"/>
        <v>384.79579558082236</v>
      </c>
      <c r="AT90">
        <v>201.5</v>
      </c>
      <c r="AU90">
        <v>197</v>
      </c>
      <c r="AV90">
        <v>206</v>
      </c>
      <c r="AX90">
        <v>80</v>
      </c>
      <c r="AY90"/>
      <c r="AZ90"/>
      <c r="BM90" s="26">
        <v>160</v>
      </c>
      <c r="BN90" s="3">
        <v>144</v>
      </c>
      <c r="BO90" s="3">
        <v>176</v>
      </c>
      <c r="BP90" s="26">
        <v>850</v>
      </c>
      <c r="BQ90" s="3">
        <v>765</v>
      </c>
      <c r="BR90" s="3">
        <v>935.00000000000011</v>
      </c>
      <c r="BS90" s="26">
        <v>6.5000000000000002E-2</v>
      </c>
      <c r="BT90" s="8">
        <v>4.8750000000000002E-2</v>
      </c>
      <c r="BU90" s="8">
        <v>8.1250000000000003E-2</v>
      </c>
      <c r="CI90">
        <v>0</v>
      </c>
      <c r="DB90"/>
      <c r="DC90" s="6"/>
      <c r="DD90"/>
      <c r="DH90" s="14">
        <f t="shared" si="35"/>
        <v>2018139.5456497024</v>
      </c>
      <c r="DI90" s="6">
        <f t="shared" si="36"/>
        <v>2.8519843067647375</v>
      </c>
      <c r="DJ90" s="6">
        <f t="shared" si="37"/>
        <v>1.510663997418362</v>
      </c>
      <c r="DK90" s="8">
        <f t="shared" si="38"/>
        <v>4.6533673232703889E-5</v>
      </c>
      <c r="DL90" s="1">
        <f t="shared" si="39"/>
        <v>0.32551656749121899</v>
      </c>
      <c r="DO90">
        <f t="shared" si="42"/>
        <v>1.3203928283139718E-2</v>
      </c>
      <c r="DP90" s="14">
        <f t="shared" si="40"/>
        <v>0</v>
      </c>
      <c r="DQ90" s="6">
        <f t="shared" si="41"/>
        <v>1.5121007734870822</v>
      </c>
      <c r="DS90" s="6">
        <v>-5.9729999999999999</v>
      </c>
    </row>
    <row r="91" spans="1:246" x14ac:dyDescent="0.35">
      <c r="A91">
        <v>0</v>
      </c>
      <c r="B91">
        <v>3</v>
      </c>
      <c r="C91">
        <v>1428</v>
      </c>
      <c r="D91" t="s">
        <v>153</v>
      </c>
      <c r="E91" t="s">
        <v>154</v>
      </c>
      <c r="F91" t="s">
        <v>443</v>
      </c>
      <c r="G91" t="s">
        <v>101</v>
      </c>
      <c r="H91">
        <v>19951002</v>
      </c>
      <c r="L91" t="s">
        <v>177</v>
      </c>
      <c r="M91" t="s">
        <v>442</v>
      </c>
      <c r="Q91" s="27" t="s">
        <v>358</v>
      </c>
      <c r="AA91" s="3">
        <f t="shared" si="43"/>
        <v>1428</v>
      </c>
      <c r="AG91" s="24"/>
      <c r="AH91" s="24"/>
      <c r="AI91" s="25"/>
      <c r="AM91">
        <v>215.655</v>
      </c>
      <c r="AN91">
        <v>214.16</v>
      </c>
      <c r="AO91">
        <v>217.15</v>
      </c>
      <c r="AP91" s="6">
        <v>11.615</v>
      </c>
      <c r="AQ91" s="6">
        <v>11.51</v>
      </c>
      <c r="AR91" s="6">
        <v>11.72</v>
      </c>
      <c r="AS91" s="7">
        <f t="shared" si="44"/>
        <v>384.79579558082236</v>
      </c>
      <c r="AT91">
        <v>201.5</v>
      </c>
      <c r="AU91">
        <v>197</v>
      </c>
      <c r="AV91">
        <v>206</v>
      </c>
      <c r="AX91">
        <v>80</v>
      </c>
      <c r="AY91"/>
      <c r="AZ91"/>
      <c r="BM91" s="26">
        <v>190</v>
      </c>
      <c r="BN91" s="3">
        <v>171</v>
      </c>
      <c r="BO91" s="3">
        <v>209.00000000000003</v>
      </c>
      <c r="BP91" s="26">
        <v>1270</v>
      </c>
      <c r="BQ91" s="3">
        <v>1143</v>
      </c>
      <c r="BR91" s="3">
        <v>1397</v>
      </c>
      <c r="BS91" s="26">
        <v>9.2999999999999999E-2</v>
      </c>
      <c r="BT91" s="8">
        <v>6.9750000000000006E-2</v>
      </c>
      <c r="BU91" s="8">
        <v>0.11624999999999999</v>
      </c>
      <c r="CI91">
        <v>0.157142857142857</v>
      </c>
      <c r="CY91">
        <v>3.3000000000000002E-2</v>
      </c>
      <c r="DA91">
        <v>5.1999999999999998E-2</v>
      </c>
      <c r="DB91">
        <f>CY91*BP91</f>
        <v>41.910000000000004</v>
      </c>
      <c r="DC91" s="6"/>
      <c r="DD91"/>
      <c r="DH91" s="14">
        <f t="shared" si="35"/>
        <v>2338194.3457767847</v>
      </c>
      <c r="DI91" s="6">
        <f t="shared" si="36"/>
        <v>2.8519843067647375</v>
      </c>
      <c r="DJ91" s="6">
        <f t="shared" si="37"/>
        <v>1.510663997418362</v>
      </c>
      <c r="DK91" s="8">
        <f t="shared" si="38"/>
        <v>4.6533673232703889E-5</v>
      </c>
      <c r="DL91" s="1">
        <f t="shared" si="39"/>
        <v>0.32551656749121899</v>
      </c>
      <c r="DO91">
        <f t="shared" si="42"/>
        <v>1.1396559004711036E-2</v>
      </c>
      <c r="DP91" s="14">
        <f t="shared" si="40"/>
        <v>0</v>
      </c>
      <c r="DQ91" s="6">
        <f t="shared" si="41"/>
        <v>1.5121007734870822</v>
      </c>
      <c r="DS91" s="6">
        <v>-5.9729999999999999</v>
      </c>
    </row>
    <row r="92" spans="1:246" x14ac:dyDescent="0.35">
      <c r="A92">
        <v>0</v>
      </c>
      <c r="B92">
        <v>3</v>
      </c>
      <c r="C92">
        <v>6</v>
      </c>
      <c r="D92" t="s">
        <v>153</v>
      </c>
      <c r="E92" t="s">
        <v>154</v>
      </c>
      <c r="F92" t="s">
        <v>443</v>
      </c>
      <c r="G92" t="s">
        <v>101</v>
      </c>
      <c r="H92">
        <v>19951026</v>
      </c>
      <c r="K92" s="17">
        <v>0.433726851851852</v>
      </c>
      <c r="L92" t="s">
        <v>177</v>
      </c>
      <c r="M92" t="s">
        <v>442</v>
      </c>
      <c r="Q92" s="27" t="s">
        <v>359</v>
      </c>
      <c r="AA92" s="3">
        <f t="shared" si="43"/>
        <v>6</v>
      </c>
      <c r="AG92" s="24"/>
      <c r="AH92" s="24"/>
      <c r="AM92">
        <v>210.155</v>
      </c>
      <c r="AN92">
        <v>210.16</v>
      </c>
      <c r="AO92">
        <v>210.15</v>
      </c>
      <c r="AP92" s="6">
        <v>12.125</v>
      </c>
      <c r="AQ92" s="6">
        <v>12.08</v>
      </c>
      <c r="AR92" s="6">
        <v>12.17</v>
      </c>
      <c r="AS92" s="7">
        <f t="shared" si="44"/>
        <v>388.86856605335259</v>
      </c>
      <c r="AT92">
        <v>197.5</v>
      </c>
      <c r="AU92">
        <v>195</v>
      </c>
      <c r="AV92">
        <v>200</v>
      </c>
      <c r="AX92">
        <v>65</v>
      </c>
      <c r="AY92"/>
      <c r="AZ92"/>
      <c r="BM92" s="28"/>
      <c r="BN92" s="3"/>
      <c r="BO92" s="3"/>
      <c r="BP92" s="28"/>
      <c r="BT92" s="8"/>
      <c r="BU92" s="8"/>
      <c r="CI92">
        <v>0</v>
      </c>
      <c r="DB92"/>
      <c r="DC92" s="6"/>
      <c r="DD92"/>
      <c r="DH92" s="14">
        <f t="shared" si="35"/>
        <v>29350.73898840633</v>
      </c>
      <c r="DI92" s="6">
        <f t="shared" si="36"/>
        <v>1.6185246104763462</v>
      </c>
      <c r="DJ92" s="6">
        <f t="shared" si="37"/>
        <v>0.71657348723140946</v>
      </c>
      <c r="DK92" s="8">
        <f t="shared" si="38"/>
        <v>2.2519987376980133E-5</v>
      </c>
      <c r="DL92" s="1">
        <f t="shared" si="39"/>
        <v>0.32740473155570499</v>
      </c>
      <c r="DO92">
        <f t="shared" si="42"/>
        <v>1.876007205412457</v>
      </c>
      <c r="DP92" s="14">
        <f t="shared" si="40"/>
        <v>0</v>
      </c>
      <c r="DQ92" s="6">
        <f t="shared" si="41"/>
        <v>0.71733566869999055</v>
      </c>
      <c r="DS92" s="6">
        <v>-5.9729999999999999</v>
      </c>
    </row>
    <row r="93" spans="1:246" x14ac:dyDescent="0.35">
      <c r="A93">
        <v>0</v>
      </c>
      <c r="B93">
        <v>3</v>
      </c>
      <c r="C93">
        <v>13.8</v>
      </c>
      <c r="D93" t="s">
        <v>153</v>
      </c>
      <c r="E93" t="s">
        <v>154</v>
      </c>
      <c r="F93" t="s">
        <v>443</v>
      </c>
      <c r="G93" t="s">
        <v>101</v>
      </c>
      <c r="H93">
        <v>19951026</v>
      </c>
      <c r="L93" t="s">
        <v>177</v>
      </c>
      <c r="M93" t="s">
        <v>442</v>
      </c>
      <c r="Q93" s="27" t="s">
        <v>432</v>
      </c>
      <c r="AA93" s="3">
        <f t="shared" si="43"/>
        <v>13.8</v>
      </c>
      <c r="AG93" s="24"/>
      <c r="AH93" s="24"/>
      <c r="AI93" s="25"/>
      <c r="AM93">
        <v>210.155</v>
      </c>
      <c r="AN93">
        <v>210.16</v>
      </c>
      <c r="AO93">
        <v>210.15</v>
      </c>
      <c r="AP93" s="6">
        <v>12.125</v>
      </c>
      <c r="AQ93" s="6">
        <v>12.08</v>
      </c>
      <c r="AR93" s="6">
        <v>12.17</v>
      </c>
      <c r="AS93" s="7">
        <f t="shared" si="44"/>
        <v>388.86856605335259</v>
      </c>
      <c r="AT93">
        <v>197.5</v>
      </c>
      <c r="AU93">
        <v>195</v>
      </c>
      <c r="AV93">
        <v>200</v>
      </c>
      <c r="AX93">
        <v>65</v>
      </c>
      <c r="AY93"/>
      <c r="AZ93"/>
      <c r="BM93" s="26">
        <v>72</v>
      </c>
      <c r="BN93" s="3">
        <v>64.8</v>
      </c>
      <c r="BO93" s="3">
        <v>79.2</v>
      </c>
      <c r="BP93" s="26">
        <v>74</v>
      </c>
      <c r="BQ93" s="3">
        <v>66.600000000000009</v>
      </c>
      <c r="BR93" s="3">
        <v>81.400000000000006</v>
      </c>
      <c r="BS93" s="26">
        <v>3.5999999999999999E-3</v>
      </c>
      <c r="BT93" s="8">
        <v>2.8800000000000002E-3</v>
      </c>
      <c r="BU93" s="8">
        <v>4.3200000000000001E-3</v>
      </c>
      <c r="CI93">
        <v>5.2222222222222303</v>
      </c>
      <c r="CY93">
        <v>0.47</v>
      </c>
      <c r="DA93">
        <v>0.65</v>
      </c>
      <c r="DB93">
        <f>CY93*BP93</f>
        <v>34.78</v>
      </c>
      <c r="DC93" s="6"/>
      <c r="DD93"/>
      <c r="DH93" s="14">
        <f t="shared" si="35"/>
        <v>57148.03593369812</v>
      </c>
      <c r="DI93" s="6">
        <f t="shared" si="36"/>
        <v>1.6185246104763462</v>
      </c>
      <c r="DJ93" s="6">
        <f t="shared" si="37"/>
        <v>0.71657348723140946</v>
      </c>
      <c r="DK93" s="8">
        <f t="shared" si="38"/>
        <v>2.2519987376980133E-5</v>
      </c>
      <c r="DL93" s="1">
        <f t="shared" si="39"/>
        <v>0.32740473155570499</v>
      </c>
      <c r="DO93">
        <f t="shared" si="42"/>
        <v>0.96350114097206319</v>
      </c>
      <c r="DP93" s="14">
        <f t="shared" si="40"/>
        <v>0</v>
      </c>
      <c r="DQ93" s="6">
        <f t="shared" si="41"/>
        <v>0.71733566869999055</v>
      </c>
      <c r="DS93" s="6">
        <v>-10.78</v>
      </c>
    </row>
    <row r="94" spans="1:246" x14ac:dyDescent="0.35">
      <c r="A94">
        <v>0</v>
      </c>
      <c r="B94">
        <v>3</v>
      </c>
      <c r="C94">
        <v>22.2</v>
      </c>
      <c r="D94" t="s">
        <v>153</v>
      </c>
      <c r="E94" t="s">
        <v>154</v>
      </c>
      <c r="F94" t="s">
        <v>443</v>
      </c>
      <c r="G94" t="s">
        <v>101</v>
      </c>
      <c r="H94">
        <v>19951026</v>
      </c>
      <c r="L94" t="s">
        <v>177</v>
      </c>
      <c r="M94" t="s">
        <v>442</v>
      </c>
      <c r="Q94" s="27" t="s">
        <v>360</v>
      </c>
      <c r="AA94" s="3">
        <f t="shared" si="43"/>
        <v>22.2</v>
      </c>
      <c r="AG94" s="24"/>
      <c r="AH94" s="24"/>
      <c r="AM94">
        <v>210.155</v>
      </c>
      <c r="AN94">
        <v>210.16</v>
      </c>
      <c r="AO94">
        <v>210.15</v>
      </c>
      <c r="AP94" s="6">
        <v>12.125</v>
      </c>
      <c r="AQ94" s="6">
        <v>12.08</v>
      </c>
      <c r="AR94" s="6">
        <v>12.17</v>
      </c>
      <c r="AS94" s="7">
        <f t="shared" si="44"/>
        <v>388.86856605335259</v>
      </c>
      <c r="AT94">
        <v>197.5</v>
      </c>
      <c r="AU94">
        <v>195</v>
      </c>
      <c r="AV94">
        <v>200</v>
      </c>
      <c r="AX94">
        <v>65</v>
      </c>
      <c r="AY94"/>
      <c r="AZ94"/>
      <c r="BM94" s="28" t="s">
        <v>423</v>
      </c>
      <c r="BN94" s="3"/>
      <c r="BO94" s="3"/>
      <c r="BP94" s="28"/>
      <c r="BT94" s="8"/>
      <c r="BU94" s="8"/>
      <c r="CI94">
        <v>0</v>
      </c>
      <c r="DB94"/>
      <c r="DC94" s="6"/>
      <c r="DD94"/>
      <c r="DH94" s="14">
        <f t="shared" si="35"/>
        <v>83595.022609799853</v>
      </c>
      <c r="DI94" s="6">
        <f t="shared" si="36"/>
        <v>1.6185246104763462</v>
      </c>
      <c r="DJ94" s="6">
        <f t="shared" si="37"/>
        <v>0.71657348723140946</v>
      </c>
      <c r="DK94" s="8">
        <f t="shared" si="38"/>
        <v>2.2519987376980133E-5</v>
      </c>
      <c r="DL94" s="1">
        <f t="shared" si="39"/>
        <v>0.32740473155570499</v>
      </c>
      <c r="DO94">
        <f t="shared" si="42"/>
        <v>0.65867794645438205</v>
      </c>
      <c r="DP94" s="14">
        <f t="shared" si="40"/>
        <v>0</v>
      </c>
      <c r="DQ94" s="6">
        <f t="shared" si="41"/>
        <v>0.71733566869999055</v>
      </c>
      <c r="DS94" s="6">
        <v>-10.78</v>
      </c>
    </row>
    <row r="95" spans="1:246" x14ac:dyDescent="0.35">
      <c r="A95">
        <v>0</v>
      </c>
      <c r="B95">
        <v>3</v>
      </c>
      <c r="C95">
        <v>105</v>
      </c>
      <c r="D95" t="s">
        <v>153</v>
      </c>
      <c r="E95" t="s">
        <v>154</v>
      </c>
      <c r="F95" t="s">
        <v>443</v>
      </c>
      <c r="G95" t="s">
        <v>101</v>
      </c>
      <c r="H95">
        <v>19951026</v>
      </c>
      <c r="L95" t="s">
        <v>177</v>
      </c>
      <c r="M95" t="s">
        <v>442</v>
      </c>
      <c r="Q95" s="27" t="s">
        <v>433</v>
      </c>
      <c r="AA95" s="3">
        <f t="shared" si="43"/>
        <v>105</v>
      </c>
      <c r="AG95" s="24"/>
      <c r="AH95" s="24"/>
      <c r="AI95" s="25"/>
      <c r="AM95">
        <v>210.155</v>
      </c>
      <c r="AN95">
        <v>210.16</v>
      </c>
      <c r="AO95">
        <v>210.15</v>
      </c>
      <c r="AP95" s="6">
        <v>12.077500000000001</v>
      </c>
      <c r="AQ95" s="6">
        <v>11.984999999999999</v>
      </c>
      <c r="AR95" s="6">
        <v>12.17</v>
      </c>
      <c r="AS95" s="7">
        <f t="shared" si="44"/>
        <v>390.41308523600827</v>
      </c>
      <c r="AT95">
        <v>196</v>
      </c>
      <c r="AU95">
        <v>195</v>
      </c>
      <c r="AV95">
        <v>197</v>
      </c>
      <c r="AX95">
        <v>65</v>
      </c>
      <c r="AY95"/>
      <c r="AZ95"/>
      <c r="BM95" s="26">
        <v>145</v>
      </c>
      <c r="BN95" s="3">
        <v>130.5</v>
      </c>
      <c r="BO95" s="3">
        <v>159.5</v>
      </c>
      <c r="BP95" s="26">
        <v>65</v>
      </c>
      <c r="BQ95" s="3">
        <v>45.5</v>
      </c>
      <c r="BR95" s="3">
        <v>84.5</v>
      </c>
      <c r="BS95" s="26">
        <v>4.7000000000000002E-3</v>
      </c>
      <c r="BT95" s="8">
        <v>3.29E-3</v>
      </c>
      <c r="BU95" s="8">
        <v>6.1100000000000008E-3</v>
      </c>
      <c r="CI95">
        <v>0.891891891891889</v>
      </c>
      <c r="CY95">
        <v>0.16500000000000001</v>
      </c>
      <c r="DA95">
        <v>0.34</v>
      </c>
      <c r="DB95">
        <f>CY95*BP95</f>
        <v>10.725</v>
      </c>
      <c r="DC95"/>
      <c r="DD95"/>
      <c r="DH95" s="14">
        <f t="shared" si="35"/>
        <v>289767.37015272491</v>
      </c>
      <c r="DI95" s="6">
        <f t="shared" si="36"/>
        <v>1.6185246104763462</v>
      </c>
      <c r="DJ95" s="6">
        <f t="shared" si="37"/>
        <v>0.71657348723140946</v>
      </c>
      <c r="DK95" s="8">
        <f t="shared" si="38"/>
        <v>2.2692334219150899E-5</v>
      </c>
      <c r="DL95" s="1">
        <f t="shared" si="39"/>
        <v>0.32491811334135784</v>
      </c>
      <c r="DO95">
        <f t="shared" si="42"/>
        <v>0.1885788723902467</v>
      </c>
      <c r="DP95" s="14">
        <f t="shared" si="40"/>
        <v>0</v>
      </c>
      <c r="DQ95" s="6">
        <f t="shared" si="41"/>
        <v>0.71733566869999055</v>
      </c>
      <c r="DS95" s="6">
        <v>-10.78</v>
      </c>
    </row>
    <row r="96" spans="1:246" x14ac:dyDescent="0.35">
      <c r="A96">
        <v>0</v>
      </c>
      <c r="B96">
        <v>3</v>
      </c>
      <c r="C96">
        <v>945</v>
      </c>
      <c r="D96" t="s">
        <v>153</v>
      </c>
      <c r="E96" t="s">
        <v>154</v>
      </c>
      <c r="F96" t="s">
        <v>443</v>
      </c>
      <c r="G96" t="s">
        <v>101</v>
      </c>
      <c r="H96">
        <v>19951026</v>
      </c>
      <c r="K96" s="17">
        <v>0.45660879629629603</v>
      </c>
      <c r="L96" t="s">
        <v>177</v>
      </c>
      <c r="M96" t="s">
        <v>442</v>
      </c>
      <c r="Q96" s="27" t="s">
        <v>361</v>
      </c>
      <c r="AA96" s="3">
        <f t="shared" si="43"/>
        <v>945</v>
      </c>
      <c r="AG96" s="24"/>
      <c r="AH96" s="24"/>
      <c r="AI96" s="25"/>
      <c r="AM96">
        <v>210.155</v>
      </c>
      <c r="AN96">
        <v>210.16</v>
      </c>
      <c r="AO96">
        <v>210.15</v>
      </c>
      <c r="AP96" s="6">
        <v>12.065000000000001</v>
      </c>
      <c r="AQ96" s="6">
        <v>11.88</v>
      </c>
      <c r="AR96" s="6">
        <v>12.25</v>
      </c>
      <c r="AS96" s="7">
        <f t="shared" si="44"/>
        <v>390.41308523600827</v>
      </c>
      <c r="AT96">
        <v>196</v>
      </c>
      <c r="AU96">
        <v>195</v>
      </c>
      <c r="AV96">
        <v>197</v>
      </c>
      <c r="AX96">
        <v>65</v>
      </c>
      <c r="AY96"/>
      <c r="AZ96"/>
      <c r="BM96" s="26">
        <v>390</v>
      </c>
      <c r="BN96" s="3">
        <v>312</v>
      </c>
      <c r="BO96" s="3">
        <v>468</v>
      </c>
      <c r="BP96" s="26">
        <v>580</v>
      </c>
      <c r="BQ96" s="3">
        <v>290</v>
      </c>
      <c r="BR96" s="3">
        <v>870</v>
      </c>
      <c r="BS96" s="26">
        <v>0.11</v>
      </c>
      <c r="BT96" s="8">
        <v>5.5E-2</v>
      </c>
      <c r="BU96" s="8">
        <v>0.16500000000000001</v>
      </c>
      <c r="CI96">
        <v>0.18918918918919</v>
      </c>
      <c r="CY96">
        <v>7.0000000000000007E-2</v>
      </c>
      <c r="DA96">
        <v>0.17</v>
      </c>
      <c r="DB96">
        <f>CY96*BP96</f>
        <v>40.6</v>
      </c>
      <c r="DC96"/>
      <c r="DD96"/>
      <c r="DH96" s="14">
        <f t="shared" si="35"/>
        <v>1680519.2315590319</v>
      </c>
      <c r="DI96" s="6">
        <f t="shared" si="36"/>
        <v>1.6185246104763462</v>
      </c>
      <c r="DJ96" s="6">
        <f t="shared" si="37"/>
        <v>0.71657348723140946</v>
      </c>
      <c r="DK96" s="8">
        <f t="shared" si="38"/>
        <v>2.2692334219150899E-5</v>
      </c>
      <c r="DL96" s="1">
        <f t="shared" si="39"/>
        <v>0.32491811334135784</v>
      </c>
      <c r="DO96">
        <f t="shared" si="42"/>
        <v>3.2516143161417072E-2</v>
      </c>
      <c r="DP96" s="14">
        <f t="shared" si="40"/>
        <v>0</v>
      </c>
      <c r="DQ96" s="6">
        <f t="shared" si="41"/>
        <v>0.71733566869999055</v>
      </c>
      <c r="DS96" s="6">
        <v>-10.71</v>
      </c>
    </row>
    <row r="97" spans="1:246" x14ac:dyDescent="0.35">
      <c r="A97">
        <v>0</v>
      </c>
      <c r="B97">
        <v>3</v>
      </c>
      <c r="C97">
        <v>19.8</v>
      </c>
      <c r="D97" t="s">
        <v>153</v>
      </c>
      <c r="E97" t="s">
        <v>154</v>
      </c>
      <c r="F97" t="s">
        <v>443</v>
      </c>
      <c r="G97" t="s">
        <v>101</v>
      </c>
      <c r="H97">
        <v>19951109</v>
      </c>
      <c r="K97" s="17" t="s">
        <v>375</v>
      </c>
      <c r="L97" t="s">
        <v>177</v>
      </c>
      <c r="M97" t="s">
        <v>442</v>
      </c>
      <c r="Q97" s="27" t="s">
        <v>362</v>
      </c>
      <c r="AA97" s="3">
        <f t="shared" si="43"/>
        <v>19.8</v>
      </c>
      <c r="AG97" s="24"/>
      <c r="AH97" s="24"/>
      <c r="AI97" s="25"/>
      <c r="AM97">
        <v>220.655</v>
      </c>
      <c r="AN97">
        <v>220.16</v>
      </c>
      <c r="AO97">
        <v>221.15</v>
      </c>
      <c r="AP97" s="6">
        <v>10.055</v>
      </c>
      <c r="AQ97" s="6">
        <v>9.99</v>
      </c>
      <c r="AR97" s="6">
        <v>10.119999999999999</v>
      </c>
      <c r="AS97" s="7">
        <f t="shared" si="44"/>
        <v>329.59805564785859</v>
      </c>
      <c r="AT97">
        <v>262.5</v>
      </c>
      <c r="AU97">
        <v>260</v>
      </c>
      <c r="AV97">
        <v>265</v>
      </c>
      <c r="AX97">
        <v>90</v>
      </c>
      <c r="AY97"/>
      <c r="AZ97"/>
      <c r="BM97" s="26">
        <v>90</v>
      </c>
      <c r="BN97" s="3">
        <v>81</v>
      </c>
      <c r="BO97" s="3">
        <v>99.000000000000014</v>
      </c>
      <c r="BP97" s="26">
        <v>140</v>
      </c>
      <c r="BQ97" s="3">
        <v>126</v>
      </c>
      <c r="BR97" s="3">
        <v>154</v>
      </c>
      <c r="BS97" s="26">
        <v>6.6E-3</v>
      </c>
      <c r="BT97" s="8">
        <v>5.94E-3</v>
      </c>
      <c r="BU97" s="8">
        <v>7.2600000000000008E-3</v>
      </c>
      <c r="CI97">
        <v>2.3846153846154001</v>
      </c>
      <c r="CY97">
        <v>0.31</v>
      </c>
      <c r="DA97">
        <v>0.68</v>
      </c>
      <c r="DB97">
        <f>CY97*BP97</f>
        <v>43.4</v>
      </c>
      <c r="DC97"/>
      <c r="DD97"/>
      <c r="DH97" s="14">
        <f t="shared" si="35"/>
        <v>76283.426458875489</v>
      </c>
      <c r="DI97" s="6">
        <f t="shared" si="36"/>
        <v>4.7731907423238038</v>
      </c>
      <c r="DJ97" s="6">
        <f t="shared" si="37"/>
        <v>2.8821293255213365</v>
      </c>
      <c r="DK97" s="8">
        <f t="shared" si="38"/>
        <v>6.8148870751243433E-5</v>
      </c>
      <c r="DL97" s="1">
        <f t="shared" si="39"/>
        <v>0.41445092518330001</v>
      </c>
      <c r="DO97">
        <f t="shared" si="42"/>
        <v>0.23852440935800226</v>
      </c>
      <c r="DP97" s="14">
        <f t="shared" si="40"/>
        <v>0</v>
      </c>
      <c r="DQ97" s="6">
        <f t="shared" si="41"/>
        <v>2.884572079664216</v>
      </c>
      <c r="DS97" s="6">
        <v>-10.71</v>
      </c>
    </row>
    <row r="98" spans="1:246" x14ac:dyDescent="0.35">
      <c r="A98">
        <v>0</v>
      </c>
      <c r="B98">
        <v>3</v>
      </c>
      <c r="C98">
        <v>72</v>
      </c>
      <c r="D98" t="s">
        <v>153</v>
      </c>
      <c r="E98" t="s">
        <v>154</v>
      </c>
      <c r="F98" t="s">
        <v>443</v>
      </c>
      <c r="G98" t="s">
        <v>101</v>
      </c>
      <c r="H98">
        <v>19951109</v>
      </c>
      <c r="L98" t="s">
        <v>177</v>
      </c>
      <c r="M98" t="s">
        <v>442</v>
      </c>
      <c r="Q98" s="27" t="s">
        <v>363</v>
      </c>
      <c r="AA98" s="3">
        <f t="shared" si="43"/>
        <v>72</v>
      </c>
      <c r="AG98" s="24"/>
      <c r="AH98" s="24"/>
      <c r="AI98" s="25"/>
      <c r="AM98">
        <v>221.155</v>
      </c>
      <c r="AN98">
        <v>220.16</v>
      </c>
      <c r="AO98">
        <v>222.15</v>
      </c>
      <c r="AP98" s="6">
        <v>10.005000000000001</v>
      </c>
      <c r="AQ98" s="6">
        <v>9.8800000000000008</v>
      </c>
      <c r="AR98" s="6">
        <v>10.130000000000001</v>
      </c>
      <c r="AS98" s="7">
        <f t="shared" si="44"/>
        <v>328.37794715803869</v>
      </c>
      <c r="AT98">
        <v>264</v>
      </c>
      <c r="AU98">
        <v>260</v>
      </c>
      <c r="AV98">
        <v>268</v>
      </c>
      <c r="AX98">
        <v>90</v>
      </c>
      <c r="AY98"/>
      <c r="AZ98"/>
      <c r="BM98" s="26">
        <v>215</v>
      </c>
      <c r="BN98" s="3">
        <v>172</v>
      </c>
      <c r="BO98" s="3">
        <v>258</v>
      </c>
      <c r="BP98" s="26">
        <v>70</v>
      </c>
      <c r="BQ98" s="3">
        <v>63</v>
      </c>
      <c r="BR98" s="3">
        <v>77</v>
      </c>
      <c r="BS98" s="26">
        <v>3.5999999999999999E-3</v>
      </c>
      <c r="BT98" s="8">
        <v>2.8800000000000002E-3</v>
      </c>
      <c r="BU98" s="8">
        <v>4.3200000000000001E-3</v>
      </c>
      <c r="CI98">
        <v>0.28000000000000003</v>
      </c>
      <c r="CY98">
        <v>7.0000000000000007E-2</v>
      </c>
      <c r="DA98">
        <v>0.2</v>
      </c>
      <c r="DB98">
        <f>CY98*BP98</f>
        <v>4.9000000000000004</v>
      </c>
      <c r="DC98"/>
      <c r="DD98"/>
      <c r="DH98" s="14">
        <f t="shared" si="35"/>
        <v>214271.31610513289</v>
      </c>
      <c r="DI98" s="6">
        <f t="shared" si="36"/>
        <v>5.0254499890727597</v>
      </c>
      <c r="DJ98" s="6">
        <f t="shared" si="37"/>
        <v>3.0695498651356528</v>
      </c>
      <c r="DK98" s="8">
        <f t="shared" si="38"/>
        <v>7.2168100277483993E-5</v>
      </c>
      <c r="DL98" s="1">
        <f t="shared" si="39"/>
        <v>0.41587684722098611</v>
      </c>
      <c r="DO98">
        <f t="shared" si="42"/>
        <v>8.0188552634890636E-2</v>
      </c>
      <c r="DP98" s="14">
        <f t="shared" si="40"/>
        <v>0</v>
      </c>
      <c r="DQ98" s="6">
        <f t="shared" si="41"/>
        <v>3.0721190555674576</v>
      </c>
      <c r="DS98" s="6">
        <v>-3.9769999999999999</v>
      </c>
    </row>
    <row r="99" spans="1:246" x14ac:dyDescent="0.35">
      <c r="A99">
        <v>0</v>
      </c>
      <c r="B99">
        <v>3</v>
      </c>
      <c r="C99">
        <v>27</v>
      </c>
      <c r="D99" t="s">
        <v>153</v>
      </c>
      <c r="E99" t="s">
        <v>154</v>
      </c>
      <c r="F99" t="s">
        <v>443</v>
      </c>
      <c r="G99" t="s">
        <v>101</v>
      </c>
      <c r="H99">
        <v>19951109</v>
      </c>
      <c r="K99" s="17" t="s">
        <v>375</v>
      </c>
      <c r="L99" t="s">
        <v>177</v>
      </c>
      <c r="M99" t="s">
        <v>442</v>
      </c>
      <c r="Q99" s="27" t="s">
        <v>364</v>
      </c>
      <c r="AA99" s="3">
        <f t="shared" si="43"/>
        <v>27</v>
      </c>
      <c r="AG99" s="24"/>
      <c r="AH99" s="24"/>
      <c r="AM99">
        <v>215.155</v>
      </c>
      <c r="AN99">
        <v>215.16</v>
      </c>
      <c r="AO99">
        <v>215.15</v>
      </c>
      <c r="AP99" s="6">
        <v>10.719999999999999</v>
      </c>
      <c r="AQ99" s="6">
        <v>10.68</v>
      </c>
      <c r="AR99" s="6">
        <v>10.76</v>
      </c>
      <c r="AS99" s="7">
        <f t="shared" si="44"/>
        <v>348.61360264886594</v>
      </c>
      <c r="AT99">
        <v>240</v>
      </c>
      <c r="AU99">
        <v>240</v>
      </c>
      <c r="AV99">
        <v>240</v>
      </c>
      <c r="AX99">
        <v>80</v>
      </c>
      <c r="AY99"/>
      <c r="AZ99"/>
      <c r="BM99" s="26">
        <v>53</v>
      </c>
      <c r="BN99" s="3">
        <v>37.099999999999994</v>
      </c>
      <c r="BO99" s="3">
        <v>68.900000000000006</v>
      </c>
      <c r="BP99" s="29"/>
      <c r="BS99" s="29"/>
      <c r="BT99" s="8"/>
      <c r="BU99" s="8"/>
      <c r="CI99">
        <v>7</v>
      </c>
      <c r="CY99">
        <v>0.56000000000000005</v>
      </c>
      <c r="DA99">
        <v>1.2</v>
      </c>
      <c r="DB99"/>
      <c r="DC99"/>
      <c r="DD99"/>
      <c r="DH99" s="14">
        <f t="shared" si="35"/>
        <v>97766.271156667673</v>
      </c>
      <c r="DI99" s="6">
        <f t="shared" si="36"/>
        <v>2.7088251042000611</v>
      </c>
      <c r="DJ99" s="6">
        <f t="shared" si="37"/>
        <v>1.4138425176265574</v>
      </c>
      <c r="DK99" s="8">
        <f t="shared" si="38"/>
        <v>3.6564892697238556E-5</v>
      </c>
      <c r="DL99" s="1">
        <f t="shared" si="39"/>
        <v>0.38861304703018412</v>
      </c>
      <c r="DO99">
        <f t="shared" si="42"/>
        <v>0.34687127010053392</v>
      </c>
      <c r="DP99" s="14">
        <f t="shared" si="40"/>
        <v>0</v>
      </c>
      <c r="DQ99" s="6">
        <f t="shared" si="41"/>
        <v>1.4152016448199987</v>
      </c>
      <c r="DS99" s="6">
        <v>-3.5489999999999999</v>
      </c>
    </row>
    <row r="100" spans="1:246" x14ac:dyDescent="0.35">
      <c r="A100">
        <v>0</v>
      </c>
      <c r="B100">
        <v>3</v>
      </c>
      <c r="C100">
        <v>25.2</v>
      </c>
      <c r="D100" t="s">
        <v>153</v>
      </c>
      <c r="E100" t="s">
        <v>154</v>
      </c>
      <c r="F100" t="s">
        <v>443</v>
      </c>
      <c r="G100" t="s">
        <v>101</v>
      </c>
      <c r="H100">
        <v>19951110</v>
      </c>
      <c r="K100" s="17" t="s">
        <v>376</v>
      </c>
      <c r="L100" t="s">
        <v>177</v>
      </c>
      <c r="M100" t="s">
        <v>442</v>
      </c>
      <c r="Q100" s="27" t="s">
        <v>365</v>
      </c>
      <c r="AA100" s="3">
        <f t="shared" si="43"/>
        <v>25.2</v>
      </c>
      <c r="AG100" s="24"/>
      <c r="AH100" s="24"/>
      <c r="AI100" s="25"/>
      <c r="AM100">
        <v>222.155</v>
      </c>
      <c r="AN100">
        <v>222.16</v>
      </c>
      <c r="AO100">
        <v>222.15</v>
      </c>
      <c r="AP100" s="6">
        <v>9.4649999999999999</v>
      </c>
      <c r="AQ100" s="6">
        <v>9.44</v>
      </c>
      <c r="AR100" s="6">
        <v>9.49</v>
      </c>
      <c r="AS100" s="7">
        <f t="shared" si="44"/>
        <v>308.07266132475894</v>
      </c>
      <c r="AT100">
        <v>290</v>
      </c>
      <c r="AU100">
        <v>290</v>
      </c>
      <c r="AV100">
        <v>290</v>
      </c>
      <c r="AX100">
        <v>90</v>
      </c>
      <c r="AY100"/>
      <c r="AZ100"/>
      <c r="BM100" s="26">
        <v>39</v>
      </c>
      <c r="BN100" s="3">
        <v>35.1</v>
      </c>
      <c r="BO100" s="3">
        <v>42.900000000000006</v>
      </c>
      <c r="BP100" s="26">
        <v>81</v>
      </c>
      <c r="BQ100" s="3">
        <v>72.900000000000006</v>
      </c>
      <c r="BR100" s="3">
        <v>89.100000000000009</v>
      </c>
      <c r="BS100" s="26">
        <v>2.3E-3</v>
      </c>
      <c r="BT100" s="8">
        <v>2.0700000000000002E-3</v>
      </c>
      <c r="BU100" s="8">
        <v>2.5300000000000001E-3</v>
      </c>
      <c r="CI100">
        <v>3.7999999999999501</v>
      </c>
      <c r="CY100">
        <v>0.19</v>
      </c>
      <c r="DA100">
        <v>0.55000000000000004</v>
      </c>
      <c r="DB100">
        <f>CY100*BP100</f>
        <v>15.39</v>
      </c>
      <c r="DC100"/>
      <c r="DD100"/>
      <c r="DH100" s="14">
        <f t="shared" si="35"/>
        <v>92516.346208098505</v>
      </c>
      <c r="DI100" s="6">
        <f t="shared" si="36"/>
        <v>5.5706681396282676</v>
      </c>
      <c r="DJ100" s="6">
        <f t="shared" si="37"/>
        <v>3.478802840811126</v>
      </c>
      <c r="DK100" s="8">
        <f t="shared" si="38"/>
        <v>7.4457135712961087E-5</v>
      </c>
      <c r="DL100" s="1">
        <f t="shared" si="39"/>
        <v>0.45477803858409643</v>
      </c>
      <c r="DO100">
        <f t="shared" si="42"/>
        <v>0.1800101058034779</v>
      </c>
      <c r="DP100" s="14">
        <f t="shared" si="40"/>
        <v>0</v>
      </c>
      <c r="DQ100" s="6">
        <f t="shared" si="41"/>
        <v>3.4816406239818032</v>
      </c>
      <c r="DS100" s="6">
        <v>-8.1349999999999998</v>
      </c>
    </row>
    <row r="101" spans="1:246" x14ac:dyDescent="0.35">
      <c r="A101">
        <v>0</v>
      </c>
      <c r="B101">
        <v>3</v>
      </c>
      <c r="C101">
        <v>76.8</v>
      </c>
      <c r="D101" t="s">
        <v>153</v>
      </c>
      <c r="E101" t="s">
        <v>154</v>
      </c>
      <c r="F101" t="s">
        <v>443</v>
      </c>
      <c r="G101" t="s">
        <v>101</v>
      </c>
      <c r="H101">
        <v>19951110</v>
      </c>
      <c r="L101" t="s">
        <v>177</v>
      </c>
      <c r="M101" t="s">
        <v>442</v>
      </c>
      <c r="Q101" s="27" t="s">
        <v>366</v>
      </c>
      <c r="AA101" s="3">
        <f t="shared" si="43"/>
        <v>76.8</v>
      </c>
      <c r="AG101" s="24"/>
      <c r="AH101" s="24"/>
      <c r="AI101" s="25"/>
      <c r="AM101">
        <v>222.655</v>
      </c>
      <c r="AN101">
        <v>222.16</v>
      </c>
      <c r="AO101">
        <v>223.15</v>
      </c>
      <c r="AP101" s="6">
        <v>9.4250000000000007</v>
      </c>
      <c r="AQ101" s="6">
        <v>9.35</v>
      </c>
      <c r="AR101" s="6">
        <v>9.5</v>
      </c>
      <c r="AS101" s="7">
        <f t="shared" si="44"/>
        <v>308.07266132475894</v>
      </c>
      <c r="AT101">
        <v>290</v>
      </c>
      <c r="AU101">
        <v>290</v>
      </c>
      <c r="AV101">
        <v>290</v>
      </c>
      <c r="AX101">
        <v>90</v>
      </c>
      <c r="AY101"/>
      <c r="AZ101"/>
      <c r="BM101" s="26">
        <v>142</v>
      </c>
      <c r="BN101" s="3">
        <v>127.8</v>
      </c>
      <c r="BO101" s="3">
        <v>156.20000000000002</v>
      </c>
      <c r="BP101" s="26">
        <v>77</v>
      </c>
      <c r="BQ101" s="3">
        <v>69.3</v>
      </c>
      <c r="BR101" s="3">
        <v>84.7</v>
      </c>
      <c r="BS101" s="26">
        <v>5.8999999999999999E-3</v>
      </c>
      <c r="BT101" s="8">
        <v>4.7200000000000002E-3</v>
      </c>
      <c r="BU101" s="8">
        <v>7.0799999999999995E-3</v>
      </c>
      <c r="CI101">
        <v>0.53333333333333199</v>
      </c>
      <c r="CY101">
        <v>0.08</v>
      </c>
      <c r="DA101">
        <v>0.13</v>
      </c>
      <c r="DB101">
        <f>CY101*BP101</f>
        <v>6.16</v>
      </c>
      <c r="DC101"/>
      <c r="DD101"/>
      <c r="DH101" s="14">
        <f t="shared" si="35"/>
        <v>225624.89442807212</v>
      </c>
      <c r="DI101" s="6">
        <f t="shared" si="36"/>
        <v>5.8650734179111321</v>
      </c>
      <c r="DJ101" s="6">
        <f t="shared" si="37"/>
        <v>3.7019054874854929</v>
      </c>
      <c r="DK101" s="8">
        <f t="shared" si="38"/>
        <v>7.9232222086490938E-5</v>
      </c>
      <c r="DL101" s="1">
        <f t="shared" si="39"/>
        <v>0.45375677690440336</v>
      </c>
      <c r="DO101">
        <f t="shared" si="42"/>
        <v>6.9363792938969007E-2</v>
      </c>
      <c r="DP101" s="14">
        <f t="shared" si="40"/>
        <v>0</v>
      </c>
      <c r="DQ101" s="6">
        <f t="shared" si="41"/>
        <v>3.7048856525410425</v>
      </c>
      <c r="DS101" s="6">
        <v>-3.5059999999999998</v>
      </c>
    </row>
    <row r="102" spans="1:246" x14ac:dyDescent="0.35">
      <c r="A102">
        <v>0</v>
      </c>
      <c r="B102">
        <v>3</v>
      </c>
      <c r="C102">
        <v>28.8</v>
      </c>
      <c r="D102" t="s">
        <v>153</v>
      </c>
      <c r="E102" t="s">
        <v>154</v>
      </c>
      <c r="F102" t="s">
        <v>443</v>
      </c>
      <c r="G102" t="s">
        <v>101</v>
      </c>
      <c r="H102">
        <v>19951113</v>
      </c>
      <c r="K102" s="17" t="s">
        <v>377</v>
      </c>
      <c r="L102" t="s">
        <v>177</v>
      </c>
      <c r="M102" t="s">
        <v>442</v>
      </c>
      <c r="Q102" s="27" t="s">
        <v>367</v>
      </c>
      <c r="AA102" s="3">
        <f t="shared" si="43"/>
        <v>28.8</v>
      </c>
      <c r="AG102" s="24"/>
      <c r="AH102" s="24"/>
      <c r="AI102" s="25"/>
      <c r="AM102">
        <v>219.155</v>
      </c>
      <c r="AN102">
        <v>219.16</v>
      </c>
      <c r="AO102">
        <v>219.15</v>
      </c>
      <c r="AP102" s="6">
        <v>10.055</v>
      </c>
      <c r="AQ102" s="6">
        <v>10.029999999999999</v>
      </c>
      <c r="AR102" s="6">
        <v>10.08</v>
      </c>
      <c r="AS102" s="7">
        <f t="shared" si="44"/>
        <v>329.88355969178696</v>
      </c>
      <c r="AT102">
        <v>262.14999999999998</v>
      </c>
      <c r="AU102">
        <v>261.14</v>
      </c>
      <c r="AV102">
        <v>263.14999999999998</v>
      </c>
      <c r="AX102">
        <v>65</v>
      </c>
      <c r="AY102"/>
      <c r="AZ102"/>
      <c r="BM102" s="26">
        <v>40</v>
      </c>
      <c r="BN102" s="3">
        <v>36</v>
      </c>
      <c r="BO102" s="3">
        <v>44</v>
      </c>
      <c r="BP102" s="26">
        <v>139</v>
      </c>
      <c r="BQ102" s="3">
        <v>125.10000000000001</v>
      </c>
      <c r="BR102" s="3">
        <v>152.9</v>
      </c>
      <c r="BS102" s="26">
        <v>1.6000000000000001E-3</v>
      </c>
      <c r="BT102" s="8">
        <v>1.4400000000000001E-3</v>
      </c>
      <c r="BU102" s="8">
        <v>1.7600000000000003E-3</v>
      </c>
      <c r="CI102">
        <v>8.9999999999998703</v>
      </c>
      <c r="CY102">
        <v>0.45</v>
      </c>
      <c r="DA102">
        <v>1.2</v>
      </c>
      <c r="DB102">
        <f>CY102*BP102</f>
        <v>62.550000000000004</v>
      </c>
      <c r="DC102"/>
      <c r="DD102"/>
      <c r="DH102" s="14">
        <f t="shared" si="35"/>
        <v>102946.60531009366</v>
      </c>
      <c r="DI102" s="6">
        <f t="shared" si="36"/>
        <v>4.0898774243130527</v>
      </c>
      <c r="DJ102" s="6">
        <f t="shared" si="37"/>
        <v>2.3816901422800592</v>
      </c>
      <c r="DK102" s="8">
        <f t="shared" si="38"/>
        <v>5.6391014043080198E-5</v>
      </c>
      <c r="DL102" s="1">
        <f t="shared" si="39"/>
        <v>0.41673123894561365</v>
      </c>
      <c r="DO102">
        <f t="shared" si="42"/>
        <v>0.21359926337887619</v>
      </c>
      <c r="DP102" s="14">
        <f t="shared" si="40"/>
        <v>0</v>
      </c>
      <c r="DQ102" s="6">
        <f t="shared" si="41"/>
        <v>2.3837835820567363</v>
      </c>
      <c r="DS102" s="6">
        <v>-3.0219999999999998</v>
      </c>
    </row>
    <row r="103" spans="1:246" x14ac:dyDescent="0.35">
      <c r="A103">
        <v>0</v>
      </c>
      <c r="B103">
        <v>3</v>
      </c>
      <c r="C103">
        <v>61.8</v>
      </c>
      <c r="D103" t="s">
        <v>153</v>
      </c>
      <c r="E103" t="s">
        <v>154</v>
      </c>
      <c r="F103" t="s">
        <v>443</v>
      </c>
      <c r="G103" t="s">
        <v>101</v>
      </c>
      <c r="H103">
        <v>19951113</v>
      </c>
      <c r="L103" t="s">
        <v>177</v>
      </c>
      <c r="M103" t="s">
        <v>442</v>
      </c>
      <c r="Q103" s="27" t="s">
        <v>368</v>
      </c>
      <c r="AA103" s="3">
        <f t="shared" si="43"/>
        <v>61.8</v>
      </c>
      <c r="AG103" s="24"/>
      <c r="AH103" s="24"/>
      <c r="AM103">
        <v>219.655</v>
      </c>
      <c r="AN103">
        <v>219.16</v>
      </c>
      <c r="AO103">
        <v>220.15</v>
      </c>
      <c r="AP103" s="6">
        <v>9.9699999999999989</v>
      </c>
      <c r="AQ103" s="6">
        <v>9.94</v>
      </c>
      <c r="AR103" s="6">
        <v>10</v>
      </c>
      <c r="AS103" s="7">
        <f t="shared" si="44"/>
        <v>327.09882172293891</v>
      </c>
      <c r="AT103">
        <v>265.58</v>
      </c>
      <c r="AU103">
        <v>264.36</v>
      </c>
      <c r="AV103">
        <v>266.8</v>
      </c>
      <c r="AX103">
        <v>65</v>
      </c>
      <c r="AY103"/>
      <c r="AZ103"/>
      <c r="BM103" s="26"/>
      <c r="BN103" s="3"/>
      <c r="BO103" s="3"/>
      <c r="BP103" s="26"/>
      <c r="BS103" s="26"/>
      <c r="BT103" s="8"/>
      <c r="BU103" s="8"/>
      <c r="CI103">
        <v>1.3333333333333199</v>
      </c>
      <c r="CY103">
        <v>0.08</v>
      </c>
      <c r="DA103">
        <v>0.3</v>
      </c>
      <c r="DB103"/>
      <c r="DC103"/>
      <c r="DD103"/>
      <c r="DH103" s="14">
        <f t="shared" ref="DH103:DH134" si="45">7000*POWER(AA103,0.8)</f>
        <v>189622.04243388699</v>
      </c>
      <c r="DI103" s="6">
        <f t="shared" ref="DI103:DI134" si="46">EXP(6.97+0.103*(AM103-273.15))</f>
        <v>4.3060241182225667</v>
      </c>
      <c r="DJ103" s="6">
        <f t="shared" ref="DJ103:DJ132" si="47">100*EXP(-6024.5282/AM103+24.7219+(0.010613868-0.000013198825*AM103)*AM103-0.49382577*LN(AM103))</f>
        <v>2.5387479036233249</v>
      </c>
      <c r="DK103" s="8">
        <f t="shared" ref="DK103:DK132" si="48">(18/29)*DJ103/(AT103*100)</f>
        <v>5.9333329349711954E-5</v>
      </c>
      <c r="DL103" s="1">
        <f t="shared" ref="DL103:DL132" si="49">AT103*100/(287.04*AM103)</f>
        <v>0.42122278153485193</v>
      </c>
      <c r="DO103">
        <f t="shared" si="42"/>
        <v>0.11021333564068646</v>
      </c>
      <c r="DP103" s="14">
        <f t="shared" ref="DP103:DP132" si="50">(BV103*1000000/DL103)*DH103</f>
        <v>0</v>
      </c>
      <c r="DQ103" s="6">
        <f t="shared" ref="DQ103:DQ132" si="51">EXP(9.550426-5723.265/AM103+3.53068*LN(AM103)-0.00728332*AM103)</f>
        <v>2.5409529074253632</v>
      </c>
      <c r="DS103" s="6">
        <v>-4.6379999999999999</v>
      </c>
    </row>
    <row r="104" spans="1:246" x14ac:dyDescent="0.35">
      <c r="A104">
        <v>0</v>
      </c>
      <c r="B104">
        <v>3</v>
      </c>
      <c r="C104">
        <v>25.8</v>
      </c>
      <c r="D104" t="s">
        <v>153</v>
      </c>
      <c r="E104" t="s">
        <v>154</v>
      </c>
      <c r="F104" t="s">
        <v>443</v>
      </c>
      <c r="G104" t="s">
        <v>101</v>
      </c>
      <c r="H104">
        <v>19951113</v>
      </c>
      <c r="K104" s="17">
        <v>0.58461805555555602</v>
      </c>
      <c r="L104" t="s">
        <v>177</v>
      </c>
      <c r="M104" t="s">
        <v>442</v>
      </c>
      <c r="Q104" s="27" t="s">
        <v>434</v>
      </c>
      <c r="AA104" s="3">
        <f t="shared" si="43"/>
        <v>25.8</v>
      </c>
      <c r="AG104" s="24"/>
      <c r="AH104" s="24"/>
      <c r="AI104" s="25"/>
      <c r="AM104">
        <v>212.155</v>
      </c>
      <c r="AN104">
        <v>212.16</v>
      </c>
      <c r="AO104">
        <v>212.15</v>
      </c>
      <c r="AP104" s="6">
        <v>11.3</v>
      </c>
      <c r="AQ104" s="6">
        <v>11.28</v>
      </c>
      <c r="AR104" s="6">
        <v>11.32</v>
      </c>
      <c r="AS104" s="7">
        <f t="shared" si="44"/>
        <v>370.69385852854919</v>
      </c>
      <c r="AT104">
        <v>215.86</v>
      </c>
      <c r="AU104">
        <v>215.18</v>
      </c>
      <c r="AV104">
        <v>216.54</v>
      </c>
      <c r="AX104">
        <v>60</v>
      </c>
      <c r="AY104"/>
      <c r="AZ104"/>
      <c r="BM104" s="26">
        <v>76</v>
      </c>
      <c r="BN104" s="3">
        <v>60.800000000000004</v>
      </c>
      <c r="BO104" s="3">
        <v>91.2</v>
      </c>
      <c r="BP104" s="26">
        <v>94</v>
      </c>
      <c r="BQ104" s="3">
        <v>75.2</v>
      </c>
      <c r="BR104" s="3">
        <v>112.8</v>
      </c>
      <c r="BS104" s="26">
        <v>2.8E-3</v>
      </c>
      <c r="BT104" s="8">
        <v>2.2400000000000002E-3</v>
      </c>
      <c r="BU104" s="8">
        <v>3.3599999999999997E-3</v>
      </c>
      <c r="DB104"/>
      <c r="DC104"/>
      <c r="DD104"/>
      <c r="DH104" s="14">
        <f t="shared" si="45"/>
        <v>94274.406017798115</v>
      </c>
      <c r="DI104" s="6">
        <f t="shared" si="46"/>
        <v>1.9887673008680755</v>
      </c>
      <c r="DJ104" s="6">
        <f t="shared" si="47"/>
        <v>0.94400325483505965</v>
      </c>
      <c r="DK104" s="8">
        <f t="shared" si="48"/>
        <v>2.714412372487767E-5</v>
      </c>
      <c r="DL104" s="1">
        <f t="shared" si="49"/>
        <v>0.3544675469836831</v>
      </c>
      <c r="DO104">
        <f t="shared" ref="DO104:DO127" si="52">1.24*29*AT104*100/(DH104*18*DJ104)</f>
        <v>0.48456501364545462</v>
      </c>
      <c r="DP104" s="14">
        <f t="shared" si="50"/>
        <v>0</v>
      </c>
      <c r="DQ104" s="6">
        <f t="shared" si="51"/>
        <v>0.94496850095136442</v>
      </c>
      <c r="DS104" s="6">
        <v>-4.2729999999999997</v>
      </c>
    </row>
    <row r="105" spans="1:246" x14ac:dyDescent="0.35">
      <c r="A105">
        <v>0</v>
      </c>
      <c r="B105">
        <v>3</v>
      </c>
      <c r="C105">
        <v>48</v>
      </c>
      <c r="D105" t="s">
        <v>153</v>
      </c>
      <c r="E105" t="s">
        <v>154</v>
      </c>
      <c r="F105" t="s">
        <v>443</v>
      </c>
      <c r="G105" t="s">
        <v>101</v>
      </c>
      <c r="H105">
        <v>19951113</v>
      </c>
      <c r="L105" t="s">
        <v>177</v>
      </c>
      <c r="M105" t="s">
        <v>442</v>
      </c>
      <c r="Q105" s="27" t="s">
        <v>369</v>
      </c>
      <c r="AA105" s="3">
        <f t="shared" si="43"/>
        <v>48</v>
      </c>
      <c r="AG105" s="24"/>
      <c r="AH105" s="24"/>
      <c r="AI105" s="25"/>
      <c r="AM105">
        <v>212.155</v>
      </c>
      <c r="AN105">
        <v>212.16</v>
      </c>
      <c r="AO105">
        <v>212.15</v>
      </c>
      <c r="AP105" s="6">
        <v>11.275</v>
      </c>
      <c r="AQ105" s="6">
        <v>11.22</v>
      </c>
      <c r="AR105" s="6">
        <v>11.33</v>
      </c>
      <c r="AS105" s="7">
        <f t="shared" si="44"/>
        <v>369.87369279751528</v>
      </c>
      <c r="AT105">
        <v>216.72</v>
      </c>
      <c r="AU105">
        <v>214.84</v>
      </c>
      <c r="AV105">
        <v>218.6</v>
      </c>
      <c r="AX105">
        <v>60</v>
      </c>
      <c r="AY105"/>
      <c r="AZ105"/>
      <c r="BM105" s="26">
        <v>380</v>
      </c>
      <c r="BN105" s="3">
        <v>304</v>
      </c>
      <c r="BO105" s="3">
        <v>456</v>
      </c>
      <c r="BP105" s="26">
        <v>300</v>
      </c>
      <c r="BQ105" s="3">
        <v>210</v>
      </c>
      <c r="BR105" s="3">
        <v>390</v>
      </c>
      <c r="BS105" s="26">
        <v>6.7000000000000002E-3</v>
      </c>
      <c r="BT105" s="8">
        <v>3.3500000000000001E-3</v>
      </c>
      <c r="BU105" s="8">
        <v>1.005E-2</v>
      </c>
      <c r="DB105"/>
      <c r="DC105"/>
      <c r="DD105"/>
      <c r="DH105" s="14">
        <f t="shared" si="45"/>
        <v>154914.12912893033</v>
      </c>
      <c r="DI105" s="6">
        <f t="shared" si="46"/>
        <v>1.9887673008680755</v>
      </c>
      <c r="DJ105" s="6">
        <f t="shared" si="47"/>
        <v>0.94400325483505965</v>
      </c>
      <c r="DK105" s="8">
        <f t="shared" si="48"/>
        <v>2.7036408948191649E-5</v>
      </c>
      <c r="DL105" s="1">
        <f t="shared" si="49"/>
        <v>0.35587976828640694</v>
      </c>
      <c r="DO105">
        <f t="shared" si="52"/>
        <v>0.29606130448151391</v>
      </c>
      <c r="DP105" s="14">
        <f t="shared" si="50"/>
        <v>0</v>
      </c>
      <c r="DQ105" s="6">
        <f t="shared" si="51"/>
        <v>0.94496850095136442</v>
      </c>
      <c r="DS105" s="6">
        <v>-9.5289999999999999</v>
      </c>
    </row>
    <row r="106" spans="1:246" x14ac:dyDescent="0.35">
      <c r="A106">
        <v>0</v>
      </c>
      <c r="B106">
        <v>3</v>
      </c>
      <c r="C106">
        <v>19.8</v>
      </c>
      <c r="D106" t="s">
        <v>153</v>
      </c>
      <c r="E106" t="s">
        <v>154</v>
      </c>
      <c r="F106" t="s">
        <v>443</v>
      </c>
      <c r="G106" t="s">
        <v>101</v>
      </c>
      <c r="H106">
        <v>19951113</v>
      </c>
      <c r="K106" s="17">
        <v>0.59375</v>
      </c>
      <c r="L106" t="s">
        <v>177</v>
      </c>
      <c r="M106" t="s">
        <v>442</v>
      </c>
      <c r="Q106" s="27" t="s">
        <v>370</v>
      </c>
      <c r="AA106" s="3">
        <f t="shared" si="43"/>
        <v>19.8</v>
      </c>
      <c r="AG106" s="24"/>
      <c r="AH106" s="24"/>
      <c r="AI106" s="25"/>
      <c r="AM106">
        <v>214.155</v>
      </c>
      <c r="AN106">
        <v>214.16</v>
      </c>
      <c r="AO106">
        <v>214.15</v>
      </c>
      <c r="AP106" s="6">
        <v>10.71</v>
      </c>
      <c r="AQ106" s="6">
        <v>10.68</v>
      </c>
      <c r="AR106" s="6">
        <v>10.74</v>
      </c>
      <c r="AS106" s="7">
        <f t="shared" si="44"/>
        <v>351.37210022119677</v>
      </c>
      <c r="AT106">
        <v>236.87</v>
      </c>
      <c r="AU106">
        <v>235.75</v>
      </c>
      <c r="AV106">
        <v>237.98</v>
      </c>
      <c r="AX106">
        <v>65</v>
      </c>
      <c r="AY106"/>
      <c r="AZ106"/>
      <c r="BM106" s="26">
        <v>41</v>
      </c>
      <c r="BN106" s="3">
        <v>36.9</v>
      </c>
      <c r="BO106" s="3">
        <v>45.1</v>
      </c>
      <c r="BP106" s="26">
        <v>45</v>
      </c>
      <c r="BQ106" s="3">
        <v>40.5</v>
      </c>
      <c r="BR106" s="3">
        <v>49.500000000000007</v>
      </c>
      <c r="BS106" s="26">
        <v>1.8E-3</v>
      </c>
      <c r="BT106" s="8">
        <v>1.4400000000000001E-3</v>
      </c>
      <c r="BU106" s="8">
        <v>2.16E-3</v>
      </c>
      <c r="DB106"/>
      <c r="DC106"/>
      <c r="DD106"/>
      <c r="DH106" s="14">
        <f t="shared" si="45"/>
        <v>76283.426458875489</v>
      </c>
      <c r="DI106" s="6">
        <f t="shared" si="46"/>
        <v>2.4437041929427554</v>
      </c>
      <c r="DJ106" s="6">
        <f t="shared" si="47"/>
        <v>1.2372779443645165</v>
      </c>
      <c r="DK106" s="8">
        <f t="shared" si="48"/>
        <v>3.2421396573649882E-5</v>
      </c>
      <c r="DL106" s="1">
        <f t="shared" si="49"/>
        <v>0.38533585383033109</v>
      </c>
      <c r="DO106">
        <f t="shared" si="52"/>
        <v>0.50137165150887975</v>
      </c>
      <c r="DP106" s="14">
        <f t="shared" si="50"/>
        <v>0</v>
      </c>
      <c r="DQ106" s="6">
        <f t="shared" si="51"/>
        <v>1.2384925723698015</v>
      </c>
      <c r="DS106" s="6">
        <v>-9.5660000000000007</v>
      </c>
    </row>
    <row r="107" spans="1:246" x14ac:dyDescent="0.35">
      <c r="A107">
        <v>0</v>
      </c>
      <c r="B107">
        <v>3</v>
      </c>
      <c r="C107">
        <v>49.8</v>
      </c>
      <c r="D107" t="s">
        <v>153</v>
      </c>
      <c r="E107" t="s">
        <v>154</v>
      </c>
      <c r="F107" t="s">
        <v>443</v>
      </c>
      <c r="G107" t="s">
        <v>101</v>
      </c>
      <c r="H107">
        <v>19951113</v>
      </c>
      <c r="L107" t="s">
        <v>177</v>
      </c>
      <c r="M107" t="s">
        <v>442</v>
      </c>
      <c r="Q107" s="27" t="s">
        <v>371</v>
      </c>
      <c r="AA107" s="3">
        <f t="shared" si="43"/>
        <v>49.8</v>
      </c>
      <c r="AG107" s="24"/>
      <c r="AH107" s="24"/>
      <c r="AM107">
        <v>214.155</v>
      </c>
      <c r="AN107">
        <v>214.16</v>
      </c>
      <c r="AO107">
        <v>214.15</v>
      </c>
      <c r="AP107" s="6">
        <v>10.690000000000001</v>
      </c>
      <c r="AQ107" s="6">
        <v>10.64</v>
      </c>
      <c r="AR107" s="6">
        <v>10.74</v>
      </c>
      <c r="AS107" s="7">
        <f t="shared" si="44"/>
        <v>350.71727922542129</v>
      </c>
      <c r="AT107">
        <v>237.61</v>
      </c>
      <c r="AU107">
        <v>235.75</v>
      </c>
      <c r="AV107">
        <v>239.47</v>
      </c>
      <c r="AX107">
        <v>65</v>
      </c>
      <c r="AY107"/>
      <c r="AZ107"/>
      <c r="BM107" s="26"/>
      <c r="BN107" s="3"/>
      <c r="BO107" s="3"/>
      <c r="BP107" s="26"/>
      <c r="BS107" s="26"/>
      <c r="BT107" s="8"/>
      <c r="BU107" s="8"/>
      <c r="DB107"/>
      <c r="DC107"/>
      <c r="DD107"/>
      <c r="DH107" s="14">
        <f t="shared" si="45"/>
        <v>159544.38131522315</v>
      </c>
      <c r="DI107" s="6">
        <f t="shared" si="46"/>
        <v>2.4437041929427554</v>
      </c>
      <c r="DJ107" s="6">
        <f t="shared" si="47"/>
        <v>1.2372779443645165</v>
      </c>
      <c r="DK107" s="8">
        <f t="shared" si="48"/>
        <v>3.2320425093221869E-5</v>
      </c>
      <c r="DL107" s="1">
        <f t="shared" si="49"/>
        <v>0.386539672514987</v>
      </c>
      <c r="DO107">
        <f t="shared" si="52"/>
        <v>0.24047122001749832</v>
      </c>
      <c r="DP107" s="14">
        <f t="shared" si="50"/>
        <v>0</v>
      </c>
      <c r="DQ107" s="6">
        <f t="shared" si="51"/>
        <v>1.2384925723698015</v>
      </c>
      <c r="DS107" s="6">
        <v>-8.5730000000000004</v>
      </c>
    </row>
    <row r="108" spans="1:246" x14ac:dyDescent="0.35">
      <c r="A108">
        <v>0</v>
      </c>
      <c r="B108">
        <v>3</v>
      </c>
      <c r="C108">
        <v>73.2</v>
      </c>
      <c r="D108" t="s">
        <v>153</v>
      </c>
      <c r="E108" t="s">
        <v>154</v>
      </c>
      <c r="F108" t="s">
        <v>443</v>
      </c>
      <c r="G108" t="s">
        <v>101</v>
      </c>
      <c r="H108">
        <v>19951113</v>
      </c>
      <c r="L108" t="s">
        <v>177</v>
      </c>
      <c r="M108" t="s">
        <v>442</v>
      </c>
      <c r="Q108" s="27" t="s">
        <v>435</v>
      </c>
      <c r="AA108" s="3">
        <f t="shared" si="43"/>
        <v>73.2</v>
      </c>
      <c r="AG108" s="24"/>
      <c r="AH108" s="24"/>
      <c r="AM108">
        <v>215.155</v>
      </c>
      <c r="AN108">
        <v>215.16</v>
      </c>
      <c r="AO108">
        <v>215.15</v>
      </c>
      <c r="AP108" s="6">
        <v>10.620000000000001</v>
      </c>
      <c r="AQ108" s="6">
        <v>10.61</v>
      </c>
      <c r="AR108" s="6">
        <v>10.63</v>
      </c>
      <c r="AS108" s="7">
        <f t="shared" si="44"/>
        <v>348.42081260327188</v>
      </c>
      <c r="AT108">
        <v>240.22</v>
      </c>
      <c r="AU108">
        <v>239.84</v>
      </c>
      <c r="AV108">
        <v>240.59</v>
      </c>
      <c r="AX108">
        <v>65</v>
      </c>
      <c r="AY108"/>
      <c r="AZ108"/>
      <c r="BM108" s="26"/>
      <c r="BN108" s="3"/>
      <c r="BO108" s="3"/>
      <c r="BP108" s="26"/>
      <c r="BS108" s="26"/>
      <c r="BT108" s="8"/>
      <c r="BU108" s="8"/>
      <c r="DB108"/>
      <c r="DC108"/>
      <c r="DD108"/>
      <c r="DH108" s="14">
        <f t="shared" si="45"/>
        <v>217123.53685771339</v>
      </c>
      <c r="DI108" s="6">
        <f t="shared" si="46"/>
        <v>2.7088251042000611</v>
      </c>
      <c r="DJ108" s="6">
        <f t="shared" si="47"/>
        <v>1.4138425176265574</v>
      </c>
      <c r="DK108" s="8">
        <f t="shared" si="48"/>
        <v>3.6531405575461053E-5</v>
      </c>
      <c r="DL108" s="1">
        <f t="shared" si="49"/>
        <v>0.38896927565662842</v>
      </c>
      <c r="DO108">
        <f t="shared" si="52"/>
        <v>0.1563321850090908</v>
      </c>
      <c r="DP108" s="14">
        <f t="shared" si="50"/>
        <v>0</v>
      </c>
      <c r="DQ108" s="6">
        <f t="shared" si="51"/>
        <v>1.4152016448199987</v>
      </c>
      <c r="DS108" s="6">
        <v>-8.6029999999999998</v>
      </c>
    </row>
    <row r="109" spans="1:246" x14ac:dyDescent="0.35">
      <c r="A109">
        <v>6</v>
      </c>
      <c r="B109">
        <v>0</v>
      </c>
      <c r="C109">
        <v>2</v>
      </c>
      <c r="D109" t="s">
        <v>253</v>
      </c>
      <c r="E109" t="s">
        <v>255</v>
      </c>
      <c r="F109" t="s">
        <v>196</v>
      </c>
      <c r="G109" t="s">
        <v>7</v>
      </c>
      <c r="H109">
        <v>19960313</v>
      </c>
      <c r="L109" t="s">
        <v>197</v>
      </c>
      <c r="M109" t="s">
        <v>265</v>
      </c>
      <c r="N109">
        <v>0.3</v>
      </c>
      <c r="O109">
        <v>20</v>
      </c>
      <c r="Q109" t="s">
        <v>136</v>
      </c>
      <c r="R109" t="s">
        <v>262</v>
      </c>
      <c r="S109">
        <v>2</v>
      </c>
      <c r="T109">
        <v>1</v>
      </c>
      <c r="U109">
        <v>43.9</v>
      </c>
      <c r="V109">
        <v>120</v>
      </c>
      <c r="W109">
        <v>4.4000000000000004</v>
      </c>
      <c r="X109">
        <v>0.28000000000000003</v>
      </c>
      <c r="Y109">
        <v>180</v>
      </c>
      <c r="AA109" s="3">
        <f t="shared" si="43"/>
        <v>2</v>
      </c>
      <c r="AK109">
        <v>1.5</v>
      </c>
      <c r="AL109">
        <v>3</v>
      </c>
      <c r="AM109" s="6">
        <v>215</v>
      </c>
      <c r="AS109" s="7">
        <v>350</v>
      </c>
      <c r="AT109" s="7">
        <v>238.4</v>
      </c>
      <c r="AX109" s="7">
        <v>25</v>
      </c>
      <c r="BV109">
        <v>1380</v>
      </c>
      <c r="BY109">
        <f t="shared" ref="BY109:BY118" si="53">(4*3.141592*917/3)*CL109*CL109*CL109*0.000000000000000001*BV109*1000000000000</f>
        <v>0.19049288563432518</v>
      </c>
      <c r="BZ109">
        <v>0.2</v>
      </c>
      <c r="CF109" s="13"/>
      <c r="CG109" s="13"/>
      <c r="CH109" s="13"/>
      <c r="CL109">
        <v>0.33</v>
      </c>
      <c r="CO109">
        <f>0.77/2</f>
        <v>0.38500000000000001</v>
      </c>
      <c r="DH109" s="14">
        <f t="shared" si="45"/>
        <v>12187.707886145738</v>
      </c>
      <c r="DI109" s="6">
        <f t="shared" si="46"/>
        <v>2.6659220959353855</v>
      </c>
      <c r="DJ109" s="6">
        <f t="shared" si="47"/>
        <v>1.3850209493132239</v>
      </c>
      <c r="DK109" s="8">
        <f t="shared" si="48"/>
        <v>3.6059906687743048E-5</v>
      </c>
      <c r="DL109" s="1">
        <f t="shared" si="49"/>
        <v>0.38630058852505766</v>
      </c>
      <c r="DM109">
        <f t="shared" ref="DM109:DM119" si="54">BZ109*0.000001/DL109</f>
        <v>5.1773154362416111E-7</v>
      </c>
      <c r="DN109">
        <f t="shared" ref="DN109:DN119" si="55">DM109/DK109</f>
        <v>1.4357539749267871E-2</v>
      </c>
      <c r="DO109">
        <f t="shared" si="52"/>
        <v>2.8214674868895311</v>
      </c>
      <c r="DP109" s="14">
        <f t="shared" si="50"/>
        <v>43538729638228.695</v>
      </c>
      <c r="DQ109" s="6">
        <f t="shared" si="51"/>
        <v>1.3863567511338233</v>
      </c>
      <c r="DS109" s="6">
        <v>-7.7240000000000002</v>
      </c>
      <c r="EI109" t="s">
        <v>318</v>
      </c>
      <c r="EM109"/>
      <c r="IL109" s="15"/>
    </row>
    <row r="110" spans="1:246" x14ac:dyDescent="0.35">
      <c r="A110">
        <v>6</v>
      </c>
      <c r="B110">
        <v>0</v>
      </c>
      <c r="C110" s="3">
        <v>5</v>
      </c>
      <c r="D110" t="s">
        <v>253</v>
      </c>
      <c r="E110" t="s">
        <v>141</v>
      </c>
      <c r="F110" t="s">
        <v>196</v>
      </c>
      <c r="G110" t="s">
        <v>7</v>
      </c>
      <c r="H110">
        <v>19960313</v>
      </c>
      <c r="L110" t="s">
        <v>197</v>
      </c>
      <c r="M110" t="s">
        <v>61</v>
      </c>
      <c r="Q110" t="s">
        <v>6</v>
      </c>
      <c r="T110">
        <v>1</v>
      </c>
      <c r="U110">
        <v>43.9</v>
      </c>
      <c r="V110">
        <v>120</v>
      </c>
      <c r="W110">
        <v>4.4000000000000004</v>
      </c>
      <c r="X110">
        <v>0.28000000000000003</v>
      </c>
      <c r="Y110">
        <v>180</v>
      </c>
      <c r="AA110" s="3">
        <f t="shared" si="43"/>
        <v>5</v>
      </c>
      <c r="AM110" s="6">
        <v>215.15</v>
      </c>
      <c r="AS110" s="7">
        <v>350</v>
      </c>
      <c r="AT110" s="7">
        <v>238.4</v>
      </c>
      <c r="AW110">
        <v>0</v>
      </c>
      <c r="AX110" s="7">
        <v>30</v>
      </c>
      <c r="AZ110" s="7">
        <v>55</v>
      </c>
      <c r="BV110">
        <v>1380</v>
      </c>
      <c r="BX110">
        <f>5*BV110</f>
        <v>6900</v>
      </c>
      <c r="BY110">
        <f t="shared" si="53"/>
        <v>0.14312012444351999</v>
      </c>
      <c r="BZ110">
        <v>0.26</v>
      </c>
      <c r="CB110">
        <f>2*BZ110</f>
        <v>0.52</v>
      </c>
      <c r="CF110" s="13"/>
      <c r="CG110" s="13"/>
      <c r="CH110" s="13"/>
      <c r="CL110">
        <v>0.3</v>
      </c>
      <c r="CO110">
        <v>0.45</v>
      </c>
      <c r="DH110" s="14">
        <f t="shared" si="45"/>
        <v>25367.288228719346</v>
      </c>
      <c r="DI110" s="6">
        <f t="shared" si="46"/>
        <v>2.7074304184338107</v>
      </c>
      <c r="DJ110" s="6">
        <f t="shared" si="47"/>
        <v>1.4129041442050747</v>
      </c>
      <c r="DK110" s="8">
        <f t="shared" si="48"/>
        <v>3.6785863509157815E-5</v>
      </c>
      <c r="DL110" s="1">
        <f t="shared" si="49"/>
        <v>0.38603126438711316</v>
      </c>
      <c r="DM110">
        <f t="shared" si="54"/>
        <v>6.7352057718120808E-7</v>
      </c>
      <c r="DN110">
        <f t="shared" si="55"/>
        <v>1.8309222971306237E-2</v>
      </c>
      <c r="DO110">
        <f t="shared" si="52"/>
        <v>1.3288216233126677</v>
      </c>
      <c r="DP110" s="14">
        <f t="shared" si="50"/>
        <v>90683996311054.563</v>
      </c>
      <c r="DQ110" s="6">
        <f t="shared" si="51"/>
        <v>1.4142625135239371</v>
      </c>
      <c r="DS110" s="6">
        <v>-6.593</v>
      </c>
      <c r="EI110" t="s">
        <v>318</v>
      </c>
      <c r="IL110" s="15"/>
    </row>
    <row r="111" spans="1:246" x14ac:dyDescent="0.35">
      <c r="A111">
        <v>6</v>
      </c>
      <c r="B111">
        <v>0</v>
      </c>
      <c r="C111">
        <v>2</v>
      </c>
      <c r="D111" t="s">
        <v>253</v>
      </c>
      <c r="E111" t="s">
        <v>255</v>
      </c>
      <c r="F111" t="s">
        <v>196</v>
      </c>
      <c r="G111" t="s">
        <v>246</v>
      </c>
      <c r="H111">
        <v>19960315</v>
      </c>
      <c r="K111">
        <v>12.8</v>
      </c>
      <c r="L111" t="s">
        <v>197</v>
      </c>
      <c r="M111" t="s">
        <v>265</v>
      </c>
      <c r="N111">
        <v>0.3</v>
      </c>
      <c r="O111">
        <v>20</v>
      </c>
      <c r="Q111" t="s">
        <v>263</v>
      </c>
      <c r="R111" t="s">
        <v>256</v>
      </c>
      <c r="S111">
        <v>2</v>
      </c>
      <c r="T111">
        <v>1</v>
      </c>
      <c r="U111">
        <v>21.5</v>
      </c>
      <c r="V111">
        <v>17.649999999999999</v>
      </c>
      <c r="W111">
        <v>2</v>
      </c>
      <c r="X111">
        <v>0.17</v>
      </c>
      <c r="Y111">
        <v>165</v>
      </c>
      <c r="AA111" s="3">
        <f t="shared" si="43"/>
        <v>2</v>
      </c>
      <c r="AK111">
        <v>1.5</v>
      </c>
      <c r="AL111">
        <v>3</v>
      </c>
      <c r="AM111" s="6">
        <v>221</v>
      </c>
      <c r="AS111" s="7">
        <v>310</v>
      </c>
      <c r="AT111" s="7">
        <v>287.39999999999998</v>
      </c>
      <c r="AX111" s="7">
        <v>55</v>
      </c>
      <c r="BV111">
        <v>860</v>
      </c>
      <c r="BY111">
        <f t="shared" si="53"/>
        <v>7.8595938285859166</v>
      </c>
      <c r="BZ111">
        <v>11.6</v>
      </c>
      <c r="CF111" s="13"/>
      <c r="CG111" s="13"/>
      <c r="CH111" s="13"/>
      <c r="CL111">
        <f>2.67/2</f>
        <v>1.335</v>
      </c>
      <c r="CO111">
        <f>3.46/2</f>
        <v>1.73</v>
      </c>
      <c r="DH111" s="14">
        <f t="shared" si="45"/>
        <v>12187.707886145738</v>
      </c>
      <c r="DI111" s="6">
        <f t="shared" si="46"/>
        <v>4.9458557317393446</v>
      </c>
      <c r="DJ111" s="6">
        <f t="shared" si="47"/>
        <v>3.0102729394734147</v>
      </c>
      <c r="DK111" s="8">
        <f t="shared" si="48"/>
        <v>6.501201366654845E-5</v>
      </c>
      <c r="DL111" s="1">
        <f t="shared" si="49"/>
        <v>0.45305619031764999</v>
      </c>
      <c r="DM111">
        <f t="shared" si="54"/>
        <v>2.5603888100208773E-5</v>
      </c>
      <c r="DN111">
        <f t="shared" si="55"/>
        <v>0.39383318030315223</v>
      </c>
      <c r="DO111">
        <f t="shared" si="52"/>
        <v>1.5649700503291448</v>
      </c>
      <c r="DP111" s="14">
        <f t="shared" si="50"/>
        <v>23134942212656.934</v>
      </c>
      <c r="DQ111" s="6">
        <f t="shared" si="51"/>
        <v>3.0128023838529434</v>
      </c>
      <c r="DS111" s="6">
        <v>-6.5510000000000002</v>
      </c>
      <c r="EM111"/>
      <c r="IL111" s="15"/>
    </row>
    <row r="112" spans="1:246" x14ac:dyDescent="0.35">
      <c r="A112">
        <v>6</v>
      </c>
      <c r="B112">
        <v>0</v>
      </c>
      <c r="C112">
        <v>2</v>
      </c>
      <c r="D112" t="s">
        <v>253</v>
      </c>
      <c r="E112" t="s">
        <v>255</v>
      </c>
      <c r="F112" t="s">
        <v>196</v>
      </c>
      <c r="G112" t="s">
        <v>246</v>
      </c>
      <c r="H112">
        <v>19960315</v>
      </c>
      <c r="K112">
        <v>12.8</v>
      </c>
      <c r="L112" t="s">
        <v>197</v>
      </c>
      <c r="M112" t="s">
        <v>265</v>
      </c>
      <c r="N112">
        <v>0.3</v>
      </c>
      <c r="O112">
        <v>20</v>
      </c>
      <c r="Q112" t="s">
        <v>263</v>
      </c>
      <c r="R112" t="s">
        <v>257</v>
      </c>
      <c r="S112">
        <v>2</v>
      </c>
      <c r="T112">
        <v>1</v>
      </c>
      <c r="U112">
        <v>21.5</v>
      </c>
      <c r="V112">
        <v>17.649999999999999</v>
      </c>
      <c r="W112">
        <v>2</v>
      </c>
      <c r="X112">
        <v>0.17</v>
      </c>
      <c r="Y112">
        <v>165</v>
      </c>
      <c r="AA112" s="3">
        <f t="shared" si="43"/>
        <v>2</v>
      </c>
      <c r="AK112">
        <v>1.5</v>
      </c>
      <c r="AL112">
        <v>3</v>
      </c>
      <c r="AM112" s="6">
        <v>221</v>
      </c>
      <c r="AS112" s="7">
        <v>310</v>
      </c>
      <c r="AT112" s="7">
        <v>287.39999999999998</v>
      </c>
      <c r="AX112" s="7">
        <v>55</v>
      </c>
      <c r="BV112">
        <v>750</v>
      </c>
      <c r="BY112">
        <f t="shared" si="53"/>
        <v>2.3172237104874482</v>
      </c>
      <c r="BZ112">
        <v>3.2</v>
      </c>
      <c r="CF112" s="13"/>
      <c r="CG112" s="13"/>
      <c r="CH112" s="13"/>
      <c r="CL112">
        <f>1.86/2</f>
        <v>0.93</v>
      </c>
      <c r="CO112">
        <f>2.34/2</f>
        <v>1.17</v>
      </c>
      <c r="DH112" s="14">
        <f t="shared" si="45"/>
        <v>12187.707886145738</v>
      </c>
      <c r="DI112" s="6">
        <f t="shared" si="46"/>
        <v>4.9458557317393446</v>
      </c>
      <c r="DJ112" s="6">
        <f t="shared" si="47"/>
        <v>3.0102729394734147</v>
      </c>
      <c r="DK112" s="8">
        <f t="shared" si="48"/>
        <v>6.501201366654845E-5</v>
      </c>
      <c r="DL112" s="1">
        <f t="shared" si="49"/>
        <v>0.45305619031764999</v>
      </c>
      <c r="DM112">
        <f t="shared" si="54"/>
        <v>7.0631415448851783E-6</v>
      </c>
      <c r="DN112">
        <f t="shared" si="55"/>
        <v>0.10864363594569716</v>
      </c>
      <c r="DO112">
        <f t="shared" si="52"/>
        <v>1.5649700503291448</v>
      </c>
      <c r="DP112" s="14">
        <f t="shared" si="50"/>
        <v>20175821697084.535</v>
      </c>
      <c r="DQ112" s="6">
        <f t="shared" si="51"/>
        <v>3.0128023838529434</v>
      </c>
      <c r="DS112" s="6">
        <v>-1.7889999999999999</v>
      </c>
      <c r="EM112"/>
      <c r="IL112" s="15"/>
    </row>
    <row r="113" spans="1:246" x14ac:dyDescent="0.35">
      <c r="A113">
        <v>6</v>
      </c>
      <c r="B113">
        <v>0</v>
      </c>
      <c r="C113">
        <v>2</v>
      </c>
      <c r="D113" t="s">
        <v>253</v>
      </c>
      <c r="E113" t="s">
        <v>255</v>
      </c>
      <c r="F113" t="s">
        <v>196</v>
      </c>
      <c r="G113" t="s">
        <v>246</v>
      </c>
      <c r="H113">
        <v>19960315</v>
      </c>
      <c r="K113">
        <v>12.8</v>
      </c>
      <c r="L113" t="s">
        <v>197</v>
      </c>
      <c r="M113" t="s">
        <v>265</v>
      </c>
      <c r="N113">
        <v>0.3</v>
      </c>
      <c r="O113">
        <v>20</v>
      </c>
      <c r="Q113" t="s">
        <v>264</v>
      </c>
      <c r="R113" t="s">
        <v>258</v>
      </c>
      <c r="S113">
        <v>2</v>
      </c>
      <c r="T113">
        <v>1</v>
      </c>
      <c r="U113">
        <v>21.5</v>
      </c>
      <c r="V113">
        <v>17.649999999999999</v>
      </c>
      <c r="W113">
        <v>2</v>
      </c>
      <c r="X113">
        <v>0.17</v>
      </c>
      <c r="Y113">
        <v>165</v>
      </c>
      <c r="AA113" s="3">
        <f t="shared" si="43"/>
        <v>2</v>
      </c>
      <c r="AK113">
        <v>1.5</v>
      </c>
      <c r="AL113">
        <v>3</v>
      </c>
      <c r="AM113" s="6">
        <v>221</v>
      </c>
      <c r="AS113" s="7">
        <v>310</v>
      </c>
      <c r="AT113" s="7">
        <v>287.39999999999998</v>
      </c>
      <c r="AX113" s="7">
        <v>55</v>
      </c>
      <c r="BV113">
        <v>690</v>
      </c>
      <c r="BW113">
        <f>BV113-70</f>
        <v>620</v>
      </c>
      <c r="BX113">
        <f>BV113+70</f>
        <v>760</v>
      </c>
      <c r="BY113">
        <f t="shared" si="53"/>
        <v>1.1181259722150001</v>
      </c>
      <c r="BZ113">
        <v>2.2000000000000002</v>
      </c>
      <c r="CF113" s="13"/>
      <c r="CG113" s="13"/>
      <c r="CH113" s="13"/>
      <c r="CL113">
        <f>1.5/2</f>
        <v>0.75</v>
      </c>
      <c r="CO113">
        <f>2.34/2</f>
        <v>1.17</v>
      </c>
      <c r="DH113" s="14">
        <f t="shared" si="45"/>
        <v>12187.707886145738</v>
      </c>
      <c r="DI113" s="6">
        <f t="shared" si="46"/>
        <v>4.9458557317393446</v>
      </c>
      <c r="DJ113" s="6">
        <f t="shared" si="47"/>
        <v>3.0102729394734147</v>
      </c>
      <c r="DK113" s="8">
        <f t="shared" si="48"/>
        <v>6.501201366654845E-5</v>
      </c>
      <c r="DL113" s="1">
        <f t="shared" si="49"/>
        <v>0.45305619031764999</v>
      </c>
      <c r="DM113">
        <f t="shared" si="54"/>
        <v>4.8559098121085608E-6</v>
      </c>
      <c r="DN113">
        <f t="shared" si="55"/>
        <v>7.469249971266681E-2</v>
      </c>
      <c r="DO113">
        <f t="shared" si="52"/>
        <v>1.5649700503291448</v>
      </c>
      <c r="DP113" s="14">
        <f t="shared" si="50"/>
        <v>18561755961317.773</v>
      </c>
      <c r="DQ113" s="6">
        <f t="shared" si="51"/>
        <v>3.0128023838529434</v>
      </c>
      <c r="DS113" s="6">
        <v>-1.7889999999999999</v>
      </c>
      <c r="EM113"/>
      <c r="IL113" s="15"/>
    </row>
    <row r="114" spans="1:246" x14ac:dyDescent="0.35">
      <c r="A114">
        <v>6</v>
      </c>
      <c r="B114">
        <v>0</v>
      </c>
      <c r="C114">
        <v>2</v>
      </c>
      <c r="D114" t="s">
        <v>253</v>
      </c>
      <c r="E114" t="s">
        <v>255</v>
      </c>
      <c r="F114" t="s">
        <v>196</v>
      </c>
      <c r="G114" t="s">
        <v>246</v>
      </c>
      <c r="H114">
        <v>19960315</v>
      </c>
      <c r="K114">
        <v>12.8</v>
      </c>
      <c r="L114" t="s">
        <v>197</v>
      </c>
      <c r="M114" t="s">
        <v>265</v>
      </c>
      <c r="N114">
        <v>0.3</v>
      </c>
      <c r="O114">
        <v>20</v>
      </c>
      <c r="Q114" t="s">
        <v>264</v>
      </c>
      <c r="R114" t="s">
        <v>259</v>
      </c>
      <c r="S114">
        <v>2</v>
      </c>
      <c r="T114">
        <v>1</v>
      </c>
      <c r="U114">
        <v>21.5</v>
      </c>
      <c r="V114">
        <v>17.649999999999999</v>
      </c>
      <c r="W114">
        <v>2</v>
      </c>
      <c r="X114">
        <v>0.17</v>
      </c>
      <c r="Y114">
        <v>165</v>
      </c>
      <c r="AA114" s="3">
        <f t="shared" si="43"/>
        <v>2</v>
      </c>
      <c r="AK114">
        <v>1.5</v>
      </c>
      <c r="AL114">
        <v>3</v>
      </c>
      <c r="AM114" s="6">
        <v>221</v>
      </c>
      <c r="AS114" s="7">
        <v>310</v>
      </c>
      <c r="AT114" s="7">
        <v>287.39999999999998</v>
      </c>
      <c r="AX114" s="7">
        <v>55</v>
      </c>
      <c r="BV114">
        <v>1060</v>
      </c>
      <c r="BW114">
        <f>BV114-250</f>
        <v>810</v>
      </c>
      <c r="BX114">
        <f>BV114+250</f>
        <v>1310</v>
      </c>
      <c r="BY114">
        <f t="shared" si="53"/>
        <v>0.37102336608456005</v>
      </c>
      <c r="BZ114">
        <v>0.7</v>
      </c>
      <c r="CF114" s="13"/>
      <c r="CG114" s="13"/>
      <c r="CH114" s="13"/>
      <c r="CL114">
        <f>0.9/2</f>
        <v>0.45</v>
      </c>
      <c r="CO114">
        <f>1.36/2</f>
        <v>0.68</v>
      </c>
      <c r="DH114" s="14">
        <f t="shared" si="45"/>
        <v>12187.707886145738</v>
      </c>
      <c r="DI114" s="6">
        <f t="shared" si="46"/>
        <v>4.9458557317393446</v>
      </c>
      <c r="DJ114" s="6">
        <f t="shared" si="47"/>
        <v>3.0102729394734147</v>
      </c>
      <c r="DK114" s="8">
        <f t="shared" si="48"/>
        <v>6.501201366654845E-5</v>
      </c>
      <c r="DL114" s="1">
        <f t="shared" si="49"/>
        <v>0.45305619031764999</v>
      </c>
      <c r="DM114">
        <f t="shared" si="54"/>
        <v>1.5450622129436328E-6</v>
      </c>
      <c r="DN114">
        <f t="shared" si="55"/>
        <v>2.3765795363121255E-2</v>
      </c>
      <c r="DO114">
        <f t="shared" si="52"/>
        <v>1.5649700503291448</v>
      </c>
      <c r="DP114" s="14">
        <f t="shared" si="50"/>
        <v>28515161331879.477</v>
      </c>
      <c r="DQ114" s="6">
        <f t="shared" si="51"/>
        <v>3.0128023838529434</v>
      </c>
      <c r="DS114" s="6">
        <v>-1.7889999999999999</v>
      </c>
      <c r="EM114"/>
      <c r="FV114"/>
      <c r="IL114" s="15"/>
    </row>
    <row r="115" spans="1:246" x14ac:dyDescent="0.35">
      <c r="A115">
        <v>6</v>
      </c>
      <c r="B115">
        <v>0</v>
      </c>
      <c r="C115">
        <v>10</v>
      </c>
      <c r="D115" t="s">
        <v>253</v>
      </c>
      <c r="E115" t="s">
        <v>255</v>
      </c>
      <c r="F115" t="s">
        <v>196</v>
      </c>
      <c r="G115" t="s">
        <v>246</v>
      </c>
      <c r="H115">
        <v>19960315</v>
      </c>
      <c r="K115">
        <v>13</v>
      </c>
      <c r="L115" t="s">
        <v>197</v>
      </c>
      <c r="M115" t="s">
        <v>265</v>
      </c>
      <c r="N115">
        <v>0.3</v>
      </c>
      <c r="O115">
        <v>20</v>
      </c>
      <c r="Q115" t="s">
        <v>137</v>
      </c>
      <c r="R115" t="s">
        <v>260</v>
      </c>
      <c r="S115">
        <v>2</v>
      </c>
      <c r="T115">
        <v>1</v>
      </c>
      <c r="U115">
        <v>21.5</v>
      </c>
      <c r="V115">
        <v>17.649999999999999</v>
      </c>
      <c r="W115">
        <v>2</v>
      </c>
      <c r="X115">
        <v>0.17</v>
      </c>
      <c r="Y115">
        <v>165</v>
      </c>
      <c r="AA115" s="3">
        <f t="shared" si="43"/>
        <v>10</v>
      </c>
      <c r="AK115">
        <v>8</v>
      </c>
      <c r="AL115">
        <v>12</v>
      </c>
      <c r="AM115" s="6">
        <v>221</v>
      </c>
      <c r="AS115" s="7">
        <v>310</v>
      </c>
      <c r="AT115" s="7">
        <v>287.39999999999998</v>
      </c>
      <c r="AX115" s="7">
        <v>55</v>
      </c>
      <c r="BV115">
        <v>1490</v>
      </c>
      <c r="BW115">
        <f>BV115-180</f>
        <v>1310</v>
      </c>
      <c r="BX115">
        <f>BV115+180</f>
        <v>1670</v>
      </c>
      <c r="BY115">
        <f t="shared" si="53"/>
        <v>1.2362260024396798</v>
      </c>
      <c r="BZ115">
        <v>2.2000000000000002</v>
      </c>
      <c r="CA115">
        <f>BZ115-0.5</f>
        <v>1.7000000000000002</v>
      </c>
      <c r="CB115">
        <f>BZ115*0.5</f>
        <v>1.1000000000000001</v>
      </c>
      <c r="CF115" s="13"/>
      <c r="CG115" s="13"/>
      <c r="CH115" s="13"/>
      <c r="CL115">
        <v>0.6</v>
      </c>
      <c r="CO115">
        <f>1.74/2</f>
        <v>0.87</v>
      </c>
      <c r="DH115" s="14">
        <f t="shared" si="45"/>
        <v>44167.014113613543</v>
      </c>
      <c r="DI115" s="6">
        <f t="shared" si="46"/>
        <v>4.9458557317393446</v>
      </c>
      <c r="DJ115" s="6">
        <f t="shared" si="47"/>
        <v>3.0102729394734147</v>
      </c>
      <c r="DK115" s="8">
        <f t="shared" si="48"/>
        <v>6.501201366654845E-5</v>
      </c>
      <c r="DL115" s="1">
        <f t="shared" si="49"/>
        <v>0.45305619031764999</v>
      </c>
      <c r="DM115">
        <f t="shared" si="54"/>
        <v>4.8559098121085608E-6</v>
      </c>
      <c r="DN115">
        <f t="shared" si="55"/>
        <v>7.469249971266681E-2</v>
      </c>
      <c r="DO115">
        <f t="shared" si="52"/>
        <v>0.4318471195475142</v>
      </c>
      <c r="DP115" s="14">
        <f t="shared" si="50"/>
        <v>145255384289405.28</v>
      </c>
      <c r="DQ115" s="6">
        <f t="shared" si="51"/>
        <v>3.0128023838529434</v>
      </c>
      <c r="DS115" s="6">
        <v>-1.7889999999999999</v>
      </c>
      <c r="EM115"/>
      <c r="IL115" s="15"/>
    </row>
    <row r="116" spans="1:246" x14ac:dyDescent="0.35">
      <c r="A116">
        <v>6</v>
      </c>
      <c r="B116">
        <v>0</v>
      </c>
      <c r="C116">
        <v>10</v>
      </c>
      <c r="D116" t="s">
        <v>253</v>
      </c>
      <c r="E116" t="s">
        <v>255</v>
      </c>
      <c r="F116" t="s">
        <v>196</v>
      </c>
      <c r="G116" t="s">
        <v>246</v>
      </c>
      <c r="H116">
        <v>19960315</v>
      </c>
      <c r="K116">
        <v>13</v>
      </c>
      <c r="L116" t="s">
        <v>197</v>
      </c>
      <c r="M116" t="s">
        <v>265</v>
      </c>
      <c r="N116">
        <v>0.3</v>
      </c>
      <c r="O116">
        <v>20</v>
      </c>
      <c r="Q116" t="s">
        <v>137</v>
      </c>
      <c r="R116" t="s">
        <v>261</v>
      </c>
      <c r="S116">
        <v>2</v>
      </c>
      <c r="T116">
        <v>1</v>
      </c>
      <c r="U116">
        <v>21.5</v>
      </c>
      <c r="V116">
        <v>17.649999999999999</v>
      </c>
      <c r="W116">
        <v>2</v>
      </c>
      <c r="X116">
        <v>0.17</v>
      </c>
      <c r="Y116">
        <v>165</v>
      </c>
      <c r="AA116" s="3">
        <f t="shared" si="43"/>
        <v>10</v>
      </c>
      <c r="AK116">
        <v>8</v>
      </c>
      <c r="AL116">
        <v>12</v>
      </c>
      <c r="AM116" s="6">
        <v>221</v>
      </c>
      <c r="AS116" s="7">
        <v>310</v>
      </c>
      <c r="AT116" s="7">
        <v>287.39999999999998</v>
      </c>
      <c r="AX116" s="7">
        <v>55</v>
      </c>
      <c r="BV116">
        <v>2000</v>
      </c>
      <c r="BW116">
        <f>BV116-200</f>
        <v>1800</v>
      </c>
      <c r="BX116">
        <f>BV116+200</f>
        <v>2200</v>
      </c>
      <c r="BY116">
        <f t="shared" si="53"/>
        <v>1.2096761822530564</v>
      </c>
      <c r="BZ116">
        <v>1.91</v>
      </c>
      <c r="CA116">
        <f>BZ116-0.19</f>
        <v>1.72</v>
      </c>
      <c r="CB116">
        <f>BZ116+0.19</f>
        <v>2.1</v>
      </c>
      <c r="CF116" s="13"/>
      <c r="CG116" s="13"/>
      <c r="CH116" s="13"/>
      <c r="CL116">
        <v>0.54</v>
      </c>
      <c r="CO116">
        <f>1.48/2</f>
        <v>0.74</v>
      </c>
      <c r="DH116" s="14">
        <f t="shared" si="45"/>
        <v>44167.014113613543</v>
      </c>
      <c r="DI116" s="6">
        <f t="shared" si="46"/>
        <v>4.9458557317393446</v>
      </c>
      <c r="DJ116" s="6">
        <f t="shared" si="47"/>
        <v>3.0102729394734147</v>
      </c>
      <c r="DK116" s="8">
        <f t="shared" si="48"/>
        <v>6.501201366654845E-5</v>
      </c>
      <c r="DL116" s="1">
        <f t="shared" si="49"/>
        <v>0.45305619031764999</v>
      </c>
      <c r="DM116">
        <f t="shared" si="54"/>
        <v>4.2158126096033414E-6</v>
      </c>
      <c r="DN116">
        <f t="shared" si="55"/>
        <v>6.4846670205087997E-2</v>
      </c>
      <c r="DO116">
        <f t="shared" si="52"/>
        <v>0.4318471195475142</v>
      </c>
      <c r="DP116" s="14">
        <f t="shared" si="50"/>
        <v>194973670187121.16</v>
      </c>
      <c r="DQ116" s="6">
        <f t="shared" si="51"/>
        <v>3.0128023838529434</v>
      </c>
      <c r="DS116" s="6">
        <v>-1.7889999999999999</v>
      </c>
      <c r="EM116"/>
      <c r="FV116"/>
      <c r="IL116" s="15"/>
    </row>
    <row r="117" spans="1:246" x14ac:dyDescent="0.35">
      <c r="A117">
        <v>0</v>
      </c>
      <c r="B117">
        <v>5</v>
      </c>
      <c r="C117" s="3">
        <v>900</v>
      </c>
      <c r="D117" t="s">
        <v>65</v>
      </c>
      <c r="E117" t="s">
        <v>479</v>
      </c>
      <c r="F117" t="s">
        <v>242</v>
      </c>
      <c r="G117" t="s">
        <v>135</v>
      </c>
      <c r="H117">
        <v>19960420</v>
      </c>
      <c r="I117">
        <f>15*3600+56*60</f>
        <v>57360</v>
      </c>
      <c r="K117">
        <v>1556</v>
      </c>
      <c r="L117" t="s">
        <v>283</v>
      </c>
      <c r="M117" t="s">
        <v>183</v>
      </c>
      <c r="Q117" t="s">
        <v>138</v>
      </c>
      <c r="W117" s="6">
        <v>4.641</v>
      </c>
      <c r="AA117" s="3">
        <f t="shared" si="43"/>
        <v>900</v>
      </c>
      <c r="AK117">
        <f>6*60</f>
        <v>360</v>
      </c>
      <c r="AL117">
        <v>1200</v>
      </c>
      <c r="AM117" s="6">
        <f>273.15-45</f>
        <v>228.14999999999998</v>
      </c>
      <c r="AN117" s="6">
        <f>273.15-45.5</f>
        <v>227.64999999999998</v>
      </c>
      <c r="AO117" s="6">
        <f>273.15-43</f>
        <v>230.14999999999998</v>
      </c>
      <c r="AP117" s="6">
        <v>9.1999999999999993</v>
      </c>
      <c r="AQ117" s="6">
        <v>8.5</v>
      </c>
      <c r="AR117" s="6">
        <v>9.5</v>
      </c>
      <c r="AS117" s="7">
        <f t="shared" ref="AS117:AS132" si="56">(1-POWER(AT117/1013.25,0.190263103))*44330.76923/30.48</f>
        <v>299.1950390084117</v>
      </c>
      <c r="AT117" s="7">
        <v>302</v>
      </c>
      <c r="AU117" s="7">
        <v>299</v>
      </c>
      <c r="AV117" s="7">
        <v>305</v>
      </c>
      <c r="AW117">
        <v>1</v>
      </c>
      <c r="BA117" s="6">
        <v>0.8</v>
      </c>
      <c r="BB117">
        <v>0.75</v>
      </c>
      <c r="BC117">
        <v>0.85</v>
      </c>
      <c r="BD117" s="6">
        <v>2</v>
      </c>
      <c r="BE117" s="6">
        <v>1.8</v>
      </c>
      <c r="BF117" s="6">
        <v>2.4</v>
      </c>
      <c r="BJ117">
        <f>BS117*1000000/BP117</f>
        <v>404</v>
      </c>
      <c r="BM117">
        <v>500</v>
      </c>
      <c r="BP117" s="3">
        <v>2500</v>
      </c>
      <c r="BS117">
        <v>1.01</v>
      </c>
      <c r="BV117">
        <v>2.6</v>
      </c>
      <c r="BW117">
        <v>2</v>
      </c>
      <c r="BX117">
        <v>10</v>
      </c>
      <c r="BY117">
        <f t="shared" si="53"/>
        <v>0</v>
      </c>
      <c r="BZ117">
        <v>3.4</v>
      </c>
      <c r="CC117">
        <v>3.4</v>
      </c>
      <c r="CF117" s="13">
        <v>2600000000000</v>
      </c>
      <c r="CG117" s="13"/>
      <c r="CH117" s="13">
        <v>7800000000000</v>
      </c>
      <c r="CO117">
        <v>7</v>
      </c>
      <c r="CP117">
        <v>6</v>
      </c>
      <c r="CQ117">
        <v>17</v>
      </c>
      <c r="CY117">
        <v>0.2</v>
      </c>
      <c r="DA117">
        <v>0.5</v>
      </c>
      <c r="DB117" s="3">
        <f>BP117*CY117</f>
        <v>500</v>
      </c>
      <c r="DD117" s="3">
        <f>DA117*BP117</f>
        <v>1250</v>
      </c>
      <c r="DH117" s="14">
        <f t="shared" si="45"/>
        <v>1616188.6315524769</v>
      </c>
      <c r="DI117" s="6">
        <f t="shared" si="46"/>
        <v>10.329459929369532</v>
      </c>
      <c r="DJ117" s="6">
        <f t="shared" si="47"/>
        <v>7.2002868000950722</v>
      </c>
      <c r="DK117" s="8">
        <f t="shared" si="48"/>
        <v>1.4798488513554614E-4</v>
      </c>
      <c r="DL117" s="1">
        <f t="shared" si="49"/>
        <v>0.46115194901748369</v>
      </c>
      <c r="DM117">
        <f t="shared" si="54"/>
        <v>7.3728410066225157E-6</v>
      </c>
      <c r="DN117">
        <f t="shared" si="55"/>
        <v>4.9821581439681441E-2</v>
      </c>
      <c r="DO117">
        <f t="shared" si="52"/>
        <v>5.1845644528812811E-3</v>
      </c>
      <c r="DP117" s="14">
        <f t="shared" si="50"/>
        <v>9112160213112.5879</v>
      </c>
      <c r="DQ117" s="6">
        <f t="shared" si="51"/>
        <v>7.205212969517266</v>
      </c>
      <c r="DR117" s="6">
        <f>BS117*1000000*DL117/(W117*0.001)</f>
        <v>100358428.89628495</v>
      </c>
      <c r="DS117" s="6">
        <v>-1.7889999999999999</v>
      </c>
      <c r="EI117" t="s">
        <v>284</v>
      </c>
      <c r="FV117"/>
      <c r="IL117" s="15"/>
    </row>
    <row r="118" spans="1:246" x14ac:dyDescent="0.35">
      <c r="A118">
        <v>0</v>
      </c>
      <c r="B118">
        <v>5</v>
      </c>
      <c r="C118" s="3">
        <v>3900</v>
      </c>
      <c r="D118" t="s">
        <v>65</v>
      </c>
      <c r="E118" t="s">
        <v>480</v>
      </c>
      <c r="F118" t="s">
        <v>242</v>
      </c>
      <c r="G118" t="s">
        <v>135</v>
      </c>
      <c r="H118">
        <v>19960420</v>
      </c>
      <c r="I118">
        <f>16*3600+34*60</f>
        <v>59640</v>
      </c>
      <c r="K118">
        <v>1643</v>
      </c>
      <c r="L118" t="s">
        <v>283</v>
      </c>
      <c r="M118" t="s">
        <v>183</v>
      </c>
      <c r="Q118" t="s">
        <v>138</v>
      </c>
      <c r="W118" s="6">
        <v>4.641</v>
      </c>
      <c r="AA118" s="3">
        <f t="shared" si="43"/>
        <v>3900</v>
      </c>
      <c r="AK118">
        <f>43*60</f>
        <v>2580</v>
      </c>
      <c r="AL118">
        <v>4500</v>
      </c>
      <c r="AM118" s="6">
        <f>273.15-40</f>
        <v>233.14999999999998</v>
      </c>
      <c r="AN118" s="6">
        <f>273.15-41</f>
        <v>232.14999999999998</v>
      </c>
      <c r="AO118" s="6">
        <f>273.15-39.8</f>
        <v>233.34999999999997</v>
      </c>
      <c r="AP118" s="6">
        <v>8.5</v>
      </c>
      <c r="AQ118" s="6">
        <v>7.7</v>
      </c>
      <c r="AR118" s="6">
        <v>9.1999999999999993</v>
      </c>
      <c r="AS118" s="7">
        <f t="shared" si="56"/>
        <v>276.17496220418303</v>
      </c>
      <c r="AT118" s="7">
        <v>335</v>
      </c>
      <c r="AU118" s="7">
        <v>332</v>
      </c>
      <c r="AV118" s="7">
        <v>338</v>
      </c>
      <c r="AW118">
        <v>1</v>
      </c>
      <c r="BA118" s="6">
        <v>0.8</v>
      </c>
      <c r="BB118">
        <v>0.75</v>
      </c>
      <c r="BC118">
        <v>0.85</v>
      </c>
      <c r="BD118" s="6">
        <v>2</v>
      </c>
      <c r="BE118" s="6">
        <v>1.8</v>
      </c>
      <c r="BF118" s="6">
        <v>2.4</v>
      </c>
      <c r="BJ118">
        <f>BS118*1000000/BP118</f>
        <v>895.23809523809518</v>
      </c>
      <c r="BM118">
        <v>1500</v>
      </c>
      <c r="BP118" s="3">
        <v>21000</v>
      </c>
      <c r="BS118">
        <v>18.8</v>
      </c>
      <c r="BV118">
        <v>0.12</v>
      </c>
      <c r="BW118">
        <v>0.1</v>
      </c>
      <c r="BX118">
        <v>0.3</v>
      </c>
      <c r="BY118">
        <f t="shared" si="53"/>
        <v>0</v>
      </c>
      <c r="BZ118">
        <v>3.6</v>
      </c>
      <c r="CC118">
        <v>68</v>
      </c>
      <c r="CF118" s="13">
        <v>2300000000000</v>
      </c>
      <c r="CG118" s="13"/>
      <c r="CH118" s="13">
        <v>6900000000000</v>
      </c>
      <c r="CO118">
        <v>20</v>
      </c>
      <c r="CP118">
        <v>15</v>
      </c>
      <c r="CQ118">
        <v>25</v>
      </c>
      <c r="CY118">
        <v>0.15</v>
      </c>
      <c r="CZ118">
        <v>0.1</v>
      </c>
      <c r="DA118">
        <v>0.2</v>
      </c>
      <c r="DB118" s="3">
        <f>BP118*CY118</f>
        <v>3150</v>
      </c>
      <c r="DD118" s="3">
        <f>DA118*BP118</f>
        <v>4200</v>
      </c>
      <c r="DH118" s="14">
        <f t="shared" si="45"/>
        <v>5223357.1939273151</v>
      </c>
      <c r="DI118" s="6">
        <f t="shared" si="46"/>
        <v>17.287781840567632</v>
      </c>
      <c r="DJ118" s="6">
        <f t="shared" si="47"/>
        <v>12.836970549449125</v>
      </c>
      <c r="DK118" s="8">
        <f t="shared" si="48"/>
        <v>2.3784402459092564E-4</v>
      </c>
      <c r="DL118" s="1">
        <f t="shared" si="49"/>
        <v>0.50057247560254581</v>
      </c>
      <c r="DM118">
        <f t="shared" si="54"/>
        <v>7.1917657791044772E-6</v>
      </c>
      <c r="DN118">
        <f t="shared" si="55"/>
        <v>3.0237319568880441E-2</v>
      </c>
      <c r="DO118">
        <f t="shared" si="52"/>
        <v>9.9811300548042527E-4</v>
      </c>
      <c r="DP118" s="14">
        <f t="shared" si="50"/>
        <v>1252172050644.1885</v>
      </c>
      <c r="DQ118" s="6">
        <f t="shared" si="51"/>
        <v>12.844281376147109</v>
      </c>
      <c r="DR118" s="6">
        <f>BS118*1000000*DL118/(W118*0.001)</f>
        <v>2027744568.267154</v>
      </c>
      <c r="DS118" s="6">
        <v>1.4419999999999999</v>
      </c>
      <c r="FV118"/>
      <c r="IL118" s="15"/>
    </row>
    <row r="119" spans="1:246" x14ac:dyDescent="0.35">
      <c r="A119">
        <v>0</v>
      </c>
      <c r="B119">
        <v>3</v>
      </c>
      <c r="C119" s="3">
        <v>36</v>
      </c>
      <c r="D119" t="s">
        <v>152</v>
      </c>
      <c r="E119" t="s">
        <v>151</v>
      </c>
      <c r="F119" t="s">
        <v>225</v>
      </c>
      <c r="G119" t="s">
        <v>70</v>
      </c>
      <c r="H119">
        <v>19960422</v>
      </c>
      <c r="I119">
        <v>45420</v>
      </c>
      <c r="K119" s="5">
        <v>0.52569444444444446</v>
      </c>
      <c r="L119" t="s">
        <v>230</v>
      </c>
      <c r="M119" t="s">
        <v>442</v>
      </c>
      <c r="U119">
        <v>64.44</v>
      </c>
      <c r="V119">
        <v>344.86900000000003</v>
      </c>
      <c r="W119">
        <v>11.7</v>
      </c>
      <c r="X119">
        <v>0.33</v>
      </c>
      <c r="Y119">
        <v>247.5</v>
      </c>
      <c r="AA119" s="3">
        <f t="shared" si="43"/>
        <v>36</v>
      </c>
      <c r="AK119">
        <v>5.7</v>
      </c>
      <c r="AL119">
        <v>50.3</v>
      </c>
      <c r="AM119" s="6">
        <v>220.84999999999997</v>
      </c>
      <c r="AP119" s="6">
        <v>10170</v>
      </c>
      <c r="AS119" s="7">
        <f t="shared" si="56"/>
        <v>328.62151896392709</v>
      </c>
      <c r="AT119" s="7">
        <v>263.7</v>
      </c>
      <c r="BA119" s="6">
        <v>0</v>
      </c>
      <c r="BG119">
        <v>10</v>
      </c>
      <c r="BH119">
        <v>6</v>
      </c>
      <c r="BI119">
        <v>14</v>
      </c>
      <c r="BJ119">
        <f>BS119*1000000/BP119</f>
        <v>100</v>
      </c>
      <c r="BM119">
        <v>160</v>
      </c>
      <c r="BP119" s="3">
        <v>90</v>
      </c>
      <c r="BS119">
        <v>8.9999999999999993E-3</v>
      </c>
      <c r="BT119">
        <v>4.0000000000000001E-3</v>
      </c>
      <c r="CF119" s="13"/>
      <c r="CG119" s="13"/>
      <c r="CH119" s="13"/>
      <c r="CY119">
        <v>0.24</v>
      </c>
      <c r="DA119">
        <v>1.18</v>
      </c>
      <c r="DB119" s="3">
        <f>BP119*CY119</f>
        <v>21.599999999999998</v>
      </c>
      <c r="DD119" s="3">
        <f>DA119*BP119</f>
        <v>106.19999999999999</v>
      </c>
      <c r="DH119" s="14">
        <f t="shared" si="45"/>
        <v>123066.55416650791</v>
      </c>
      <c r="DI119" s="6">
        <f t="shared" si="46"/>
        <v>4.8700295264392963</v>
      </c>
      <c r="DJ119" s="6">
        <f t="shared" si="47"/>
        <v>2.9539217910037094</v>
      </c>
      <c r="DK119" s="8">
        <f t="shared" si="48"/>
        <v>6.9528581640666338E-5</v>
      </c>
      <c r="DL119" s="1">
        <f t="shared" si="49"/>
        <v>0.41597794474525684</v>
      </c>
      <c r="DM119">
        <f t="shared" si="54"/>
        <v>0</v>
      </c>
      <c r="DN119">
        <f t="shared" si="55"/>
        <v>0</v>
      </c>
      <c r="DO119">
        <f t="shared" si="52"/>
        <v>0.14491664616594699</v>
      </c>
      <c r="DP119" s="14">
        <f t="shared" si="50"/>
        <v>0</v>
      </c>
      <c r="DQ119" s="6">
        <f t="shared" si="51"/>
        <v>2.956413244119485</v>
      </c>
      <c r="DR119" s="6">
        <f>BS119*1000000*DL119/(W119*0.001)</f>
        <v>319983.03441942832</v>
      </c>
      <c r="DS119" s="6">
        <v>5.1539999999999999</v>
      </c>
      <c r="ET119" s="5"/>
      <c r="FV119"/>
      <c r="IL119" s="15"/>
    </row>
    <row r="120" spans="1:246" x14ac:dyDescent="0.35">
      <c r="A120">
        <v>0</v>
      </c>
      <c r="B120">
        <v>3</v>
      </c>
      <c r="C120">
        <v>30</v>
      </c>
      <c r="D120" t="s">
        <v>152</v>
      </c>
      <c r="E120" t="s">
        <v>437</v>
      </c>
      <c r="F120" t="s">
        <v>443</v>
      </c>
      <c r="G120" t="s">
        <v>101</v>
      </c>
      <c r="H120">
        <v>19960422</v>
      </c>
      <c r="K120" s="17">
        <v>0.52542824074074101</v>
      </c>
      <c r="L120" t="s">
        <v>378</v>
      </c>
      <c r="M120" t="s">
        <v>442</v>
      </c>
      <c r="Q120" s="27" t="s">
        <v>436</v>
      </c>
      <c r="AA120" s="3">
        <f t="shared" si="43"/>
        <v>30</v>
      </c>
      <c r="AG120" s="24"/>
      <c r="AH120" s="24"/>
      <c r="AI120" s="25"/>
      <c r="AM120">
        <v>220.155</v>
      </c>
      <c r="AN120">
        <v>220.16</v>
      </c>
      <c r="AO120">
        <v>220.15</v>
      </c>
      <c r="AP120" s="6">
        <v>10.100000000000001</v>
      </c>
      <c r="AQ120" s="6">
        <v>10.050000000000001</v>
      </c>
      <c r="AR120" s="6">
        <v>10.15</v>
      </c>
      <c r="AS120" s="7">
        <f t="shared" si="56"/>
        <v>331.35676069853224</v>
      </c>
      <c r="AT120">
        <v>260.35000000000002</v>
      </c>
      <c r="AU120">
        <v>258.35000000000002</v>
      </c>
      <c r="AV120">
        <v>262.33999999999997</v>
      </c>
      <c r="AX120">
        <v>55</v>
      </c>
      <c r="AY120"/>
      <c r="AZ120"/>
      <c r="BM120" s="26">
        <v>52</v>
      </c>
      <c r="BN120" s="3">
        <v>46.800000000000004</v>
      </c>
      <c r="BO120" s="3">
        <v>57.2</v>
      </c>
      <c r="BP120" s="26">
        <v>92</v>
      </c>
      <c r="BQ120" s="3">
        <v>82.8</v>
      </c>
      <c r="BR120" s="3">
        <v>101.2</v>
      </c>
      <c r="BS120" s="26">
        <v>3.3999999999999998E-3</v>
      </c>
      <c r="BT120" s="8">
        <v>2.7200000000000002E-3</v>
      </c>
      <c r="BU120" s="8">
        <v>4.0799999999999994E-3</v>
      </c>
      <c r="CI120">
        <v>8.8000000000000291</v>
      </c>
      <c r="CY120">
        <v>0.88</v>
      </c>
      <c r="DA120">
        <v>1.4</v>
      </c>
      <c r="DB120">
        <f>CY120*BP120</f>
        <v>80.959999999999994</v>
      </c>
      <c r="DC120"/>
      <c r="DD120"/>
      <c r="DH120" s="14">
        <f t="shared" si="45"/>
        <v>106364.09366354482</v>
      </c>
      <c r="DI120" s="6">
        <f t="shared" si="46"/>
        <v>4.5335939890249302</v>
      </c>
      <c r="DJ120" s="6">
        <f t="shared" si="47"/>
        <v>2.7053826562063787</v>
      </c>
      <c r="DK120" s="8">
        <f t="shared" si="48"/>
        <v>6.4497907739203604E-5</v>
      </c>
      <c r="DL120" s="1">
        <f t="shared" si="49"/>
        <v>0.41198993604561618</v>
      </c>
      <c r="DO120">
        <f t="shared" si="52"/>
        <v>0.18075112734733731</v>
      </c>
      <c r="DP120" s="14">
        <f t="shared" si="50"/>
        <v>0</v>
      </c>
      <c r="DQ120" s="6">
        <f t="shared" si="51"/>
        <v>2.7077040559561727</v>
      </c>
      <c r="DS120" s="6">
        <v>-4.6390000000000002</v>
      </c>
    </row>
    <row r="121" spans="1:246" x14ac:dyDescent="0.35">
      <c r="A121">
        <v>0</v>
      </c>
      <c r="B121">
        <v>3</v>
      </c>
      <c r="C121">
        <v>60</v>
      </c>
      <c r="D121" t="s">
        <v>152</v>
      </c>
      <c r="E121" t="s">
        <v>437</v>
      </c>
      <c r="F121" t="s">
        <v>443</v>
      </c>
      <c r="G121" t="s">
        <v>101</v>
      </c>
      <c r="H121">
        <v>19960422</v>
      </c>
      <c r="L121" t="s">
        <v>378</v>
      </c>
      <c r="M121" t="s">
        <v>442</v>
      </c>
      <c r="Q121" s="27" t="s">
        <v>372</v>
      </c>
      <c r="AA121" s="3">
        <f t="shared" si="43"/>
        <v>60</v>
      </c>
      <c r="AG121" s="24"/>
      <c r="AH121" s="24"/>
      <c r="AM121">
        <v>219.655</v>
      </c>
      <c r="AN121">
        <v>219.16</v>
      </c>
      <c r="AO121">
        <v>220.15</v>
      </c>
      <c r="AP121" s="6">
        <v>10.129999999999999</v>
      </c>
      <c r="AQ121" s="6">
        <v>10.08</v>
      </c>
      <c r="AR121" s="6">
        <v>10.18</v>
      </c>
      <c r="AS121" s="7">
        <f t="shared" si="56"/>
        <v>332.34348312446343</v>
      </c>
      <c r="AT121">
        <v>259.14999999999998</v>
      </c>
      <c r="AU121">
        <v>257.16000000000003</v>
      </c>
      <c r="AV121">
        <v>261.14</v>
      </c>
      <c r="AX121">
        <v>55</v>
      </c>
      <c r="AY121"/>
      <c r="AZ121"/>
      <c r="BM121" s="26"/>
      <c r="BN121" s="3"/>
      <c r="BO121" s="3"/>
      <c r="BP121" s="26"/>
      <c r="BS121" s="26"/>
      <c r="BT121" s="8"/>
      <c r="BU121" s="8"/>
      <c r="CI121">
        <v>1.80000000000001</v>
      </c>
      <c r="CY121">
        <v>0.18</v>
      </c>
      <c r="DA121">
        <v>0.2</v>
      </c>
      <c r="DB121"/>
      <c r="DC121"/>
      <c r="DD121"/>
      <c r="DH121" s="14">
        <f t="shared" si="45"/>
        <v>185190.64330656131</v>
      </c>
      <c r="DI121" s="6">
        <f t="shared" si="46"/>
        <v>4.3060241182225667</v>
      </c>
      <c r="DJ121" s="6">
        <f t="shared" si="47"/>
        <v>2.5387479036233249</v>
      </c>
      <c r="DK121" s="8">
        <f t="shared" si="48"/>
        <v>6.0805501094719285E-5</v>
      </c>
      <c r="DL121" s="1">
        <f t="shared" si="49"/>
        <v>0.41102448917372114</v>
      </c>
      <c r="DO121">
        <f t="shared" si="52"/>
        <v>0.11011836969241319</v>
      </c>
      <c r="DP121" s="14">
        <f t="shared" si="50"/>
        <v>0</v>
      </c>
      <c r="DQ121" s="6">
        <f t="shared" si="51"/>
        <v>2.5409529074253632</v>
      </c>
      <c r="DS121" s="6">
        <v>-3.3109999999999999</v>
      </c>
    </row>
    <row r="122" spans="1:246" x14ac:dyDescent="0.35">
      <c r="A122">
        <v>0</v>
      </c>
      <c r="B122">
        <v>3</v>
      </c>
      <c r="C122" s="3">
        <v>168</v>
      </c>
      <c r="D122" t="s">
        <v>152</v>
      </c>
      <c r="E122" t="s">
        <v>187</v>
      </c>
      <c r="F122" t="s">
        <v>225</v>
      </c>
      <c r="H122">
        <v>19960423</v>
      </c>
      <c r="K122" s="5">
        <v>0.52777777777777779</v>
      </c>
      <c r="L122" t="s">
        <v>230</v>
      </c>
      <c r="M122" t="s">
        <v>445</v>
      </c>
      <c r="U122">
        <v>64.44</v>
      </c>
      <c r="V122">
        <v>344.86900000000003</v>
      </c>
      <c r="X122">
        <v>0.33</v>
      </c>
      <c r="Y122">
        <v>247.5</v>
      </c>
      <c r="AA122" s="3">
        <f t="shared" si="43"/>
        <v>168</v>
      </c>
      <c r="AK122">
        <v>165</v>
      </c>
      <c r="AL122">
        <v>173</v>
      </c>
      <c r="AM122" s="6">
        <v>220.84999999999997</v>
      </c>
      <c r="AP122" s="6">
        <v>10170</v>
      </c>
      <c r="AS122" s="7">
        <f t="shared" si="56"/>
        <v>328.62151896392709</v>
      </c>
      <c r="AT122" s="7">
        <v>263.7</v>
      </c>
      <c r="AX122" s="7">
        <v>101</v>
      </c>
      <c r="BJ122">
        <f>BS122*1000000/BP122</f>
        <v>50</v>
      </c>
      <c r="BM122">
        <v>150</v>
      </c>
      <c r="BP122" s="3">
        <v>100</v>
      </c>
      <c r="BS122">
        <v>5.0000000000000001E-3</v>
      </c>
      <c r="CF122" s="13"/>
      <c r="CG122" s="13"/>
      <c r="CH122" s="13"/>
      <c r="DH122" s="14">
        <f t="shared" si="45"/>
        <v>422032.08104404702</v>
      </c>
      <c r="DI122" s="6">
        <f t="shared" si="46"/>
        <v>4.8700295264392963</v>
      </c>
      <c r="DJ122" s="6">
        <f t="shared" si="47"/>
        <v>2.9539217910037094</v>
      </c>
      <c r="DK122" s="8">
        <f t="shared" si="48"/>
        <v>6.9528581640666338E-5</v>
      </c>
      <c r="DL122" s="1">
        <f t="shared" si="49"/>
        <v>0.41597794474525684</v>
      </c>
      <c r="DM122">
        <f>BZ122*0.000001/DL122</f>
        <v>0</v>
      </c>
      <c r="DN122">
        <f>DM122/DK122</f>
        <v>0</v>
      </c>
      <c r="DO122">
        <f t="shared" si="52"/>
        <v>4.22583805498635E-2</v>
      </c>
      <c r="DP122" s="14">
        <f t="shared" si="50"/>
        <v>0</v>
      </c>
      <c r="DQ122" s="6">
        <f t="shared" si="51"/>
        <v>2.956413244119485</v>
      </c>
      <c r="DS122" s="6">
        <v>-3.7589999999999999</v>
      </c>
      <c r="ET122" s="5"/>
      <c r="IL122" s="15"/>
    </row>
    <row r="123" spans="1:246" x14ac:dyDescent="0.35">
      <c r="A123">
        <v>0</v>
      </c>
      <c r="B123">
        <v>3</v>
      </c>
      <c r="C123">
        <v>60</v>
      </c>
      <c r="D123" t="s">
        <v>152</v>
      </c>
      <c r="E123" t="s">
        <v>437</v>
      </c>
      <c r="F123" t="s">
        <v>443</v>
      </c>
      <c r="G123" t="s">
        <v>101</v>
      </c>
      <c r="H123">
        <v>19960423</v>
      </c>
      <c r="K123" s="17"/>
      <c r="L123" t="s">
        <v>378</v>
      </c>
      <c r="M123" t="s">
        <v>442</v>
      </c>
      <c r="Q123" s="27" t="s">
        <v>438</v>
      </c>
      <c r="AA123" s="3">
        <f t="shared" si="43"/>
        <v>60</v>
      </c>
      <c r="AG123" s="24"/>
      <c r="AH123" s="24"/>
      <c r="AM123"/>
      <c r="AN123"/>
      <c r="AO123"/>
      <c r="AP123" s="6">
        <v>10.030000000000001</v>
      </c>
      <c r="AQ123" s="6">
        <v>10</v>
      </c>
      <c r="AR123" s="6">
        <v>10.06</v>
      </c>
      <c r="AS123" s="7">
        <f t="shared" si="56"/>
        <v>329.06865063927012</v>
      </c>
      <c r="AT123">
        <v>263.14999999999998</v>
      </c>
      <c r="AU123">
        <v>261.94</v>
      </c>
      <c r="AV123">
        <v>264.36</v>
      </c>
      <c r="AX123">
        <v>55</v>
      </c>
      <c r="AY123"/>
      <c r="AZ123"/>
      <c r="BM123" s="26">
        <v>150</v>
      </c>
      <c r="BN123" s="3">
        <v>105</v>
      </c>
      <c r="BO123" s="3">
        <v>195</v>
      </c>
      <c r="BP123" s="26">
        <v>96</v>
      </c>
      <c r="BQ123" s="3">
        <v>76.800000000000011</v>
      </c>
      <c r="BR123" s="3">
        <v>115.19999999999999</v>
      </c>
      <c r="BS123" s="26"/>
      <c r="BT123" s="8"/>
      <c r="BU123" s="8"/>
      <c r="DB123"/>
      <c r="DC123"/>
      <c r="DD123"/>
      <c r="DH123" s="14">
        <f t="shared" si="45"/>
        <v>185190.64330656131</v>
      </c>
      <c r="DI123" s="6">
        <f t="shared" si="46"/>
        <v>6.4327422831745127E-10</v>
      </c>
      <c r="DJ123" s="6" t="e">
        <f t="shared" si="47"/>
        <v>#DIV/0!</v>
      </c>
      <c r="DK123" s="8" t="e">
        <f t="shared" si="48"/>
        <v>#DIV/0!</v>
      </c>
      <c r="DL123" s="1" t="e">
        <f t="shared" si="49"/>
        <v>#DIV/0!</v>
      </c>
      <c r="DO123" t="e">
        <f t="shared" si="52"/>
        <v>#DIV/0!</v>
      </c>
      <c r="DP123" s="14" t="e">
        <f t="shared" si="50"/>
        <v>#DIV/0!</v>
      </c>
      <c r="DQ123" s="6" t="e">
        <f t="shared" si="51"/>
        <v>#DIV/0!</v>
      </c>
      <c r="DS123" s="6">
        <v>-4.6790000000000003</v>
      </c>
    </row>
    <row r="124" spans="1:246" x14ac:dyDescent="0.35">
      <c r="A124">
        <v>0</v>
      </c>
      <c r="B124">
        <v>3</v>
      </c>
      <c r="C124">
        <v>240</v>
      </c>
      <c r="D124" t="s">
        <v>152</v>
      </c>
      <c r="E124" t="s">
        <v>437</v>
      </c>
      <c r="F124" t="s">
        <v>443</v>
      </c>
      <c r="G124" t="s">
        <v>101</v>
      </c>
      <c r="H124">
        <v>19960423</v>
      </c>
      <c r="K124" s="17"/>
      <c r="L124" t="s">
        <v>378</v>
      </c>
      <c r="M124" t="s">
        <v>442</v>
      </c>
      <c r="Q124" s="27" t="s">
        <v>373</v>
      </c>
      <c r="AA124" s="3">
        <f t="shared" si="43"/>
        <v>240</v>
      </c>
      <c r="AG124" s="24"/>
      <c r="AH124" s="24"/>
      <c r="AI124" s="25"/>
      <c r="AM124">
        <v>211.155</v>
      </c>
      <c r="AN124">
        <v>210.16</v>
      </c>
      <c r="AO124">
        <v>212.15</v>
      </c>
      <c r="AP124" s="6">
        <v>11.3</v>
      </c>
      <c r="AQ124" s="6">
        <v>11.2</v>
      </c>
      <c r="AR124" s="6">
        <v>11.4</v>
      </c>
      <c r="AS124" s="7">
        <f t="shared" si="56"/>
        <v>370.66520359554096</v>
      </c>
      <c r="AT124">
        <v>215.89</v>
      </c>
      <c r="AU124">
        <v>212.49</v>
      </c>
      <c r="AV124">
        <v>219.29</v>
      </c>
      <c r="AX124">
        <v>65</v>
      </c>
      <c r="AY124"/>
      <c r="AZ124"/>
      <c r="BM124" s="26">
        <v>217</v>
      </c>
      <c r="BN124" s="3">
        <v>195.3</v>
      </c>
      <c r="BO124" s="3">
        <v>238.70000000000002</v>
      </c>
      <c r="BP124" s="26">
        <v>65</v>
      </c>
      <c r="BQ124" s="3">
        <v>55.25</v>
      </c>
      <c r="BR124" s="3">
        <v>74.75</v>
      </c>
      <c r="BS124" s="26">
        <v>5.7999999999999996E-3</v>
      </c>
      <c r="BT124" s="8">
        <v>4.64E-3</v>
      </c>
      <c r="BU124" s="8">
        <v>6.9599999999999992E-3</v>
      </c>
      <c r="CI124">
        <v>0.999999999999995</v>
      </c>
      <c r="CY124">
        <v>0.2</v>
      </c>
      <c r="DA124">
        <v>0.43</v>
      </c>
      <c r="DB124">
        <f>CY124*BP124</f>
        <v>13</v>
      </c>
      <c r="DC124"/>
      <c r="DD124"/>
      <c r="DH124" s="14">
        <f t="shared" si="45"/>
        <v>561393.05204494612</v>
      </c>
      <c r="DI124" s="6">
        <f t="shared" si="46"/>
        <v>1.7941206260911204</v>
      </c>
      <c r="DJ124" s="6">
        <f t="shared" si="47"/>
        <v>0.8229971974954382</v>
      </c>
      <c r="DK124" s="8">
        <f t="shared" si="48"/>
        <v>2.3661394539872458E-5</v>
      </c>
      <c r="DL124" s="1">
        <f t="shared" si="49"/>
        <v>0.3561957516295613</v>
      </c>
      <c r="DO124">
        <f t="shared" si="52"/>
        <v>9.3349998341009099E-2</v>
      </c>
      <c r="DP124" s="14">
        <f t="shared" si="50"/>
        <v>0</v>
      </c>
      <c r="DQ124" s="6">
        <f t="shared" si="51"/>
        <v>0.82385559008521425</v>
      </c>
      <c r="DS124" s="6" t="s">
        <v>462</v>
      </c>
    </row>
    <row r="125" spans="1:246" x14ac:dyDescent="0.35">
      <c r="A125">
        <v>0</v>
      </c>
      <c r="B125">
        <v>3</v>
      </c>
      <c r="C125">
        <v>510</v>
      </c>
      <c r="D125" t="s">
        <v>152</v>
      </c>
      <c r="E125" t="s">
        <v>437</v>
      </c>
      <c r="F125" t="s">
        <v>443</v>
      </c>
      <c r="G125" t="s">
        <v>101</v>
      </c>
      <c r="H125">
        <v>19960423</v>
      </c>
      <c r="K125" s="17"/>
      <c r="L125" t="s">
        <v>378</v>
      </c>
      <c r="M125" t="s">
        <v>442</v>
      </c>
      <c r="Q125" s="27" t="s">
        <v>374</v>
      </c>
      <c r="AA125" s="3">
        <f t="shared" si="43"/>
        <v>510</v>
      </c>
      <c r="AG125" s="24"/>
      <c r="AH125" s="24"/>
      <c r="AM125">
        <v>210.155</v>
      </c>
      <c r="AN125">
        <v>209.16</v>
      </c>
      <c r="AO125">
        <v>211.15</v>
      </c>
      <c r="AP125" s="6">
        <v>11.375</v>
      </c>
      <c r="AQ125" s="6">
        <v>11.25</v>
      </c>
      <c r="AR125" s="6">
        <v>11.5</v>
      </c>
      <c r="AS125" s="7">
        <f t="shared" si="56"/>
        <v>373.0835379029113</v>
      </c>
      <c r="AT125">
        <v>213.37</v>
      </c>
      <c r="AU125">
        <v>209.16</v>
      </c>
      <c r="AV125">
        <v>217.57</v>
      </c>
      <c r="AX125">
        <v>65</v>
      </c>
      <c r="AY125"/>
      <c r="AZ125"/>
      <c r="BM125" s="26">
        <v>250</v>
      </c>
      <c r="BN125" s="3">
        <v>225</v>
      </c>
      <c r="BO125" s="3">
        <v>275</v>
      </c>
      <c r="BP125" s="26"/>
      <c r="BS125" s="29"/>
      <c r="BT125" s="8"/>
      <c r="BU125" s="8"/>
      <c r="CI125">
        <v>0.48</v>
      </c>
      <c r="CY125">
        <v>0.12</v>
      </c>
      <c r="DA125">
        <v>0.23</v>
      </c>
      <c r="DB125"/>
      <c r="DC125"/>
      <c r="DD125"/>
      <c r="DH125" s="14">
        <f t="shared" si="45"/>
        <v>1026016.11232719</v>
      </c>
      <c r="DI125" s="6">
        <f t="shared" si="46"/>
        <v>1.6185246104763462</v>
      </c>
      <c r="DJ125" s="6">
        <f t="shared" si="47"/>
        <v>0.71657348723140946</v>
      </c>
      <c r="DK125" s="8">
        <f t="shared" si="48"/>
        <v>2.0844999329585116E-5</v>
      </c>
      <c r="DL125" s="1">
        <f t="shared" si="49"/>
        <v>0.35371315226349759</v>
      </c>
      <c r="DO125">
        <f t="shared" si="52"/>
        <v>5.7978318910902688E-2</v>
      </c>
      <c r="DP125" s="14">
        <f t="shared" si="50"/>
        <v>0</v>
      </c>
      <c r="DQ125" s="6">
        <f t="shared" si="51"/>
        <v>0.71733566869999055</v>
      </c>
      <c r="DS125" s="6">
        <v>-10.64</v>
      </c>
    </row>
    <row r="126" spans="1:246" x14ac:dyDescent="0.35">
      <c r="A126">
        <v>0</v>
      </c>
      <c r="B126">
        <v>3</v>
      </c>
      <c r="C126">
        <v>840</v>
      </c>
      <c r="D126" t="s">
        <v>152</v>
      </c>
      <c r="E126" t="s">
        <v>437</v>
      </c>
      <c r="F126" t="s">
        <v>443</v>
      </c>
      <c r="G126" t="s">
        <v>101</v>
      </c>
      <c r="H126">
        <v>19960423</v>
      </c>
      <c r="K126" s="17"/>
      <c r="L126" t="s">
        <v>378</v>
      </c>
      <c r="M126" t="s">
        <v>442</v>
      </c>
      <c r="Q126" s="27" t="s">
        <v>439</v>
      </c>
      <c r="AA126" s="3">
        <f t="shared" si="43"/>
        <v>840</v>
      </c>
      <c r="AG126" s="24"/>
      <c r="AH126" s="24"/>
      <c r="AM126">
        <v>209.655</v>
      </c>
      <c r="AN126">
        <v>207.16</v>
      </c>
      <c r="AO126">
        <v>212.15</v>
      </c>
      <c r="AP126" s="6">
        <v>11.5</v>
      </c>
      <c r="AQ126" s="6">
        <v>11.2</v>
      </c>
      <c r="AR126" s="6">
        <v>11.8</v>
      </c>
      <c r="AS126" s="7">
        <f t="shared" si="56"/>
        <v>376.94071367575754</v>
      </c>
      <c r="AT126">
        <v>209.4</v>
      </c>
      <c r="AU126">
        <v>199.5</v>
      </c>
      <c r="AV126">
        <v>219.29</v>
      </c>
      <c r="AX126">
        <v>65</v>
      </c>
      <c r="AY126"/>
      <c r="AZ126"/>
      <c r="BM126" s="26"/>
      <c r="BN126" s="3"/>
      <c r="BO126" s="3"/>
      <c r="BP126" s="26"/>
      <c r="BS126" s="26"/>
      <c r="BT126" s="8"/>
      <c r="BU126" s="8"/>
      <c r="DB126"/>
      <c r="DC126"/>
      <c r="DD126"/>
      <c r="DH126" s="14">
        <f t="shared" si="45"/>
        <v>1529401.3488015123</v>
      </c>
      <c r="DI126" s="6">
        <f t="shared" si="46"/>
        <v>1.5372805825840812</v>
      </c>
      <c r="DJ126" s="6">
        <f t="shared" si="47"/>
        <v>0.66831086530619999</v>
      </c>
      <c r="DK126" s="8">
        <f t="shared" si="48"/>
        <v>1.980962944292659E-5</v>
      </c>
      <c r="DL126" s="1">
        <f t="shared" si="49"/>
        <v>0.34795976731641221</v>
      </c>
      <c r="DO126">
        <f t="shared" si="52"/>
        <v>4.0928314929096578E-2</v>
      </c>
      <c r="DP126" s="14">
        <f t="shared" si="50"/>
        <v>0</v>
      </c>
      <c r="DQ126" s="6">
        <f t="shared" si="51"/>
        <v>0.66902865459335503</v>
      </c>
      <c r="DS126" s="6">
        <v>-11.51</v>
      </c>
    </row>
    <row r="127" spans="1:246" x14ac:dyDescent="0.35">
      <c r="A127">
        <v>0</v>
      </c>
      <c r="B127">
        <v>3</v>
      </c>
      <c r="C127">
        <v>60</v>
      </c>
      <c r="D127" t="s">
        <v>152</v>
      </c>
      <c r="E127" t="s">
        <v>437</v>
      </c>
      <c r="F127" t="s">
        <v>443</v>
      </c>
      <c r="G127" t="s">
        <v>101</v>
      </c>
      <c r="H127">
        <v>19960423</v>
      </c>
      <c r="K127" s="17"/>
      <c r="L127" t="s">
        <v>378</v>
      </c>
      <c r="M127" t="s">
        <v>442</v>
      </c>
      <c r="Q127" s="27" t="s">
        <v>440</v>
      </c>
      <c r="AA127" s="3">
        <f t="shared" si="43"/>
        <v>60</v>
      </c>
      <c r="AG127" s="24"/>
      <c r="AH127" s="24"/>
      <c r="AM127">
        <v>210.655</v>
      </c>
      <c r="AN127">
        <v>210.16</v>
      </c>
      <c r="AO127">
        <v>211.15</v>
      </c>
      <c r="AP127" s="6">
        <v>11.33</v>
      </c>
      <c r="AQ127" s="6">
        <v>11.26</v>
      </c>
      <c r="AR127" s="6">
        <v>11.4</v>
      </c>
      <c r="AS127" s="7">
        <f t="shared" si="56"/>
        <v>371.65087334282646</v>
      </c>
      <c r="AT127">
        <v>214.86</v>
      </c>
      <c r="AU127">
        <v>212.49</v>
      </c>
      <c r="AV127">
        <v>217.23</v>
      </c>
      <c r="AX127">
        <v>65</v>
      </c>
      <c r="AY127"/>
      <c r="AZ127"/>
      <c r="BM127" s="26"/>
      <c r="BN127" s="3"/>
      <c r="BO127" s="3"/>
      <c r="BP127" s="26"/>
      <c r="BS127" s="26"/>
      <c r="BT127" s="8"/>
      <c r="BU127" s="8"/>
      <c r="CI127">
        <v>1.3571428571428501</v>
      </c>
      <c r="CY127">
        <v>0.19</v>
      </c>
      <c r="DA127">
        <v>0.4</v>
      </c>
      <c r="DB127"/>
      <c r="DC127"/>
      <c r="DD127"/>
      <c r="DH127" s="14">
        <f t="shared" si="45"/>
        <v>185190.64330656131</v>
      </c>
      <c r="DI127" s="6">
        <f t="shared" si="46"/>
        <v>1.7040623191338129</v>
      </c>
      <c r="DJ127" s="6">
        <f t="shared" si="47"/>
        <v>0.76806919730244461</v>
      </c>
      <c r="DK127" s="8">
        <f t="shared" si="48"/>
        <v>2.218805758271465E-5</v>
      </c>
      <c r="DL127" s="1">
        <f t="shared" si="49"/>
        <v>0.35533777470160161</v>
      </c>
      <c r="DO127">
        <f t="shared" si="52"/>
        <v>0.30177507084247973</v>
      </c>
      <c r="DP127" s="14">
        <f t="shared" si="50"/>
        <v>0</v>
      </c>
      <c r="DQ127" s="6">
        <f t="shared" si="51"/>
        <v>0.76887821024932612</v>
      </c>
      <c r="DS127" s="6">
        <v>-11.83</v>
      </c>
    </row>
    <row r="128" spans="1:246" x14ac:dyDescent="0.35">
      <c r="A128">
        <v>0</v>
      </c>
      <c r="B128">
        <v>3</v>
      </c>
      <c r="C128">
        <v>222</v>
      </c>
      <c r="D128" t="s">
        <v>152</v>
      </c>
      <c r="E128" t="s">
        <v>437</v>
      </c>
      <c r="F128" t="s">
        <v>443</v>
      </c>
      <c r="G128" t="s">
        <v>101</v>
      </c>
      <c r="H128">
        <v>19960423</v>
      </c>
      <c r="K128" s="17"/>
      <c r="L128" t="s">
        <v>378</v>
      </c>
      <c r="M128" t="s">
        <v>442</v>
      </c>
      <c r="Q128" s="27" t="s">
        <v>441</v>
      </c>
      <c r="AA128" s="3">
        <f t="shared" si="43"/>
        <v>222</v>
      </c>
      <c r="AG128" s="24"/>
      <c r="AH128" s="24"/>
      <c r="AI128" s="25"/>
      <c r="AM128">
        <v>211.155</v>
      </c>
      <c r="AN128">
        <v>210.16</v>
      </c>
      <c r="AO128">
        <v>212.15</v>
      </c>
      <c r="AP128" s="6">
        <v>11.295</v>
      </c>
      <c r="AQ128" s="6">
        <v>11.16</v>
      </c>
      <c r="AR128" s="6">
        <v>11.43</v>
      </c>
      <c r="AS128" s="7">
        <f t="shared" si="56"/>
        <v>370.48379719031936</v>
      </c>
      <c r="AT128">
        <v>216.08</v>
      </c>
      <c r="AU128">
        <v>211.48</v>
      </c>
      <c r="AV128">
        <v>220.68</v>
      </c>
      <c r="AX128">
        <v>65</v>
      </c>
      <c r="AY128"/>
      <c r="AZ128"/>
      <c r="BM128" s="26">
        <v>250</v>
      </c>
      <c r="BN128" s="3">
        <v>200</v>
      </c>
      <c r="BO128" s="3"/>
      <c r="BP128" s="30">
        <v>170</v>
      </c>
      <c r="BQ128" s="31">
        <v>153</v>
      </c>
      <c r="BS128" s="26">
        <v>1.2999999999999999E-2</v>
      </c>
      <c r="BT128" s="8">
        <v>1.17E-2</v>
      </c>
      <c r="BU128" s="8"/>
      <c r="CI128">
        <v>0.407407407407408</v>
      </c>
      <c r="CY128">
        <v>0.11</v>
      </c>
      <c r="DA128">
        <v>0.25</v>
      </c>
      <c r="DB128">
        <f>CY128*BP128</f>
        <v>18.7</v>
      </c>
      <c r="DC128"/>
      <c r="DD128"/>
      <c r="DH128" s="14">
        <f t="shared" si="45"/>
        <v>527448.93477641023</v>
      </c>
      <c r="DI128" s="6">
        <f t="shared" si="46"/>
        <v>1.7941206260911204</v>
      </c>
      <c r="DJ128" s="6">
        <f t="shared" si="47"/>
        <v>0.8229971974954382</v>
      </c>
      <c r="DK128" s="8">
        <f t="shared" si="48"/>
        <v>2.3640588981919033E-5</v>
      </c>
      <c r="DL128" s="1">
        <f t="shared" si="49"/>
        <v>0.3565092316092251</v>
      </c>
      <c r="DP128" s="14">
        <f t="shared" si="50"/>
        <v>0</v>
      </c>
      <c r="DQ128" s="6">
        <f t="shared" si="51"/>
        <v>0.82385559008521425</v>
      </c>
      <c r="DS128" s="6">
        <v>-11.09</v>
      </c>
    </row>
    <row r="129" spans="1:246" x14ac:dyDescent="0.35">
      <c r="A129">
        <v>6</v>
      </c>
      <c r="B129">
        <v>0</v>
      </c>
      <c r="C129" s="3">
        <v>350</v>
      </c>
      <c r="D129" t="s">
        <v>63</v>
      </c>
      <c r="E129" t="s">
        <v>141</v>
      </c>
      <c r="F129" t="s">
        <v>196</v>
      </c>
      <c r="G129" t="s">
        <v>21</v>
      </c>
      <c r="H129">
        <v>19960425</v>
      </c>
      <c r="L129" t="s">
        <v>197</v>
      </c>
      <c r="M129" t="s">
        <v>61</v>
      </c>
      <c r="Q129" t="s">
        <v>20</v>
      </c>
      <c r="T129">
        <v>0</v>
      </c>
      <c r="U129">
        <v>60.3</v>
      </c>
      <c r="V129">
        <v>190</v>
      </c>
      <c r="W129">
        <v>6.5</v>
      </c>
      <c r="X129">
        <v>0.33</v>
      </c>
      <c r="Y129">
        <v>230</v>
      </c>
      <c r="AA129" s="3">
        <f t="shared" si="43"/>
        <v>350</v>
      </c>
      <c r="AK129">
        <v>300</v>
      </c>
      <c r="AL129">
        <v>400</v>
      </c>
      <c r="AM129" s="6">
        <v>218.15</v>
      </c>
      <c r="AS129" s="7">
        <f t="shared" si="56"/>
        <v>330.0060130618167</v>
      </c>
      <c r="AT129" s="7">
        <v>262</v>
      </c>
      <c r="AW129">
        <v>1</v>
      </c>
      <c r="AX129" s="7">
        <v>70</v>
      </c>
      <c r="AZ129" s="7">
        <v>121</v>
      </c>
      <c r="BV129">
        <v>870</v>
      </c>
      <c r="BY129">
        <f>(4*3.141592*917/3)*CL129*CL129*CL129*0.000000000000000001*BV129*1000000000000</f>
        <v>1.1462285650883199</v>
      </c>
      <c r="BZ129">
        <v>1.9</v>
      </c>
      <c r="CF129" s="13"/>
      <c r="CG129" s="13"/>
      <c r="CH129" s="13"/>
      <c r="CL129">
        <v>0.7</v>
      </c>
      <c r="CO129">
        <v>1.25</v>
      </c>
      <c r="DH129" s="14">
        <f t="shared" si="45"/>
        <v>759193.49015086819</v>
      </c>
      <c r="DI129" s="6">
        <f t="shared" si="46"/>
        <v>3.6876890937050284</v>
      </c>
      <c r="DJ129" s="6">
        <f t="shared" si="47"/>
        <v>2.0929417734359639</v>
      </c>
      <c r="DK129" s="8">
        <f t="shared" si="48"/>
        <v>4.9582721666027048E-5</v>
      </c>
      <c r="DL129" s="1">
        <f t="shared" si="49"/>
        <v>0.41841153860207358</v>
      </c>
      <c r="DM129">
        <f>BZ129*0.000001/DL129</f>
        <v>4.5409837557251913E-6</v>
      </c>
      <c r="DN129">
        <f>DM129/DK129</f>
        <v>9.1583995455347705E-2</v>
      </c>
      <c r="DO129">
        <f>1.24*29*AT129*100/(DH129*18*DJ129)</f>
        <v>3.2941156894706183E-2</v>
      </c>
      <c r="DP129" s="14">
        <f t="shared" si="50"/>
        <v>1578585377062022.5</v>
      </c>
      <c r="DQ129" s="6">
        <f t="shared" si="51"/>
        <v>2.0948250628532046</v>
      </c>
      <c r="DS129" s="6">
        <v>-10.65</v>
      </c>
      <c r="EI129" t="s">
        <v>318</v>
      </c>
      <c r="IL129" s="15"/>
    </row>
    <row r="130" spans="1:246" x14ac:dyDescent="0.35">
      <c r="A130">
        <v>6</v>
      </c>
      <c r="B130">
        <v>0</v>
      </c>
      <c r="C130" s="3">
        <v>700</v>
      </c>
      <c r="D130" t="s">
        <v>63</v>
      </c>
      <c r="E130" t="s">
        <v>141</v>
      </c>
      <c r="F130" t="s">
        <v>196</v>
      </c>
      <c r="G130" t="s">
        <v>196</v>
      </c>
      <c r="H130">
        <v>19960425</v>
      </c>
      <c r="L130" t="s">
        <v>197</v>
      </c>
      <c r="M130" t="s">
        <v>61</v>
      </c>
      <c r="Q130" t="s">
        <v>23</v>
      </c>
      <c r="T130">
        <v>1</v>
      </c>
      <c r="U130">
        <v>16.3</v>
      </c>
      <c r="V130">
        <v>10</v>
      </c>
      <c r="W130">
        <v>0.56999999999999995</v>
      </c>
      <c r="X130">
        <v>0.33</v>
      </c>
      <c r="Y130">
        <v>180</v>
      </c>
      <c r="AA130" s="3">
        <f t="shared" si="43"/>
        <v>700</v>
      </c>
      <c r="AM130" s="6">
        <v>218.15</v>
      </c>
      <c r="AS130" s="7">
        <f t="shared" si="56"/>
        <v>330.0060130618167</v>
      </c>
      <c r="AT130" s="7">
        <v>262</v>
      </c>
      <c r="AW130">
        <v>1</v>
      </c>
      <c r="AX130" s="7">
        <v>70</v>
      </c>
      <c r="AZ130" s="7">
        <v>121</v>
      </c>
      <c r="BV130">
        <v>130</v>
      </c>
      <c r="BY130">
        <f>(4*3.141592*917/3)*CL130*CL130*CL130*0.000000000000000001*BV130*1000000000000</f>
        <v>0.5780549229109202</v>
      </c>
      <c r="BZ130">
        <v>2.9</v>
      </c>
      <c r="CF130" s="13"/>
      <c r="CG130" s="13"/>
      <c r="CH130" s="13"/>
      <c r="CL130">
        <v>1.05</v>
      </c>
      <c r="CO130">
        <v>3.45</v>
      </c>
      <c r="DH130" s="14">
        <f t="shared" si="45"/>
        <v>1321832.6410031775</v>
      </c>
      <c r="DI130" s="6">
        <f t="shared" si="46"/>
        <v>3.6876890937050284</v>
      </c>
      <c r="DJ130" s="6">
        <f t="shared" si="47"/>
        <v>2.0929417734359639</v>
      </c>
      <c r="DK130" s="8">
        <f t="shared" si="48"/>
        <v>4.9582721666027048E-5</v>
      </c>
      <c r="DL130" s="1">
        <f t="shared" si="49"/>
        <v>0.41841153860207358</v>
      </c>
      <c r="DM130">
        <f>BZ130*0.000001/DL130</f>
        <v>6.9309752061068704E-6</v>
      </c>
      <c r="DN130">
        <f>DM130/DK130</f>
        <v>0.13978609832658334</v>
      </c>
      <c r="DO130">
        <f>1.24*29*AT130*100/(DH130*18*DJ130)</f>
        <v>1.8919726368324116E-2</v>
      </c>
      <c r="DP130" s="14">
        <f t="shared" si="50"/>
        <v>410691932408293.94</v>
      </c>
      <c r="DQ130" s="6">
        <f t="shared" si="51"/>
        <v>2.0948250628532046</v>
      </c>
      <c r="DS130" s="6">
        <v>-6.1879999999999997</v>
      </c>
      <c r="EI130" t="s">
        <v>318</v>
      </c>
      <c r="IL130" s="15"/>
    </row>
    <row r="131" spans="1:246" x14ac:dyDescent="0.35">
      <c r="A131">
        <v>6</v>
      </c>
      <c r="B131">
        <v>0</v>
      </c>
      <c r="C131" s="3">
        <v>135</v>
      </c>
      <c r="D131" t="s">
        <v>254</v>
      </c>
      <c r="E131" t="s">
        <v>141</v>
      </c>
      <c r="F131" t="s">
        <v>196</v>
      </c>
      <c r="G131" t="s">
        <v>15</v>
      </c>
      <c r="H131">
        <v>19960502</v>
      </c>
      <c r="I131">
        <f>8*3600+24</f>
        <v>28824</v>
      </c>
      <c r="K131" s="5">
        <v>0.35000000000000003</v>
      </c>
      <c r="L131" t="s">
        <v>197</v>
      </c>
      <c r="M131" t="s">
        <v>212</v>
      </c>
      <c r="Q131" t="s">
        <v>214</v>
      </c>
      <c r="T131">
        <v>1</v>
      </c>
      <c r="U131">
        <v>28.4</v>
      </c>
      <c r="V131">
        <v>46</v>
      </c>
      <c r="W131">
        <v>2.5</v>
      </c>
      <c r="X131">
        <v>0.33</v>
      </c>
      <c r="Y131">
        <v>230</v>
      </c>
      <c r="AA131" s="3">
        <f t="shared" si="43"/>
        <v>135</v>
      </c>
      <c r="AK131">
        <v>135</v>
      </c>
      <c r="AL131">
        <v>180</v>
      </c>
      <c r="AM131" s="6">
        <v>220.15</v>
      </c>
      <c r="AS131" s="7">
        <f t="shared" si="56"/>
        <v>310.33845934114561</v>
      </c>
      <c r="AT131" s="7">
        <v>287</v>
      </c>
      <c r="AW131">
        <v>1</v>
      </c>
      <c r="AX131" s="7">
        <v>80</v>
      </c>
      <c r="AZ131" s="7">
        <v>135</v>
      </c>
      <c r="BV131">
        <v>1150</v>
      </c>
      <c r="BW131">
        <v>120</v>
      </c>
      <c r="BY131">
        <f>(4*3.141592*917/3)*CL131*CL131*CL131*0.000000000000000001*BV131*1000000000000</f>
        <v>1.5151297124730665</v>
      </c>
      <c r="BZ131">
        <v>7.3</v>
      </c>
      <c r="CF131" s="13"/>
      <c r="CG131" s="13"/>
      <c r="CH131" s="13"/>
      <c r="CL131">
        <v>0.7</v>
      </c>
      <c r="CO131">
        <v>1.85</v>
      </c>
      <c r="DH131" s="14">
        <f t="shared" si="45"/>
        <v>354295.02563975996</v>
      </c>
      <c r="DI131" s="6">
        <f t="shared" si="46"/>
        <v>4.5312597892286197</v>
      </c>
      <c r="DJ131" s="6">
        <f t="shared" si="47"/>
        <v>2.7036671681577467</v>
      </c>
      <c r="DK131" s="8">
        <f t="shared" si="48"/>
        <v>5.847171575974942E-5</v>
      </c>
      <c r="DL131" s="1">
        <f t="shared" si="49"/>
        <v>0.45417244905735948</v>
      </c>
      <c r="DM131">
        <f>BZ131*0.000001/DL131</f>
        <v>1.6073189853658538E-5</v>
      </c>
      <c r="DN131">
        <f>DM131/DK131</f>
        <v>0.27488828820588418</v>
      </c>
      <c r="DO131">
        <f>1.24*29*AT131*100/(DH131*18*DJ131)</f>
        <v>5.9856427501308596E-2</v>
      </c>
      <c r="DP131" s="14">
        <f t="shared" si="50"/>
        <v>897102588083819.75</v>
      </c>
      <c r="DQ131" s="6">
        <f t="shared" si="51"/>
        <v>2.7059873796122726</v>
      </c>
      <c r="DS131" s="6">
        <v>-6.1879999999999997</v>
      </c>
      <c r="EI131" t="s">
        <v>318</v>
      </c>
      <c r="ET131" s="5"/>
      <c r="IL131" s="15"/>
    </row>
    <row r="132" spans="1:246" x14ac:dyDescent="0.35">
      <c r="A132">
        <v>6</v>
      </c>
      <c r="B132">
        <v>0</v>
      </c>
      <c r="C132" s="3">
        <v>800</v>
      </c>
      <c r="D132" t="s">
        <v>63</v>
      </c>
      <c r="E132" t="s">
        <v>141</v>
      </c>
      <c r="F132" t="s">
        <v>196</v>
      </c>
      <c r="G132" t="s">
        <v>21</v>
      </c>
      <c r="H132">
        <v>19960502</v>
      </c>
      <c r="L132" t="s">
        <v>197</v>
      </c>
      <c r="M132" t="s">
        <v>61</v>
      </c>
      <c r="Q132" t="s">
        <v>24</v>
      </c>
      <c r="T132">
        <v>0</v>
      </c>
      <c r="U132">
        <v>60.3</v>
      </c>
      <c r="V132">
        <v>190</v>
      </c>
      <c r="W132">
        <v>6.5</v>
      </c>
      <c r="X132">
        <v>0.33</v>
      </c>
      <c r="Y132">
        <v>230</v>
      </c>
      <c r="AA132" s="3">
        <f t="shared" si="43"/>
        <v>800</v>
      </c>
      <c r="AM132" s="6">
        <v>219.15</v>
      </c>
      <c r="AS132" s="7">
        <f t="shared" si="56"/>
        <v>320.38430891309548</v>
      </c>
      <c r="AT132" s="7">
        <v>274</v>
      </c>
      <c r="AW132">
        <v>1</v>
      </c>
      <c r="AX132" s="7">
        <v>80</v>
      </c>
      <c r="AZ132" s="7">
        <v>140</v>
      </c>
      <c r="BV132">
        <v>95</v>
      </c>
      <c r="BY132">
        <f>(4*3.141592*917/3)*CL132*CL132*CL132*0.000000000000000001*BV132*1000000000000</f>
        <v>0.48569039547130688</v>
      </c>
      <c r="BZ132">
        <v>3.4</v>
      </c>
      <c r="CF132" s="13"/>
      <c r="CG132" s="13"/>
      <c r="CH132" s="13"/>
      <c r="CL132">
        <v>1.1000000000000001</v>
      </c>
      <c r="CO132">
        <v>3.4</v>
      </c>
      <c r="DH132" s="14">
        <f t="shared" si="45"/>
        <v>1470855.5704661096</v>
      </c>
      <c r="DI132" s="6">
        <f t="shared" si="46"/>
        <v>4.0877716797153099</v>
      </c>
      <c r="DJ132" s="6">
        <f t="shared" si="47"/>
        <v>2.3801661849672051</v>
      </c>
      <c r="DK132" s="8">
        <f t="shared" si="48"/>
        <v>5.3917683525559638E-5</v>
      </c>
      <c r="DL132" s="1">
        <f t="shared" si="49"/>
        <v>0.43557873215939458</v>
      </c>
      <c r="DM132">
        <f>BZ132*0.000001/DL132</f>
        <v>7.8057070948905105E-6</v>
      </c>
      <c r="DN132">
        <f>DM132/DK132</f>
        <v>0.14477081700274125</v>
      </c>
      <c r="DO132">
        <f>1.24*29*AT132*100/(DH132*18*DJ132)</f>
        <v>1.5635811651455965E-2</v>
      </c>
      <c r="DP132" s="14">
        <f t="shared" si="50"/>
        <v>320794540407329.81</v>
      </c>
      <c r="DQ132" s="6">
        <f t="shared" si="51"/>
        <v>2.3822585330701807</v>
      </c>
      <c r="DS132" s="6">
        <v>-5.4370000000000003</v>
      </c>
      <c r="EI132" t="s">
        <v>318</v>
      </c>
      <c r="IL132" s="15"/>
    </row>
    <row r="133" spans="1:246" x14ac:dyDescent="0.35">
      <c r="A133">
        <v>0</v>
      </c>
      <c r="B133">
        <v>5</v>
      </c>
      <c r="D133" t="s">
        <v>65</v>
      </c>
      <c r="E133" t="s">
        <v>175</v>
      </c>
      <c r="F133" t="s">
        <v>176</v>
      </c>
      <c r="G133" t="s">
        <v>10</v>
      </c>
      <c r="H133">
        <v>19960504</v>
      </c>
      <c r="I133">
        <v>65520</v>
      </c>
      <c r="J133">
        <f>I133+120</f>
        <v>65640</v>
      </c>
      <c r="K133" s="5">
        <v>0.7583333333333333</v>
      </c>
      <c r="AA133" s="3">
        <f t="shared" si="43"/>
        <v>0</v>
      </c>
      <c r="CF133" s="13"/>
      <c r="CG133" s="13"/>
      <c r="CH133" s="13"/>
      <c r="DH133" s="14">
        <f t="shared" si="45"/>
        <v>0</v>
      </c>
      <c r="DI133" s="6">
        <f t="shared" si="46"/>
        <v>6.4327422831745127E-10</v>
      </c>
      <c r="DP133" s="14"/>
      <c r="DS133" s="6">
        <v>-5.9539999999999997</v>
      </c>
      <c r="EI133" s="18" t="s">
        <v>327</v>
      </c>
      <c r="ET133" s="5"/>
      <c r="IL133" s="15"/>
    </row>
    <row r="134" spans="1:246" x14ac:dyDescent="0.35">
      <c r="A134">
        <v>7</v>
      </c>
      <c r="B134">
        <v>0</v>
      </c>
      <c r="C134" s="3">
        <v>30</v>
      </c>
      <c r="D134" t="s">
        <v>65</v>
      </c>
      <c r="E134" t="s">
        <v>148</v>
      </c>
      <c r="F134" t="s">
        <v>176</v>
      </c>
      <c r="G134" t="s">
        <v>10</v>
      </c>
      <c r="H134">
        <v>19960504</v>
      </c>
      <c r="I134">
        <v>68030</v>
      </c>
      <c r="J134">
        <v>68090</v>
      </c>
      <c r="K134" s="5">
        <v>0.78749999999999998</v>
      </c>
      <c r="M134" t="s">
        <v>164</v>
      </c>
      <c r="N134">
        <v>0.3</v>
      </c>
      <c r="O134">
        <v>20</v>
      </c>
      <c r="Q134" t="s">
        <v>33</v>
      </c>
      <c r="T134">
        <v>1</v>
      </c>
      <c r="U134">
        <v>38.049999999999997</v>
      </c>
      <c r="V134">
        <v>95</v>
      </c>
      <c r="W134">
        <v>4.3</v>
      </c>
      <c r="X134">
        <v>0.33</v>
      </c>
      <c r="Y134">
        <v>236</v>
      </c>
      <c r="AA134" s="3">
        <f t="shared" si="43"/>
        <v>30</v>
      </c>
      <c r="AK134">
        <v>25</v>
      </c>
      <c r="AL134">
        <v>35</v>
      </c>
      <c r="AM134" s="6">
        <v>210</v>
      </c>
      <c r="AT134" s="7">
        <v>197</v>
      </c>
      <c r="AX134" s="7">
        <v>112</v>
      </c>
      <c r="BV134">
        <v>100</v>
      </c>
      <c r="BW134">
        <v>50</v>
      </c>
      <c r="BX134">
        <v>200</v>
      </c>
      <c r="BY134">
        <f t="shared" ref="BY134:BY143" si="57">(4*3.141592*917/3)*CL134*CL134*CL134*0.000000000000000001*BV134*1000000000000</f>
        <v>1.2963779388000001</v>
      </c>
      <c r="BZ134">
        <v>1.3</v>
      </c>
      <c r="CA134">
        <v>1</v>
      </c>
      <c r="CB134">
        <v>2</v>
      </c>
      <c r="CF134" s="13"/>
      <c r="CG134" s="13"/>
      <c r="CH134" s="13"/>
      <c r="CL134">
        <v>1.5</v>
      </c>
      <c r="CM134">
        <v>1</v>
      </c>
      <c r="CN134">
        <v>2</v>
      </c>
      <c r="CU134">
        <v>5</v>
      </c>
      <c r="DH134" s="14">
        <f t="shared" si="45"/>
        <v>106364.09366354482</v>
      </c>
      <c r="DI134" s="6">
        <f t="shared" si="46"/>
        <v>1.5928900375272899</v>
      </c>
      <c r="DJ134" s="6">
        <f>100*EXP(-6024.5282/AM134+24.7219+(0.010613868-0.000013198825*AM134)*AM134-0.49382577*LN(AM134))</f>
        <v>0.70127530730300269</v>
      </c>
      <c r="DK134" s="8">
        <f>(18/29)*DJ134/(AT134*100)</f>
        <v>2.209514358735174E-5</v>
      </c>
      <c r="DL134" s="1">
        <f>AT134*100/(287.04*AM134)</f>
        <v>0.3268169029038594</v>
      </c>
      <c r="DM134">
        <f>BZ134*0.000001/DL134</f>
        <v>3.9777624365482242E-6</v>
      </c>
      <c r="DN134">
        <f>DM134/DK134</f>
        <v>0.18002881134591384</v>
      </c>
      <c r="DO134">
        <f>1.24*29*AT134*100/(DH134*18*DJ134)</f>
        <v>0.52763040390826921</v>
      </c>
      <c r="DP134" s="14">
        <f>(BV134*1000000/DL134)*DH134</f>
        <v>32545468951718.887</v>
      </c>
      <c r="DQ134" s="6">
        <f>EXP(9.550426-5723.265/AM134+3.53068*LN(AM134)-0.00728332*AM134)</f>
        <v>0.70202347131802179</v>
      </c>
      <c r="DS134" s="6" t="s">
        <v>462</v>
      </c>
      <c r="ET134" s="5"/>
      <c r="IL134" s="15"/>
    </row>
    <row r="135" spans="1:246" x14ac:dyDescent="0.35">
      <c r="A135">
        <v>7</v>
      </c>
      <c r="B135">
        <v>0</v>
      </c>
      <c r="C135" s="3">
        <v>2000</v>
      </c>
      <c r="D135" t="s">
        <v>65</v>
      </c>
      <c r="E135" t="s">
        <v>144</v>
      </c>
      <c r="F135" t="s">
        <v>176</v>
      </c>
      <c r="G135" t="s">
        <v>30</v>
      </c>
      <c r="H135">
        <v>19960512</v>
      </c>
      <c r="I135">
        <v>82500</v>
      </c>
      <c r="J135">
        <v>85100</v>
      </c>
      <c r="L135" t="s">
        <v>252</v>
      </c>
      <c r="M135" t="s">
        <v>60</v>
      </c>
      <c r="Q135" t="s">
        <v>30</v>
      </c>
      <c r="T135">
        <v>1</v>
      </c>
      <c r="U135">
        <v>45.2</v>
      </c>
      <c r="V135">
        <v>100</v>
      </c>
      <c r="W135">
        <v>4.6399999999999997</v>
      </c>
      <c r="X135">
        <v>0.33</v>
      </c>
      <c r="Y135">
        <v>232</v>
      </c>
      <c r="AA135" s="3">
        <f t="shared" si="43"/>
        <v>2000</v>
      </c>
      <c r="AK135">
        <v>1300</v>
      </c>
      <c r="AL135">
        <v>2600</v>
      </c>
      <c r="AM135" s="6">
        <v>221</v>
      </c>
      <c r="AS135" s="7">
        <f>(1-POWER(AT135/1013.25,0.190263103))*44330.76923/30.48</f>
        <v>349.4917287898827</v>
      </c>
      <c r="AT135" s="7">
        <v>239</v>
      </c>
      <c r="AW135">
        <v>1</v>
      </c>
      <c r="AX135" s="7">
        <v>140</v>
      </c>
      <c r="AY135" s="7">
        <v>100</v>
      </c>
      <c r="AZ135" s="7">
        <v>140</v>
      </c>
      <c r="BA135" s="6">
        <v>0.66</v>
      </c>
      <c r="BG135">
        <v>10</v>
      </c>
      <c r="BH135">
        <v>5</v>
      </c>
      <c r="BI135">
        <v>20</v>
      </c>
      <c r="BM135">
        <v>500</v>
      </c>
      <c r="BN135">
        <v>400</v>
      </c>
      <c r="BO135">
        <v>600</v>
      </c>
      <c r="BV135">
        <v>100</v>
      </c>
      <c r="BW135">
        <v>50</v>
      </c>
      <c r="BX135">
        <v>200</v>
      </c>
      <c r="BY135">
        <f t="shared" si="57"/>
        <v>0</v>
      </c>
      <c r="BZ135">
        <v>5</v>
      </c>
      <c r="CB135">
        <v>20</v>
      </c>
      <c r="CF135" s="13"/>
      <c r="CG135" s="13"/>
      <c r="CH135" s="13"/>
      <c r="CO135">
        <v>30</v>
      </c>
      <c r="CP135">
        <v>20</v>
      </c>
      <c r="CQ135">
        <v>40</v>
      </c>
      <c r="CR135">
        <v>1E-3</v>
      </c>
      <c r="CU135">
        <v>60</v>
      </c>
      <c r="CX135" t="s">
        <v>111</v>
      </c>
      <c r="DH135" s="14">
        <f t="shared" ref="DH135:DH169" si="58">7000*POWER(AA135,0.8)</f>
        <v>3061413.8070411794</v>
      </c>
      <c r="DI135" s="6">
        <f t="shared" ref="DI135:DI166" si="59">EXP(6.97+0.103*(AM135-273.15))</f>
        <v>4.9458557317393446</v>
      </c>
      <c r="DJ135" s="6">
        <f>100*EXP(-6024.5282/AM135+24.7219+(0.010613868-0.000013198825*AM135)*AM135-0.49382577*LN(AM135))</f>
        <v>3.0102729394734147</v>
      </c>
      <c r="DK135" s="8">
        <f>(18/29)*DJ135/(AT135*100)</f>
        <v>7.817762647600846E-5</v>
      </c>
      <c r="DL135" s="1">
        <f>AT135*100/(287.04*AM135)</f>
        <v>0.37675862729964638</v>
      </c>
      <c r="DM135">
        <f>BZ135*0.000001/DL135</f>
        <v>1.3271096234309623E-5</v>
      </c>
      <c r="DN135">
        <f>DM135/DK135</f>
        <v>0.1697556811651518</v>
      </c>
      <c r="DO135">
        <f>1.24*29*AT135*100/(DH135*18*DJ135)</f>
        <v>5.1810426547760089E-3</v>
      </c>
      <c r="DP135" s="14">
        <f>(BV135*1000000/DL135)*DH135</f>
        <v>812566344925753.75</v>
      </c>
      <c r="DQ135" s="6">
        <f>EXP(9.550426-5723.265/AM135+3.53068*LN(AM135)-0.00728332*AM135)</f>
        <v>3.0128023838529434</v>
      </c>
      <c r="DS135" s="6">
        <v>-12.68</v>
      </c>
      <c r="EI135" t="s">
        <v>328</v>
      </c>
      <c r="IL135" s="15"/>
    </row>
    <row r="136" spans="1:246" x14ac:dyDescent="0.35">
      <c r="A136">
        <v>0</v>
      </c>
      <c r="B136">
        <v>5</v>
      </c>
      <c r="C136" s="3">
        <f>4*3600</f>
        <v>14400</v>
      </c>
      <c r="D136" t="s">
        <v>65</v>
      </c>
      <c r="E136" t="s">
        <v>115</v>
      </c>
      <c r="F136" t="s">
        <v>224</v>
      </c>
      <c r="G136" t="s">
        <v>30</v>
      </c>
      <c r="H136">
        <v>19960512</v>
      </c>
      <c r="I136">
        <f>24*3600</f>
        <v>86400</v>
      </c>
      <c r="L136" t="s">
        <v>113</v>
      </c>
      <c r="M136" t="s">
        <v>114</v>
      </c>
      <c r="Q136" t="s">
        <v>30</v>
      </c>
      <c r="T136">
        <v>1</v>
      </c>
      <c r="U136">
        <v>45.2</v>
      </c>
      <c r="V136">
        <v>100</v>
      </c>
      <c r="W136">
        <v>4.6399999999999997</v>
      </c>
      <c r="X136">
        <v>0.33</v>
      </c>
      <c r="Y136">
        <v>232</v>
      </c>
      <c r="AA136" s="3">
        <f t="shared" si="43"/>
        <v>14400</v>
      </c>
      <c r="AK136">
        <f>3600</f>
        <v>3600</v>
      </c>
      <c r="AL136">
        <f>7*3600</f>
        <v>25200</v>
      </c>
      <c r="BP136" s="3">
        <v>5000</v>
      </c>
      <c r="BQ136" s="3">
        <v>3000</v>
      </c>
      <c r="BR136" s="3">
        <v>10000</v>
      </c>
      <c r="BY136">
        <f t="shared" si="57"/>
        <v>0</v>
      </c>
      <c r="CF136" s="13"/>
      <c r="CG136" s="13"/>
      <c r="CH136" s="13"/>
      <c r="CO136">
        <v>30</v>
      </c>
      <c r="CP136">
        <v>15</v>
      </c>
      <c r="CQ136">
        <v>40</v>
      </c>
      <c r="CX136" t="s">
        <v>111</v>
      </c>
      <c r="CY136">
        <v>0.5</v>
      </c>
      <c r="CZ136">
        <v>0.25</v>
      </c>
      <c r="DA136">
        <v>0.7</v>
      </c>
      <c r="DB136" s="3">
        <f>CY136*BP136</f>
        <v>2500</v>
      </c>
      <c r="DC136" s="3">
        <f>CZ136*BQ136</f>
        <v>750</v>
      </c>
      <c r="DD136" s="3">
        <f>DA136*BR136</f>
        <v>7000</v>
      </c>
      <c r="DH136" s="14">
        <f t="shared" si="58"/>
        <v>14852105.779433915</v>
      </c>
      <c r="DI136" s="6">
        <f t="shared" si="59"/>
        <v>6.4327422831745127E-10</v>
      </c>
      <c r="DP136" s="14"/>
      <c r="DS136" s="6">
        <v>-5.61</v>
      </c>
      <c r="IL136" s="15"/>
    </row>
    <row r="137" spans="1:246" x14ac:dyDescent="0.35">
      <c r="A137">
        <v>6</v>
      </c>
      <c r="B137">
        <v>0</v>
      </c>
      <c r="C137" s="3">
        <v>120</v>
      </c>
      <c r="D137" t="s">
        <v>254</v>
      </c>
      <c r="E137" t="s">
        <v>141</v>
      </c>
      <c r="F137" t="s">
        <v>196</v>
      </c>
      <c r="G137" t="s">
        <v>14</v>
      </c>
      <c r="H137">
        <v>19961009</v>
      </c>
      <c r="L137" t="s">
        <v>197</v>
      </c>
      <c r="M137" t="s">
        <v>61</v>
      </c>
      <c r="Q137" t="s">
        <v>13</v>
      </c>
      <c r="T137">
        <v>1</v>
      </c>
      <c r="U137">
        <v>34.299999999999997</v>
      </c>
      <c r="V137">
        <v>60</v>
      </c>
      <c r="W137">
        <v>2.82</v>
      </c>
      <c r="X137">
        <v>0.33</v>
      </c>
      <c r="Y137">
        <v>230</v>
      </c>
      <c r="AA137" s="3">
        <f t="shared" si="43"/>
        <v>120</v>
      </c>
      <c r="AM137" s="6">
        <v>216.15</v>
      </c>
      <c r="AS137" s="7">
        <f t="shared" ref="AS137:AS143" si="60">(1-POWER(AT137/1013.25,0.190263103))*44330.76923/30.48</f>
        <v>350.37283509805695</v>
      </c>
      <c r="AT137" s="7">
        <v>238</v>
      </c>
      <c r="AX137" s="7">
        <v>80</v>
      </c>
      <c r="AZ137" s="7">
        <v>92</v>
      </c>
      <c r="BV137">
        <v>2150</v>
      </c>
      <c r="BY137">
        <f t="shared" si="57"/>
        <v>1.7838160437887998</v>
      </c>
      <c r="BZ137">
        <v>3.9</v>
      </c>
      <c r="CF137" s="13"/>
      <c r="CG137" s="13"/>
      <c r="CH137" s="13"/>
      <c r="CL137">
        <v>0.6</v>
      </c>
      <c r="CO137">
        <v>0.95</v>
      </c>
      <c r="DH137" s="14">
        <f t="shared" si="58"/>
        <v>322435.63769539713</v>
      </c>
      <c r="DI137" s="6">
        <f t="shared" si="59"/>
        <v>3.0011633595049378</v>
      </c>
      <c r="DJ137" s="6">
        <f t="shared" ref="DJ137:DJ143" si="61">100*EXP(-6024.5282/AM137+24.7219+(0.010613868-0.000013198825*AM137)*AM137-0.49382577*LN(AM137))</f>
        <v>1.6125636817883344</v>
      </c>
      <c r="DK137" s="8">
        <f t="shared" ref="DK137:DK144" si="62">(18/29)*DJ137/(AT137*100)</f>
        <v>4.2054688890452076E-5</v>
      </c>
      <c r="DL137" s="1">
        <f t="shared" ref="DL137:DL144" si="63">AT137*100/(287.04*AM137)</f>
        <v>0.38360061592720068</v>
      </c>
      <c r="DM137">
        <f t="shared" ref="DM137:DM144" si="64">BZ137*0.000001/DL137</f>
        <v>1.0166824134453783E-5</v>
      </c>
      <c r="DN137">
        <f t="shared" ref="DN137:DN143" si="65">DM137/DK137</f>
        <v>0.24175245145522922</v>
      </c>
      <c r="DO137">
        <f t="shared" ref="DO137:DO143" si="66">1.24*29*AT137*100/(DH137*18*DJ137)</f>
        <v>9.1445896891420381E-2</v>
      </c>
      <c r="DP137" s="14">
        <f t="shared" ref="DP137:DP144" si="67">(BV137*1000000/DL137)*DH137</f>
        <v>1807183284545782.8</v>
      </c>
      <c r="DQ137" s="6">
        <f t="shared" ref="DQ137:DQ143" si="68">EXP(9.550426-5723.265/AM137+3.53068*LN(AM137)-0.00728332*AM137)</f>
        <v>1.614081047553654</v>
      </c>
      <c r="DS137" s="6" t="s">
        <v>462</v>
      </c>
      <c r="EI137" t="s">
        <v>319</v>
      </c>
      <c r="IL137" s="15"/>
    </row>
    <row r="138" spans="1:246" x14ac:dyDescent="0.35">
      <c r="A138">
        <v>6</v>
      </c>
      <c r="B138">
        <v>0</v>
      </c>
      <c r="C138" s="3">
        <v>600</v>
      </c>
      <c r="D138" t="s">
        <v>63</v>
      </c>
      <c r="E138" t="s">
        <v>141</v>
      </c>
      <c r="F138" t="s">
        <v>196</v>
      </c>
      <c r="G138" t="s">
        <v>14</v>
      </c>
      <c r="H138">
        <v>19961009</v>
      </c>
      <c r="L138" t="s">
        <v>197</v>
      </c>
      <c r="M138" t="s">
        <v>61</v>
      </c>
      <c r="Q138" t="s">
        <v>22</v>
      </c>
      <c r="T138">
        <v>1</v>
      </c>
      <c r="U138">
        <v>34.299999999999997</v>
      </c>
      <c r="V138">
        <v>60</v>
      </c>
      <c r="W138">
        <v>2.82</v>
      </c>
      <c r="X138">
        <v>0.33</v>
      </c>
      <c r="Y138">
        <v>230</v>
      </c>
      <c r="AA138" s="3">
        <f t="shared" si="43"/>
        <v>600</v>
      </c>
      <c r="AM138" s="6">
        <v>216.15</v>
      </c>
      <c r="AS138" s="7">
        <f t="shared" si="60"/>
        <v>350.37283509805695</v>
      </c>
      <c r="AT138" s="7">
        <v>238</v>
      </c>
      <c r="AX138" s="7">
        <v>50</v>
      </c>
      <c r="AZ138" s="7">
        <v>92</v>
      </c>
      <c r="BV138">
        <v>180</v>
      </c>
      <c r="BY138">
        <f t="shared" si="57"/>
        <v>0.69140156736000014</v>
      </c>
      <c r="BZ138">
        <v>3.7</v>
      </c>
      <c r="CF138" s="13"/>
      <c r="CG138" s="13"/>
      <c r="CH138" s="13"/>
      <c r="CL138">
        <v>1</v>
      </c>
      <c r="CO138">
        <v>2.7</v>
      </c>
      <c r="DH138" s="14">
        <f t="shared" si="58"/>
        <v>1168473.9652328664</v>
      </c>
      <c r="DI138" s="6">
        <f t="shared" si="59"/>
        <v>3.0011633595049378</v>
      </c>
      <c r="DJ138" s="6">
        <f t="shared" si="61"/>
        <v>1.6125636817883344</v>
      </c>
      <c r="DK138" s="8">
        <f t="shared" si="62"/>
        <v>4.2054688890452076E-5</v>
      </c>
      <c r="DL138" s="1">
        <f t="shared" si="63"/>
        <v>0.38360061592720068</v>
      </c>
      <c r="DM138">
        <f t="shared" si="64"/>
        <v>9.6454485378151271E-6</v>
      </c>
      <c r="DN138">
        <f t="shared" si="65"/>
        <v>0.22935488984214053</v>
      </c>
      <c r="DO138">
        <f t="shared" si="66"/>
        <v>2.523412327200332E-2</v>
      </c>
      <c r="DP138" s="14">
        <f t="shared" si="67"/>
        <v>548292429702019.19</v>
      </c>
      <c r="DQ138" s="6">
        <f t="shared" si="68"/>
        <v>1.614081047553654</v>
      </c>
      <c r="DS138" s="6">
        <v>-7.5060000000000002</v>
      </c>
      <c r="EI138" t="s">
        <v>319</v>
      </c>
      <c r="IL138" s="15"/>
    </row>
    <row r="139" spans="1:246" x14ac:dyDescent="0.35">
      <c r="A139">
        <v>6</v>
      </c>
      <c r="B139">
        <v>0</v>
      </c>
      <c r="C139" s="3">
        <v>30</v>
      </c>
      <c r="D139" t="s">
        <v>254</v>
      </c>
      <c r="E139" t="s">
        <v>141</v>
      </c>
      <c r="F139" t="s">
        <v>196</v>
      </c>
      <c r="G139" t="s">
        <v>10</v>
      </c>
      <c r="H139">
        <v>19961010</v>
      </c>
      <c r="L139" t="s">
        <v>197</v>
      </c>
      <c r="M139" t="s">
        <v>61</v>
      </c>
      <c r="Q139" t="s">
        <v>9</v>
      </c>
      <c r="T139">
        <v>1</v>
      </c>
      <c r="U139">
        <v>38.049999999999997</v>
      </c>
      <c r="V139">
        <v>95.2</v>
      </c>
      <c r="W139">
        <v>4.3099999999999996</v>
      </c>
      <c r="X139">
        <v>0.33</v>
      </c>
      <c r="Y139">
        <v>240</v>
      </c>
      <c r="AA139" s="3">
        <f t="shared" si="43"/>
        <v>30</v>
      </c>
      <c r="AM139" s="6">
        <v>219.15</v>
      </c>
      <c r="AS139" s="7">
        <f t="shared" si="60"/>
        <v>330.0060130618167</v>
      </c>
      <c r="AT139" s="7">
        <v>262</v>
      </c>
      <c r="AX139" s="7">
        <v>50</v>
      </c>
      <c r="AZ139" s="7">
        <v>86</v>
      </c>
      <c r="BV139">
        <v>1200</v>
      </c>
      <c r="BY139">
        <f t="shared" si="57"/>
        <v>0.42002645217120005</v>
      </c>
      <c r="BZ139">
        <v>0.91</v>
      </c>
      <c r="CF139" s="13"/>
      <c r="CG139" s="13"/>
      <c r="CH139" s="13"/>
      <c r="CL139">
        <v>0.45</v>
      </c>
      <c r="CO139">
        <v>0.7</v>
      </c>
      <c r="DH139" s="14">
        <f t="shared" si="58"/>
        <v>106364.09366354482</v>
      </c>
      <c r="DI139" s="6">
        <f t="shared" si="59"/>
        <v>4.0877716797153099</v>
      </c>
      <c r="DJ139" s="6">
        <f t="shared" si="61"/>
        <v>2.3801661849672051</v>
      </c>
      <c r="DK139" s="8">
        <f t="shared" si="62"/>
        <v>5.6387195748104358E-5</v>
      </c>
      <c r="DL139" s="1">
        <f t="shared" si="63"/>
        <v>0.41650229133489552</v>
      </c>
      <c r="DM139">
        <f t="shared" si="64"/>
        <v>2.1848619297709926E-6</v>
      </c>
      <c r="DN139">
        <f t="shared" si="65"/>
        <v>3.8747483374263099E-2</v>
      </c>
      <c r="DO139">
        <f t="shared" si="66"/>
        <v>0.2067502981968655</v>
      </c>
      <c r="DP139" s="14">
        <f t="shared" si="67"/>
        <v>306449484316582.56</v>
      </c>
      <c r="DQ139" s="6">
        <f t="shared" si="68"/>
        <v>2.3822585330701807</v>
      </c>
      <c r="DS139" s="6">
        <v>-6.6920000000000002</v>
      </c>
      <c r="EI139" t="s">
        <v>319</v>
      </c>
      <c r="IL139" s="15"/>
    </row>
    <row r="140" spans="1:246" x14ac:dyDescent="0.35">
      <c r="A140">
        <v>6</v>
      </c>
      <c r="B140">
        <v>0</v>
      </c>
      <c r="C140" s="3">
        <v>70</v>
      </c>
      <c r="D140" t="s">
        <v>254</v>
      </c>
      <c r="E140" t="s">
        <v>305</v>
      </c>
      <c r="F140" t="s">
        <v>196</v>
      </c>
      <c r="G140" t="s">
        <v>7</v>
      </c>
      <c r="H140">
        <v>19961010</v>
      </c>
      <c r="L140" t="s">
        <v>197</v>
      </c>
      <c r="M140" t="s">
        <v>61</v>
      </c>
      <c r="Q140" t="s">
        <v>11</v>
      </c>
      <c r="T140">
        <v>1</v>
      </c>
      <c r="U140">
        <v>43.9</v>
      </c>
      <c r="V140">
        <v>120</v>
      </c>
      <c r="W140">
        <v>5.0599999999999996</v>
      </c>
      <c r="X140">
        <v>0.33</v>
      </c>
      <c r="Y140">
        <v>230</v>
      </c>
      <c r="AA140" s="3">
        <f t="shared" si="43"/>
        <v>70</v>
      </c>
      <c r="AM140" s="6">
        <v>219.15</v>
      </c>
      <c r="AS140" s="7">
        <f t="shared" si="60"/>
        <v>330.0060130618167</v>
      </c>
      <c r="AT140" s="7">
        <v>262</v>
      </c>
      <c r="AX140" s="7">
        <v>50</v>
      </c>
      <c r="AZ140" s="7">
        <v>86</v>
      </c>
      <c r="BV140">
        <v>1100</v>
      </c>
      <c r="BY140">
        <f t="shared" si="57"/>
        <v>1.1603542832214666</v>
      </c>
      <c r="BZ140">
        <v>3.2</v>
      </c>
      <c r="CF140" s="13"/>
      <c r="CG140" s="13"/>
      <c r="CH140" s="13"/>
      <c r="CL140">
        <v>0.65</v>
      </c>
      <c r="CO140">
        <v>1.2</v>
      </c>
      <c r="DH140" s="14">
        <f t="shared" si="58"/>
        <v>209496.35542988323</v>
      </c>
      <c r="DI140" s="6">
        <f t="shared" si="59"/>
        <v>4.0877716797153099</v>
      </c>
      <c r="DJ140" s="6">
        <f t="shared" si="61"/>
        <v>2.3801661849672051</v>
      </c>
      <c r="DK140" s="8">
        <f t="shared" si="62"/>
        <v>5.6387195748104358E-5</v>
      </c>
      <c r="DL140" s="1">
        <f t="shared" si="63"/>
        <v>0.41650229133489552</v>
      </c>
      <c r="DM140">
        <f t="shared" si="64"/>
        <v>7.6830309618320607E-6</v>
      </c>
      <c r="DN140">
        <f t="shared" si="65"/>
        <v>0.13625488659081528</v>
      </c>
      <c r="DO140">
        <f t="shared" si="66"/>
        <v>0.10496988378271513</v>
      </c>
      <c r="DP140" s="14">
        <f t="shared" si="67"/>
        <v>553288651148326.25</v>
      </c>
      <c r="DQ140" s="6">
        <f t="shared" si="68"/>
        <v>2.3822585330701807</v>
      </c>
      <c r="DS140" s="6">
        <v>-4.657</v>
      </c>
      <c r="EI140" t="s">
        <v>319</v>
      </c>
      <c r="IL140" s="15"/>
    </row>
    <row r="141" spans="1:246" x14ac:dyDescent="0.35">
      <c r="A141">
        <v>6</v>
      </c>
      <c r="B141">
        <v>0</v>
      </c>
      <c r="C141" s="3">
        <v>200</v>
      </c>
      <c r="D141" t="s">
        <v>63</v>
      </c>
      <c r="E141" t="s">
        <v>141</v>
      </c>
      <c r="F141" t="s">
        <v>196</v>
      </c>
      <c r="G141" t="s">
        <v>19</v>
      </c>
      <c r="H141">
        <v>19961010</v>
      </c>
      <c r="L141" t="s">
        <v>197</v>
      </c>
      <c r="M141" t="s">
        <v>61</v>
      </c>
      <c r="Q141" t="s">
        <v>18</v>
      </c>
      <c r="T141">
        <v>1</v>
      </c>
      <c r="U141">
        <v>44.84</v>
      </c>
      <c r="V141">
        <v>140</v>
      </c>
      <c r="W141">
        <v>6.22</v>
      </c>
      <c r="X141">
        <v>0.33</v>
      </c>
      <c r="Y141">
        <v>230</v>
      </c>
      <c r="AA141" s="3">
        <f t="shared" si="43"/>
        <v>200</v>
      </c>
      <c r="AK141">
        <v>180</v>
      </c>
      <c r="AL141">
        <v>300</v>
      </c>
      <c r="AM141" s="6">
        <v>219.15</v>
      </c>
      <c r="AS141" s="7">
        <f t="shared" si="60"/>
        <v>330.0060130618167</v>
      </c>
      <c r="AT141" s="7">
        <v>262</v>
      </c>
      <c r="AX141" s="7">
        <v>50</v>
      </c>
      <c r="AY141" s="7">
        <v>40</v>
      </c>
      <c r="AZ141" s="7">
        <v>77</v>
      </c>
      <c r="BV141">
        <v>290</v>
      </c>
      <c r="BY141">
        <f t="shared" si="57"/>
        <v>0.57032947067562678</v>
      </c>
      <c r="BZ141">
        <v>2</v>
      </c>
      <c r="CF141" s="13"/>
      <c r="CG141" s="13"/>
      <c r="CH141" s="13"/>
      <c r="CL141">
        <v>0.8</v>
      </c>
      <c r="CO141">
        <v>1.7</v>
      </c>
      <c r="DH141" s="14">
        <f t="shared" si="58"/>
        <v>485201.39020860242</v>
      </c>
      <c r="DI141" s="6">
        <f t="shared" si="59"/>
        <v>4.0877716797153099</v>
      </c>
      <c r="DJ141" s="6">
        <f t="shared" si="61"/>
        <v>2.3801661849672051</v>
      </c>
      <c r="DK141" s="8">
        <f t="shared" si="62"/>
        <v>5.6387195748104358E-5</v>
      </c>
      <c r="DL141" s="1">
        <f t="shared" si="63"/>
        <v>0.41650229133489552</v>
      </c>
      <c r="DM141">
        <f t="shared" si="64"/>
        <v>4.8018943511450384E-6</v>
      </c>
      <c r="DN141">
        <f t="shared" si="65"/>
        <v>8.5159304119259552E-2</v>
      </c>
      <c r="DO141">
        <f t="shared" si="66"/>
        <v>4.5323052501813177E-2</v>
      </c>
      <c r="DP141" s="14">
        <f t="shared" si="67"/>
        <v>337833443147509.13</v>
      </c>
      <c r="DQ141" s="6">
        <f t="shared" si="68"/>
        <v>2.3822585330701807</v>
      </c>
      <c r="DS141" s="6">
        <v>-4.657</v>
      </c>
      <c r="EI141" t="s">
        <v>319</v>
      </c>
      <c r="IL141" s="15"/>
    </row>
    <row r="142" spans="1:246" x14ac:dyDescent="0.35">
      <c r="A142">
        <v>6</v>
      </c>
      <c r="B142">
        <v>0</v>
      </c>
      <c r="C142" s="3">
        <v>2000</v>
      </c>
      <c r="D142" t="s">
        <v>152</v>
      </c>
      <c r="E142" t="s">
        <v>305</v>
      </c>
      <c r="F142" t="s">
        <v>196</v>
      </c>
      <c r="G142" t="s">
        <v>14</v>
      </c>
      <c r="H142">
        <v>19961014</v>
      </c>
      <c r="I142">
        <f>9*3600+50*60</f>
        <v>35400</v>
      </c>
      <c r="K142" s="5">
        <v>0.40972222222222227</v>
      </c>
      <c r="L142" t="s">
        <v>197</v>
      </c>
      <c r="M142" t="s">
        <v>212</v>
      </c>
      <c r="Q142" t="s">
        <v>215</v>
      </c>
      <c r="T142">
        <v>0</v>
      </c>
      <c r="U142">
        <v>34.299999999999997</v>
      </c>
      <c r="V142">
        <v>60</v>
      </c>
      <c r="W142">
        <v>2.82</v>
      </c>
      <c r="X142">
        <v>0.33</v>
      </c>
      <c r="Y142">
        <v>230</v>
      </c>
      <c r="AA142" s="3">
        <f t="shared" si="43"/>
        <v>2000</v>
      </c>
      <c r="AK142">
        <v>1500</v>
      </c>
      <c r="AM142" s="6">
        <v>217.15</v>
      </c>
      <c r="AN142" s="6">
        <f>273.15-57</f>
        <v>216.14999999999998</v>
      </c>
      <c r="AS142" s="7">
        <f t="shared" si="60"/>
        <v>350.02003350793802</v>
      </c>
      <c r="AT142" s="7">
        <v>238.4</v>
      </c>
      <c r="AV142" s="7">
        <v>240</v>
      </c>
      <c r="AW142">
        <v>1</v>
      </c>
      <c r="AX142" s="7">
        <v>100</v>
      </c>
      <c r="AZ142" s="7">
        <v>120</v>
      </c>
      <c r="BV142">
        <v>11</v>
      </c>
      <c r="BW142">
        <v>10</v>
      </c>
      <c r="BX142">
        <v>18</v>
      </c>
      <c r="BY142">
        <f t="shared" si="57"/>
        <v>2.2281495823124997</v>
      </c>
      <c r="BZ142">
        <v>3.9</v>
      </c>
      <c r="CB142">
        <v>5.5</v>
      </c>
      <c r="CF142" s="13"/>
      <c r="CG142" s="13"/>
      <c r="CH142" s="13"/>
      <c r="CL142">
        <v>3.75</v>
      </c>
      <c r="CO142">
        <v>5.25</v>
      </c>
      <c r="DH142" s="14">
        <f t="shared" si="58"/>
        <v>3061413.8070411794</v>
      </c>
      <c r="DI142" s="6">
        <f t="shared" si="59"/>
        <v>3.3267638012449114</v>
      </c>
      <c r="DJ142" s="6">
        <f t="shared" si="61"/>
        <v>1.8382136872949109</v>
      </c>
      <c r="DK142" s="8">
        <f t="shared" si="62"/>
        <v>4.7859069618300732E-5</v>
      </c>
      <c r="DL142" s="1">
        <f t="shared" si="63"/>
        <v>0.38247583022282938</v>
      </c>
      <c r="DM142">
        <f t="shared" si="64"/>
        <v>1.0196722751677853E-5</v>
      </c>
      <c r="DN142">
        <f t="shared" si="65"/>
        <v>0.21305727071173045</v>
      </c>
      <c r="DO142">
        <f t="shared" si="66"/>
        <v>8.4632154501069323E-3</v>
      </c>
      <c r="DP142" s="14">
        <f t="shared" si="67"/>
        <v>88046222052341.688</v>
      </c>
      <c r="DQ142" s="6">
        <f t="shared" si="68"/>
        <v>1.8399056711559896</v>
      </c>
      <c r="DS142" s="6">
        <v>-4.657</v>
      </c>
      <c r="EI142" t="s">
        <v>318</v>
      </c>
      <c r="ET142" s="5"/>
      <c r="IL142" s="15"/>
    </row>
    <row r="143" spans="1:246" x14ac:dyDescent="0.35">
      <c r="A143">
        <v>6</v>
      </c>
      <c r="B143">
        <v>0</v>
      </c>
      <c r="C143" s="3">
        <v>8</v>
      </c>
      <c r="D143" t="s">
        <v>152</v>
      </c>
      <c r="E143" t="s">
        <v>141</v>
      </c>
      <c r="F143" t="s">
        <v>196</v>
      </c>
      <c r="G143" t="s">
        <v>246</v>
      </c>
      <c r="H143">
        <v>19970418</v>
      </c>
      <c r="L143" t="s">
        <v>197</v>
      </c>
      <c r="M143" t="s">
        <v>61</v>
      </c>
      <c r="Q143" t="s">
        <v>8</v>
      </c>
      <c r="T143">
        <v>1</v>
      </c>
      <c r="U143">
        <v>21.5</v>
      </c>
      <c r="V143">
        <v>17.649999999999999</v>
      </c>
      <c r="W143">
        <v>2</v>
      </c>
      <c r="X143">
        <v>0.17</v>
      </c>
      <c r="Y143">
        <v>177</v>
      </c>
      <c r="AA143" s="3">
        <f t="shared" si="43"/>
        <v>8</v>
      </c>
      <c r="AM143" s="6">
        <v>219.15</v>
      </c>
      <c r="AS143" s="7">
        <f t="shared" si="60"/>
        <v>310.03524808738115</v>
      </c>
      <c r="AT143" s="7">
        <v>287.39999999999998</v>
      </c>
      <c r="AW143">
        <v>1</v>
      </c>
      <c r="AX143" s="7">
        <v>60</v>
      </c>
      <c r="AY143" s="7">
        <v>55</v>
      </c>
      <c r="AZ143" s="7">
        <v>103</v>
      </c>
      <c r="BV143">
        <v>2200</v>
      </c>
      <c r="BX143">
        <f>5*BV143</f>
        <v>11000</v>
      </c>
      <c r="BY143">
        <f t="shared" si="57"/>
        <v>1.8253001378303997</v>
      </c>
      <c r="BZ143">
        <v>2.8</v>
      </c>
      <c r="CB143">
        <f>2*BZ143</f>
        <v>5.6</v>
      </c>
      <c r="CF143" s="13"/>
      <c r="CG143" s="13"/>
      <c r="CH143" s="13"/>
      <c r="CL143">
        <v>0.6</v>
      </c>
      <c r="CO143">
        <v>0.75</v>
      </c>
      <c r="DH143" s="14">
        <f t="shared" si="58"/>
        <v>36946.221501641041</v>
      </c>
      <c r="DI143" s="6">
        <f t="shared" si="59"/>
        <v>4.0877716797153099</v>
      </c>
      <c r="DJ143" s="6">
        <f t="shared" si="61"/>
        <v>2.3801661849672051</v>
      </c>
      <c r="DK143" s="8">
        <f t="shared" si="62"/>
        <v>5.1403776221305997E-5</v>
      </c>
      <c r="DL143" s="1">
        <f t="shared" si="63"/>
        <v>0.45688075774675174</v>
      </c>
      <c r="DM143">
        <f t="shared" si="64"/>
        <v>6.1285137369519843E-6</v>
      </c>
      <c r="DN143">
        <f t="shared" si="65"/>
        <v>0.11922302576696338</v>
      </c>
      <c r="DO143">
        <f t="shared" si="66"/>
        <v>0.65291497762358297</v>
      </c>
      <c r="DP143" s="14">
        <f t="shared" si="67"/>
        <v>177905691858146.94</v>
      </c>
      <c r="DQ143" s="6">
        <f t="shared" si="68"/>
        <v>2.3822585330701807</v>
      </c>
      <c r="DS143" s="6">
        <v>-7.2119999999999997</v>
      </c>
      <c r="EI143" t="s">
        <v>318</v>
      </c>
      <c r="IL143" s="15"/>
    </row>
    <row r="144" spans="1:246" x14ac:dyDescent="0.35">
      <c r="A144">
        <v>0</v>
      </c>
      <c r="B144">
        <v>6</v>
      </c>
      <c r="C144" s="3">
        <v>7200</v>
      </c>
      <c r="D144" t="s">
        <v>416</v>
      </c>
      <c r="E144" t="s">
        <v>456</v>
      </c>
      <c r="F144" t="s">
        <v>299</v>
      </c>
      <c r="G144" t="s">
        <v>300</v>
      </c>
      <c r="H144">
        <v>19980522</v>
      </c>
      <c r="K144" s="5">
        <v>0.61458333333333337</v>
      </c>
      <c r="L144" t="s">
        <v>301</v>
      </c>
      <c r="M144" t="s">
        <v>302</v>
      </c>
      <c r="R144" s="2" t="s">
        <v>303</v>
      </c>
      <c r="S144">
        <v>4</v>
      </c>
      <c r="T144">
        <v>1</v>
      </c>
      <c r="U144">
        <v>44.1</v>
      </c>
      <c r="V144">
        <v>100</v>
      </c>
      <c r="W144">
        <v>7</v>
      </c>
      <c r="X144">
        <v>0.25</v>
      </c>
      <c r="Y144">
        <v>195</v>
      </c>
      <c r="AA144" s="3">
        <f t="shared" si="43"/>
        <v>7200</v>
      </c>
      <c r="AK144">
        <f>1.7*3600</f>
        <v>6120</v>
      </c>
      <c r="AL144">
        <f>3*3600</f>
        <v>10800</v>
      </c>
      <c r="AM144" s="6">
        <f>273.15-47</f>
        <v>226.14999999999998</v>
      </c>
      <c r="AN144" s="6">
        <v>224</v>
      </c>
      <c r="AO144" s="6">
        <v>227</v>
      </c>
      <c r="AS144" s="7">
        <v>290</v>
      </c>
      <c r="AT144" s="7">
        <v>300</v>
      </c>
      <c r="AW144">
        <v>1</v>
      </c>
      <c r="BA144" s="6">
        <v>1.05</v>
      </c>
      <c r="BD144" s="6">
        <v>1</v>
      </c>
      <c r="BP144" s="3">
        <v>6000</v>
      </c>
      <c r="BQ144" s="3">
        <v>4000</v>
      </c>
      <c r="BR144" s="3">
        <v>10000</v>
      </c>
      <c r="CF144" s="13"/>
      <c r="CG144" s="13"/>
      <c r="CH144" s="13"/>
      <c r="CY144">
        <v>0.3</v>
      </c>
      <c r="CZ144">
        <v>0.1</v>
      </c>
      <c r="DA144">
        <v>0.9</v>
      </c>
      <c r="DB144" s="3">
        <f>CY144*BP144</f>
        <v>1800</v>
      </c>
      <c r="DE144" s="3">
        <v>1500</v>
      </c>
      <c r="DF144">
        <v>1400</v>
      </c>
      <c r="DG144">
        <v>1600</v>
      </c>
      <c r="DH144" s="14">
        <f t="shared" si="58"/>
        <v>8530294.7385388482</v>
      </c>
      <c r="DI144" s="6">
        <f t="shared" si="59"/>
        <v>8.406456150659972</v>
      </c>
      <c r="DK144" s="8">
        <f t="shared" si="62"/>
        <v>0</v>
      </c>
      <c r="DL144" s="1">
        <f t="shared" si="63"/>
        <v>0.46214923797136453</v>
      </c>
      <c r="DM144">
        <f t="shared" si="64"/>
        <v>0</v>
      </c>
      <c r="DP144" s="14">
        <f t="shared" si="67"/>
        <v>0</v>
      </c>
      <c r="DS144" s="6">
        <v>-3.746</v>
      </c>
      <c r="IL144" s="15"/>
    </row>
    <row r="145" spans="1:246" x14ac:dyDescent="0.35">
      <c r="A145">
        <v>0</v>
      </c>
      <c r="B145">
        <v>7</v>
      </c>
      <c r="C145" s="3">
        <v>8100</v>
      </c>
      <c r="D145" t="s">
        <v>417</v>
      </c>
      <c r="E145" t="s">
        <v>178</v>
      </c>
      <c r="F145" t="s">
        <v>181</v>
      </c>
      <c r="G145" t="s">
        <v>179</v>
      </c>
      <c r="H145">
        <v>20001009</v>
      </c>
      <c r="I145">
        <f>16*3600</f>
        <v>57600</v>
      </c>
      <c r="K145" s="5">
        <v>0.66666666666666663</v>
      </c>
      <c r="L145" t="s">
        <v>180</v>
      </c>
      <c r="AA145" s="3">
        <f t="shared" si="43"/>
        <v>8100</v>
      </c>
      <c r="AT145" s="7">
        <v>220</v>
      </c>
      <c r="AU145" s="7">
        <v>200</v>
      </c>
      <c r="AV145" s="7">
        <v>240</v>
      </c>
      <c r="AW145" t="s">
        <v>111</v>
      </c>
      <c r="BA145" s="6">
        <v>0.72</v>
      </c>
      <c r="BB145" s="7">
        <v>0.66</v>
      </c>
      <c r="BC145" s="14">
        <v>0.84</v>
      </c>
      <c r="BD145" s="6">
        <v>3</v>
      </c>
      <c r="BE145" s="6">
        <v>2</v>
      </c>
      <c r="BF145" s="6">
        <v>4</v>
      </c>
      <c r="BG145" s="14">
        <v>2</v>
      </c>
      <c r="BH145" s="7">
        <v>1.5</v>
      </c>
      <c r="BI145" s="14">
        <v>2.8</v>
      </c>
      <c r="BJ145" s="14"/>
      <c r="BK145" s="14"/>
      <c r="BL145" s="14"/>
      <c r="BP145" s="3">
        <v>6000</v>
      </c>
      <c r="CF145" s="13"/>
      <c r="CG145" s="13"/>
      <c r="CH145" s="13"/>
      <c r="CY145">
        <v>0.25</v>
      </c>
      <c r="CZ145">
        <v>0.14000000000000001</v>
      </c>
      <c r="DA145">
        <v>0.55000000000000004</v>
      </c>
      <c r="DH145" s="14">
        <f t="shared" si="58"/>
        <v>9373160.5312202554</v>
      </c>
      <c r="DI145" s="6">
        <f t="shared" si="59"/>
        <v>6.4327422831745127E-10</v>
      </c>
      <c r="DP145" s="14"/>
      <c r="DS145" s="6">
        <v>0.28420000000000001</v>
      </c>
      <c r="EJ145" t="s">
        <v>322</v>
      </c>
      <c r="ET145" s="5"/>
      <c r="GK145" s="7"/>
      <c r="GL145" s="14"/>
      <c r="GM145" s="14"/>
      <c r="GN145" s="14"/>
      <c r="GO145" s="14"/>
      <c r="GP145" s="14"/>
      <c r="GQ145" s="7"/>
      <c r="GR145" s="14"/>
      <c r="IL145" s="15"/>
    </row>
    <row r="146" spans="1:246" x14ac:dyDescent="0.35">
      <c r="A146">
        <v>0</v>
      </c>
      <c r="B146">
        <v>7</v>
      </c>
      <c r="C146" s="3">
        <v>13500</v>
      </c>
      <c r="D146" t="s">
        <v>417</v>
      </c>
      <c r="E146" t="s">
        <v>178</v>
      </c>
      <c r="F146" t="s">
        <v>182</v>
      </c>
      <c r="G146" t="s">
        <v>179</v>
      </c>
      <c r="H146">
        <v>20001009</v>
      </c>
      <c r="I146">
        <f>16*3600</f>
        <v>57600</v>
      </c>
      <c r="K146" s="5">
        <v>0.70833333333333304</v>
      </c>
      <c r="L146" t="s">
        <v>180</v>
      </c>
      <c r="AA146" s="3">
        <f t="shared" si="43"/>
        <v>13500</v>
      </c>
      <c r="AT146" s="7">
        <v>220</v>
      </c>
      <c r="AU146" s="7">
        <v>200</v>
      </c>
      <c r="AV146" s="7">
        <v>240</v>
      </c>
      <c r="AW146" t="s">
        <v>111</v>
      </c>
      <c r="BA146" s="6">
        <v>1.72</v>
      </c>
      <c r="BB146" s="7">
        <v>1.66</v>
      </c>
      <c r="BC146" s="14">
        <v>0.84</v>
      </c>
      <c r="BD146" s="6">
        <v>3</v>
      </c>
      <c r="BE146" s="6">
        <v>2</v>
      </c>
      <c r="BF146" s="6">
        <v>4</v>
      </c>
      <c r="BG146" s="14">
        <v>2</v>
      </c>
      <c r="BH146" s="7">
        <v>2.5</v>
      </c>
      <c r="BI146" s="14">
        <v>3.8</v>
      </c>
      <c r="BJ146" s="14"/>
      <c r="BK146" s="14"/>
      <c r="BL146" s="14"/>
      <c r="BP146" s="3">
        <v>10000</v>
      </c>
      <c r="CF146" s="13"/>
      <c r="CG146" s="13"/>
      <c r="CH146" s="13"/>
      <c r="CY146">
        <v>0.25</v>
      </c>
      <c r="CZ146">
        <v>0.14000000000000001</v>
      </c>
      <c r="DA146">
        <v>0.55000000000000004</v>
      </c>
      <c r="DH146" s="14">
        <f t="shared" si="58"/>
        <v>14104739.019862358</v>
      </c>
      <c r="DI146" s="6">
        <f t="shared" si="59"/>
        <v>6.4327422831745127E-10</v>
      </c>
      <c r="DP146" s="14"/>
      <c r="DS146" s="6" t="s">
        <v>462</v>
      </c>
      <c r="EJ146" t="s">
        <v>322</v>
      </c>
      <c r="ET146" s="5"/>
      <c r="GK146" s="7"/>
      <c r="GL146" s="14"/>
      <c r="GM146" s="14"/>
      <c r="GN146" s="14"/>
      <c r="GO146" s="14"/>
      <c r="GP146" s="14"/>
      <c r="GQ146" s="7"/>
      <c r="GR146" s="14"/>
      <c r="IL146" s="15"/>
    </row>
    <row r="147" spans="1:246" x14ac:dyDescent="0.35">
      <c r="A147">
        <v>0</v>
      </c>
      <c r="B147">
        <v>8</v>
      </c>
      <c r="C147">
        <v>3600</v>
      </c>
      <c r="D147" t="s">
        <v>418</v>
      </c>
      <c r="E147" t="s">
        <v>309</v>
      </c>
      <c r="F147" t="s">
        <v>311</v>
      </c>
      <c r="H147">
        <v>20010912</v>
      </c>
      <c r="K147" s="5">
        <v>0.42708333333333331</v>
      </c>
      <c r="L147">
        <v>15</v>
      </c>
      <c r="M147">
        <v>36900</v>
      </c>
      <c r="Q147" t="s">
        <v>38</v>
      </c>
      <c r="AA147" s="3">
        <f t="shared" si="43"/>
        <v>3600</v>
      </c>
      <c r="AK147">
        <f t="shared" ref="AK147:AK169" si="69">AA147-1800</f>
        <v>1800</v>
      </c>
      <c r="AL147">
        <f t="shared" ref="AL147:AL169" si="70">AA147+3600</f>
        <v>7200</v>
      </c>
      <c r="AM147" s="6">
        <f t="shared" ref="AM147:AM169" si="71">273.15-50</f>
        <v>223.14999999999998</v>
      </c>
      <c r="AN147" s="6">
        <f t="shared" ref="AN147:AN169" si="72">AM147-3</f>
        <v>220.14999999999998</v>
      </c>
      <c r="AO147" s="6">
        <f t="shared" ref="AO147:AO169" si="73">AM147+3</f>
        <v>226.14999999999998</v>
      </c>
      <c r="AT147" s="7">
        <v>225</v>
      </c>
      <c r="AU147" s="7">
        <v>200</v>
      </c>
      <c r="AV147" s="7">
        <v>250</v>
      </c>
      <c r="BP147" s="3">
        <v>5000</v>
      </c>
      <c r="CF147" s="13"/>
      <c r="CG147" s="13"/>
      <c r="CH147" s="13"/>
      <c r="CY147">
        <v>0.15</v>
      </c>
      <c r="DB147" s="3">
        <f t="shared" ref="DB147:DB169" si="74">CY147*BP147</f>
        <v>750</v>
      </c>
      <c r="DE147" s="3">
        <v>329</v>
      </c>
      <c r="DF147">
        <f t="shared" ref="DF147:DF169" si="75">0.8*DE147</f>
        <v>263.2</v>
      </c>
      <c r="DG147">
        <f t="shared" ref="DG147:DG169" si="76">1.2*DE147</f>
        <v>394.8</v>
      </c>
      <c r="DH147" s="14">
        <f t="shared" si="58"/>
        <v>4899367.7668997189</v>
      </c>
      <c r="DI147" s="6">
        <f t="shared" si="59"/>
        <v>6.1718584498835547</v>
      </c>
      <c r="DJ147" s="6">
        <f t="shared" ref="DJ147:DJ193" si="77">100*EXP(-6024.5282/AM147+24.7219+(0.010613868-0.000013198825*AM147)*AM147-0.49382577*LN(AM147))</f>
        <v>3.9357941523878512</v>
      </c>
      <c r="DK147" s="8">
        <f t="shared" ref="DK147:DK193" si="78">(18/29)*DJ147/(AT147*100)</f>
        <v>1.0857363179000969E-4</v>
      </c>
      <c r="DL147" s="1">
        <f t="shared" ref="DL147:DL193" si="79">AT147*100/(287.04*AM147)</f>
        <v>0.35127173482150154</v>
      </c>
      <c r="DM147">
        <f t="shared" ref="DM147:DM193" si="80">BZ147*0.000001/DL147</f>
        <v>0</v>
      </c>
      <c r="DN147">
        <f t="shared" ref="DN147:DN169" si="81">DM147/DK147</f>
        <v>0</v>
      </c>
      <c r="DO147">
        <f t="shared" ref="DO147:DO169" si="82">1.24*29*AT147*100/(DH147*18*DJ147)</f>
        <v>2.3310805423249754E-3</v>
      </c>
      <c r="DP147" s="14">
        <f t="shared" ref="DP147:DP169" si="83">(BV147*1000000/DL147)*DH147</f>
        <v>0</v>
      </c>
      <c r="DQ147" s="6">
        <f t="shared" ref="DQ147:DQ193" si="84">EXP(9.550426-5723.265/AM147+3.53068*LN(AM147)-0.00728332*AM147)</f>
        <v>3.9389207237259858</v>
      </c>
      <c r="DS147" s="6" t="s">
        <v>462</v>
      </c>
      <c r="EJ147" s="1" t="s">
        <v>329</v>
      </c>
      <c r="IL147" s="15"/>
    </row>
    <row r="148" spans="1:246" x14ac:dyDescent="0.35">
      <c r="A148">
        <v>0</v>
      </c>
      <c r="B148">
        <v>8</v>
      </c>
      <c r="C148">
        <v>6840</v>
      </c>
      <c r="D148" t="s">
        <v>418</v>
      </c>
      <c r="E148" t="s">
        <v>309</v>
      </c>
      <c r="F148" t="s">
        <v>311</v>
      </c>
      <c r="H148">
        <v>20010912</v>
      </c>
      <c r="K148" s="5">
        <v>0.46458333333333335</v>
      </c>
      <c r="L148">
        <v>9</v>
      </c>
      <c r="M148">
        <v>40140</v>
      </c>
      <c r="Q148" t="s">
        <v>38</v>
      </c>
      <c r="AA148" s="3">
        <f t="shared" si="43"/>
        <v>6840</v>
      </c>
      <c r="AK148">
        <f t="shared" si="69"/>
        <v>5040</v>
      </c>
      <c r="AL148">
        <f t="shared" si="70"/>
        <v>10440</v>
      </c>
      <c r="AM148" s="6">
        <f t="shared" si="71"/>
        <v>223.14999999999998</v>
      </c>
      <c r="AN148" s="6">
        <f t="shared" si="72"/>
        <v>220.14999999999998</v>
      </c>
      <c r="AO148" s="6">
        <f t="shared" si="73"/>
        <v>226.14999999999998</v>
      </c>
      <c r="AT148" s="7">
        <v>225</v>
      </c>
      <c r="AU148" s="7">
        <v>200</v>
      </c>
      <c r="AV148" s="7">
        <v>250</v>
      </c>
      <c r="BP148" s="3">
        <v>6000</v>
      </c>
      <c r="CF148" s="13"/>
      <c r="CG148" s="13"/>
      <c r="CH148" s="13"/>
      <c r="CY148">
        <v>0.63</v>
      </c>
      <c r="DB148" s="3">
        <f t="shared" si="74"/>
        <v>3780</v>
      </c>
      <c r="DE148" s="3">
        <v>325</v>
      </c>
      <c r="DF148">
        <f t="shared" si="75"/>
        <v>260</v>
      </c>
      <c r="DG148">
        <f t="shared" si="76"/>
        <v>390</v>
      </c>
      <c r="DH148" s="14">
        <f t="shared" si="58"/>
        <v>8187341.799420028</v>
      </c>
      <c r="DI148" s="6">
        <f t="shared" si="59"/>
        <v>6.1718584498835547</v>
      </c>
      <c r="DJ148" s="6">
        <f t="shared" si="77"/>
        <v>3.9357941523878512</v>
      </c>
      <c r="DK148" s="8">
        <f t="shared" si="78"/>
        <v>1.0857363179000969E-4</v>
      </c>
      <c r="DL148" s="1">
        <f t="shared" si="79"/>
        <v>0.35127173482150154</v>
      </c>
      <c r="DM148">
        <f t="shared" si="80"/>
        <v>0</v>
      </c>
      <c r="DN148">
        <f t="shared" si="81"/>
        <v>0</v>
      </c>
      <c r="DO148">
        <f t="shared" si="82"/>
        <v>1.3949363726237893E-3</v>
      </c>
      <c r="DP148" s="14">
        <f t="shared" si="83"/>
        <v>0</v>
      </c>
      <c r="DQ148" s="6">
        <f t="shared" si="84"/>
        <v>3.9389207237259858</v>
      </c>
      <c r="DS148" s="6" t="s">
        <v>462</v>
      </c>
      <c r="IL148" s="15"/>
    </row>
    <row r="149" spans="1:246" x14ac:dyDescent="0.35">
      <c r="A149">
        <v>0</v>
      </c>
      <c r="B149">
        <v>8</v>
      </c>
      <c r="C149">
        <v>11880</v>
      </c>
      <c r="D149" t="s">
        <v>418</v>
      </c>
      <c r="E149" t="s">
        <v>309</v>
      </c>
      <c r="F149" t="s">
        <v>311</v>
      </c>
      <c r="H149">
        <v>20010912</v>
      </c>
      <c r="K149" s="5">
        <v>0.5229166666666667</v>
      </c>
      <c r="L149">
        <v>33</v>
      </c>
      <c r="M149">
        <v>45180</v>
      </c>
      <c r="Q149" t="s">
        <v>38</v>
      </c>
      <c r="AA149" s="3">
        <f t="shared" ref="AA149:AA211" si="85">C149</f>
        <v>11880</v>
      </c>
      <c r="AK149">
        <f t="shared" si="69"/>
        <v>10080</v>
      </c>
      <c r="AL149">
        <f t="shared" si="70"/>
        <v>15480</v>
      </c>
      <c r="AM149" s="6">
        <f t="shared" si="71"/>
        <v>223.14999999999998</v>
      </c>
      <c r="AN149" s="6">
        <f t="shared" si="72"/>
        <v>220.14999999999998</v>
      </c>
      <c r="AO149" s="6">
        <f t="shared" si="73"/>
        <v>226.14999999999998</v>
      </c>
      <c r="AT149" s="7">
        <v>225</v>
      </c>
      <c r="AU149" s="7">
        <v>200</v>
      </c>
      <c r="AV149" s="7">
        <v>250</v>
      </c>
      <c r="BP149" s="3">
        <v>21000</v>
      </c>
      <c r="CF149" s="13"/>
      <c r="CG149" s="13"/>
      <c r="CH149" s="13"/>
      <c r="CY149">
        <v>0.57999999999999996</v>
      </c>
      <c r="DB149" s="3">
        <f t="shared" si="74"/>
        <v>12180</v>
      </c>
      <c r="DE149" s="3">
        <v>309</v>
      </c>
      <c r="DF149">
        <f t="shared" si="75"/>
        <v>247.20000000000002</v>
      </c>
      <c r="DG149">
        <f t="shared" si="76"/>
        <v>370.8</v>
      </c>
      <c r="DH149" s="14">
        <f t="shared" si="58"/>
        <v>12733599.685135994</v>
      </c>
      <c r="DI149" s="6">
        <f t="shared" si="59"/>
        <v>6.1718584498835547</v>
      </c>
      <c r="DJ149" s="6">
        <f t="shared" si="77"/>
        <v>3.9357941523878512</v>
      </c>
      <c r="DK149" s="8">
        <f t="shared" si="78"/>
        <v>1.0857363179000969E-4</v>
      </c>
      <c r="DL149" s="1">
        <f t="shared" si="79"/>
        <v>0.35127173482150154</v>
      </c>
      <c r="DM149">
        <f t="shared" si="80"/>
        <v>0</v>
      </c>
      <c r="DN149">
        <f t="shared" si="81"/>
        <v>0</v>
      </c>
      <c r="DO149">
        <f t="shared" si="82"/>
        <v>8.9690434390250946E-4</v>
      </c>
      <c r="DP149" s="14">
        <f t="shared" si="83"/>
        <v>0</v>
      </c>
      <c r="DQ149" s="6">
        <f t="shared" si="84"/>
        <v>3.9389207237259858</v>
      </c>
      <c r="DS149" s="6" t="s">
        <v>462</v>
      </c>
      <c r="IL149" s="15"/>
    </row>
    <row r="150" spans="1:246" x14ac:dyDescent="0.35">
      <c r="A150">
        <v>0</v>
      </c>
      <c r="B150">
        <v>8</v>
      </c>
      <c r="C150">
        <v>16200</v>
      </c>
      <c r="D150" t="s">
        <v>418</v>
      </c>
      <c r="E150" t="s">
        <v>309</v>
      </c>
      <c r="F150" t="s">
        <v>311</v>
      </c>
      <c r="H150">
        <v>20010912</v>
      </c>
      <c r="K150" s="5">
        <v>0.57291666666666663</v>
      </c>
      <c r="L150">
        <v>45</v>
      </c>
      <c r="M150">
        <v>49500</v>
      </c>
      <c r="Q150" t="s">
        <v>38</v>
      </c>
      <c r="AA150" s="3">
        <f t="shared" si="85"/>
        <v>16200</v>
      </c>
      <c r="AK150">
        <f t="shared" si="69"/>
        <v>14400</v>
      </c>
      <c r="AL150">
        <f t="shared" si="70"/>
        <v>19800</v>
      </c>
      <c r="AM150" s="6">
        <f t="shared" si="71"/>
        <v>223.14999999999998</v>
      </c>
      <c r="AN150" s="6">
        <f t="shared" si="72"/>
        <v>220.14999999999998</v>
      </c>
      <c r="AO150" s="6">
        <f t="shared" si="73"/>
        <v>226.14999999999998</v>
      </c>
      <c r="AT150" s="7">
        <v>225</v>
      </c>
      <c r="AU150" s="7">
        <v>200</v>
      </c>
      <c r="AV150" s="7">
        <v>250</v>
      </c>
      <c r="BP150" s="3">
        <v>34000</v>
      </c>
      <c r="CF150" s="13"/>
      <c r="CG150" s="13"/>
      <c r="CH150" s="13"/>
      <c r="CY150">
        <v>0.3</v>
      </c>
      <c r="DB150" s="3">
        <f t="shared" si="74"/>
        <v>10200</v>
      </c>
      <c r="DE150" s="3">
        <v>316</v>
      </c>
      <c r="DF150">
        <f t="shared" si="75"/>
        <v>252.8</v>
      </c>
      <c r="DG150">
        <f t="shared" si="76"/>
        <v>379.2</v>
      </c>
      <c r="DH150" s="14">
        <f t="shared" si="58"/>
        <v>16319620.360637587</v>
      </c>
      <c r="DI150" s="6">
        <f t="shared" si="59"/>
        <v>6.1718584498835547</v>
      </c>
      <c r="DJ150" s="6">
        <f t="shared" si="77"/>
        <v>3.9357941523878512</v>
      </c>
      <c r="DK150" s="8">
        <f t="shared" si="78"/>
        <v>1.0857363179000969E-4</v>
      </c>
      <c r="DL150" s="1">
        <f t="shared" si="79"/>
        <v>0.35127173482150154</v>
      </c>
      <c r="DM150">
        <f t="shared" si="80"/>
        <v>0</v>
      </c>
      <c r="DN150">
        <f t="shared" si="81"/>
        <v>0</v>
      </c>
      <c r="DO150">
        <f t="shared" si="82"/>
        <v>6.9982147983422226E-4</v>
      </c>
      <c r="DP150" s="14">
        <f t="shared" si="83"/>
        <v>0</v>
      </c>
      <c r="DQ150" s="6">
        <f t="shared" si="84"/>
        <v>3.9389207237259858</v>
      </c>
      <c r="DS150" s="6" t="s">
        <v>462</v>
      </c>
      <c r="IL150" s="15"/>
    </row>
    <row r="151" spans="1:246" x14ac:dyDescent="0.35">
      <c r="A151">
        <v>0</v>
      </c>
      <c r="B151">
        <v>8</v>
      </c>
      <c r="C151">
        <v>23400</v>
      </c>
      <c r="D151" t="s">
        <v>418</v>
      </c>
      <c r="E151" t="s">
        <v>309</v>
      </c>
      <c r="F151" t="s">
        <v>311</v>
      </c>
      <c r="H151">
        <v>20010912</v>
      </c>
      <c r="K151" s="5">
        <v>0.65625</v>
      </c>
      <c r="L151">
        <v>45</v>
      </c>
      <c r="M151">
        <v>56700</v>
      </c>
      <c r="Q151" t="s">
        <v>38</v>
      </c>
      <c r="AA151" s="3">
        <f t="shared" si="85"/>
        <v>23400</v>
      </c>
      <c r="AK151">
        <f t="shared" si="69"/>
        <v>21600</v>
      </c>
      <c r="AL151">
        <f t="shared" si="70"/>
        <v>27000</v>
      </c>
      <c r="AM151" s="6">
        <f t="shared" si="71"/>
        <v>223.14999999999998</v>
      </c>
      <c r="AN151" s="6">
        <f t="shared" si="72"/>
        <v>220.14999999999998</v>
      </c>
      <c r="AO151" s="6">
        <f t="shared" si="73"/>
        <v>226.14999999999998</v>
      </c>
      <c r="AT151" s="7">
        <v>225</v>
      </c>
      <c r="AU151" s="7">
        <v>200</v>
      </c>
      <c r="AV151" s="7">
        <v>250</v>
      </c>
      <c r="BP151" s="3">
        <v>25000</v>
      </c>
      <c r="CF151" s="13"/>
      <c r="CG151" s="13"/>
      <c r="CH151" s="13"/>
      <c r="CY151">
        <v>0.28000000000000003</v>
      </c>
      <c r="DB151" s="3">
        <f t="shared" si="74"/>
        <v>7000.0000000000009</v>
      </c>
      <c r="DE151" s="3">
        <v>323</v>
      </c>
      <c r="DF151">
        <f t="shared" si="75"/>
        <v>258.40000000000003</v>
      </c>
      <c r="DG151">
        <f t="shared" si="76"/>
        <v>387.59999999999997</v>
      </c>
      <c r="DH151" s="14">
        <f t="shared" si="58"/>
        <v>21901341.948882174</v>
      </c>
      <c r="DI151" s="6">
        <f t="shared" si="59"/>
        <v>6.1718584498835547</v>
      </c>
      <c r="DJ151" s="6">
        <f t="shared" si="77"/>
        <v>3.9357941523878512</v>
      </c>
      <c r="DK151" s="8">
        <f t="shared" si="78"/>
        <v>1.0857363179000969E-4</v>
      </c>
      <c r="DL151" s="1">
        <f t="shared" si="79"/>
        <v>0.35127173482150154</v>
      </c>
      <c r="DM151">
        <f t="shared" si="80"/>
        <v>0</v>
      </c>
      <c r="DN151">
        <f t="shared" si="81"/>
        <v>0</v>
      </c>
      <c r="DO151">
        <f t="shared" si="82"/>
        <v>5.2146671641264475E-4</v>
      </c>
      <c r="DP151" s="14">
        <f t="shared" si="83"/>
        <v>0</v>
      </c>
      <c r="DQ151" s="6">
        <f t="shared" si="84"/>
        <v>3.9389207237259858</v>
      </c>
      <c r="DS151" s="6" t="s">
        <v>462</v>
      </c>
      <c r="GK151" s="7"/>
      <c r="GL151" s="14"/>
      <c r="GM151" s="14"/>
      <c r="GN151" s="14"/>
      <c r="GO151" s="14"/>
      <c r="GP151" s="14"/>
      <c r="GQ151" s="7"/>
      <c r="GR151" s="14"/>
      <c r="IL151" s="15"/>
    </row>
    <row r="152" spans="1:246" x14ac:dyDescent="0.35">
      <c r="A152">
        <v>0</v>
      </c>
      <c r="B152">
        <v>8</v>
      </c>
      <c r="C152">
        <v>41400</v>
      </c>
      <c r="D152" t="s">
        <v>418</v>
      </c>
      <c r="E152" t="s">
        <v>309</v>
      </c>
      <c r="F152" t="s">
        <v>311</v>
      </c>
      <c r="H152">
        <v>20010912</v>
      </c>
      <c r="K152" s="5">
        <v>0.86458333333333337</v>
      </c>
      <c r="L152">
        <v>45</v>
      </c>
      <c r="M152">
        <v>74700</v>
      </c>
      <c r="Q152" t="s">
        <v>38</v>
      </c>
      <c r="AA152" s="3">
        <f t="shared" si="85"/>
        <v>41400</v>
      </c>
      <c r="AK152">
        <f t="shared" si="69"/>
        <v>39600</v>
      </c>
      <c r="AL152">
        <f t="shared" si="70"/>
        <v>45000</v>
      </c>
      <c r="AM152" s="6">
        <f t="shared" si="71"/>
        <v>223.14999999999998</v>
      </c>
      <c r="AN152" s="6">
        <f t="shared" si="72"/>
        <v>220.14999999999998</v>
      </c>
      <c r="AO152" s="6">
        <f t="shared" si="73"/>
        <v>226.14999999999998</v>
      </c>
      <c r="AT152" s="7">
        <v>225</v>
      </c>
      <c r="AU152" s="7">
        <v>200</v>
      </c>
      <c r="AV152" s="7">
        <v>250</v>
      </c>
      <c r="BP152" s="3">
        <v>14000</v>
      </c>
      <c r="CF152" s="13"/>
      <c r="CG152" s="13"/>
      <c r="CH152" s="13"/>
      <c r="CY152">
        <v>0.12</v>
      </c>
      <c r="DB152" s="3">
        <f t="shared" si="74"/>
        <v>1680</v>
      </c>
      <c r="DE152" s="3">
        <v>35</v>
      </c>
      <c r="DF152">
        <f t="shared" si="75"/>
        <v>28</v>
      </c>
      <c r="DG152">
        <f t="shared" si="76"/>
        <v>42</v>
      </c>
      <c r="DH152" s="14">
        <f t="shared" si="58"/>
        <v>34569915.095851257</v>
      </c>
      <c r="DI152" s="6">
        <f t="shared" si="59"/>
        <v>6.1718584498835547</v>
      </c>
      <c r="DJ152" s="6">
        <f t="shared" si="77"/>
        <v>3.9357941523878512</v>
      </c>
      <c r="DK152" s="8">
        <f t="shared" si="78"/>
        <v>1.0857363179000969E-4</v>
      </c>
      <c r="DL152" s="1">
        <f t="shared" si="79"/>
        <v>0.35127173482150154</v>
      </c>
      <c r="DM152">
        <f t="shared" si="80"/>
        <v>0</v>
      </c>
      <c r="DN152">
        <f t="shared" si="81"/>
        <v>0</v>
      </c>
      <c r="DO152">
        <f t="shared" si="82"/>
        <v>3.3036878567528551E-4</v>
      </c>
      <c r="DP152" s="14">
        <f t="shared" si="83"/>
        <v>0</v>
      </c>
      <c r="DQ152" s="6">
        <f t="shared" si="84"/>
        <v>3.9389207237259858</v>
      </c>
      <c r="DS152" s="6" t="s">
        <v>462</v>
      </c>
      <c r="GK152" s="7"/>
      <c r="GL152" s="14"/>
      <c r="GM152" s="14"/>
      <c r="GN152" s="14"/>
      <c r="GO152" s="14"/>
      <c r="GP152" s="14"/>
      <c r="GQ152" s="7"/>
      <c r="GR152" s="14"/>
      <c r="IL152" s="15"/>
    </row>
    <row r="153" spans="1:246" x14ac:dyDescent="0.35">
      <c r="A153">
        <v>0</v>
      </c>
      <c r="B153">
        <v>8</v>
      </c>
      <c r="C153">
        <v>3600</v>
      </c>
      <c r="D153" t="s">
        <v>418</v>
      </c>
      <c r="E153" t="s">
        <v>309</v>
      </c>
      <c r="F153" t="s">
        <v>311</v>
      </c>
      <c r="H153">
        <v>20010912</v>
      </c>
      <c r="K153" s="5">
        <v>0.42708333333333331</v>
      </c>
      <c r="L153">
        <v>15</v>
      </c>
      <c r="M153">
        <v>36900</v>
      </c>
      <c r="Q153" t="s">
        <v>39</v>
      </c>
      <c r="AA153" s="3">
        <f t="shared" si="85"/>
        <v>3600</v>
      </c>
      <c r="AK153">
        <f t="shared" si="69"/>
        <v>1800</v>
      </c>
      <c r="AL153">
        <f t="shared" si="70"/>
        <v>7200</v>
      </c>
      <c r="AM153" s="6">
        <f t="shared" si="71"/>
        <v>223.14999999999998</v>
      </c>
      <c r="AN153" s="6">
        <f t="shared" si="72"/>
        <v>220.14999999999998</v>
      </c>
      <c r="AO153" s="6">
        <f t="shared" si="73"/>
        <v>226.14999999999998</v>
      </c>
      <c r="AT153" s="7">
        <v>225</v>
      </c>
      <c r="AU153" s="7">
        <v>200</v>
      </c>
      <c r="AV153" s="7">
        <v>250</v>
      </c>
      <c r="BP153" s="3">
        <v>6000</v>
      </c>
      <c r="CF153" s="13"/>
      <c r="CG153" s="13"/>
      <c r="CH153" s="13"/>
      <c r="CY153">
        <v>0.16</v>
      </c>
      <c r="DB153" s="3">
        <f t="shared" si="74"/>
        <v>960</v>
      </c>
      <c r="DE153" s="3">
        <v>77</v>
      </c>
      <c r="DF153">
        <f t="shared" si="75"/>
        <v>61.6</v>
      </c>
      <c r="DG153">
        <f t="shared" si="76"/>
        <v>92.399999999999991</v>
      </c>
      <c r="DH153" s="14">
        <f t="shared" si="58"/>
        <v>4899367.7668997189</v>
      </c>
      <c r="DI153" s="6">
        <f t="shared" si="59"/>
        <v>6.1718584498835547</v>
      </c>
      <c r="DJ153" s="6">
        <f t="shared" si="77"/>
        <v>3.9357941523878512</v>
      </c>
      <c r="DK153" s="8">
        <f t="shared" si="78"/>
        <v>1.0857363179000969E-4</v>
      </c>
      <c r="DL153" s="1">
        <f t="shared" si="79"/>
        <v>0.35127173482150154</v>
      </c>
      <c r="DM153">
        <f t="shared" si="80"/>
        <v>0</v>
      </c>
      <c r="DN153">
        <f t="shared" si="81"/>
        <v>0</v>
      </c>
      <c r="DO153">
        <f t="shared" si="82"/>
        <v>2.3310805423249754E-3</v>
      </c>
      <c r="DP153" s="14">
        <f t="shared" si="83"/>
        <v>0</v>
      </c>
      <c r="DQ153" s="6">
        <f t="shared" si="84"/>
        <v>3.9389207237259858</v>
      </c>
      <c r="DS153" s="6" t="s">
        <v>462</v>
      </c>
      <c r="GK153" s="7"/>
      <c r="GL153" s="14"/>
      <c r="GM153" s="14"/>
      <c r="GN153" s="14"/>
      <c r="GO153" s="14"/>
      <c r="GP153" s="14"/>
      <c r="GQ153" s="7"/>
      <c r="GR153" s="14"/>
      <c r="IL153" s="15"/>
    </row>
    <row r="154" spans="1:246" x14ac:dyDescent="0.35">
      <c r="A154">
        <v>0</v>
      </c>
      <c r="B154">
        <v>8</v>
      </c>
      <c r="C154">
        <v>6840</v>
      </c>
      <c r="D154" t="s">
        <v>418</v>
      </c>
      <c r="E154" t="s">
        <v>309</v>
      </c>
      <c r="F154" t="s">
        <v>311</v>
      </c>
      <c r="H154">
        <v>20010912</v>
      </c>
      <c r="K154" s="5">
        <v>0.46458333333333335</v>
      </c>
      <c r="L154">
        <v>9</v>
      </c>
      <c r="M154">
        <v>40140</v>
      </c>
      <c r="Q154" t="s">
        <v>39</v>
      </c>
      <c r="AA154" s="3">
        <f t="shared" si="85"/>
        <v>6840</v>
      </c>
      <c r="AK154">
        <f t="shared" si="69"/>
        <v>5040</v>
      </c>
      <c r="AL154">
        <f t="shared" si="70"/>
        <v>10440</v>
      </c>
      <c r="AM154" s="6">
        <f t="shared" si="71"/>
        <v>223.14999999999998</v>
      </c>
      <c r="AN154" s="6">
        <f t="shared" si="72"/>
        <v>220.14999999999998</v>
      </c>
      <c r="AO154" s="6">
        <f t="shared" si="73"/>
        <v>226.14999999999998</v>
      </c>
      <c r="AT154" s="7">
        <v>225</v>
      </c>
      <c r="AU154" s="7">
        <v>200</v>
      </c>
      <c r="AV154" s="7">
        <v>250</v>
      </c>
      <c r="BP154" s="3">
        <v>9000</v>
      </c>
      <c r="CF154" s="13"/>
      <c r="CG154" s="13"/>
      <c r="CH154" s="13"/>
      <c r="CY154">
        <v>0.31</v>
      </c>
      <c r="DB154" s="3">
        <f t="shared" si="74"/>
        <v>2790</v>
      </c>
      <c r="DE154" s="3">
        <v>190</v>
      </c>
      <c r="DF154">
        <f t="shared" si="75"/>
        <v>152</v>
      </c>
      <c r="DG154">
        <f t="shared" si="76"/>
        <v>228</v>
      </c>
      <c r="DH154" s="14">
        <f t="shared" si="58"/>
        <v>8187341.799420028</v>
      </c>
      <c r="DI154" s="6">
        <f t="shared" si="59"/>
        <v>6.1718584498835547</v>
      </c>
      <c r="DJ154" s="6">
        <f t="shared" si="77"/>
        <v>3.9357941523878512</v>
      </c>
      <c r="DK154" s="8">
        <f t="shared" si="78"/>
        <v>1.0857363179000969E-4</v>
      </c>
      <c r="DL154" s="1">
        <f t="shared" si="79"/>
        <v>0.35127173482150154</v>
      </c>
      <c r="DM154">
        <f t="shared" si="80"/>
        <v>0</v>
      </c>
      <c r="DN154">
        <f t="shared" si="81"/>
        <v>0</v>
      </c>
      <c r="DO154">
        <f t="shared" si="82"/>
        <v>1.3949363726237893E-3</v>
      </c>
      <c r="DP154" s="14">
        <f t="shared" si="83"/>
        <v>0</v>
      </c>
      <c r="DQ154" s="6">
        <f t="shared" si="84"/>
        <v>3.9389207237259858</v>
      </c>
      <c r="DS154" s="6" t="s">
        <v>462</v>
      </c>
      <c r="IL154" s="15"/>
    </row>
    <row r="155" spans="1:246" x14ac:dyDescent="0.35">
      <c r="A155">
        <v>0</v>
      </c>
      <c r="B155">
        <v>8</v>
      </c>
      <c r="C155">
        <v>11880</v>
      </c>
      <c r="D155" t="s">
        <v>418</v>
      </c>
      <c r="E155" t="s">
        <v>309</v>
      </c>
      <c r="F155" t="s">
        <v>311</v>
      </c>
      <c r="H155">
        <v>20010912</v>
      </c>
      <c r="K155" s="5">
        <v>0.5229166666666667</v>
      </c>
      <c r="L155">
        <v>33</v>
      </c>
      <c r="M155">
        <v>45180</v>
      </c>
      <c r="Q155" t="s">
        <v>307</v>
      </c>
      <c r="AA155" s="3">
        <f t="shared" si="85"/>
        <v>11880</v>
      </c>
      <c r="AK155">
        <f t="shared" si="69"/>
        <v>10080</v>
      </c>
      <c r="AL155">
        <f t="shared" si="70"/>
        <v>15480</v>
      </c>
      <c r="AM155" s="6">
        <f t="shared" si="71"/>
        <v>223.14999999999998</v>
      </c>
      <c r="AN155" s="6">
        <f t="shared" si="72"/>
        <v>220.14999999999998</v>
      </c>
      <c r="AO155" s="6">
        <f t="shared" si="73"/>
        <v>226.14999999999998</v>
      </c>
      <c r="AT155" s="7">
        <v>225</v>
      </c>
      <c r="AU155" s="7">
        <v>200</v>
      </c>
      <c r="AV155" s="7">
        <v>250</v>
      </c>
      <c r="BP155" s="3">
        <v>23000</v>
      </c>
      <c r="CF155" s="13"/>
      <c r="CG155" s="13"/>
      <c r="CH155" s="13"/>
      <c r="CY155">
        <v>0.31</v>
      </c>
      <c r="DB155" s="3">
        <f t="shared" si="74"/>
        <v>7130</v>
      </c>
      <c r="DE155" s="3">
        <v>197</v>
      </c>
      <c r="DF155">
        <f t="shared" si="75"/>
        <v>157.60000000000002</v>
      </c>
      <c r="DG155">
        <f t="shared" si="76"/>
        <v>236.39999999999998</v>
      </c>
      <c r="DH155" s="14">
        <f t="shared" si="58"/>
        <v>12733599.685135994</v>
      </c>
      <c r="DI155" s="6">
        <f t="shared" si="59"/>
        <v>6.1718584498835547</v>
      </c>
      <c r="DJ155" s="6">
        <f t="shared" si="77"/>
        <v>3.9357941523878512</v>
      </c>
      <c r="DK155" s="8">
        <f t="shared" si="78"/>
        <v>1.0857363179000969E-4</v>
      </c>
      <c r="DL155" s="1">
        <f t="shared" si="79"/>
        <v>0.35127173482150154</v>
      </c>
      <c r="DM155">
        <f t="shared" si="80"/>
        <v>0</v>
      </c>
      <c r="DN155">
        <f t="shared" si="81"/>
        <v>0</v>
      </c>
      <c r="DO155">
        <f t="shared" si="82"/>
        <v>8.9690434390250946E-4</v>
      </c>
      <c r="DP155" s="14">
        <f t="shared" si="83"/>
        <v>0</v>
      </c>
      <c r="DQ155" s="6">
        <f t="shared" si="84"/>
        <v>3.9389207237259858</v>
      </c>
      <c r="DS155" s="6" t="s">
        <v>462</v>
      </c>
      <c r="IL155" s="15"/>
    </row>
    <row r="156" spans="1:246" x14ac:dyDescent="0.35">
      <c r="A156">
        <v>0</v>
      </c>
      <c r="B156">
        <v>8</v>
      </c>
      <c r="C156">
        <v>19800</v>
      </c>
      <c r="D156" t="s">
        <v>418</v>
      </c>
      <c r="E156" t="s">
        <v>309</v>
      </c>
      <c r="F156" t="s">
        <v>311</v>
      </c>
      <c r="H156">
        <v>20010912</v>
      </c>
      <c r="K156" s="5">
        <v>0.61458333333333337</v>
      </c>
      <c r="L156">
        <v>45</v>
      </c>
      <c r="M156">
        <v>53100</v>
      </c>
      <c r="Q156" t="s">
        <v>39</v>
      </c>
      <c r="AA156" s="3">
        <f t="shared" si="85"/>
        <v>19800</v>
      </c>
      <c r="AK156">
        <f t="shared" si="69"/>
        <v>18000</v>
      </c>
      <c r="AL156">
        <f t="shared" si="70"/>
        <v>23400</v>
      </c>
      <c r="AM156" s="6">
        <f t="shared" si="71"/>
        <v>223.14999999999998</v>
      </c>
      <c r="AN156" s="6">
        <f t="shared" si="72"/>
        <v>220.14999999999998</v>
      </c>
      <c r="AO156" s="6">
        <f t="shared" si="73"/>
        <v>226.14999999999998</v>
      </c>
      <c r="AT156" s="7">
        <v>225</v>
      </c>
      <c r="AU156" s="7">
        <v>200</v>
      </c>
      <c r="AV156" s="7">
        <v>250</v>
      </c>
      <c r="BP156" s="3">
        <v>15000</v>
      </c>
      <c r="CF156" s="13"/>
      <c r="CG156" s="13"/>
      <c r="CH156" s="13"/>
      <c r="CY156">
        <v>0.08</v>
      </c>
      <c r="DB156" s="3">
        <f t="shared" si="74"/>
        <v>1200</v>
      </c>
      <c r="DE156" s="3">
        <v>31</v>
      </c>
      <c r="DF156">
        <f t="shared" si="75"/>
        <v>24.8</v>
      </c>
      <c r="DG156">
        <f t="shared" si="76"/>
        <v>37.199999999999996</v>
      </c>
      <c r="DH156" s="14">
        <f t="shared" si="58"/>
        <v>19161530.387110818</v>
      </c>
      <c r="DI156" s="6">
        <f t="shared" si="59"/>
        <v>6.1718584498835547</v>
      </c>
      <c r="DJ156" s="6">
        <f t="shared" si="77"/>
        <v>3.9357941523878512</v>
      </c>
      <c r="DK156" s="8">
        <f t="shared" si="78"/>
        <v>1.0857363179000969E-4</v>
      </c>
      <c r="DL156" s="1">
        <f t="shared" si="79"/>
        <v>0.35127173482150154</v>
      </c>
      <c r="DM156">
        <f t="shared" si="80"/>
        <v>0</v>
      </c>
      <c r="DN156">
        <f t="shared" si="81"/>
        <v>0</v>
      </c>
      <c r="DO156">
        <f t="shared" si="82"/>
        <v>5.9602863865176555E-4</v>
      </c>
      <c r="DP156" s="14">
        <f t="shared" si="83"/>
        <v>0</v>
      </c>
      <c r="DQ156" s="6">
        <f t="shared" si="84"/>
        <v>3.9389207237259858</v>
      </c>
      <c r="DS156" s="6" t="s">
        <v>462</v>
      </c>
      <c r="IL156" s="15"/>
    </row>
    <row r="157" spans="1:246" x14ac:dyDescent="0.35">
      <c r="A157">
        <v>0</v>
      </c>
      <c r="B157">
        <v>8</v>
      </c>
      <c r="C157">
        <v>3600</v>
      </c>
      <c r="D157" t="s">
        <v>418</v>
      </c>
      <c r="E157" t="s">
        <v>309</v>
      </c>
      <c r="F157" t="s">
        <v>311</v>
      </c>
      <c r="H157">
        <v>20010912</v>
      </c>
      <c r="K157" s="5">
        <v>0.46458333333333335</v>
      </c>
      <c r="L157">
        <v>9</v>
      </c>
      <c r="M157">
        <v>40140</v>
      </c>
      <c r="Q157" t="s">
        <v>40</v>
      </c>
      <c r="AA157" s="3">
        <f t="shared" si="85"/>
        <v>3600</v>
      </c>
      <c r="AK157">
        <f t="shared" si="69"/>
        <v>1800</v>
      </c>
      <c r="AL157">
        <f t="shared" si="70"/>
        <v>7200</v>
      </c>
      <c r="AM157" s="6">
        <f t="shared" si="71"/>
        <v>223.14999999999998</v>
      </c>
      <c r="AN157" s="6">
        <f t="shared" si="72"/>
        <v>220.14999999999998</v>
      </c>
      <c r="AO157" s="6">
        <f t="shared" si="73"/>
        <v>226.14999999999998</v>
      </c>
      <c r="AT157" s="7">
        <v>225</v>
      </c>
      <c r="AU157" s="7">
        <v>200</v>
      </c>
      <c r="AV157" s="7">
        <v>250</v>
      </c>
      <c r="BP157" s="3">
        <v>40000</v>
      </c>
      <c r="CF157" s="13"/>
      <c r="CG157" s="13"/>
      <c r="CH157" s="13"/>
      <c r="CY157">
        <v>0.26</v>
      </c>
      <c r="DB157" s="3">
        <f t="shared" si="74"/>
        <v>10400</v>
      </c>
      <c r="DE157" s="3">
        <v>16</v>
      </c>
      <c r="DF157">
        <f t="shared" si="75"/>
        <v>12.8</v>
      </c>
      <c r="DG157">
        <f t="shared" si="76"/>
        <v>19.2</v>
      </c>
      <c r="DH157" s="14">
        <f t="shared" si="58"/>
        <v>4899367.7668997189</v>
      </c>
      <c r="DI157" s="6">
        <f t="shared" si="59"/>
        <v>6.1718584498835547</v>
      </c>
      <c r="DJ157" s="6">
        <f t="shared" si="77"/>
        <v>3.9357941523878512</v>
      </c>
      <c r="DK157" s="8">
        <f t="shared" si="78"/>
        <v>1.0857363179000969E-4</v>
      </c>
      <c r="DL157" s="1">
        <f t="shared" si="79"/>
        <v>0.35127173482150154</v>
      </c>
      <c r="DM157">
        <f t="shared" si="80"/>
        <v>0</v>
      </c>
      <c r="DN157">
        <f t="shared" si="81"/>
        <v>0</v>
      </c>
      <c r="DO157">
        <f t="shared" si="82"/>
        <v>2.3310805423249754E-3</v>
      </c>
      <c r="DP157" s="14">
        <f t="shared" si="83"/>
        <v>0</v>
      </c>
      <c r="DQ157" s="6">
        <f t="shared" si="84"/>
        <v>3.9389207237259858</v>
      </c>
      <c r="DS157" s="6" t="s">
        <v>462</v>
      </c>
      <c r="IL157" s="15"/>
    </row>
    <row r="158" spans="1:246" x14ac:dyDescent="0.35">
      <c r="A158">
        <v>0</v>
      </c>
      <c r="B158">
        <v>8</v>
      </c>
      <c r="C158">
        <v>8640</v>
      </c>
      <c r="D158" t="s">
        <v>418</v>
      </c>
      <c r="E158" t="s">
        <v>309</v>
      </c>
      <c r="F158" t="s">
        <v>311</v>
      </c>
      <c r="H158">
        <v>20010912</v>
      </c>
      <c r="K158" s="5">
        <v>0.5229166666666667</v>
      </c>
      <c r="L158">
        <v>33</v>
      </c>
      <c r="M158">
        <v>45180</v>
      </c>
      <c r="Q158" t="s">
        <v>40</v>
      </c>
      <c r="AA158" s="3">
        <f t="shared" si="85"/>
        <v>8640</v>
      </c>
      <c r="AK158">
        <f t="shared" si="69"/>
        <v>6840</v>
      </c>
      <c r="AL158">
        <f t="shared" si="70"/>
        <v>12240</v>
      </c>
      <c r="AM158" s="6">
        <f t="shared" si="71"/>
        <v>223.14999999999998</v>
      </c>
      <c r="AN158" s="6">
        <f t="shared" si="72"/>
        <v>220.14999999999998</v>
      </c>
      <c r="AO158" s="6">
        <f t="shared" si="73"/>
        <v>226.14999999999998</v>
      </c>
      <c r="AT158" s="7">
        <v>225</v>
      </c>
      <c r="AU158" s="7">
        <v>200</v>
      </c>
      <c r="AV158" s="7">
        <v>250</v>
      </c>
      <c r="BP158" s="3">
        <v>10000</v>
      </c>
      <c r="CF158" s="13"/>
      <c r="CG158" s="13"/>
      <c r="CH158" s="13"/>
      <c r="CY158">
        <v>0.36</v>
      </c>
      <c r="DB158" s="3">
        <f t="shared" si="74"/>
        <v>3600</v>
      </c>
      <c r="DE158" s="3">
        <v>23</v>
      </c>
      <c r="DF158">
        <f t="shared" si="75"/>
        <v>18.400000000000002</v>
      </c>
      <c r="DG158">
        <f t="shared" si="76"/>
        <v>27.599999999999998</v>
      </c>
      <c r="DH158" s="14">
        <f t="shared" si="58"/>
        <v>9869815.4925986435</v>
      </c>
      <c r="DI158" s="6">
        <f t="shared" si="59"/>
        <v>6.1718584498835547</v>
      </c>
      <c r="DJ158" s="6">
        <f t="shared" si="77"/>
        <v>3.9357941523878512</v>
      </c>
      <c r="DK158" s="8">
        <f t="shared" si="78"/>
        <v>1.0857363179000969E-4</v>
      </c>
      <c r="DL158" s="1">
        <f t="shared" si="79"/>
        <v>0.35127173482150154</v>
      </c>
      <c r="DM158">
        <f t="shared" si="80"/>
        <v>0</v>
      </c>
      <c r="DN158">
        <f t="shared" si="81"/>
        <v>0</v>
      </c>
      <c r="DO158">
        <f t="shared" si="82"/>
        <v>1.1571463397343704E-3</v>
      </c>
      <c r="DP158" s="14">
        <f t="shared" si="83"/>
        <v>0</v>
      </c>
      <c r="DQ158" s="6">
        <f t="shared" si="84"/>
        <v>3.9389207237259858</v>
      </c>
      <c r="DS158" s="6" t="s">
        <v>462</v>
      </c>
      <c r="IL158" s="15"/>
    </row>
    <row r="159" spans="1:246" x14ac:dyDescent="0.35">
      <c r="A159">
        <v>0</v>
      </c>
      <c r="B159">
        <v>8</v>
      </c>
      <c r="C159">
        <v>3600</v>
      </c>
      <c r="D159" t="s">
        <v>418</v>
      </c>
      <c r="E159" t="s">
        <v>309</v>
      </c>
      <c r="F159" t="s">
        <v>311</v>
      </c>
      <c r="H159">
        <v>20010912</v>
      </c>
      <c r="K159" s="5">
        <v>0.5229166666666667</v>
      </c>
      <c r="L159">
        <v>33</v>
      </c>
      <c r="M159">
        <v>45180</v>
      </c>
      <c r="Q159" t="s">
        <v>41</v>
      </c>
      <c r="AA159" s="3">
        <f t="shared" si="85"/>
        <v>3600</v>
      </c>
      <c r="AK159">
        <f t="shared" si="69"/>
        <v>1800</v>
      </c>
      <c r="AL159">
        <f t="shared" si="70"/>
        <v>7200</v>
      </c>
      <c r="AM159" s="6">
        <f t="shared" si="71"/>
        <v>223.14999999999998</v>
      </c>
      <c r="AN159" s="6">
        <f t="shared" si="72"/>
        <v>220.14999999999998</v>
      </c>
      <c r="AO159" s="6">
        <f t="shared" si="73"/>
        <v>226.14999999999998</v>
      </c>
      <c r="AT159" s="7">
        <v>225</v>
      </c>
      <c r="AU159" s="7">
        <v>200</v>
      </c>
      <c r="AV159" s="7">
        <v>250</v>
      </c>
      <c r="BP159" s="3">
        <v>10000</v>
      </c>
      <c r="CF159" s="13"/>
      <c r="CG159" s="13"/>
      <c r="CH159" s="13"/>
      <c r="CY159">
        <v>0.25</v>
      </c>
      <c r="DB159" s="3">
        <f t="shared" si="74"/>
        <v>2500</v>
      </c>
      <c r="DE159" s="3">
        <v>85</v>
      </c>
      <c r="DF159">
        <f t="shared" si="75"/>
        <v>68</v>
      </c>
      <c r="DG159">
        <f t="shared" si="76"/>
        <v>102</v>
      </c>
      <c r="DH159" s="14">
        <f t="shared" si="58"/>
        <v>4899367.7668997189</v>
      </c>
      <c r="DI159" s="6">
        <f t="shared" si="59"/>
        <v>6.1718584498835547</v>
      </c>
      <c r="DJ159" s="6">
        <f t="shared" si="77"/>
        <v>3.9357941523878512</v>
      </c>
      <c r="DK159" s="8">
        <f t="shared" si="78"/>
        <v>1.0857363179000969E-4</v>
      </c>
      <c r="DL159" s="1">
        <f t="shared" si="79"/>
        <v>0.35127173482150154</v>
      </c>
      <c r="DM159">
        <f t="shared" si="80"/>
        <v>0</v>
      </c>
      <c r="DN159">
        <f t="shared" si="81"/>
        <v>0</v>
      </c>
      <c r="DO159">
        <f t="shared" si="82"/>
        <v>2.3310805423249754E-3</v>
      </c>
      <c r="DP159" s="14">
        <f t="shared" si="83"/>
        <v>0</v>
      </c>
      <c r="DQ159" s="6">
        <f t="shared" si="84"/>
        <v>3.9389207237259858</v>
      </c>
      <c r="DS159" s="6" t="s">
        <v>462</v>
      </c>
      <c r="HL159" s="14"/>
      <c r="IL159" s="15"/>
    </row>
    <row r="160" spans="1:246" x14ac:dyDescent="0.35">
      <c r="A160">
        <v>0</v>
      </c>
      <c r="B160">
        <v>8</v>
      </c>
      <c r="C160">
        <v>3600</v>
      </c>
      <c r="D160" t="s">
        <v>418</v>
      </c>
      <c r="E160" t="s">
        <v>309</v>
      </c>
      <c r="F160" t="s">
        <v>311</v>
      </c>
      <c r="H160">
        <v>20010912</v>
      </c>
      <c r="K160" s="5">
        <v>0.5229166666666667</v>
      </c>
      <c r="L160">
        <v>33</v>
      </c>
      <c r="M160">
        <v>45180</v>
      </c>
      <c r="Q160" t="s">
        <v>42</v>
      </c>
      <c r="AA160" s="3">
        <f t="shared" si="85"/>
        <v>3600</v>
      </c>
      <c r="AK160">
        <f t="shared" si="69"/>
        <v>1800</v>
      </c>
      <c r="AL160">
        <f t="shared" si="70"/>
        <v>7200</v>
      </c>
      <c r="AM160" s="6">
        <f t="shared" si="71"/>
        <v>223.14999999999998</v>
      </c>
      <c r="AN160" s="6">
        <f t="shared" si="72"/>
        <v>220.14999999999998</v>
      </c>
      <c r="AO160" s="6">
        <f t="shared" si="73"/>
        <v>226.14999999999998</v>
      </c>
      <c r="AT160" s="7">
        <v>225</v>
      </c>
      <c r="AU160" s="7">
        <v>200</v>
      </c>
      <c r="AV160" s="7">
        <v>250</v>
      </c>
      <c r="BP160" s="3">
        <v>5000</v>
      </c>
      <c r="CF160" s="13"/>
      <c r="CG160" s="13"/>
      <c r="CH160" s="13"/>
      <c r="CY160">
        <v>0.17</v>
      </c>
      <c r="DB160" s="3">
        <f t="shared" si="74"/>
        <v>850.00000000000011</v>
      </c>
      <c r="DE160" s="3">
        <v>401</v>
      </c>
      <c r="DF160">
        <f t="shared" si="75"/>
        <v>320.8</v>
      </c>
      <c r="DG160">
        <f t="shared" si="76"/>
        <v>481.2</v>
      </c>
      <c r="DH160" s="14">
        <f t="shared" si="58"/>
        <v>4899367.7668997189</v>
      </c>
      <c r="DI160" s="6">
        <f t="shared" si="59"/>
        <v>6.1718584498835547</v>
      </c>
      <c r="DJ160" s="6">
        <f t="shared" si="77"/>
        <v>3.9357941523878512</v>
      </c>
      <c r="DK160" s="8">
        <f t="shared" si="78"/>
        <v>1.0857363179000969E-4</v>
      </c>
      <c r="DL160" s="1">
        <f t="shared" si="79"/>
        <v>0.35127173482150154</v>
      </c>
      <c r="DM160">
        <f t="shared" si="80"/>
        <v>0</v>
      </c>
      <c r="DN160">
        <f t="shared" si="81"/>
        <v>0</v>
      </c>
      <c r="DO160">
        <f t="shared" si="82"/>
        <v>2.3310805423249754E-3</v>
      </c>
      <c r="DP160" s="14">
        <f t="shared" si="83"/>
        <v>0</v>
      </c>
      <c r="DQ160" s="6">
        <f t="shared" si="84"/>
        <v>3.9389207237259858</v>
      </c>
      <c r="DS160" s="6" t="s">
        <v>462</v>
      </c>
      <c r="HL160" s="14"/>
      <c r="IL160" s="15"/>
    </row>
    <row r="161" spans="1:246" x14ac:dyDescent="0.35">
      <c r="A161">
        <v>0</v>
      </c>
      <c r="B161">
        <v>8</v>
      </c>
      <c r="C161">
        <v>7920</v>
      </c>
      <c r="D161" t="s">
        <v>418</v>
      </c>
      <c r="E161" t="s">
        <v>309</v>
      </c>
      <c r="F161" t="s">
        <v>311</v>
      </c>
      <c r="H161">
        <v>20010912</v>
      </c>
      <c r="K161" s="5">
        <v>0.57291666666666663</v>
      </c>
      <c r="L161">
        <v>45</v>
      </c>
      <c r="M161">
        <v>49500</v>
      </c>
      <c r="Q161" t="s">
        <v>42</v>
      </c>
      <c r="AA161" s="3">
        <f t="shared" si="85"/>
        <v>7920</v>
      </c>
      <c r="AK161">
        <f t="shared" si="69"/>
        <v>6120</v>
      </c>
      <c r="AL161">
        <f t="shared" si="70"/>
        <v>11520</v>
      </c>
      <c r="AM161" s="6">
        <f t="shared" si="71"/>
        <v>223.14999999999998</v>
      </c>
      <c r="AN161" s="6">
        <f t="shared" si="72"/>
        <v>220.14999999999998</v>
      </c>
      <c r="AO161" s="6">
        <f t="shared" si="73"/>
        <v>226.14999999999998</v>
      </c>
      <c r="AT161" s="7">
        <v>225</v>
      </c>
      <c r="AU161" s="7">
        <v>200</v>
      </c>
      <c r="AV161" s="7">
        <v>250</v>
      </c>
      <c r="BP161" s="3">
        <v>15000</v>
      </c>
      <c r="CF161" s="13"/>
      <c r="CG161" s="13"/>
      <c r="CH161" s="13"/>
      <c r="CY161">
        <v>0.09</v>
      </c>
      <c r="DB161" s="3">
        <f t="shared" si="74"/>
        <v>1350</v>
      </c>
      <c r="DE161" s="3">
        <v>346</v>
      </c>
      <c r="DF161">
        <f t="shared" si="75"/>
        <v>276.8</v>
      </c>
      <c r="DG161">
        <f t="shared" si="76"/>
        <v>415.2</v>
      </c>
      <c r="DH161" s="14">
        <f t="shared" si="58"/>
        <v>9206152.9361745957</v>
      </c>
      <c r="DI161" s="6">
        <f t="shared" si="59"/>
        <v>6.1718584498835547</v>
      </c>
      <c r="DJ161" s="6">
        <f t="shared" si="77"/>
        <v>3.9357941523878512</v>
      </c>
      <c r="DK161" s="8">
        <f t="shared" si="78"/>
        <v>1.0857363179000969E-4</v>
      </c>
      <c r="DL161" s="1">
        <f t="shared" si="79"/>
        <v>0.35127173482150154</v>
      </c>
      <c r="DM161">
        <f t="shared" si="80"/>
        <v>0</v>
      </c>
      <c r="DN161">
        <f t="shared" si="81"/>
        <v>0</v>
      </c>
      <c r="DO161">
        <f t="shared" si="82"/>
        <v>1.2405638870322479E-3</v>
      </c>
      <c r="DP161" s="14">
        <f t="shared" si="83"/>
        <v>0</v>
      </c>
      <c r="DQ161" s="6">
        <f t="shared" si="84"/>
        <v>3.9389207237259858</v>
      </c>
      <c r="DS161" s="6" t="s">
        <v>462</v>
      </c>
      <c r="HL161" s="14"/>
      <c r="IL161" s="15"/>
    </row>
    <row r="162" spans="1:246" x14ac:dyDescent="0.35">
      <c r="A162">
        <v>0</v>
      </c>
      <c r="B162">
        <v>8</v>
      </c>
      <c r="C162">
        <v>15120</v>
      </c>
      <c r="D162" t="s">
        <v>418</v>
      </c>
      <c r="E162" t="s">
        <v>309</v>
      </c>
      <c r="F162" t="s">
        <v>311</v>
      </c>
      <c r="H162">
        <v>20010912</v>
      </c>
      <c r="K162" s="5">
        <v>0.65625</v>
      </c>
      <c r="L162">
        <v>45</v>
      </c>
      <c r="M162">
        <v>56700</v>
      </c>
      <c r="Q162" t="s">
        <v>42</v>
      </c>
      <c r="AA162" s="3">
        <f t="shared" si="85"/>
        <v>15120</v>
      </c>
      <c r="AK162">
        <f t="shared" si="69"/>
        <v>13320</v>
      </c>
      <c r="AL162">
        <f t="shared" si="70"/>
        <v>18720</v>
      </c>
      <c r="AM162" s="6">
        <f t="shared" si="71"/>
        <v>223.14999999999998</v>
      </c>
      <c r="AN162" s="6">
        <f t="shared" si="72"/>
        <v>220.14999999999998</v>
      </c>
      <c r="AO162" s="6">
        <f t="shared" si="73"/>
        <v>226.14999999999998</v>
      </c>
      <c r="AT162" s="7">
        <v>225</v>
      </c>
      <c r="AU162" s="7">
        <v>200</v>
      </c>
      <c r="AV162" s="7">
        <v>250</v>
      </c>
      <c r="BP162" s="3">
        <v>14000</v>
      </c>
      <c r="CF162" s="13"/>
      <c r="CG162" s="13"/>
      <c r="CH162" s="13"/>
      <c r="CY162">
        <v>0.13</v>
      </c>
      <c r="DB162" s="3">
        <f t="shared" si="74"/>
        <v>1820</v>
      </c>
      <c r="DE162" s="3">
        <v>204</v>
      </c>
      <c r="DF162">
        <f t="shared" si="75"/>
        <v>163.20000000000002</v>
      </c>
      <c r="DG162">
        <f t="shared" si="76"/>
        <v>244.79999999999998</v>
      </c>
      <c r="DH162" s="14">
        <f t="shared" si="58"/>
        <v>15443277.414661935</v>
      </c>
      <c r="DI162" s="6">
        <f t="shared" si="59"/>
        <v>6.1718584498835547</v>
      </c>
      <c r="DJ162" s="6">
        <f t="shared" si="77"/>
        <v>3.9357941523878512</v>
      </c>
      <c r="DK162" s="8">
        <f t="shared" si="78"/>
        <v>1.0857363179000969E-4</v>
      </c>
      <c r="DL162" s="1">
        <f t="shared" si="79"/>
        <v>0.35127173482150154</v>
      </c>
      <c r="DM162">
        <f t="shared" si="80"/>
        <v>0</v>
      </c>
      <c r="DN162">
        <f t="shared" si="81"/>
        <v>0</v>
      </c>
      <c r="DO162">
        <f t="shared" si="82"/>
        <v>7.3953349178789655E-4</v>
      </c>
      <c r="DP162" s="14">
        <f t="shared" si="83"/>
        <v>0</v>
      </c>
      <c r="DQ162" s="6">
        <f t="shared" si="84"/>
        <v>3.9389207237259858</v>
      </c>
      <c r="DS162" s="6" t="s">
        <v>462</v>
      </c>
      <c r="IL162" s="15"/>
    </row>
    <row r="163" spans="1:246" x14ac:dyDescent="0.35">
      <c r="A163">
        <v>0</v>
      </c>
      <c r="B163">
        <v>8</v>
      </c>
      <c r="C163">
        <v>3600</v>
      </c>
      <c r="D163" t="s">
        <v>418</v>
      </c>
      <c r="E163" t="s">
        <v>309</v>
      </c>
      <c r="F163" t="s">
        <v>311</v>
      </c>
      <c r="H163">
        <v>20010912</v>
      </c>
      <c r="K163" s="5">
        <v>0.5229166666666667</v>
      </c>
      <c r="L163">
        <v>33</v>
      </c>
      <c r="M163">
        <v>45180</v>
      </c>
      <c r="Q163" t="s">
        <v>43</v>
      </c>
      <c r="AA163" s="3">
        <f t="shared" si="85"/>
        <v>3600</v>
      </c>
      <c r="AK163">
        <f t="shared" si="69"/>
        <v>1800</v>
      </c>
      <c r="AL163">
        <f t="shared" si="70"/>
        <v>7200</v>
      </c>
      <c r="AM163" s="6">
        <f t="shared" si="71"/>
        <v>223.14999999999998</v>
      </c>
      <c r="AN163" s="6">
        <f t="shared" si="72"/>
        <v>220.14999999999998</v>
      </c>
      <c r="AO163" s="6">
        <f t="shared" si="73"/>
        <v>226.14999999999998</v>
      </c>
      <c r="AT163" s="7">
        <v>225</v>
      </c>
      <c r="AU163" s="7">
        <v>200</v>
      </c>
      <c r="AV163" s="7">
        <v>250</v>
      </c>
      <c r="BP163" s="3">
        <v>5000</v>
      </c>
      <c r="CF163" s="13"/>
      <c r="CG163" s="13"/>
      <c r="CH163" s="13"/>
      <c r="CY163">
        <v>0.26</v>
      </c>
      <c r="DB163" s="3">
        <f t="shared" si="74"/>
        <v>1300</v>
      </c>
      <c r="DE163" s="3">
        <v>316</v>
      </c>
      <c r="DF163">
        <f t="shared" si="75"/>
        <v>252.8</v>
      </c>
      <c r="DG163">
        <f t="shared" si="76"/>
        <v>379.2</v>
      </c>
      <c r="DH163" s="14">
        <f t="shared" si="58"/>
        <v>4899367.7668997189</v>
      </c>
      <c r="DI163" s="6">
        <f t="shared" si="59"/>
        <v>6.1718584498835547</v>
      </c>
      <c r="DJ163" s="6">
        <f t="shared" si="77"/>
        <v>3.9357941523878512</v>
      </c>
      <c r="DK163" s="8">
        <f t="shared" si="78"/>
        <v>1.0857363179000969E-4</v>
      </c>
      <c r="DL163" s="1">
        <f t="shared" si="79"/>
        <v>0.35127173482150154</v>
      </c>
      <c r="DM163">
        <f t="shared" si="80"/>
        <v>0</v>
      </c>
      <c r="DN163">
        <f t="shared" si="81"/>
        <v>0</v>
      </c>
      <c r="DO163">
        <f t="shared" si="82"/>
        <v>2.3310805423249754E-3</v>
      </c>
      <c r="DP163" s="14">
        <f t="shared" si="83"/>
        <v>0</v>
      </c>
      <c r="DQ163" s="6">
        <f t="shared" si="84"/>
        <v>3.9389207237259858</v>
      </c>
      <c r="DS163" s="6" t="s">
        <v>462</v>
      </c>
      <c r="GK163" s="7"/>
      <c r="GL163" s="14"/>
      <c r="GM163" s="14"/>
      <c r="GN163" s="14"/>
      <c r="GO163" s="14"/>
      <c r="GP163" s="14"/>
      <c r="GQ163" s="7"/>
      <c r="GR163" s="14"/>
      <c r="IL163" s="15"/>
    </row>
    <row r="164" spans="1:246" x14ac:dyDescent="0.35">
      <c r="A164">
        <v>0</v>
      </c>
      <c r="B164">
        <v>8</v>
      </c>
      <c r="C164">
        <v>7920</v>
      </c>
      <c r="D164" t="s">
        <v>418</v>
      </c>
      <c r="E164" t="s">
        <v>309</v>
      </c>
      <c r="F164" t="s">
        <v>311</v>
      </c>
      <c r="H164">
        <v>20010912</v>
      </c>
      <c r="K164" s="5">
        <v>0.57291666666666663</v>
      </c>
      <c r="L164">
        <v>45</v>
      </c>
      <c r="M164">
        <v>49500</v>
      </c>
      <c r="Q164" t="s">
        <v>43</v>
      </c>
      <c r="AA164" s="3">
        <f t="shared" si="85"/>
        <v>7920</v>
      </c>
      <c r="AK164">
        <f t="shared" si="69"/>
        <v>6120</v>
      </c>
      <c r="AL164">
        <f t="shared" si="70"/>
        <v>11520</v>
      </c>
      <c r="AM164" s="6">
        <f t="shared" si="71"/>
        <v>223.14999999999998</v>
      </c>
      <c r="AN164" s="6">
        <f t="shared" si="72"/>
        <v>220.14999999999998</v>
      </c>
      <c r="AO164" s="6">
        <f t="shared" si="73"/>
        <v>226.14999999999998</v>
      </c>
      <c r="AT164" s="7">
        <v>225</v>
      </c>
      <c r="AU164" s="7">
        <v>200</v>
      </c>
      <c r="AV164" s="7">
        <v>250</v>
      </c>
      <c r="BP164" s="3">
        <v>7000</v>
      </c>
      <c r="CF164" s="13"/>
      <c r="CG164" s="13"/>
      <c r="CH164" s="13"/>
      <c r="CY164">
        <v>0.12</v>
      </c>
      <c r="DB164" s="3">
        <f t="shared" si="74"/>
        <v>840</v>
      </c>
      <c r="DE164" s="3">
        <v>246</v>
      </c>
      <c r="DF164">
        <f t="shared" si="75"/>
        <v>196.8</v>
      </c>
      <c r="DG164">
        <f t="shared" si="76"/>
        <v>295.2</v>
      </c>
      <c r="DH164" s="14">
        <f t="shared" si="58"/>
        <v>9206152.9361745957</v>
      </c>
      <c r="DI164" s="6">
        <f t="shared" si="59"/>
        <v>6.1718584498835547</v>
      </c>
      <c r="DJ164" s="6">
        <f t="shared" si="77"/>
        <v>3.9357941523878512</v>
      </c>
      <c r="DK164" s="8">
        <f t="shared" si="78"/>
        <v>1.0857363179000969E-4</v>
      </c>
      <c r="DL164" s="1">
        <f t="shared" si="79"/>
        <v>0.35127173482150154</v>
      </c>
      <c r="DM164">
        <f t="shared" si="80"/>
        <v>0</v>
      </c>
      <c r="DN164">
        <f t="shared" si="81"/>
        <v>0</v>
      </c>
      <c r="DO164">
        <f t="shared" si="82"/>
        <v>1.2405638870322479E-3</v>
      </c>
      <c r="DP164" s="14">
        <f t="shared" si="83"/>
        <v>0</v>
      </c>
      <c r="DQ164" s="6">
        <f t="shared" si="84"/>
        <v>3.9389207237259858</v>
      </c>
      <c r="DS164" s="6" t="s">
        <v>462</v>
      </c>
      <c r="IL164" s="15"/>
    </row>
    <row r="165" spans="1:246" x14ac:dyDescent="0.35">
      <c r="A165">
        <v>0</v>
      </c>
      <c r="B165">
        <v>8</v>
      </c>
      <c r="C165">
        <v>15120</v>
      </c>
      <c r="D165" t="s">
        <v>418</v>
      </c>
      <c r="E165" t="s">
        <v>309</v>
      </c>
      <c r="F165" t="s">
        <v>311</v>
      </c>
      <c r="H165">
        <v>20010912</v>
      </c>
      <c r="K165" s="5">
        <v>0.65625</v>
      </c>
      <c r="L165">
        <v>45</v>
      </c>
      <c r="M165">
        <v>56700</v>
      </c>
      <c r="Q165" t="s">
        <v>43</v>
      </c>
      <c r="AA165" s="3">
        <f t="shared" si="85"/>
        <v>15120</v>
      </c>
      <c r="AK165">
        <f t="shared" si="69"/>
        <v>13320</v>
      </c>
      <c r="AL165">
        <f t="shared" si="70"/>
        <v>18720</v>
      </c>
      <c r="AM165" s="6">
        <f t="shared" si="71"/>
        <v>223.14999999999998</v>
      </c>
      <c r="AN165" s="6">
        <f t="shared" si="72"/>
        <v>220.14999999999998</v>
      </c>
      <c r="AO165" s="6">
        <f t="shared" si="73"/>
        <v>226.14999999999998</v>
      </c>
      <c r="AT165" s="7">
        <v>225</v>
      </c>
      <c r="AU165" s="7">
        <v>200</v>
      </c>
      <c r="AV165" s="7">
        <v>250</v>
      </c>
      <c r="BP165" s="3">
        <v>14000</v>
      </c>
      <c r="CF165" s="13"/>
      <c r="CG165" s="13"/>
      <c r="CH165" s="13"/>
      <c r="CY165">
        <v>0.13</v>
      </c>
      <c r="DB165" s="3">
        <f t="shared" si="74"/>
        <v>1820</v>
      </c>
      <c r="DE165" s="3">
        <v>237</v>
      </c>
      <c r="DF165">
        <f t="shared" si="75"/>
        <v>189.60000000000002</v>
      </c>
      <c r="DG165">
        <f t="shared" si="76"/>
        <v>284.39999999999998</v>
      </c>
      <c r="DH165" s="14">
        <f t="shared" si="58"/>
        <v>15443277.414661935</v>
      </c>
      <c r="DI165" s="6">
        <f t="shared" si="59"/>
        <v>6.1718584498835547</v>
      </c>
      <c r="DJ165" s="6">
        <f t="shared" si="77"/>
        <v>3.9357941523878512</v>
      </c>
      <c r="DK165" s="8">
        <f t="shared" si="78"/>
        <v>1.0857363179000969E-4</v>
      </c>
      <c r="DL165" s="1">
        <f t="shared" si="79"/>
        <v>0.35127173482150154</v>
      </c>
      <c r="DM165">
        <f t="shared" si="80"/>
        <v>0</v>
      </c>
      <c r="DN165">
        <f t="shared" si="81"/>
        <v>0</v>
      </c>
      <c r="DO165">
        <f t="shared" si="82"/>
        <v>7.3953349178789655E-4</v>
      </c>
      <c r="DP165" s="14">
        <f t="shared" si="83"/>
        <v>0</v>
      </c>
      <c r="DQ165" s="6">
        <f t="shared" si="84"/>
        <v>3.9389207237259858</v>
      </c>
      <c r="DS165" s="6" t="s">
        <v>462</v>
      </c>
      <c r="IL165" s="15"/>
    </row>
    <row r="166" spans="1:246" x14ac:dyDescent="0.35">
      <c r="A166">
        <v>0</v>
      </c>
      <c r="B166">
        <v>8</v>
      </c>
      <c r="C166">
        <v>31320</v>
      </c>
      <c r="D166" t="s">
        <v>418</v>
      </c>
      <c r="E166" t="s">
        <v>309</v>
      </c>
      <c r="F166" t="s">
        <v>311</v>
      </c>
      <c r="H166">
        <v>20010912</v>
      </c>
      <c r="K166" s="5">
        <v>0.84375</v>
      </c>
      <c r="L166">
        <v>15</v>
      </c>
      <c r="M166">
        <v>72900</v>
      </c>
      <c r="Q166" t="s">
        <v>43</v>
      </c>
      <c r="AA166" s="3">
        <f t="shared" si="85"/>
        <v>31320</v>
      </c>
      <c r="AK166">
        <f t="shared" si="69"/>
        <v>29520</v>
      </c>
      <c r="AL166">
        <f t="shared" si="70"/>
        <v>34920</v>
      </c>
      <c r="AM166" s="6">
        <f t="shared" si="71"/>
        <v>223.14999999999998</v>
      </c>
      <c r="AN166" s="6">
        <f t="shared" si="72"/>
        <v>220.14999999999998</v>
      </c>
      <c r="AO166" s="6">
        <f t="shared" si="73"/>
        <v>226.14999999999998</v>
      </c>
      <c r="AT166" s="7">
        <v>225</v>
      </c>
      <c r="AU166" s="7">
        <v>200</v>
      </c>
      <c r="AV166" s="7">
        <v>250</v>
      </c>
      <c r="BP166" s="3">
        <v>11000</v>
      </c>
      <c r="CF166" s="13"/>
      <c r="CG166" s="13"/>
      <c r="CH166" s="13"/>
      <c r="CY166">
        <v>0.12</v>
      </c>
      <c r="DB166" s="3">
        <f t="shared" si="74"/>
        <v>1320</v>
      </c>
      <c r="DE166" s="3">
        <v>90</v>
      </c>
      <c r="DF166">
        <f t="shared" si="75"/>
        <v>72</v>
      </c>
      <c r="DG166">
        <f t="shared" si="76"/>
        <v>108</v>
      </c>
      <c r="DH166" s="14">
        <f t="shared" si="58"/>
        <v>27653839.806111217</v>
      </c>
      <c r="DI166" s="6">
        <f t="shared" si="59"/>
        <v>6.1718584498835547</v>
      </c>
      <c r="DJ166" s="6">
        <f t="shared" si="77"/>
        <v>3.9357941523878512</v>
      </c>
      <c r="DK166" s="8">
        <f t="shared" si="78"/>
        <v>1.0857363179000969E-4</v>
      </c>
      <c r="DL166" s="1">
        <f t="shared" si="79"/>
        <v>0.35127173482150154</v>
      </c>
      <c r="DM166">
        <f t="shared" si="80"/>
        <v>0</v>
      </c>
      <c r="DN166">
        <f t="shared" si="81"/>
        <v>0</v>
      </c>
      <c r="DO166">
        <f t="shared" si="82"/>
        <v>4.1299222643902838E-4</v>
      </c>
      <c r="DP166" s="14">
        <f t="shared" si="83"/>
        <v>0</v>
      </c>
      <c r="DQ166" s="6">
        <f t="shared" si="84"/>
        <v>3.9389207237259858</v>
      </c>
      <c r="DS166" s="6" t="s">
        <v>462</v>
      </c>
      <c r="IL166" s="15"/>
    </row>
    <row r="167" spans="1:246" x14ac:dyDescent="0.35">
      <c r="A167">
        <v>0</v>
      </c>
      <c r="B167">
        <v>8</v>
      </c>
      <c r="C167">
        <v>3600</v>
      </c>
      <c r="D167" t="s">
        <v>418</v>
      </c>
      <c r="E167" t="s">
        <v>309</v>
      </c>
      <c r="F167" t="s">
        <v>311</v>
      </c>
      <c r="H167">
        <v>20010912</v>
      </c>
      <c r="K167" s="5">
        <v>0.61458333333333337</v>
      </c>
      <c r="L167">
        <v>45</v>
      </c>
      <c r="M167">
        <v>53100</v>
      </c>
      <c r="Q167" t="s">
        <v>308</v>
      </c>
      <c r="AA167" s="3">
        <f t="shared" si="85"/>
        <v>3600</v>
      </c>
      <c r="AK167">
        <f t="shared" si="69"/>
        <v>1800</v>
      </c>
      <c r="AL167">
        <f t="shared" si="70"/>
        <v>7200</v>
      </c>
      <c r="AM167" s="6">
        <f t="shared" si="71"/>
        <v>223.14999999999998</v>
      </c>
      <c r="AN167" s="6">
        <f t="shared" si="72"/>
        <v>220.14999999999998</v>
      </c>
      <c r="AO167" s="6">
        <f t="shared" si="73"/>
        <v>226.14999999999998</v>
      </c>
      <c r="AT167" s="7">
        <v>225</v>
      </c>
      <c r="AU167" s="7">
        <v>200</v>
      </c>
      <c r="AV167" s="7">
        <v>250</v>
      </c>
      <c r="BP167" s="3">
        <v>7000</v>
      </c>
      <c r="CF167" s="13"/>
      <c r="CG167" s="13"/>
      <c r="CH167" s="13"/>
      <c r="CY167">
        <v>0.12</v>
      </c>
      <c r="DB167" s="3">
        <f t="shared" si="74"/>
        <v>840</v>
      </c>
      <c r="DE167" s="3">
        <v>267</v>
      </c>
      <c r="DF167">
        <f t="shared" si="75"/>
        <v>213.60000000000002</v>
      </c>
      <c r="DG167">
        <f t="shared" si="76"/>
        <v>320.39999999999998</v>
      </c>
      <c r="DH167" s="14">
        <f t="shared" si="58"/>
        <v>4899367.7668997189</v>
      </c>
      <c r="DI167" s="6">
        <f t="shared" ref="DI167:DI193" si="86">EXP(6.97+0.103*(AM167-273.15))</f>
        <v>6.1718584498835547</v>
      </c>
      <c r="DJ167" s="6">
        <f t="shared" si="77"/>
        <v>3.9357941523878512</v>
      </c>
      <c r="DK167" s="8">
        <f t="shared" si="78"/>
        <v>1.0857363179000969E-4</v>
      </c>
      <c r="DL167" s="1">
        <f t="shared" si="79"/>
        <v>0.35127173482150154</v>
      </c>
      <c r="DM167">
        <f t="shared" si="80"/>
        <v>0</v>
      </c>
      <c r="DN167">
        <f t="shared" si="81"/>
        <v>0</v>
      </c>
      <c r="DO167">
        <f t="shared" si="82"/>
        <v>2.3310805423249754E-3</v>
      </c>
      <c r="DP167" s="14">
        <f t="shared" si="83"/>
        <v>0</v>
      </c>
      <c r="DQ167" s="6">
        <f t="shared" si="84"/>
        <v>3.9389207237259858</v>
      </c>
      <c r="DS167" s="6" t="s">
        <v>462</v>
      </c>
      <c r="IL167" s="15"/>
    </row>
    <row r="168" spans="1:246" x14ac:dyDescent="0.35">
      <c r="A168">
        <v>0</v>
      </c>
      <c r="B168">
        <v>8</v>
      </c>
      <c r="C168">
        <v>7200</v>
      </c>
      <c r="D168" t="s">
        <v>418</v>
      </c>
      <c r="E168" t="s">
        <v>309</v>
      </c>
      <c r="F168" t="s">
        <v>311</v>
      </c>
      <c r="H168">
        <v>20010912</v>
      </c>
      <c r="K168" s="5">
        <v>0.65625</v>
      </c>
      <c r="L168">
        <v>45</v>
      </c>
      <c r="M168">
        <v>56700</v>
      </c>
      <c r="Q168" t="s">
        <v>308</v>
      </c>
      <c r="AA168" s="3">
        <f t="shared" si="85"/>
        <v>7200</v>
      </c>
      <c r="AK168">
        <f t="shared" si="69"/>
        <v>5400</v>
      </c>
      <c r="AL168">
        <f t="shared" si="70"/>
        <v>10800</v>
      </c>
      <c r="AM168" s="6">
        <f t="shared" si="71"/>
        <v>223.14999999999998</v>
      </c>
      <c r="AN168" s="6">
        <f t="shared" si="72"/>
        <v>220.14999999999998</v>
      </c>
      <c r="AO168" s="6">
        <f t="shared" si="73"/>
        <v>226.14999999999998</v>
      </c>
      <c r="AT168" s="7">
        <v>225</v>
      </c>
      <c r="AU168" s="7">
        <v>200</v>
      </c>
      <c r="AV168" s="7">
        <v>250</v>
      </c>
      <c r="BP168" s="3">
        <v>14000</v>
      </c>
      <c r="CF168" s="13"/>
      <c r="CG168" s="13"/>
      <c r="CH168" s="13"/>
      <c r="CY168">
        <v>0.24</v>
      </c>
      <c r="DB168" s="3">
        <f t="shared" si="74"/>
        <v>3360</v>
      </c>
      <c r="DE168" s="3">
        <v>278</v>
      </c>
      <c r="DF168">
        <f t="shared" si="75"/>
        <v>222.4</v>
      </c>
      <c r="DG168">
        <f t="shared" si="76"/>
        <v>333.59999999999997</v>
      </c>
      <c r="DH168" s="14">
        <f t="shared" si="58"/>
        <v>8530294.7385388482</v>
      </c>
      <c r="DI168" s="6">
        <f t="shared" si="86"/>
        <v>6.1718584498835547</v>
      </c>
      <c r="DJ168" s="6">
        <f t="shared" si="77"/>
        <v>3.9357941523878512</v>
      </c>
      <c r="DK168" s="8">
        <f t="shared" si="78"/>
        <v>1.0857363179000969E-4</v>
      </c>
      <c r="DL168" s="1">
        <f t="shared" si="79"/>
        <v>0.35127173482150154</v>
      </c>
      <c r="DM168">
        <f t="shared" si="80"/>
        <v>0</v>
      </c>
      <c r="DN168">
        <f t="shared" si="81"/>
        <v>0</v>
      </c>
      <c r="DO168">
        <f t="shared" si="82"/>
        <v>1.3388541921671476E-3</v>
      </c>
      <c r="DP168" s="14">
        <f t="shared" si="83"/>
        <v>0</v>
      </c>
      <c r="DQ168" s="6">
        <f t="shared" si="84"/>
        <v>3.9389207237259858</v>
      </c>
      <c r="DS168" s="6" t="s">
        <v>462</v>
      </c>
      <c r="IL168" s="15"/>
    </row>
    <row r="169" spans="1:246" x14ac:dyDescent="0.35">
      <c r="A169">
        <v>0</v>
      </c>
      <c r="B169">
        <v>8</v>
      </c>
      <c r="C169">
        <v>23400</v>
      </c>
      <c r="D169" t="s">
        <v>418</v>
      </c>
      <c r="E169" t="s">
        <v>309</v>
      </c>
      <c r="F169" t="s">
        <v>311</v>
      </c>
      <c r="H169">
        <v>20010912</v>
      </c>
      <c r="K169" s="5">
        <v>0.84375</v>
      </c>
      <c r="L169">
        <v>15</v>
      </c>
      <c r="M169">
        <v>72900</v>
      </c>
      <c r="Q169" t="s">
        <v>308</v>
      </c>
      <c r="AA169" s="3">
        <f t="shared" si="85"/>
        <v>23400</v>
      </c>
      <c r="AK169">
        <f t="shared" si="69"/>
        <v>21600</v>
      </c>
      <c r="AL169">
        <f t="shared" si="70"/>
        <v>27000</v>
      </c>
      <c r="AM169" s="6">
        <f t="shared" si="71"/>
        <v>223.14999999999998</v>
      </c>
      <c r="AN169" s="6">
        <f t="shared" si="72"/>
        <v>220.14999999999998</v>
      </c>
      <c r="AO169" s="6">
        <f t="shared" si="73"/>
        <v>226.14999999999998</v>
      </c>
      <c r="AT169" s="7">
        <v>225</v>
      </c>
      <c r="AU169" s="7">
        <v>200</v>
      </c>
      <c r="AV169" s="7">
        <v>250</v>
      </c>
      <c r="BP169" s="3">
        <v>23000</v>
      </c>
      <c r="CF169" s="13"/>
      <c r="CG169" s="13"/>
      <c r="CH169" s="13"/>
      <c r="CY169">
        <v>0.11</v>
      </c>
      <c r="DB169" s="3">
        <f t="shared" si="74"/>
        <v>2530</v>
      </c>
      <c r="DE169" s="3">
        <v>79</v>
      </c>
      <c r="DF169">
        <f t="shared" si="75"/>
        <v>63.2</v>
      </c>
      <c r="DG169">
        <f t="shared" si="76"/>
        <v>94.8</v>
      </c>
      <c r="DH169" s="14">
        <f t="shared" si="58"/>
        <v>21901341.948882174</v>
      </c>
      <c r="DI169" s="6">
        <f t="shared" si="86"/>
        <v>6.1718584498835547</v>
      </c>
      <c r="DJ169" s="6">
        <f t="shared" si="77"/>
        <v>3.9357941523878512</v>
      </c>
      <c r="DK169" s="8">
        <f t="shared" si="78"/>
        <v>1.0857363179000969E-4</v>
      </c>
      <c r="DL169" s="1">
        <f t="shared" si="79"/>
        <v>0.35127173482150154</v>
      </c>
      <c r="DM169">
        <f t="shared" si="80"/>
        <v>0</v>
      </c>
      <c r="DN169">
        <f t="shared" si="81"/>
        <v>0</v>
      </c>
      <c r="DO169">
        <f t="shared" si="82"/>
        <v>5.2146671641264475E-4</v>
      </c>
      <c r="DP169" s="14">
        <f t="shared" si="83"/>
        <v>0</v>
      </c>
      <c r="DQ169" s="6">
        <f t="shared" si="84"/>
        <v>3.9389207237259858</v>
      </c>
      <c r="DS169" s="6" t="s">
        <v>462</v>
      </c>
      <c r="EI169" s="18"/>
      <c r="IL169" s="15"/>
    </row>
    <row r="170" spans="1:246" x14ac:dyDescent="0.35">
      <c r="A170">
        <v>0</v>
      </c>
      <c r="B170">
        <v>9</v>
      </c>
      <c r="C170">
        <v>6060</v>
      </c>
      <c r="D170" t="s">
        <v>419</v>
      </c>
      <c r="E170" t="s">
        <v>388</v>
      </c>
      <c r="F170" t="s">
        <v>385</v>
      </c>
      <c r="G170" t="s">
        <v>310</v>
      </c>
      <c r="H170">
        <v>20010912</v>
      </c>
      <c r="I170">
        <f>11*60</f>
        <v>660</v>
      </c>
      <c r="K170" s="5">
        <v>7.6388888888888886E-3</v>
      </c>
      <c r="L170" t="s">
        <v>389</v>
      </c>
      <c r="M170" t="s">
        <v>390</v>
      </c>
      <c r="Q170" t="s">
        <v>38</v>
      </c>
      <c r="S170">
        <v>4</v>
      </c>
      <c r="T170">
        <v>1</v>
      </c>
      <c r="U170">
        <v>64.44</v>
      </c>
      <c r="V170">
        <v>300</v>
      </c>
      <c r="W170">
        <v>11.7</v>
      </c>
      <c r="X170">
        <v>0.36</v>
      </c>
      <c r="Y170">
        <v>250</v>
      </c>
      <c r="Z170">
        <v>90</v>
      </c>
      <c r="AA170" s="3">
        <f t="shared" si="85"/>
        <v>6060</v>
      </c>
      <c r="AK170">
        <v>5160</v>
      </c>
      <c r="AL170">
        <v>6960</v>
      </c>
      <c r="AM170" s="6">
        <v>217.31299999999999</v>
      </c>
      <c r="AN170" s="6">
        <v>215.375</v>
      </c>
      <c r="AO170" s="6">
        <v>219.99799999999999</v>
      </c>
      <c r="AP170" s="6">
        <v>12.0647</v>
      </c>
      <c r="AQ170" s="6">
        <v>11.5647</v>
      </c>
      <c r="AR170" s="6">
        <v>12.5647</v>
      </c>
      <c r="AS170" s="7">
        <f t="shared" ref="AS170:AS184" si="87">(AP170-0.6)*30.48</f>
        <v>349.44405600000005</v>
      </c>
      <c r="AT170" s="7">
        <v>206.88200000000001</v>
      </c>
      <c r="AU170" s="7">
        <v>191.352</v>
      </c>
      <c r="AV170" s="7">
        <v>223.625</v>
      </c>
      <c r="AW170">
        <v>1</v>
      </c>
      <c r="AX170" s="7">
        <v>68.22</v>
      </c>
      <c r="AY170" s="7">
        <v>52.59</v>
      </c>
      <c r="AZ170" s="7">
        <v>82.96</v>
      </c>
      <c r="BA170" s="6">
        <v>1.4500000000000002</v>
      </c>
      <c r="BB170" s="6">
        <v>1.34</v>
      </c>
      <c r="BC170" s="6">
        <v>1.71</v>
      </c>
      <c r="BD170" s="6">
        <v>0.91125</v>
      </c>
      <c r="BE170" s="6">
        <v>0.91125</v>
      </c>
      <c r="BF170" s="6">
        <v>1.8242</v>
      </c>
      <c r="BP170" s="3">
        <v>7309.6104508770077</v>
      </c>
      <c r="BQ170" s="3">
        <f t="shared" ref="BQ170:BQ177" si="88">BP170*0.7</f>
        <v>5116.7273156139054</v>
      </c>
      <c r="BR170" s="3">
        <f t="shared" ref="BR170:BR177" si="89">BP170*1.3</f>
        <v>9502.49358614011</v>
      </c>
      <c r="CF170" s="13"/>
      <c r="CG170" s="13"/>
      <c r="CH170" s="13"/>
      <c r="CO170">
        <v>26.97</v>
      </c>
      <c r="CP170">
        <v>10.33</v>
      </c>
      <c r="CQ170">
        <v>42.645000000000003</v>
      </c>
      <c r="CY170">
        <v>0.16600000000000001</v>
      </c>
      <c r="CZ170">
        <v>7.3999999999999996E-2</v>
      </c>
      <c r="DA170">
        <v>0.316</v>
      </c>
      <c r="DB170" s="3">
        <f t="shared" ref="DB170:DD177" si="90">BP170*CY170</f>
        <v>1213.3953348455834</v>
      </c>
      <c r="DC170" s="3">
        <f t="shared" si="90"/>
        <v>378.63782135542897</v>
      </c>
      <c r="DD170" s="3">
        <f t="shared" si="90"/>
        <v>3002.7879732202746</v>
      </c>
      <c r="DE170" s="3">
        <v>175.4306508210482</v>
      </c>
      <c r="DF170">
        <f t="shared" ref="DF170:DF184" si="91">DE170*0.8</f>
        <v>140.34452065683857</v>
      </c>
      <c r="DG170">
        <f t="shared" ref="DG170:DG184" si="92">DE170*1.2</f>
        <v>210.51678098525784</v>
      </c>
      <c r="DH170" s="14" t="e">
        <f>7000*POWER(#REF!,0.8)</f>
        <v>#REF!</v>
      </c>
      <c r="DI170" s="6">
        <f t="shared" si="86"/>
        <v>3.3830883319646139</v>
      </c>
      <c r="DJ170" s="6">
        <f t="shared" si="77"/>
        <v>1.8776645685883917</v>
      </c>
      <c r="DK170" s="8">
        <f t="shared" si="78"/>
        <v>5.6333899208562751E-5</v>
      </c>
      <c r="DL170" s="1">
        <f t="shared" si="79"/>
        <v>0.33166113100605504</v>
      </c>
      <c r="DM170">
        <f t="shared" si="80"/>
        <v>0</v>
      </c>
      <c r="DP170" s="14"/>
      <c r="DQ170" s="6">
        <f t="shared" si="84"/>
        <v>1.8793865686605722</v>
      </c>
      <c r="DS170" s="6" t="s">
        <v>462</v>
      </c>
    </row>
    <row r="171" spans="1:246" x14ac:dyDescent="0.35">
      <c r="A171">
        <v>0</v>
      </c>
      <c r="B171">
        <v>9</v>
      </c>
      <c r="C171">
        <v>10020</v>
      </c>
      <c r="D171" t="s">
        <v>419</v>
      </c>
      <c r="E171" t="s">
        <v>388</v>
      </c>
      <c r="F171" t="s">
        <v>385</v>
      </c>
      <c r="G171" t="s">
        <v>392</v>
      </c>
      <c r="H171">
        <v>20010912</v>
      </c>
      <c r="I171">
        <f>11*60</f>
        <v>660</v>
      </c>
      <c r="K171" s="5">
        <v>7.6388888888888886E-3</v>
      </c>
      <c r="L171" t="s">
        <v>389</v>
      </c>
      <c r="M171" t="s">
        <v>390</v>
      </c>
      <c r="Q171" t="s">
        <v>39</v>
      </c>
      <c r="Z171">
        <v>90</v>
      </c>
      <c r="AA171" s="3">
        <f t="shared" si="85"/>
        <v>10020</v>
      </c>
      <c r="AK171">
        <v>9120</v>
      </c>
      <c r="AL171">
        <v>10920</v>
      </c>
      <c r="AM171" s="6">
        <v>215.822</v>
      </c>
      <c r="AN171" s="6">
        <v>214.34299999999999</v>
      </c>
      <c r="AO171" s="6">
        <v>218.11699999999999</v>
      </c>
      <c r="AP171" s="19">
        <v>12.3848</v>
      </c>
      <c r="AQ171" s="6">
        <v>11.8848</v>
      </c>
      <c r="AR171" s="6">
        <v>12.8848</v>
      </c>
      <c r="AS171" s="7">
        <f t="shared" si="87"/>
        <v>359.20070400000003</v>
      </c>
      <c r="AT171" s="7">
        <v>196.43099999999998</v>
      </c>
      <c r="AU171" s="7">
        <v>181.452</v>
      </c>
      <c r="AV171" s="7">
        <v>212.566</v>
      </c>
      <c r="AW171">
        <v>1</v>
      </c>
      <c r="AX171" s="7">
        <v>47.3</v>
      </c>
      <c r="AY171" s="7">
        <v>36.950000000000003</v>
      </c>
      <c r="AZ171" s="7">
        <v>58.4</v>
      </c>
      <c r="BA171" s="6">
        <v>1.71</v>
      </c>
      <c r="BB171" s="6">
        <v>1.4000000000000001</v>
      </c>
      <c r="BC171" s="6">
        <v>1.81</v>
      </c>
      <c r="BD171" s="6">
        <v>2.1524000000000001</v>
      </c>
      <c r="BE171" s="6">
        <v>1.1260000000000001</v>
      </c>
      <c r="BF171" s="6">
        <v>2.1524000000000001</v>
      </c>
      <c r="BP171" s="3">
        <v>9074.9397231706262</v>
      </c>
      <c r="BQ171" s="3">
        <f t="shared" si="88"/>
        <v>6352.4578062194378</v>
      </c>
      <c r="BR171" s="3">
        <f t="shared" si="89"/>
        <v>11797.421640121815</v>
      </c>
      <c r="CF171" s="13"/>
      <c r="CG171" s="13"/>
      <c r="CH171" s="13"/>
      <c r="CO171">
        <v>28.245000000000001</v>
      </c>
      <c r="CP171">
        <v>10.83</v>
      </c>
      <c r="CQ171">
        <v>45.86</v>
      </c>
      <c r="CY171">
        <v>0.17299999999999999</v>
      </c>
      <c r="CZ171">
        <v>7.1999999999999995E-2</v>
      </c>
      <c r="DA171">
        <v>0.33500000000000002</v>
      </c>
      <c r="DB171" s="3">
        <f t="shared" si="90"/>
        <v>1569.9645721085183</v>
      </c>
      <c r="DC171" s="3">
        <f t="shared" si="90"/>
        <v>457.37696204779951</v>
      </c>
      <c r="DD171" s="3">
        <f t="shared" si="90"/>
        <v>3952.1362494408081</v>
      </c>
      <c r="DE171" s="3">
        <v>136.1240958475594</v>
      </c>
      <c r="DF171">
        <f t="shared" si="91"/>
        <v>108.89927667804753</v>
      </c>
      <c r="DG171">
        <f t="shared" si="92"/>
        <v>163.34891501707128</v>
      </c>
      <c r="DH171" s="14" t="e">
        <f>7000*POWER(#REF!,0.8)</f>
        <v>#REF!</v>
      </c>
      <c r="DI171" s="6">
        <f t="shared" si="86"/>
        <v>2.9014656329558441</v>
      </c>
      <c r="DJ171" s="6">
        <f t="shared" si="77"/>
        <v>1.5443527982826331</v>
      </c>
      <c r="DK171" s="8">
        <f t="shared" si="78"/>
        <v>4.879900859999694E-5</v>
      </c>
      <c r="DL171" s="1">
        <f t="shared" si="79"/>
        <v>0.31708222237766914</v>
      </c>
      <c r="DM171">
        <f t="shared" si="80"/>
        <v>0</v>
      </c>
      <c r="DP171" s="14"/>
      <c r="DQ171" s="6">
        <f t="shared" si="84"/>
        <v>1.5458163433488019</v>
      </c>
      <c r="DS171" s="6" t="s">
        <v>462</v>
      </c>
    </row>
    <row r="172" spans="1:246" x14ac:dyDescent="0.35">
      <c r="A172">
        <v>0</v>
      </c>
      <c r="B172">
        <v>9</v>
      </c>
      <c r="C172">
        <v>10020</v>
      </c>
      <c r="D172" t="s">
        <v>419</v>
      </c>
      <c r="E172" t="s">
        <v>388</v>
      </c>
      <c r="F172" t="s">
        <v>385</v>
      </c>
      <c r="G172" t="s">
        <v>392</v>
      </c>
      <c r="H172">
        <v>20010912</v>
      </c>
      <c r="I172">
        <f>11*60</f>
        <v>660</v>
      </c>
      <c r="K172" s="5">
        <v>7.6388888888888886E-3</v>
      </c>
      <c r="L172" t="s">
        <v>389</v>
      </c>
      <c r="M172" t="s">
        <v>390</v>
      </c>
      <c r="Q172" t="s">
        <v>40</v>
      </c>
      <c r="Z172">
        <v>90</v>
      </c>
      <c r="AA172" s="3">
        <f t="shared" si="85"/>
        <v>10020</v>
      </c>
      <c r="AK172">
        <v>9120</v>
      </c>
      <c r="AL172">
        <v>10920</v>
      </c>
      <c r="AM172" s="6">
        <v>215.95500000000001</v>
      </c>
      <c r="AN172" s="6">
        <v>214.53899999999999</v>
      </c>
      <c r="AO172" s="6">
        <v>218.411</v>
      </c>
      <c r="AP172" s="6">
        <v>12.3187</v>
      </c>
      <c r="AQ172" s="6">
        <v>11.818700000000002</v>
      </c>
      <c r="AR172" s="6">
        <v>12.818700000000002</v>
      </c>
      <c r="AS172" s="7">
        <f t="shared" si="87"/>
        <v>357.18597599999998</v>
      </c>
      <c r="AT172" s="7">
        <v>198.245</v>
      </c>
      <c r="AU172" s="7">
        <v>183.26700000000002</v>
      </c>
      <c r="AV172" s="7">
        <v>214.59799999999998</v>
      </c>
      <c r="AW172">
        <v>1</v>
      </c>
      <c r="AX172" s="7">
        <v>49.8</v>
      </c>
      <c r="AY172" s="7">
        <v>39.700000000000003</v>
      </c>
      <c r="AZ172" s="7">
        <v>61.370000000000005</v>
      </c>
      <c r="BA172" s="6">
        <v>1.72</v>
      </c>
      <c r="BB172" s="6">
        <v>1.38</v>
      </c>
      <c r="BC172" s="6">
        <v>1.81</v>
      </c>
      <c r="BD172" s="6">
        <v>2.1724000000000001</v>
      </c>
      <c r="BE172" s="6">
        <v>1.0345</v>
      </c>
      <c r="BF172" s="6">
        <v>2.1724000000000001</v>
      </c>
      <c r="BP172" s="3">
        <v>13428.524207272958</v>
      </c>
      <c r="BQ172" s="3">
        <f t="shared" si="88"/>
        <v>9399.9669450910696</v>
      </c>
      <c r="BR172" s="3">
        <f t="shared" si="89"/>
        <v>17457.081469454846</v>
      </c>
      <c r="CF172" s="13"/>
      <c r="CG172" s="13"/>
      <c r="CH172" s="13"/>
      <c r="CO172">
        <v>15.4</v>
      </c>
      <c r="CP172">
        <v>6.24</v>
      </c>
      <c r="CQ172">
        <v>42.744999999999997</v>
      </c>
      <c r="CY172">
        <v>9.6000000000000002E-2</v>
      </c>
      <c r="CZ172">
        <v>2.8000000000000001E-2</v>
      </c>
      <c r="DA172">
        <v>0.27500000000000002</v>
      </c>
      <c r="DB172" s="3">
        <f t="shared" si="90"/>
        <v>1289.1383238982039</v>
      </c>
      <c r="DC172" s="3">
        <f t="shared" si="90"/>
        <v>263.19907446254996</v>
      </c>
      <c r="DD172" s="3">
        <f t="shared" si="90"/>
        <v>4800.6974041000831</v>
      </c>
      <c r="DE172" s="3">
        <v>167.85655259091197</v>
      </c>
      <c r="DF172">
        <f t="shared" si="91"/>
        <v>134.28524207272957</v>
      </c>
      <c r="DG172">
        <f t="shared" si="92"/>
        <v>201.42786310909437</v>
      </c>
      <c r="DH172" s="14" t="e">
        <f>7000*POWER(#REF!,0.8)</f>
        <v>#REF!</v>
      </c>
      <c r="DI172" s="6">
        <f t="shared" si="86"/>
        <v>2.9414863064011234</v>
      </c>
      <c r="DJ172" s="6">
        <f t="shared" si="77"/>
        <v>1.5716813295660059</v>
      </c>
      <c r="DK172" s="8">
        <f t="shared" si="78"/>
        <v>4.9208118363098444E-5</v>
      </c>
      <c r="DL172" s="1">
        <f t="shared" si="79"/>
        <v>0.31981332716540228</v>
      </c>
      <c r="DM172">
        <f t="shared" si="80"/>
        <v>0</v>
      </c>
      <c r="DP172" s="14"/>
      <c r="DQ172" s="6">
        <f t="shared" si="84"/>
        <v>1.5731664981079474</v>
      </c>
      <c r="DS172" s="6" t="s">
        <v>462</v>
      </c>
    </row>
    <row r="173" spans="1:246" x14ac:dyDescent="0.35">
      <c r="A173">
        <v>0</v>
      </c>
      <c r="B173">
        <v>9</v>
      </c>
      <c r="C173">
        <v>7980</v>
      </c>
      <c r="D173" t="s">
        <v>419</v>
      </c>
      <c r="E173" t="s">
        <v>388</v>
      </c>
      <c r="F173" t="s">
        <v>386</v>
      </c>
      <c r="H173">
        <v>20010912</v>
      </c>
      <c r="I173">
        <f>(4*60*60)</f>
        <v>14400</v>
      </c>
      <c r="K173" s="5">
        <v>0.16666666666666666</v>
      </c>
      <c r="L173" t="s">
        <v>389</v>
      </c>
      <c r="M173" s="20" t="s">
        <v>391</v>
      </c>
      <c r="Q173" t="s">
        <v>38</v>
      </c>
      <c r="Z173">
        <v>90</v>
      </c>
      <c r="AA173" s="3">
        <f t="shared" si="85"/>
        <v>7980</v>
      </c>
      <c r="AK173">
        <v>7080</v>
      </c>
      <c r="AL173">
        <v>8880</v>
      </c>
      <c r="AM173" s="6">
        <v>215.93</v>
      </c>
      <c r="AN173" s="6">
        <v>214.40700000000001</v>
      </c>
      <c r="AO173" s="6">
        <v>218.84800000000001</v>
      </c>
      <c r="AP173" s="19">
        <v>12.192600000000001</v>
      </c>
      <c r="AQ173" s="6">
        <v>11.692600000000001</v>
      </c>
      <c r="AR173" s="6">
        <v>12.692600000000001</v>
      </c>
      <c r="AS173" s="7">
        <f t="shared" si="87"/>
        <v>353.34244800000005</v>
      </c>
      <c r="AT173" s="7">
        <v>202.84099999999998</v>
      </c>
      <c r="AU173" s="7">
        <v>187.69499999999999</v>
      </c>
      <c r="AV173" s="7">
        <v>219.62700000000001</v>
      </c>
      <c r="AW173">
        <v>1</v>
      </c>
      <c r="AX173" s="7">
        <v>59.209999999999994</v>
      </c>
      <c r="AY173" s="7">
        <v>47.63</v>
      </c>
      <c r="AZ173" s="7">
        <v>76.94</v>
      </c>
      <c r="BA173" s="6">
        <v>1.51</v>
      </c>
      <c r="BB173" s="6">
        <v>1.29</v>
      </c>
      <c r="BC173" s="6">
        <v>1.79</v>
      </c>
      <c r="BD173" s="6">
        <v>0.71084999999999998</v>
      </c>
      <c r="BE173" s="6">
        <v>0.17514000000000002</v>
      </c>
      <c r="BF173" s="6">
        <v>0.95830000000000004</v>
      </c>
      <c r="BP173" s="3">
        <v>7852.732633579496</v>
      </c>
      <c r="BQ173" s="3">
        <f t="shared" si="88"/>
        <v>5496.9128435056473</v>
      </c>
      <c r="BR173" s="3">
        <f t="shared" si="89"/>
        <v>10208.552423653346</v>
      </c>
      <c r="CF173" s="13"/>
      <c r="CG173" s="13"/>
      <c r="CH173" s="13"/>
      <c r="CO173">
        <v>26.67</v>
      </c>
      <c r="CP173">
        <v>9.83</v>
      </c>
      <c r="CQ173">
        <v>44.244999999999997</v>
      </c>
      <c r="CY173">
        <v>0.12</v>
      </c>
      <c r="CZ173">
        <v>5.1999999999999998E-2</v>
      </c>
      <c r="DA173">
        <v>0.36099999999999999</v>
      </c>
      <c r="DB173" s="3">
        <f t="shared" si="90"/>
        <v>942.32791602953944</v>
      </c>
      <c r="DC173" s="3">
        <f t="shared" si="90"/>
        <v>285.83946786229365</v>
      </c>
      <c r="DD173" s="3">
        <f t="shared" si="90"/>
        <v>3685.2874249388578</v>
      </c>
      <c r="DE173" s="3">
        <v>314.10930534317981</v>
      </c>
      <c r="DF173">
        <f t="shared" si="91"/>
        <v>251.28744427454387</v>
      </c>
      <c r="DG173">
        <f t="shared" si="92"/>
        <v>376.93116641181575</v>
      </c>
      <c r="DH173" s="14" t="e">
        <f>7000*POWER(#REF!,0.8)</f>
        <v>#REF!</v>
      </c>
      <c r="DI173" s="6">
        <f t="shared" si="86"/>
        <v>2.9339217227434227</v>
      </c>
      <c r="DJ173" s="6">
        <f t="shared" si="77"/>
        <v>1.5665103014099611</v>
      </c>
      <c r="DK173" s="8">
        <f t="shared" si="78"/>
        <v>4.793492138207674E-5</v>
      </c>
      <c r="DL173" s="1">
        <f t="shared" si="79"/>
        <v>0.32726558438645076</v>
      </c>
      <c r="DM173">
        <f t="shared" si="80"/>
        <v>0</v>
      </c>
      <c r="DP173" s="14"/>
      <c r="DQ173" s="6">
        <f t="shared" si="84"/>
        <v>1.5679913846556541</v>
      </c>
      <c r="DS173" s="6" t="s">
        <v>462</v>
      </c>
    </row>
    <row r="174" spans="1:246" x14ac:dyDescent="0.35">
      <c r="A174">
        <v>0</v>
      </c>
      <c r="B174">
        <v>9</v>
      </c>
      <c r="C174">
        <v>3600</v>
      </c>
      <c r="D174" t="s">
        <v>419</v>
      </c>
      <c r="E174" t="s">
        <v>388</v>
      </c>
      <c r="F174" t="s">
        <v>386</v>
      </c>
      <c r="H174">
        <v>20010912</v>
      </c>
      <c r="I174">
        <f>(4*60*60)</f>
        <v>14400</v>
      </c>
      <c r="K174" s="5">
        <v>0.16666666666666666</v>
      </c>
      <c r="L174" t="s">
        <v>389</v>
      </c>
      <c r="M174" s="20" t="s">
        <v>391</v>
      </c>
      <c r="Q174" t="s">
        <v>39</v>
      </c>
      <c r="Z174">
        <v>90</v>
      </c>
      <c r="AA174" s="3">
        <f t="shared" si="85"/>
        <v>3600</v>
      </c>
      <c r="AK174">
        <v>2700</v>
      </c>
      <c r="AL174">
        <v>4500</v>
      </c>
      <c r="AM174" s="6">
        <v>216.45599999999999</v>
      </c>
      <c r="AN174" s="6">
        <v>214.68299999999999</v>
      </c>
      <c r="AO174" s="6">
        <v>219.31700000000001</v>
      </c>
      <c r="AP174" s="6">
        <v>12.1092</v>
      </c>
      <c r="AQ174" s="6">
        <v>11.609200000000001</v>
      </c>
      <c r="AR174" s="6">
        <v>12.609200000000001</v>
      </c>
      <c r="AS174" s="7">
        <f t="shared" si="87"/>
        <v>350.80041599999998</v>
      </c>
      <c r="AT174" s="7">
        <v>205.55099999999999</v>
      </c>
      <c r="AU174" s="7">
        <v>190.12099999999998</v>
      </c>
      <c r="AV174" s="7">
        <v>222.33400000000003</v>
      </c>
      <c r="AW174">
        <v>1</v>
      </c>
      <c r="AX174" s="7">
        <v>67.710000000000008</v>
      </c>
      <c r="AY174" s="7">
        <v>51.61</v>
      </c>
      <c r="AZ174" s="7">
        <v>85.82</v>
      </c>
      <c r="BA174" s="6">
        <v>1.41</v>
      </c>
      <c r="BB174" s="6">
        <v>1.29</v>
      </c>
      <c r="BC174" s="6">
        <v>1.76</v>
      </c>
      <c r="BD174" s="6">
        <v>0.79989999999999994</v>
      </c>
      <c r="BE174" s="6">
        <v>0.38311000000000001</v>
      </c>
      <c r="BF174" s="6">
        <v>0.79989999999999994</v>
      </c>
      <c r="BP174" s="3">
        <v>2884.9493116474846</v>
      </c>
      <c r="BQ174" s="3">
        <f t="shared" si="88"/>
        <v>2019.4645181532392</v>
      </c>
      <c r="BR174" s="3">
        <f t="shared" si="89"/>
        <v>3750.43410514173</v>
      </c>
      <c r="CF174" s="13"/>
      <c r="CG174" s="13"/>
      <c r="CH174" s="13"/>
      <c r="CO174">
        <v>13.2</v>
      </c>
      <c r="CP174">
        <v>7.14</v>
      </c>
      <c r="CQ174">
        <v>37.545000000000002</v>
      </c>
      <c r="CY174">
        <v>8.5000000000000006E-2</v>
      </c>
      <c r="CZ174">
        <v>3.5000000000000003E-2</v>
      </c>
      <c r="DA174">
        <v>0.17</v>
      </c>
      <c r="DB174" s="3">
        <f t="shared" si="90"/>
        <v>245.22069149003622</v>
      </c>
      <c r="DC174" s="3">
        <f t="shared" si="90"/>
        <v>70.681258135363379</v>
      </c>
      <c r="DD174" s="3">
        <f t="shared" si="90"/>
        <v>637.57379787409411</v>
      </c>
      <c r="DE174" s="3">
        <v>288.49493116474844</v>
      </c>
      <c r="DF174">
        <f t="shared" si="91"/>
        <v>230.79594493179877</v>
      </c>
      <c r="DG174">
        <f t="shared" si="92"/>
        <v>346.1939173976981</v>
      </c>
      <c r="DH174" s="14" t="e">
        <f>7000*POWER(#REF!,0.8)</f>
        <v>#REF!</v>
      </c>
      <c r="DI174" s="6">
        <f t="shared" si="86"/>
        <v>3.0972604655829685</v>
      </c>
      <c r="DJ174" s="6">
        <f t="shared" si="77"/>
        <v>1.6787162976287053</v>
      </c>
      <c r="DK174" s="8">
        <f t="shared" si="78"/>
        <v>5.0691158880641417E-5</v>
      </c>
      <c r="DL174" s="1">
        <f t="shared" si="79"/>
        <v>0.33083202555289259</v>
      </c>
      <c r="DM174">
        <f t="shared" si="80"/>
        <v>0</v>
      </c>
      <c r="DP174" s="14"/>
      <c r="DQ174" s="6">
        <f t="shared" si="84"/>
        <v>1.6802853886569284</v>
      </c>
      <c r="DS174" s="6" t="s">
        <v>462</v>
      </c>
    </row>
    <row r="175" spans="1:246" x14ac:dyDescent="0.35">
      <c r="A175">
        <v>0</v>
      </c>
      <c r="B175">
        <v>9</v>
      </c>
      <c r="C175">
        <v>1620</v>
      </c>
      <c r="D175" t="s">
        <v>419</v>
      </c>
      <c r="E175" t="s">
        <v>388</v>
      </c>
      <c r="F175" t="s">
        <v>386</v>
      </c>
      <c r="H175">
        <v>20010912</v>
      </c>
      <c r="I175">
        <f>(4*60*60)</f>
        <v>14400</v>
      </c>
      <c r="K175" s="5">
        <v>0.16666666666666666</v>
      </c>
      <c r="L175" t="s">
        <v>389</v>
      </c>
      <c r="M175" s="20" t="s">
        <v>391</v>
      </c>
      <c r="Q175" t="s">
        <v>40</v>
      </c>
      <c r="Z175">
        <v>90</v>
      </c>
      <c r="AA175" s="3">
        <f t="shared" si="85"/>
        <v>1620</v>
      </c>
      <c r="AK175">
        <v>720</v>
      </c>
      <c r="AL175">
        <v>2520</v>
      </c>
      <c r="AM175" s="6">
        <v>218.55699999999999</v>
      </c>
      <c r="AN175" s="6">
        <v>215.78899999999999</v>
      </c>
      <c r="AO175" s="6">
        <v>221.82599999999999</v>
      </c>
      <c r="AP175" s="19">
        <v>11.789099999999999</v>
      </c>
      <c r="AQ175" s="6">
        <v>11.289100000000001</v>
      </c>
      <c r="AR175" s="6">
        <v>12.289100000000001</v>
      </c>
      <c r="AS175" s="7">
        <f t="shared" si="87"/>
        <v>341.043768</v>
      </c>
      <c r="AT175" s="7">
        <v>216.97900000000001</v>
      </c>
      <c r="AU175" s="7">
        <v>200.358</v>
      </c>
      <c r="AV175" s="7">
        <v>234.31400000000002</v>
      </c>
      <c r="AW175">
        <v>1</v>
      </c>
      <c r="AX175" s="7">
        <v>100.54</v>
      </c>
      <c r="AY175" s="7">
        <v>72.430000000000007</v>
      </c>
      <c r="AZ175" s="7">
        <v>105.97000000000001</v>
      </c>
      <c r="BA175" s="6">
        <v>1.31</v>
      </c>
      <c r="BB175" s="6">
        <v>0.93196000000000012</v>
      </c>
      <c r="BC175" s="6">
        <v>1.6400000000000001</v>
      </c>
      <c r="BD175" s="6">
        <v>1.4916</v>
      </c>
      <c r="BE175" s="6">
        <v>0.85224</v>
      </c>
      <c r="BF175" s="6">
        <v>1.4916</v>
      </c>
      <c r="BP175" s="3">
        <v>2146.6294120717398</v>
      </c>
      <c r="BQ175" s="3">
        <f t="shared" si="88"/>
        <v>1502.6405884502178</v>
      </c>
      <c r="BR175" s="3">
        <f t="shared" si="89"/>
        <v>2790.6182356932618</v>
      </c>
      <c r="CF175" s="13"/>
      <c r="CG175" s="13"/>
      <c r="CH175" s="13"/>
      <c r="CO175">
        <v>9.44</v>
      </c>
      <c r="CP175">
        <v>5.84</v>
      </c>
      <c r="CQ175">
        <v>20.97</v>
      </c>
      <c r="CY175">
        <v>8.1000000000000003E-2</v>
      </c>
      <c r="CZ175">
        <v>4.5999999999999999E-2</v>
      </c>
      <c r="DA175">
        <v>0.13200000000000001</v>
      </c>
      <c r="DB175" s="3">
        <f t="shared" si="90"/>
        <v>173.87698237781092</v>
      </c>
      <c r="DC175" s="3">
        <f t="shared" si="90"/>
        <v>69.121467068710018</v>
      </c>
      <c r="DD175" s="3">
        <f t="shared" si="90"/>
        <v>368.36160711151058</v>
      </c>
      <c r="DE175" s="3">
        <v>279.06182356932618</v>
      </c>
      <c r="DF175">
        <f t="shared" si="91"/>
        <v>223.24945885546094</v>
      </c>
      <c r="DG175">
        <f t="shared" si="92"/>
        <v>334.87418828319142</v>
      </c>
      <c r="DH175" s="14" t="e">
        <f>7000*POWER(#REF!,0.8)</f>
        <v>#REF!</v>
      </c>
      <c r="DI175" s="6">
        <f t="shared" si="86"/>
        <v>3.8455667833980756</v>
      </c>
      <c r="DJ175" s="6">
        <f t="shared" si="77"/>
        <v>2.2057151639581702</v>
      </c>
      <c r="DK175" s="8">
        <f t="shared" si="78"/>
        <v>6.309663997556265E-5</v>
      </c>
      <c r="DL175" s="1">
        <f t="shared" si="79"/>
        <v>0.3458681422578414</v>
      </c>
      <c r="DM175">
        <f t="shared" si="80"/>
        <v>0</v>
      </c>
      <c r="DP175" s="14"/>
      <c r="DQ175" s="6">
        <f t="shared" si="84"/>
        <v>2.2076813378945888</v>
      </c>
      <c r="DS175" s="6" t="s">
        <v>462</v>
      </c>
    </row>
    <row r="176" spans="1:246" x14ac:dyDescent="0.35">
      <c r="A176">
        <v>0</v>
      </c>
      <c r="B176">
        <v>9</v>
      </c>
      <c r="C176">
        <v>10260</v>
      </c>
      <c r="D176" t="s">
        <v>419</v>
      </c>
      <c r="E176" t="s">
        <v>388</v>
      </c>
      <c r="F176" t="s">
        <v>386</v>
      </c>
      <c r="H176">
        <v>20010912</v>
      </c>
      <c r="I176">
        <f>16*3600</f>
        <v>57600</v>
      </c>
      <c r="K176" s="5">
        <v>0.66666666666666663</v>
      </c>
      <c r="L176" t="s">
        <v>389</v>
      </c>
      <c r="M176" s="20" t="s">
        <v>391</v>
      </c>
      <c r="Q176" t="s">
        <v>38</v>
      </c>
      <c r="Z176">
        <v>90</v>
      </c>
      <c r="AA176" s="3">
        <f t="shared" si="85"/>
        <v>10260</v>
      </c>
      <c r="AK176">
        <v>8460</v>
      </c>
      <c r="AL176">
        <v>12060</v>
      </c>
      <c r="AM176" s="6">
        <v>213.23099999999999</v>
      </c>
      <c r="AN176" s="6">
        <v>212.03700000000001</v>
      </c>
      <c r="AO176" s="6">
        <v>213.83799999999999</v>
      </c>
      <c r="AP176" s="19">
        <v>13.6622</v>
      </c>
      <c r="AQ176" s="6">
        <v>13.1622</v>
      </c>
      <c r="AR176" s="6">
        <v>14.1622</v>
      </c>
      <c r="AS176" s="7">
        <f t="shared" si="87"/>
        <v>398.13585600000005</v>
      </c>
      <c r="AT176" s="7">
        <v>159.785</v>
      </c>
      <c r="AU176" s="7">
        <v>147.511</v>
      </c>
      <c r="AV176" s="7">
        <v>172.965</v>
      </c>
      <c r="AW176">
        <v>1</v>
      </c>
      <c r="AX176" s="7">
        <v>11.81</v>
      </c>
      <c r="AY176" s="7">
        <v>9.6</v>
      </c>
      <c r="AZ176" s="7">
        <v>13.38</v>
      </c>
      <c r="BA176" s="6">
        <v>2.02</v>
      </c>
      <c r="BB176" s="6">
        <v>1.68</v>
      </c>
      <c r="BC176" s="6">
        <v>2.02</v>
      </c>
      <c r="BD176" s="6">
        <v>1.2867999999999999</v>
      </c>
      <c r="BE176" s="6">
        <v>1.2867999999999999</v>
      </c>
      <c r="BF176" s="6">
        <v>1.4384000000000001</v>
      </c>
      <c r="BP176" s="3">
        <v>18377.909148037721</v>
      </c>
      <c r="BQ176" s="3">
        <f t="shared" si="88"/>
        <v>12864.536403626404</v>
      </c>
      <c r="BR176" s="3">
        <f t="shared" si="89"/>
        <v>23891.281892449038</v>
      </c>
      <c r="CF176" s="13"/>
      <c r="CG176" s="13"/>
      <c r="CH176" s="13"/>
      <c r="CO176">
        <v>23.87</v>
      </c>
      <c r="CP176">
        <v>8.94</v>
      </c>
      <c r="CQ176">
        <v>43.244999999999997</v>
      </c>
      <c r="CY176">
        <v>0.113</v>
      </c>
      <c r="CZ176">
        <v>4.7E-2</v>
      </c>
      <c r="DA176">
        <v>0.251</v>
      </c>
      <c r="DB176" s="3">
        <f t="shared" si="90"/>
        <v>2076.7037337282627</v>
      </c>
      <c r="DC176" s="3">
        <f t="shared" si="90"/>
        <v>604.63321097044093</v>
      </c>
      <c r="DD176" s="3">
        <f t="shared" si="90"/>
        <v>5996.7117550047087</v>
      </c>
      <c r="DE176" s="3">
        <v>289.45206908159412</v>
      </c>
      <c r="DF176">
        <f t="shared" si="91"/>
        <v>231.56165526527531</v>
      </c>
      <c r="DG176">
        <f t="shared" si="92"/>
        <v>347.34248289791293</v>
      </c>
      <c r="DH176" s="14" t="e">
        <f>7000*POWER(#REF!,0.8)</f>
        <v>#REF!</v>
      </c>
      <c r="DI176" s="6">
        <f t="shared" si="86"/>
        <v>2.2218562607642394</v>
      </c>
      <c r="DJ176" s="6">
        <f t="shared" si="77"/>
        <v>1.0925894628693762</v>
      </c>
      <c r="DK176" s="8">
        <f t="shared" si="78"/>
        <v>4.2441967453353312E-5</v>
      </c>
      <c r="DL176" s="1">
        <f t="shared" si="79"/>
        <v>0.26106174822875816</v>
      </c>
      <c r="DM176">
        <f t="shared" si="80"/>
        <v>0</v>
      </c>
      <c r="DP176" s="14"/>
      <c r="DQ176" s="6">
        <f t="shared" si="84"/>
        <v>1.0936826319121353</v>
      </c>
      <c r="DS176" s="6" t="s">
        <v>462</v>
      </c>
    </row>
    <row r="177" spans="1:246" x14ac:dyDescent="0.35">
      <c r="A177">
        <v>0</v>
      </c>
      <c r="B177">
        <v>9</v>
      </c>
      <c r="C177">
        <v>17100</v>
      </c>
      <c r="D177" t="s">
        <v>419</v>
      </c>
      <c r="E177" t="s">
        <v>388</v>
      </c>
      <c r="F177" t="s">
        <v>386</v>
      </c>
      <c r="H177">
        <v>20010912</v>
      </c>
      <c r="I177">
        <f>16*3600</f>
        <v>57600</v>
      </c>
      <c r="K177" s="5">
        <v>0.66666666666666663</v>
      </c>
      <c r="L177" t="s">
        <v>389</v>
      </c>
      <c r="M177" s="20" t="s">
        <v>391</v>
      </c>
      <c r="Q177" t="s">
        <v>39</v>
      </c>
      <c r="Z177">
        <v>90</v>
      </c>
      <c r="AA177" s="3">
        <f t="shared" si="85"/>
        <v>17100</v>
      </c>
      <c r="AK177">
        <v>15300</v>
      </c>
      <c r="AL177">
        <v>18900</v>
      </c>
      <c r="AM177" s="6">
        <v>213.50899999999999</v>
      </c>
      <c r="AN177" s="6">
        <v>212.72900000000001</v>
      </c>
      <c r="AO177" s="6">
        <v>214.12899999999999</v>
      </c>
      <c r="AP177" s="6">
        <v>13.3093</v>
      </c>
      <c r="AQ177" s="6">
        <v>12.8093</v>
      </c>
      <c r="AR177" s="6">
        <v>13.8093</v>
      </c>
      <c r="AS177" s="7">
        <f t="shared" si="87"/>
        <v>387.37946400000004</v>
      </c>
      <c r="AT177" s="7">
        <v>168.958</v>
      </c>
      <c r="AU177" s="7">
        <v>155.78799999999998</v>
      </c>
      <c r="AV177" s="7">
        <v>182.91499999999999</v>
      </c>
      <c r="AW177">
        <v>1</v>
      </c>
      <c r="AX177" s="7">
        <v>17.18</v>
      </c>
      <c r="AY177" s="7">
        <v>13.089999999999998</v>
      </c>
      <c r="AZ177" s="7">
        <v>23.05</v>
      </c>
      <c r="BA177" s="6">
        <v>1.91</v>
      </c>
      <c r="BB177" s="6">
        <v>1.91</v>
      </c>
      <c r="BC177" s="6">
        <v>2.0500000000000003</v>
      </c>
      <c r="BD177" s="6">
        <v>0.82567000000000002</v>
      </c>
      <c r="BE177" s="6">
        <v>0.62662000000000007</v>
      </c>
      <c r="BF177" s="6">
        <v>0.84455999999999998</v>
      </c>
      <c r="BP177" s="3">
        <v>9905.7770489218328</v>
      </c>
      <c r="BQ177" s="3">
        <f t="shared" si="88"/>
        <v>6934.0439342452828</v>
      </c>
      <c r="BR177" s="3">
        <f t="shared" si="89"/>
        <v>12877.510163598383</v>
      </c>
      <c r="CF177" s="13"/>
      <c r="CG177" s="13"/>
      <c r="CH177" s="13"/>
      <c r="CO177">
        <v>17.3</v>
      </c>
      <c r="CP177">
        <v>8.94</v>
      </c>
      <c r="CQ177">
        <v>41.445</v>
      </c>
      <c r="CY177">
        <v>8.1000000000000003E-2</v>
      </c>
      <c r="CZ177">
        <v>3.9E-2</v>
      </c>
      <c r="DA177">
        <v>0.18099999999999999</v>
      </c>
      <c r="DB177" s="3">
        <f t="shared" si="90"/>
        <v>802.36794096266851</v>
      </c>
      <c r="DC177" s="3">
        <f t="shared" si="90"/>
        <v>270.42771343556603</v>
      </c>
      <c r="DD177" s="3">
        <f t="shared" si="90"/>
        <v>2330.8293396113072</v>
      </c>
      <c r="DE177" s="3">
        <v>169.81332083865999</v>
      </c>
      <c r="DF177">
        <f t="shared" si="91"/>
        <v>135.850656670928</v>
      </c>
      <c r="DG177">
        <f t="shared" si="92"/>
        <v>203.77598500639198</v>
      </c>
      <c r="DH177" s="14" t="e">
        <f>7000*POWER(#REF!,0.8)</f>
        <v>#REF!</v>
      </c>
      <c r="DI177" s="6">
        <f t="shared" si="86"/>
        <v>2.286396505941132</v>
      </c>
      <c r="DJ177" s="6">
        <f t="shared" si="77"/>
        <v>1.1343723968364325</v>
      </c>
      <c r="DK177" s="8">
        <f t="shared" si="78"/>
        <v>4.1672676749814151E-5</v>
      </c>
      <c r="DL177" s="1">
        <f t="shared" si="79"/>
        <v>0.27568945331194228</v>
      </c>
      <c r="DM177">
        <f t="shared" si="80"/>
        <v>0</v>
      </c>
      <c r="DP177" s="14"/>
      <c r="DQ177" s="6">
        <f t="shared" si="84"/>
        <v>1.1355009406328758</v>
      </c>
      <c r="DS177" s="6" t="s">
        <v>462</v>
      </c>
    </row>
    <row r="178" spans="1:246" x14ac:dyDescent="0.35">
      <c r="A178">
        <v>0</v>
      </c>
      <c r="B178">
        <v>9</v>
      </c>
      <c r="C178">
        <v>6180</v>
      </c>
      <c r="D178" t="s">
        <v>419</v>
      </c>
      <c r="E178" t="s">
        <v>388</v>
      </c>
      <c r="F178" t="s">
        <v>386</v>
      </c>
      <c r="H178">
        <v>20010912</v>
      </c>
      <c r="I178">
        <f>16*3600</f>
        <v>57600</v>
      </c>
      <c r="K178" s="5">
        <v>0.66666666666666696</v>
      </c>
      <c r="L178" t="s">
        <v>389</v>
      </c>
      <c r="M178" s="20" t="s">
        <v>391</v>
      </c>
      <c r="Q178" t="s">
        <v>40</v>
      </c>
      <c r="Z178">
        <v>90</v>
      </c>
      <c r="AA178" s="3">
        <f t="shared" si="85"/>
        <v>6180</v>
      </c>
      <c r="AK178">
        <v>5280</v>
      </c>
      <c r="AL178">
        <v>7080</v>
      </c>
      <c r="AM178" s="6">
        <v>212.42699999999999</v>
      </c>
      <c r="AN178" s="6">
        <v>210.869</v>
      </c>
      <c r="AO178" s="6">
        <v>213.357</v>
      </c>
      <c r="AP178" s="19">
        <v>13.938499999999999</v>
      </c>
      <c r="AQ178" s="6">
        <v>13.438499999999999</v>
      </c>
      <c r="AR178" s="6">
        <v>14.438499999999999</v>
      </c>
      <c r="AS178" s="7">
        <f t="shared" si="87"/>
        <v>406.55748</v>
      </c>
      <c r="AT178" s="7">
        <v>152.739</v>
      </c>
      <c r="AU178" s="7">
        <v>141.185</v>
      </c>
      <c r="AV178" s="7">
        <v>165.76700000000002</v>
      </c>
      <c r="AW178">
        <v>1</v>
      </c>
      <c r="AX178" s="7">
        <v>9.16</v>
      </c>
      <c r="AY178" s="7">
        <v>8.25</v>
      </c>
      <c r="AZ178" s="7">
        <v>11.360000000000001</v>
      </c>
      <c r="BA178" s="6">
        <v>1.76</v>
      </c>
      <c r="BB178" s="6">
        <v>1.76</v>
      </c>
      <c r="BC178" s="6">
        <v>1.92</v>
      </c>
      <c r="BD178" s="6">
        <v>0.72721999999999998</v>
      </c>
      <c r="BE178" s="6">
        <v>0.25988</v>
      </c>
      <c r="BF178" s="6">
        <v>0.95577000000000001</v>
      </c>
      <c r="CF178" s="13"/>
      <c r="CG178" s="13"/>
      <c r="CH178" s="13"/>
      <c r="CO178">
        <v>15.6</v>
      </c>
      <c r="CP178">
        <v>7.19</v>
      </c>
      <c r="CQ178">
        <v>41.244999999999997</v>
      </c>
      <c r="CY178">
        <v>8.3000000000000004E-2</v>
      </c>
      <c r="CZ178">
        <v>0.04</v>
      </c>
      <c r="DA178">
        <v>0.23400000000000001</v>
      </c>
      <c r="DE178" s="3">
        <v>136.22476038911623</v>
      </c>
      <c r="DF178">
        <f t="shared" si="91"/>
        <v>108.97980831129298</v>
      </c>
      <c r="DG178">
        <f t="shared" si="92"/>
        <v>163.46971246693946</v>
      </c>
      <c r="DH178" s="14" t="e">
        <f>7000*POWER(#REF!,0.8)</f>
        <v>#REF!</v>
      </c>
      <c r="DI178" s="6">
        <f t="shared" si="86"/>
        <v>2.0452724336283157</v>
      </c>
      <c r="DJ178" s="6">
        <f t="shared" si="77"/>
        <v>0.97967414266683162</v>
      </c>
      <c r="DK178" s="8">
        <f t="shared" si="78"/>
        <v>3.9811286298404847E-5</v>
      </c>
      <c r="DL178" s="1">
        <f t="shared" si="79"/>
        <v>0.25049427564122639</v>
      </c>
      <c r="DM178">
        <f t="shared" si="80"/>
        <v>0</v>
      </c>
      <c r="DP178" s="14"/>
      <c r="DQ178" s="6">
        <f t="shared" si="84"/>
        <v>0.98067041439599656</v>
      </c>
      <c r="DS178" s="6" t="s">
        <v>462</v>
      </c>
    </row>
    <row r="179" spans="1:246" x14ac:dyDescent="0.35">
      <c r="A179">
        <v>0</v>
      </c>
      <c r="B179">
        <v>9</v>
      </c>
      <c r="C179">
        <v>2340</v>
      </c>
      <c r="D179" t="s">
        <v>419</v>
      </c>
      <c r="E179" t="s">
        <v>388</v>
      </c>
      <c r="F179" t="s">
        <v>386</v>
      </c>
      <c r="H179">
        <v>20010912</v>
      </c>
      <c r="I179">
        <f>16*3600</f>
        <v>57600</v>
      </c>
      <c r="K179" s="5">
        <v>0.66666666666666696</v>
      </c>
      <c r="L179" t="s">
        <v>389</v>
      </c>
      <c r="M179" s="20" t="s">
        <v>391</v>
      </c>
      <c r="Q179" t="s">
        <v>41</v>
      </c>
      <c r="Z179">
        <v>90</v>
      </c>
      <c r="AA179" s="3">
        <f t="shared" si="85"/>
        <v>2340</v>
      </c>
      <c r="AK179">
        <v>1800</v>
      </c>
      <c r="AL179">
        <v>2880</v>
      </c>
      <c r="AM179" s="6">
        <v>213.43700000000001</v>
      </c>
      <c r="AN179" s="6">
        <v>212.63800000000001</v>
      </c>
      <c r="AO179" s="6">
        <v>213.898</v>
      </c>
      <c r="AP179" s="6">
        <v>13.5061</v>
      </c>
      <c r="AQ179" s="6">
        <v>13.0061</v>
      </c>
      <c r="AR179" s="6">
        <v>14.0061</v>
      </c>
      <c r="AS179" s="7">
        <f t="shared" si="87"/>
        <v>393.377928</v>
      </c>
      <c r="AT179" s="7">
        <v>163.559</v>
      </c>
      <c r="AU179" s="7">
        <v>150.80600000000001</v>
      </c>
      <c r="AV179" s="7">
        <v>176.755</v>
      </c>
      <c r="AW179">
        <v>1</v>
      </c>
      <c r="AX179" s="7">
        <v>13.569999999999999</v>
      </c>
      <c r="AY179" s="7">
        <v>10.39</v>
      </c>
      <c r="AZ179" s="7">
        <v>15.02</v>
      </c>
      <c r="BA179" s="6">
        <v>2.02</v>
      </c>
      <c r="BB179" s="6">
        <v>1.6099999999999999</v>
      </c>
      <c r="BC179" s="6">
        <v>2.04</v>
      </c>
      <c r="BD179" s="6">
        <v>1.3557000000000001</v>
      </c>
      <c r="BE179" s="6">
        <v>7.4071999999999999E-2</v>
      </c>
      <c r="BF179" s="6">
        <v>1.9581</v>
      </c>
      <c r="BP179" s="3">
        <v>3093.2731675737746</v>
      </c>
      <c r="BQ179" s="3">
        <f t="shared" ref="BQ179:BQ184" si="93">BP179*0.7</f>
        <v>2165.2912173016421</v>
      </c>
      <c r="BR179" s="3">
        <f t="shared" ref="BR179:BR184" si="94">BP179*1.3</f>
        <v>4021.2551178459071</v>
      </c>
      <c r="CF179" s="13"/>
      <c r="CG179" s="13"/>
      <c r="CH179" s="13"/>
      <c r="CO179">
        <v>10.83</v>
      </c>
      <c r="CP179">
        <v>7.24</v>
      </c>
      <c r="CQ179">
        <v>36.344999999999999</v>
      </c>
      <c r="CY179">
        <v>5.6000000000000001E-2</v>
      </c>
      <c r="CZ179">
        <v>2.7E-2</v>
      </c>
      <c r="DA179">
        <v>0.124</v>
      </c>
      <c r="DB179" s="3">
        <f t="shared" ref="DB179:DD184" si="95">BP179*CY179</f>
        <v>173.22329738413137</v>
      </c>
      <c r="DC179" s="3">
        <f t="shared" si="95"/>
        <v>58.462862867144338</v>
      </c>
      <c r="DD179" s="3">
        <f t="shared" si="95"/>
        <v>498.63563461289249</v>
      </c>
      <c r="DE179" s="3">
        <v>278.39458508163972</v>
      </c>
      <c r="DF179">
        <f t="shared" si="91"/>
        <v>222.71566806531177</v>
      </c>
      <c r="DG179">
        <f t="shared" si="92"/>
        <v>334.07350209796766</v>
      </c>
      <c r="DH179" s="14" t="e">
        <f>7000*POWER(#REF!,0.8)</f>
        <v>#REF!</v>
      </c>
      <c r="DI179" s="6">
        <f t="shared" si="86"/>
        <v>2.2695033068582249</v>
      </c>
      <c r="DJ179" s="6">
        <f t="shared" si="77"/>
        <v>1.1234104586998248</v>
      </c>
      <c r="DK179" s="8">
        <f t="shared" si="78"/>
        <v>4.2632276440151716E-5</v>
      </c>
      <c r="DL179" s="1">
        <f t="shared" si="79"/>
        <v>0.26696991134465908</v>
      </c>
      <c r="DM179">
        <f t="shared" si="80"/>
        <v>0</v>
      </c>
      <c r="DP179" s="14"/>
      <c r="DQ179" s="6">
        <f t="shared" si="84"/>
        <v>1.1245297459956065</v>
      </c>
      <c r="DS179" s="6" t="s">
        <v>462</v>
      </c>
    </row>
    <row r="180" spans="1:246" x14ac:dyDescent="0.35">
      <c r="A180">
        <v>0</v>
      </c>
      <c r="B180">
        <v>9</v>
      </c>
      <c r="C180">
        <v>1080</v>
      </c>
      <c r="D180" t="s">
        <v>419</v>
      </c>
      <c r="E180" t="s">
        <v>388</v>
      </c>
      <c r="F180" t="s">
        <v>386</v>
      </c>
      <c r="H180">
        <v>20010912</v>
      </c>
      <c r="I180">
        <f>16*3600</f>
        <v>57600</v>
      </c>
      <c r="K180" s="5">
        <v>0.66666666666666696</v>
      </c>
      <c r="L180" t="s">
        <v>389</v>
      </c>
      <c r="M180" s="20" t="s">
        <v>391</v>
      </c>
      <c r="Q180" t="s">
        <v>42</v>
      </c>
      <c r="Z180">
        <v>90</v>
      </c>
      <c r="AA180" s="3">
        <f t="shared" si="85"/>
        <v>1080</v>
      </c>
      <c r="AK180">
        <v>720</v>
      </c>
      <c r="AL180">
        <v>1440</v>
      </c>
      <c r="AM180" s="6">
        <v>213.61600000000001</v>
      </c>
      <c r="AN180" s="6">
        <v>212.89099999999999</v>
      </c>
      <c r="AO180" s="6">
        <v>214.23500000000001</v>
      </c>
      <c r="AP180" s="19">
        <v>13.4168</v>
      </c>
      <c r="AQ180" s="6">
        <v>12.9168</v>
      </c>
      <c r="AR180" s="6">
        <v>13.9168</v>
      </c>
      <c r="AS180" s="7">
        <f t="shared" si="87"/>
        <v>390.65606400000001</v>
      </c>
      <c r="AT180" s="7">
        <v>165.85300000000001</v>
      </c>
      <c r="AU180" s="7">
        <v>152.82500000000002</v>
      </c>
      <c r="AV180" s="7">
        <v>179.33599999999998</v>
      </c>
      <c r="AW180">
        <v>1</v>
      </c>
      <c r="AX180" s="7">
        <v>14.57</v>
      </c>
      <c r="AY180" s="7">
        <v>10.93</v>
      </c>
      <c r="AZ180" s="7">
        <v>17.190000000000001</v>
      </c>
      <c r="BA180" s="6">
        <v>1.97</v>
      </c>
      <c r="BB180" s="6">
        <v>1.79</v>
      </c>
      <c r="BC180" s="6">
        <v>2.0500000000000003</v>
      </c>
      <c r="BD180" s="6">
        <v>0.96816000000000002</v>
      </c>
      <c r="BE180" s="6">
        <v>0.96816000000000002</v>
      </c>
      <c r="BF180" s="6">
        <v>1.2647999999999999</v>
      </c>
      <c r="BP180" s="3">
        <v>2240.869346037312</v>
      </c>
      <c r="BQ180" s="3">
        <f t="shared" si="93"/>
        <v>1568.6085422261183</v>
      </c>
      <c r="BR180" s="3">
        <f t="shared" si="94"/>
        <v>2913.1301498485059</v>
      </c>
      <c r="CF180" s="13"/>
      <c r="CG180" s="13"/>
      <c r="CH180" s="13"/>
      <c r="CO180">
        <v>4.82</v>
      </c>
      <c r="CP180">
        <v>2.82</v>
      </c>
      <c r="CQ180">
        <v>7.79</v>
      </c>
      <c r="CY180">
        <v>7.0000000000000007E-2</v>
      </c>
      <c r="CZ180">
        <v>6.0000000000000001E-3</v>
      </c>
      <c r="DA180">
        <v>0.11</v>
      </c>
      <c r="DB180" s="3">
        <f t="shared" si="95"/>
        <v>156.86085422261186</v>
      </c>
      <c r="DC180" s="3">
        <f t="shared" si="95"/>
        <v>9.4116512533567107</v>
      </c>
      <c r="DD180" s="3">
        <f t="shared" si="95"/>
        <v>320.44431648333563</v>
      </c>
      <c r="DE180" s="3">
        <v>29.878257947164162</v>
      </c>
      <c r="DF180">
        <f t="shared" si="91"/>
        <v>23.902606357731329</v>
      </c>
      <c r="DG180">
        <f t="shared" si="92"/>
        <v>35.853909536596994</v>
      </c>
      <c r="DH180" s="14" t="e">
        <f>7000*POWER(#REF!,0.8)</f>
        <v>#REF!</v>
      </c>
      <c r="DI180" s="6">
        <f t="shared" si="86"/>
        <v>2.3117342490014257</v>
      </c>
      <c r="DJ180" s="6">
        <f t="shared" si="77"/>
        <v>1.1508471498851691</v>
      </c>
      <c r="DK180" s="8">
        <f t="shared" si="78"/>
        <v>4.3069400048137863E-5</v>
      </c>
      <c r="DL180" s="1">
        <f t="shared" si="79"/>
        <v>0.27048745748421799</v>
      </c>
      <c r="DM180">
        <f t="shared" si="80"/>
        <v>0</v>
      </c>
      <c r="DP180" s="14"/>
      <c r="DQ180" s="6">
        <f t="shared" si="84"/>
        <v>1.1519895733766694</v>
      </c>
      <c r="DS180" s="6" t="s">
        <v>462</v>
      </c>
    </row>
    <row r="181" spans="1:246" x14ac:dyDescent="0.35">
      <c r="A181">
        <v>0</v>
      </c>
      <c r="B181">
        <v>9</v>
      </c>
      <c r="C181">
        <v>11586</v>
      </c>
      <c r="D181" t="s">
        <v>419</v>
      </c>
      <c r="E181" t="s">
        <v>388</v>
      </c>
      <c r="F181" t="s">
        <v>385</v>
      </c>
      <c r="H181">
        <v>20010912</v>
      </c>
      <c r="I181">
        <f>12*3600+28*60</f>
        <v>44880</v>
      </c>
      <c r="K181" s="5">
        <v>0.51944444444444449</v>
      </c>
      <c r="L181" t="s">
        <v>389</v>
      </c>
      <c r="M181" t="s">
        <v>390</v>
      </c>
      <c r="Q181" t="s">
        <v>38</v>
      </c>
      <c r="Z181">
        <v>90</v>
      </c>
      <c r="AA181" s="3">
        <f t="shared" si="85"/>
        <v>11586</v>
      </c>
      <c r="AK181">
        <v>9780</v>
      </c>
      <c r="AL181">
        <v>13392</v>
      </c>
      <c r="AM181" s="6">
        <v>215.45599999999999</v>
      </c>
      <c r="AN181" s="6">
        <v>214.59899999999999</v>
      </c>
      <c r="AO181" s="6">
        <v>217.42400000000001</v>
      </c>
      <c r="AP181" s="6">
        <v>12.337300000000001</v>
      </c>
      <c r="AQ181" s="6">
        <v>11.837299999999999</v>
      </c>
      <c r="AR181" s="6">
        <v>12.837299999999999</v>
      </c>
      <c r="AS181" s="7">
        <f t="shared" si="87"/>
        <v>357.75290400000006</v>
      </c>
      <c r="AT181" s="7">
        <v>196.86</v>
      </c>
      <c r="AU181" s="7">
        <v>181.851</v>
      </c>
      <c r="AV181" s="7">
        <v>213.072</v>
      </c>
      <c r="AW181">
        <v>1</v>
      </c>
      <c r="AX181" s="7">
        <v>44.48</v>
      </c>
      <c r="AY181" s="7">
        <v>34.21</v>
      </c>
      <c r="AZ181" s="7">
        <v>56.389999999999993</v>
      </c>
      <c r="BA181" s="6">
        <v>1.87</v>
      </c>
      <c r="BB181" s="6">
        <v>1.46</v>
      </c>
      <c r="BC181" s="6">
        <v>1.96</v>
      </c>
      <c r="BD181" s="6">
        <v>2.3762000000000003</v>
      </c>
      <c r="BE181" s="6">
        <v>0.44129000000000002</v>
      </c>
      <c r="BF181" s="6">
        <v>2.3762000000000003</v>
      </c>
      <c r="BP181" s="3">
        <v>4870.1724212338959</v>
      </c>
      <c r="BQ181" s="3">
        <f t="shared" si="93"/>
        <v>3409.1206948637268</v>
      </c>
      <c r="BR181" s="3">
        <f t="shared" si="94"/>
        <v>6331.2241476040645</v>
      </c>
      <c r="CF181" s="13"/>
      <c r="CG181" s="13"/>
      <c r="CH181" s="13"/>
      <c r="CO181">
        <v>30.344999999999999</v>
      </c>
      <c r="CP181">
        <v>10.130000000000001</v>
      </c>
      <c r="CQ181">
        <v>46.26</v>
      </c>
      <c r="CY181">
        <v>0.26400000000000001</v>
      </c>
      <c r="CZ181">
        <v>6.8000000000000005E-2</v>
      </c>
      <c r="DA181">
        <v>0.45200000000000001</v>
      </c>
      <c r="DB181" s="3">
        <f t="shared" si="95"/>
        <v>1285.7255192057485</v>
      </c>
      <c r="DC181" s="3">
        <f t="shared" si="95"/>
        <v>231.82020725073343</v>
      </c>
      <c r="DD181" s="3">
        <f t="shared" si="95"/>
        <v>2861.7133147170371</v>
      </c>
      <c r="DE181" s="3">
        <v>97.403448424677904</v>
      </c>
      <c r="DF181">
        <f t="shared" si="91"/>
        <v>77.922758739742335</v>
      </c>
      <c r="DG181">
        <f t="shared" si="92"/>
        <v>116.88413810961347</v>
      </c>
      <c r="DH181" s="14" t="e">
        <f>7000*POWER(#REF!,0.8)</f>
        <v>#REF!</v>
      </c>
      <c r="DI181" s="6">
        <f t="shared" si="86"/>
        <v>2.7941222099003165</v>
      </c>
      <c r="DJ181" s="6">
        <f t="shared" si="77"/>
        <v>1.4714128958726216</v>
      </c>
      <c r="DK181" s="8">
        <f t="shared" si="78"/>
        <v>4.6392906784284283E-5</v>
      </c>
      <c r="DL181" s="1">
        <f t="shared" si="79"/>
        <v>0.31831453252512087</v>
      </c>
      <c r="DM181">
        <f t="shared" si="80"/>
        <v>0</v>
      </c>
      <c r="DP181" s="14"/>
      <c r="DQ181" s="6">
        <f t="shared" si="84"/>
        <v>1.472818322909502</v>
      </c>
      <c r="DS181" s="6" t="s">
        <v>462</v>
      </c>
    </row>
    <row r="182" spans="1:246" x14ac:dyDescent="0.35">
      <c r="A182">
        <v>0</v>
      </c>
      <c r="B182">
        <v>9</v>
      </c>
      <c r="C182">
        <v>3480</v>
      </c>
      <c r="D182" t="s">
        <v>419</v>
      </c>
      <c r="E182" t="s">
        <v>388</v>
      </c>
      <c r="F182" t="s">
        <v>385</v>
      </c>
      <c r="H182">
        <v>20010912</v>
      </c>
      <c r="I182">
        <f>12*3600+28*60</f>
        <v>44880</v>
      </c>
      <c r="K182" s="5">
        <v>0.51944444444444449</v>
      </c>
      <c r="L182" t="s">
        <v>389</v>
      </c>
      <c r="M182" t="s">
        <v>390</v>
      </c>
      <c r="Q182" t="s">
        <v>39</v>
      </c>
      <c r="Z182">
        <v>90</v>
      </c>
      <c r="AA182" s="3">
        <f t="shared" si="85"/>
        <v>3480</v>
      </c>
      <c r="AK182">
        <v>2580</v>
      </c>
      <c r="AL182">
        <v>4380</v>
      </c>
      <c r="AM182" s="6">
        <v>215.18700000000001</v>
      </c>
      <c r="AN182" s="6">
        <v>213.91300000000001</v>
      </c>
      <c r="AO182" s="6">
        <v>218.227</v>
      </c>
      <c r="AP182" s="19">
        <v>12.0983</v>
      </c>
      <c r="AQ182" s="6">
        <v>11.5983</v>
      </c>
      <c r="AR182" s="6">
        <v>12.5983</v>
      </c>
      <c r="AS182" s="7">
        <f t="shared" si="87"/>
        <v>350.46818400000001</v>
      </c>
      <c r="AT182" s="7">
        <v>204.446</v>
      </c>
      <c r="AU182" s="7">
        <v>189.048</v>
      </c>
      <c r="AV182" s="7">
        <v>221.238</v>
      </c>
      <c r="AW182">
        <v>1</v>
      </c>
      <c r="AX182" s="7">
        <v>79.41</v>
      </c>
      <c r="AY182" s="7">
        <v>59.29</v>
      </c>
      <c r="AZ182" s="7">
        <v>89.78</v>
      </c>
      <c r="BA182" s="6">
        <v>1.35</v>
      </c>
      <c r="BB182" s="6">
        <v>1.23</v>
      </c>
      <c r="BC182" s="6">
        <v>1.9300000000000002</v>
      </c>
      <c r="BD182" s="6">
        <v>0.68667</v>
      </c>
      <c r="BE182" s="6">
        <v>0.35732999999999998</v>
      </c>
      <c r="BF182" s="6">
        <v>0.71723999999999999</v>
      </c>
      <c r="BP182" s="3">
        <v>3100.0286060199619</v>
      </c>
      <c r="BQ182" s="3">
        <f t="shared" si="93"/>
        <v>2170.0200242139731</v>
      </c>
      <c r="BR182" s="3">
        <f t="shared" si="94"/>
        <v>4030.0371878259507</v>
      </c>
      <c r="CF182" s="13"/>
      <c r="CG182" s="13"/>
      <c r="CH182" s="13"/>
      <c r="CO182">
        <v>10.029999999999999</v>
      </c>
      <c r="CP182">
        <v>7.19</v>
      </c>
      <c r="CQ182">
        <v>20.77</v>
      </c>
      <c r="CY182">
        <v>0.127</v>
      </c>
      <c r="CZ182">
        <v>5.6000000000000001E-2</v>
      </c>
      <c r="DA182">
        <v>0.193</v>
      </c>
      <c r="DB182" s="3">
        <f t="shared" si="95"/>
        <v>393.70363296453519</v>
      </c>
      <c r="DC182" s="3">
        <f t="shared" si="95"/>
        <v>121.5211213559825</v>
      </c>
      <c r="DD182" s="3">
        <f t="shared" si="95"/>
        <v>777.79717725040848</v>
      </c>
      <c r="DE182" s="3">
        <v>279.00257454179655</v>
      </c>
      <c r="DF182">
        <f t="shared" si="91"/>
        <v>223.20205963343724</v>
      </c>
      <c r="DG182">
        <f t="shared" si="92"/>
        <v>334.80308945015582</v>
      </c>
      <c r="DH182" s="14" t="e">
        <f>7000*POWER(#REF!,0.8)</f>
        <v>#REF!</v>
      </c>
      <c r="DI182" s="6">
        <f t="shared" si="86"/>
        <v>2.7177681217402907</v>
      </c>
      <c r="DJ182" s="6">
        <f t="shared" si="77"/>
        <v>1.4198618529696903</v>
      </c>
      <c r="DK182" s="8">
        <f t="shared" si="78"/>
        <v>4.3106422425101087E-5</v>
      </c>
      <c r="DL182" s="1">
        <f t="shared" si="79"/>
        <v>0.33099403381691722</v>
      </c>
      <c r="DM182">
        <f t="shared" si="80"/>
        <v>0</v>
      </c>
      <c r="DP182" s="14"/>
      <c r="DQ182" s="6">
        <f t="shared" si="84"/>
        <v>1.4212258391920118</v>
      </c>
      <c r="DS182" s="6" t="s">
        <v>462</v>
      </c>
    </row>
    <row r="183" spans="1:246" x14ac:dyDescent="0.35">
      <c r="A183">
        <v>0</v>
      </c>
      <c r="B183">
        <v>9</v>
      </c>
      <c r="C183">
        <v>4260</v>
      </c>
      <c r="D183" t="s">
        <v>419</v>
      </c>
      <c r="E183" t="s">
        <v>388</v>
      </c>
      <c r="F183" t="s">
        <v>385</v>
      </c>
      <c r="H183">
        <v>20010912</v>
      </c>
      <c r="I183">
        <f>12*3600+28*60</f>
        <v>44880</v>
      </c>
      <c r="K183" s="5">
        <v>0.51944444444444449</v>
      </c>
      <c r="L183" t="s">
        <v>389</v>
      </c>
      <c r="M183" t="s">
        <v>390</v>
      </c>
      <c r="Q183" t="s">
        <v>40</v>
      </c>
      <c r="Z183">
        <v>90</v>
      </c>
      <c r="AA183" s="3">
        <f t="shared" si="85"/>
        <v>4260</v>
      </c>
      <c r="AK183">
        <v>3360</v>
      </c>
      <c r="AL183">
        <v>5160</v>
      </c>
      <c r="AM183" s="6">
        <v>214.32599999999999</v>
      </c>
      <c r="AN183" s="6">
        <v>213.33</v>
      </c>
      <c r="AO183" s="6">
        <v>215.74600000000001</v>
      </c>
      <c r="AP183" s="6">
        <v>12.614000000000001</v>
      </c>
      <c r="AQ183" s="6">
        <v>12.114000000000001</v>
      </c>
      <c r="AR183" s="6">
        <v>13.114000000000001</v>
      </c>
      <c r="AS183" s="7">
        <f t="shared" si="87"/>
        <v>366.18672000000004</v>
      </c>
      <c r="AT183" s="7">
        <v>189.232</v>
      </c>
      <c r="AU183" s="7">
        <v>174.5</v>
      </c>
      <c r="AV183" s="7">
        <v>204.62200000000001</v>
      </c>
      <c r="AW183">
        <v>1</v>
      </c>
      <c r="AX183" s="7">
        <v>43.7</v>
      </c>
      <c r="AY183" s="7">
        <v>28.810000000000002</v>
      </c>
      <c r="AZ183" s="7">
        <v>51.54</v>
      </c>
      <c r="BA183" s="6">
        <v>1.8800000000000001</v>
      </c>
      <c r="BB183" s="6">
        <v>1.4200000000000002</v>
      </c>
      <c r="BC183" s="6">
        <v>1.8800000000000001</v>
      </c>
      <c r="BD183" s="6">
        <v>0.27395000000000003</v>
      </c>
      <c r="BE183" s="6">
        <v>0.27395000000000003</v>
      </c>
      <c r="BF183" s="6">
        <v>1.1605999999999999</v>
      </c>
      <c r="BP183" s="3">
        <v>3379.4509626719196</v>
      </c>
      <c r="BQ183" s="3">
        <f t="shared" si="93"/>
        <v>2365.6156738703435</v>
      </c>
      <c r="BR183" s="3">
        <f t="shared" si="94"/>
        <v>4393.2862514734952</v>
      </c>
      <c r="CF183" s="13"/>
      <c r="CG183" s="13"/>
      <c r="CH183" s="13"/>
      <c r="CO183">
        <v>18.670000000000002</v>
      </c>
      <c r="CP183">
        <v>7.79</v>
      </c>
      <c r="CQ183">
        <v>40.844999999999999</v>
      </c>
      <c r="CY183">
        <v>0.16500000000000001</v>
      </c>
      <c r="CZ183">
        <v>7.0000000000000007E-2</v>
      </c>
      <c r="DA183">
        <v>0.29699999999999999</v>
      </c>
      <c r="DB183" s="3">
        <f t="shared" si="95"/>
        <v>557.60940884086676</v>
      </c>
      <c r="DC183" s="3">
        <f t="shared" si="95"/>
        <v>165.59309717092407</v>
      </c>
      <c r="DD183" s="3">
        <f t="shared" si="95"/>
        <v>1304.806016687628</v>
      </c>
      <c r="DE183" s="3">
        <v>405.53411552063034</v>
      </c>
      <c r="DF183">
        <f t="shared" si="91"/>
        <v>324.42729241650432</v>
      </c>
      <c r="DG183">
        <f t="shared" si="92"/>
        <v>486.64093862475636</v>
      </c>
      <c r="DH183" s="14" t="e">
        <f>7000*POWER(#REF!,0.8)</f>
        <v>#REF!</v>
      </c>
      <c r="DI183" s="6">
        <f t="shared" si="86"/>
        <v>2.4871264303030376</v>
      </c>
      <c r="DJ183" s="6">
        <f t="shared" si="77"/>
        <v>1.2659366865165231</v>
      </c>
      <c r="DK183" s="8">
        <f t="shared" si="78"/>
        <v>4.1523305013108184E-5</v>
      </c>
      <c r="DL183" s="1">
        <f t="shared" si="79"/>
        <v>0.30759360309752665</v>
      </c>
      <c r="DM183">
        <f t="shared" si="80"/>
        <v>0</v>
      </c>
      <c r="DP183" s="14"/>
      <c r="DQ183" s="6">
        <f t="shared" si="84"/>
        <v>1.2671750359379572</v>
      </c>
      <c r="DS183" s="6" t="s">
        <v>462</v>
      </c>
    </row>
    <row r="184" spans="1:246" x14ac:dyDescent="0.35">
      <c r="A184">
        <v>0</v>
      </c>
      <c r="B184">
        <v>9</v>
      </c>
      <c r="C184">
        <v>9240</v>
      </c>
      <c r="D184" t="s">
        <v>419</v>
      </c>
      <c r="E184" t="s">
        <v>388</v>
      </c>
      <c r="F184" t="s">
        <v>387</v>
      </c>
      <c r="H184">
        <v>20010912</v>
      </c>
      <c r="I184">
        <f>11*3600+4*60</f>
        <v>39840</v>
      </c>
      <c r="K184" s="5">
        <v>0.46111111111111108</v>
      </c>
      <c r="L184" t="s">
        <v>389</v>
      </c>
      <c r="M184" t="s">
        <v>390</v>
      </c>
      <c r="Q184" t="s">
        <v>38</v>
      </c>
      <c r="Z184">
        <v>90</v>
      </c>
      <c r="AA184" s="3">
        <f t="shared" si="85"/>
        <v>9240</v>
      </c>
      <c r="AK184">
        <v>8340</v>
      </c>
      <c r="AL184">
        <v>10140</v>
      </c>
      <c r="AM184" s="6">
        <v>215.24700000000001</v>
      </c>
      <c r="AN184" s="6">
        <v>214.36799999999999</v>
      </c>
      <c r="AO184" s="6">
        <v>218.178</v>
      </c>
      <c r="AP184" s="19">
        <v>12.1168</v>
      </c>
      <c r="AQ184" s="6">
        <v>11.6168</v>
      </c>
      <c r="AR184" s="6">
        <v>12.6168</v>
      </c>
      <c r="AS184" s="7">
        <f t="shared" si="87"/>
        <v>351.03206399999999</v>
      </c>
      <c r="AT184" s="7">
        <v>203.255</v>
      </c>
      <c r="AU184" s="7">
        <v>188.05599999999998</v>
      </c>
      <c r="AV184" s="7">
        <v>220.10500000000002</v>
      </c>
      <c r="AW184">
        <v>1</v>
      </c>
      <c r="AX184" s="7">
        <v>61.260000000000005</v>
      </c>
      <c r="AY184" s="7">
        <v>46.54</v>
      </c>
      <c r="AZ184" s="7">
        <v>82.03</v>
      </c>
      <c r="BA184" s="6">
        <v>1.55</v>
      </c>
      <c r="BB184" s="6">
        <v>1.28</v>
      </c>
      <c r="BC184" s="6">
        <v>1.97</v>
      </c>
      <c r="BD184" s="6">
        <v>0.44431999999999999</v>
      </c>
      <c r="BE184" s="6">
        <v>0.15076000000000001</v>
      </c>
      <c r="BF184" s="6">
        <v>1.5012999999999999</v>
      </c>
      <c r="BP184" s="3">
        <v>4961.1156421935202</v>
      </c>
      <c r="BQ184" s="3">
        <f t="shared" si="93"/>
        <v>3472.7809495354641</v>
      </c>
      <c r="BR184" s="3">
        <f t="shared" si="94"/>
        <v>6449.4503348515764</v>
      </c>
      <c r="CF184" s="13"/>
      <c r="CG184" s="13"/>
      <c r="CH184" s="13"/>
      <c r="CO184">
        <v>22.27</v>
      </c>
      <c r="CP184">
        <v>6.49</v>
      </c>
      <c r="CQ184">
        <v>44.744999999999997</v>
      </c>
      <c r="CY184">
        <v>0.19700000000000001</v>
      </c>
      <c r="CZ184">
        <v>5.6000000000000001E-2</v>
      </c>
      <c r="DA184">
        <v>0.48</v>
      </c>
      <c r="DB184" s="3">
        <f t="shared" si="95"/>
        <v>977.33978151212352</v>
      </c>
      <c r="DC184" s="3">
        <f t="shared" si="95"/>
        <v>194.47573317398599</v>
      </c>
      <c r="DD184" s="3">
        <f t="shared" si="95"/>
        <v>3095.7361607287567</v>
      </c>
      <c r="DE184" s="3">
        <v>620.13945527419003</v>
      </c>
      <c r="DF184">
        <f t="shared" si="91"/>
        <v>496.11156421935203</v>
      </c>
      <c r="DG184">
        <f t="shared" si="92"/>
        <v>744.16734632902796</v>
      </c>
      <c r="DH184" s="14" t="e">
        <f>7000*POWER(#REF!,0.8)</f>
        <v>#REF!</v>
      </c>
      <c r="DI184" s="6">
        <f t="shared" si="86"/>
        <v>2.7346159348536667</v>
      </c>
      <c r="DJ184" s="6">
        <f t="shared" si="77"/>
        <v>1.4312124268654758</v>
      </c>
      <c r="DK184" s="8">
        <f t="shared" si="78"/>
        <v>4.3705628285139636E-5</v>
      </c>
      <c r="DL184" s="1">
        <f t="shared" si="79"/>
        <v>0.32897410140813621</v>
      </c>
      <c r="DM184">
        <f t="shared" si="80"/>
        <v>0</v>
      </c>
      <c r="DP184" s="14"/>
      <c r="DQ184" s="6">
        <f t="shared" si="84"/>
        <v>1.4325855641020482</v>
      </c>
      <c r="DS184" s="6" t="s">
        <v>462</v>
      </c>
    </row>
    <row r="185" spans="1:246" x14ac:dyDescent="0.35">
      <c r="A185">
        <v>8</v>
      </c>
      <c r="B185">
        <v>0</v>
      </c>
      <c r="C185" s="3">
        <v>870</v>
      </c>
      <c r="D185" t="s">
        <v>103</v>
      </c>
      <c r="E185" t="s">
        <v>149</v>
      </c>
      <c r="F185" t="s">
        <v>313</v>
      </c>
      <c r="G185" t="s">
        <v>102</v>
      </c>
      <c r="H185">
        <v>20020713</v>
      </c>
      <c r="I185">
        <v>70640</v>
      </c>
      <c r="K185">
        <v>1937</v>
      </c>
      <c r="L185" t="s">
        <v>228</v>
      </c>
      <c r="M185" t="s">
        <v>104</v>
      </c>
      <c r="N185">
        <v>0.5</v>
      </c>
      <c r="O185">
        <v>50</v>
      </c>
      <c r="Q185" t="s">
        <v>102</v>
      </c>
      <c r="R185" t="s">
        <v>314</v>
      </c>
      <c r="S185">
        <v>2</v>
      </c>
      <c r="T185">
        <v>1</v>
      </c>
      <c r="U185">
        <v>37.299999999999997</v>
      </c>
      <c r="V185">
        <v>24.3</v>
      </c>
      <c r="W185">
        <v>0.96</v>
      </c>
      <c r="X185">
        <v>0.2</v>
      </c>
      <c r="Y185">
        <v>197</v>
      </c>
      <c r="AA185" s="3">
        <f t="shared" si="85"/>
        <v>870</v>
      </c>
      <c r="AK185">
        <v>858</v>
      </c>
      <c r="AL185">
        <v>882</v>
      </c>
      <c r="AM185" s="6">
        <v>196.56899999999999</v>
      </c>
      <c r="AN185" s="6">
        <v>196.4</v>
      </c>
      <c r="AO185" s="6">
        <v>196.7</v>
      </c>
      <c r="AP185" s="6">
        <v>14.76</v>
      </c>
      <c r="AS185" s="7">
        <v>492</v>
      </c>
      <c r="AT185" s="7">
        <v>125.82299999999999</v>
      </c>
      <c r="AU185" s="7">
        <v>125</v>
      </c>
      <c r="AV185" s="7">
        <v>127</v>
      </c>
      <c r="AW185">
        <v>1</v>
      </c>
      <c r="AX185" s="7">
        <v>120</v>
      </c>
      <c r="AY185" s="7">
        <v>100</v>
      </c>
      <c r="AZ185" s="7">
        <v>170</v>
      </c>
      <c r="BA185" s="6">
        <v>1.2</v>
      </c>
      <c r="BB185">
        <v>1</v>
      </c>
      <c r="BC185">
        <v>1.5</v>
      </c>
      <c r="BD185" s="6">
        <v>20</v>
      </c>
      <c r="BV185">
        <v>193</v>
      </c>
      <c r="BW185">
        <v>151</v>
      </c>
      <c r="BX185">
        <v>235</v>
      </c>
      <c r="BY185">
        <f t="shared" ref="BY185:BY193" si="96">(4*3.141592*917/3)*CL185*CL185*CL185*0.000000000000000001*BV185*1000000000000</f>
        <v>0.2229664769641771</v>
      </c>
      <c r="BZ185">
        <v>0.23</v>
      </c>
      <c r="CA185">
        <v>0.18</v>
      </c>
      <c r="CB185">
        <v>0.34</v>
      </c>
      <c r="CF185" s="13"/>
      <c r="CG185" s="13"/>
      <c r="CH185" s="13"/>
      <c r="CL185">
        <v>0.67</v>
      </c>
      <c r="CM185">
        <v>0.68</v>
      </c>
      <c r="CN185">
        <v>0.75</v>
      </c>
      <c r="CO185">
        <v>0.96</v>
      </c>
      <c r="CP185">
        <v>0.83</v>
      </c>
      <c r="CQ185">
        <v>1</v>
      </c>
      <c r="CX185" t="s">
        <v>54</v>
      </c>
      <c r="DH185" s="14">
        <f t="shared" ref="DH185:DH193" si="97">7000*POWER(AA185,0.8)</f>
        <v>1572944.655465618</v>
      </c>
      <c r="DI185" s="6">
        <f t="shared" si="86"/>
        <v>0.39937957440767646</v>
      </c>
      <c r="DJ185" s="6">
        <f t="shared" si="77"/>
        <v>9.5094721279781996E-2</v>
      </c>
      <c r="DK185" s="8">
        <f t="shared" si="78"/>
        <v>4.6910588493252183E-6</v>
      </c>
      <c r="DL185" s="1">
        <f t="shared" si="79"/>
        <v>0.22299883089721903</v>
      </c>
      <c r="DM185">
        <f t="shared" si="80"/>
        <v>1.0313955417372024E-6</v>
      </c>
      <c r="DN185">
        <f t="shared" ref="DN185:DN193" si="98">DM185/DK185</f>
        <v>0.21986412340266479</v>
      </c>
      <c r="DO185">
        <f t="shared" ref="DO185:DO193" si="99">1.24*29*AT185*100/(DH185*18*DJ185)</f>
        <v>0.16804955309054057</v>
      </c>
      <c r="DP185" s="14">
        <f t="shared" ref="DP185:DP193" si="100">(BV185*1000000/DL185)*DH185</f>
        <v>1361344888147797.8</v>
      </c>
      <c r="DQ185" s="6">
        <f t="shared" si="84"/>
        <v>9.5227473058353065E-2</v>
      </c>
      <c r="DS185" s="6" t="s">
        <v>462</v>
      </c>
      <c r="EI185" s="2" t="s">
        <v>285</v>
      </c>
      <c r="IL185" s="15"/>
    </row>
    <row r="186" spans="1:246" x14ac:dyDescent="0.35">
      <c r="A186">
        <v>8</v>
      </c>
      <c r="B186">
        <v>0</v>
      </c>
      <c r="C186">
        <v>2185</v>
      </c>
      <c r="D186" t="s">
        <v>103</v>
      </c>
      <c r="E186" t="s">
        <v>149</v>
      </c>
      <c r="F186" t="s">
        <v>313</v>
      </c>
      <c r="G186" t="s">
        <v>102</v>
      </c>
      <c r="H186">
        <v>20020713</v>
      </c>
      <c r="I186">
        <v>71298</v>
      </c>
      <c r="K186">
        <v>1952</v>
      </c>
      <c r="L186" t="s">
        <v>228</v>
      </c>
      <c r="M186" t="s">
        <v>104</v>
      </c>
      <c r="N186">
        <v>0.5</v>
      </c>
      <c r="O186">
        <v>50</v>
      </c>
      <c r="Q186" t="s">
        <v>102</v>
      </c>
      <c r="R186" t="s">
        <v>314</v>
      </c>
      <c r="S186">
        <v>2</v>
      </c>
      <c r="T186">
        <v>1</v>
      </c>
      <c r="U186">
        <v>37.299999999999997</v>
      </c>
      <c r="V186">
        <v>24.3</v>
      </c>
      <c r="W186">
        <v>0.96</v>
      </c>
      <c r="X186">
        <v>0.2</v>
      </c>
      <c r="Y186">
        <v>197</v>
      </c>
      <c r="AA186" s="3">
        <f t="shared" si="85"/>
        <v>2185</v>
      </c>
      <c r="AK186">
        <v>2157</v>
      </c>
      <c r="AL186">
        <v>2214</v>
      </c>
      <c r="AM186" s="6">
        <v>195.33</v>
      </c>
      <c r="AN186" s="6">
        <v>195</v>
      </c>
      <c r="AO186" s="6">
        <v>195.7</v>
      </c>
      <c r="AP186" s="6">
        <v>15</v>
      </c>
      <c r="AT186" s="7">
        <v>119.68</v>
      </c>
      <c r="AU186" s="7">
        <v>118</v>
      </c>
      <c r="AV186" s="7">
        <v>122</v>
      </c>
      <c r="AW186">
        <v>1</v>
      </c>
      <c r="AX186" s="7">
        <v>120</v>
      </c>
      <c r="AY186" s="7">
        <v>100</v>
      </c>
      <c r="AZ186" s="7">
        <v>180</v>
      </c>
      <c r="BA186" s="6">
        <v>1.3</v>
      </c>
      <c r="BB186">
        <v>1.1000000000000001</v>
      </c>
      <c r="BC186">
        <v>1.6</v>
      </c>
      <c r="BD186" s="6">
        <v>20</v>
      </c>
      <c r="BV186">
        <v>90</v>
      </c>
      <c r="BW186">
        <v>35</v>
      </c>
      <c r="BX186">
        <v>122</v>
      </c>
      <c r="BY186">
        <f t="shared" si="96"/>
        <v>0.17699880124416004</v>
      </c>
      <c r="BZ186">
        <v>0.18</v>
      </c>
      <c r="CA186">
        <v>0.15</v>
      </c>
      <c r="CB186">
        <v>0.23</v>
      </c>
      <c r="CF186" s="13"/>
      <c r="CG186" s="13"/>
      <c r="CH186" s="13"/>
      <c r="CL186">
        <v>0.8</v>
      </c>
      <c r="CM186">
        <v>0.8</v>
      </c>
      <c r="CN186">
        <v>1.25</v>
      </c>
      <c r="CO186">
        <v>2</v>
      </c>
      <c r="CP186">
        <v>1.9</v>
      </c>
      <c r="CQ186">
        <v>2.1</v>
      </c>
      <c r="CX186" t="s">
        <v>54</v>
      </c>
      <c r="DH186" s="14">
        <f t="shared" si="97"/>
        <v>3285936.7006890541</v>
      </c>
      <c r="DI186" s="6">
        <f t="shared" si="86"/>
        <v>0.35153007834444422</v>
      </c>
      <c r="DJ186" s="6">
        <f t="shared" si="77"/>
        <v>7.8010850140207047E-2</v>
      </c>
      <c r="DK186" s="8">
        <f t="shared" si="78"/>
        <v>4.0458328603970557E-6</v>
      </c>
      <c r="DL186" s="1">
        <f t="shared" si="79"/>
        <v>0.21345690547643092</v>
      </c>
      <c r="DM186">
        <f t="shared" si="80"/>
        <v>8.4326154545454561E-7</v>
      </c>
      <c r="DN186">
        <f t="shared" si="98"/>
        <v>0.20842718286978085</v>
      </c>
      <c r="DO186">
        <f t="shared" si="99"/>
        <v>9.3272701297687943E-2</v>
      </c>
      <c r="DP186" s="14">
        <f t="shared" si="100"/>
        <v>1385452030244431.3</v>
      </c>
      <c r="DQ186" s="6">
        <f t="shared" si="84"/>
        <v>7.8122877188593176E-2</v>
      </c>
      <c r="DS186" s="6">
        <v>-20.09</v>
      </c>
      <c r="EI186" s="2" t="s">
        <v>323</v>
      </c>
      <c r="IL186" s="15"/>
    </row>
    <row r="187" spans="1:246" x14ac:dyDescent="0.35">
      <c r="A187">
        <v>8</v>
      </c>
      <c r="B187">
        <v>0</v>
      </c>
      <c r="C187">
        <v>780</v>
      </c>
      <c r="D187" t="s">
        <v>103</v>
      </c>
      <c r="E187" t="s">
        <v>202</v>
      </c>
      <c r="F187" t="s">
        <v>313</v>
      </c>
      <c r="G187" t="s">
        <v>102</v>
      </c>
      <c r="H187">
        <v>20020713</v>
      </c>
      <c r="I187">
        <v>70353</v>
      </c>
      <c r="K187">
        <v>1937</v>
      </c>
      <c r="L187" t="s">
        <v>228</v>
      </c>
      <c r="M187" t="s">
        <v>104</v>
      </c>
      <c r="N187">
        <v>0.5</v>
      </c>
      <c r="O187">
        <v>50</v>
      </c>
      <c r="Q187" t="s">
        <v>102</v>
      </c>
      <c r="R187" t="s">
        <v>314</v>
      </c>
      <c r="S187">
        <v>2</v>
      </c>
      <c r="T187">
        <v>1</v>
      </c>
      <c r="U187">
        <v>37.299999999999997</v>
      </c>
      <c r="V187">
        <v>24.3</v>
      </c>
      <c r="W187">
        <v>0.96</v>
      </c>
      <c r="X187">
        <v>0.2</v>
      </c>
      <c r="Y187">
        <v>197</v>
      </c>
      <c r="AA187" s="3">
        <f t="shared" si="85"/>
        <v>780</v>
      </c>
      <c r="AK187">
        <v>858</v>
      </c>
      <c r="AL187">
        <v>882</v>
      </c>
      <c r="AM187" s="6">
        <v>196.56899999999999</v>
      </c>
      <c r="AN187" s="6">
        <v>196.4</v>
      </c>
      <c r="AO187" s="6">
        <v>196.7</v>
      </c>
      <c r="AP187" s="6">
        <v>14.76</v>
      </c>
      <c r="AT187" s="7">
        <v>125.82299999999999</v>
      </c>
      <c r="AU187" s="7">
        <v>125</v>
      </c>
      <c r="AV187" s="7">
        <v>127</v>
      </c>
      <c r="AW187">
        <v>1</v>
      </c>
      <c r="AX187" s="7">
        <v>120</v>
      </c>
      <c r="AY187" s="7">
        <v>100</v>
      </c>
      <c r="AZ187" s="7">
        <v>170</v>
      </c>
      <c r="BA187" s="6">
        <v>1.2</v>
      </c>
      <c r="BB187">
        <v>1</v>
      </c>
      <c r="BC187">
        <v>1.5</v>
      </c>
      <c r="BD187" s="6">
        <v>20</v>
      </c>
      <c r="BM187">
        <v>150</v>
      </c>
      <c r="BN187">
        <v>20</v>
      </c>
      <c r="BO187">
        <v>150</v>
      </c>
      <c r="BP187" s="3">
        <v>200</v>
      </c>
      <c r="BQ187" s="3">
        <v>150</v>
      </c>
      <c r="BR187" s="3">
        <v>300</v>
      </c>
      <c r="BV187">
        <v>150</v>
      </c>
      <c r="BW187">
        <v>151</v>
      </c>
      <c r="BX187">
        <v>235</v>
      </c>
      <c r="BY187">
        <f t="shared" si="96"/>
        <v>0.19762561467039999</v>
      </c>
      <c r="BZ187">
        <v>0.7</v>
      </c>
      <c r="CA187">
        <v>0.5</v>
      </c>
      <c r="CB187">
        <v>0.9</v>
      </c>
      <c r="CC187">
        <v>1.2599999999999998E-2</v>
      </c>
      <c r="CF187" s="13">
        <v>2880000000000</v>
      </c>
      <c r="CG187" s="13"/>
      <c r="CH187" s="13"/>
      <c r="CI187">
        <v>1.5</v>
      </c>
      <c r="CJ187">
        <v>1.5</v>
      </c>
      <c r="CK187">
        <v>1.8</v>
      </c>
      <c r="CL187">
        <v>0.7</v>
      </c>
      <c r="CM187">
        <v>0.8</v>
      </c>
      <c r="CN187">
        <v>1.2</v>
      </c>
      <c r="CO187">
        <v>0.7</v>
      </c>
      <c r="CP187">
        <v>0.7</v>
      </c>
      <c r="CQ187">
        <v>0.83</v>
      </c>
      <c r="CU187">
        <v>8</v>
      </c>
      <c r="CX187" t="s">
        <v>54</v>
      </c>
      <c r="CY187">
        <v>0.2</v>
      </c>
      <c r="CZ187">
        <v>0.03</v>
      </c>
      <c r="DB187" s="3">
        <v>40</v>
      </c>
      <c r="DC187" s="3">
        <v>6</v>
      </c>
      <c r="DH187" s="14">
        <f t="shared" si="97"/>
        <v>1441364.1705736679</v>
      </c>
      <c r="DI187" s="6">
        <f t="shared" si="86"/>
        <v>0.39937957440767646</v>
      </c>
      <c r="DJ187" s="6">
        <f t="shared" si="77"/>
        <v>9.5094721279781996E-2</v>
      </c>
      <c r="DK187" s="8">
        <f t="shared" si="78"/>
        <v>4.6910588493252183E-6</v>
      </c>
      <c r="DL187" s="1">
        <f t="shared" si="79"/>
        <v>0.22299883089721903</v>
      </c>
      <c r="DM187">
        <f t="shared" si="80"/>
        <v>3.1390299096349637E-6</v>
      </c>
      <c r="DN187">
        <f t="shared" si="98"/>
        <v>0.66915167992115365</v>
      </c>
      <c r="DO187">
        <f t="shared" si="99"/>
        <v>0.18339060438969154</v>
      </c>
      <c r="DP187" s="14">
        <f t="shared" si="100"/>
        <v>969532551880057.38</v>
      </c>
      <c r="DQ187" s="6">
        <f t="shared" si="84"/>
        <v>9.5227473058353065E-2</v>
      </c>
      <c r="DS187" s="6">
        <v>-20.85</v>
      </c>
      <c r="EI187" s="2" t="s">
        <v>324</v>
      </c>
      <c r="IL187" s="15"/>
    </row>
    <row r="188" spans="1:246" x14ac:dyDescent="0.35">
      <c r="A188">
        <v>8</v>
      </c>
      <c r="B188">
        <v>0</v>
      </c>
      <c r="C188" s="3">
        <v>2160</v>
      </c>
      <c r="D188" t="s">
        <v>103</v>
      </c>
      <c r="E188" t="s">
        <v>202</v>
      </c>
      <c r="F188" t="s">
        <v>313</v>
      </c>
      <c r="G188" t="s">
        <v>102</v>
      </c>
      <c r="H188">
        <v>20020713</v>
      </c>
      <c r="J188">
        <v>71520</v>
      </c>
      <c r="K188">
        <v>1952</v>
      </c>
      <c r="L188" t="s">
        <v>228</v>
      </c>
      <c r="M188" t="s">
        <v>104</v>
      </c>
      <c r="N188">
        <v>0.5</v>
      </c>
      <c r="O188">
        <v>50</v>
      </c>
      <c r="Q188" t="s">
        <v>102</v>
      </c>
      <c r="R188" t="s">
        <v>314</v>
      </c>
      <c r="S188">
        <v>2</v>
      </c>
      <c r="T188">
        <v>1</v>
      </c>
      <c r="U188">
        <v>37.299999999999997</v>
      </c>
      <c r="V188">
        <v>24.3</v>
      </c>
      <c r="W188">
        <v>0.96</v>
      </c>
      <c r="X188">
        <v>0.2</v>
      </c>
      <c r="Y188">
        <v>197</v>
      </c>
      <c r="AA188" s="3">
        <f t="shared" si="85"/>
        <v>2160</v>
      </c>
      <c r="AK188">
        <v>2157</v>
      </c>
      <c r="AL188">
        <v>2214</v>
      </c>
      <c r="AM188" s="6">
        <v>195.33</v>
      </c>
      <c r="AN188" s="6">
        <v>195</v>
      </c>
      <c r="AO188" s="6">
        <v>195.7</v>
      </c>
      <c r="AP188" s="6">
        <v>15</v>
      </c>
      <c r="AT188" s="7">
        <v>119.68</v>
      </c>
      <c r="AU188" s="7">
        <v>118</v>
      </c>
      <c r="AV188" s="7">
        <v>122</v>
      </c>
      <c r="AW188">
        <v>1</v>
      </c>
      <c r="AX188" s="7">
        <v>120</v>
      </c>
      <c r="AY188" s="7">
        <v>100</v>
      </c>
      <c r="AZ188" s="7">
        <v>180</v>
      </c>
      <c r="BA188" s="6">
        <v>1.3</v>
      </c>
      <c r="BB188">
        <v>1.1000000000000001</v>
      </c>
      <c r="BC188">
        <v>1.6</v>
      </c>
      <c r="BD188" s="6">
        <v>20</v>
      </c>
      <c r="BM188">
        <v>150</v>
      </c>
      <c r="BN188">
        <v>20</v>
      </c>
      <c r="BO188">
        <v>150</v>
      </c>
      <c r="BP188" s="3">
        <v>1500</v>
      </c>
      <c r="BQ188" s="3">
        <v>1000</v>
      </c>
      <c r="BR188" s="3">
        <v>1500</v>
      </c>
      <c r="BV188">
        <v>50</v>
      </c>
      <c r="BW188">
        <v>35</v>
      </c>
      <c r="BX188">
        <v>122</v>
      </c>
      <c r="BY188">
        <f t="shared" si="96"/>
        <v>0.19205599093333334</v>
      </c>
      <c r="BZ188">
        <v>0.7</v>
      </c>
      <c r="CA188">
        <v>0.4</v>
      </c>
      <c r="CB188">
        <v>0.9</v>
      </c>
      <c r="CC188">
        <v>2.0999999999999998E-2</v>
      </c>
      <c r="CF188" s="13">
        <v>1500000000000</v>
      </c>
      <c r="CG188" s="13"/>
      <c r="CH188" s="13"/>
      <c r="CI188">
        <v>0.5</v>
      </c>
      <c r="CJ188">
        <v>0.1</v>
      </c>
      <c r="CK188">
        <v>1</v>
      </c>
      <c r="CL188">
        <v>1</v>
      </c>
      <c r="CM188">
        <v>0.68</v>
      </c>
      <c r="CN188">
        <v>1.3</v>
      </c>
      <c r="CO188">
        <v>1</v>
      </c>
      <c r="CP188">
        <v>1</v>
      </c>
      <c r="CQ188">
        <v>1.9</v>
      </c>
      <c r="CU188">
        <v>8</v>
      </c>
      <c r="CX188" t="s">
        <v>54</v>
      </c>
      <c r="CY188">
        <v>0.2</v>
      </c>
      <c r="CZ188">
        <v>0.03</v>
      </c>
      <c r="DB188" s="3">
        <v>300</v>
      </c>
      <c r="DC188" s="3">
        <v>45</v>
      </c>
      <c r="DH188" s="14">
        <f t="shared" si="97"/>
        <v>3255824.9050881951</v>
      </c>
      <c r="DI188" s="6">
        <f t="shared" si="86"/>
        <v>0.35153007834444422</v>
      </c>
      <c r="DJ188" s="6">
        <f t="shared" si="77"/>
        <v>7.8010850140207047E-2</v>
      </c>
      <c r="DK188" s="8">
        <f t="shared" si="78"/>
        <v>4.0458328603970557E-6</v>
      </c>
      <c r="DL188" s="1">
        <f t="shared" si="79"/>
        <v>0.21345690547643092</v>
      </c>
      <c r="DM188">
        <f t="shared" si="80"/>
        <v>3.2793504545454549E-6</v>
      </c>
      <c r="DN188">
        <f t="shared" si="98"/>
        <v>0.81055015560470323</v>
      </c>
      <c r="DO188">
        <f t="shared" si="99"/>
        <v>9.413534244040625E-2</v>
      </c>
      <c r="DP188" s="14">
        <f t="shared" si="100"/>
        <v>762642205887241.88</v>
      </c>
      <c r="DQ188" s="6">
        <f t="shared" si="84"/>
        <v>7.8122877188593176E-2</v>
      </c>
      <c r="DS188" s="6">
        <v>-20.09</v>
      </c>
      <c r="EI188" s="2" t="s">
        <v>325</v>
      </c>
      <c r="FR188" s="1"/>
      <c r="FS188" s="1"/>
      <c r="FX188" s="1"/>
      <c r="FY188" s="1"/>
      <c r="FZ188" s="1"/>
      <c r="GA188" s="1"/>
      <c r="GB188" s="1"/>
      <c r="GC188" s="1"/>
      <c r="GD188" s="1"/>
      <c r="GE188" s="1"/>
      <c r="GG188" s="1"/>
      <c r="GH188" s="1"/>
      <c r="GI188" s="1"/>
      <c r="GK188" s="1"/>
      <c r="GL188" s="1"/>
      <c r="GN188" s="1"/>
      <c r="GO188" s="1"/>
      <c r="GQ188" s="1"/>
      <c r="GR188" s="1"/>
      <c r="GS188" s="1"/>
      <c r="GT188" s="1"/>
      <c r="GU188" s="1"/>
      <c r="GV188" s="1"/>
      <c r="GW188" s="1"/>
      <c r="GX188" s="1"/>
      <c r="GY188" s="1"/>
      <c r="GZ188" s="1"/>
      <c r="HA188" s="1"/>
      <c r="HE188" s="1"/>
      <c r="HF188" s="1"/>
      <c r="HG188" s="1"/>
      <c r="HH188" s="1"/>
      <c r="HI188" s="1"/>
      <c r="HJ188" s="1"/>
      <c r="HK188" s="1"/>
      <c r="HL188" s="1"/>
      <c r="HM188" s="1"/>
      <c r="HN188" s="1"/>
      <c r="HX188" s="1"/>
      <c r="HY188" s="1"/>
      <c r="HZ188" s="1"/>
      <c r="IA188" s="1"/>
      <c r="IB188" s="1"/>
      <c r="IC188" s="1"/>
      <c r="ID188" s="1"/>
      <c r="IE188" s="1"/>
      <c r="IF188" s="1"/>
      <c r="IG188" s="1"/>
      <c r="IH188" s="1"/>
      <c r="II188" s="1"/>
      <c r="IJ188" s="1"/>
      <c r="IL188" s="15"/>
    </row>
    <row r="189" spans="1:246" x14ac:dyDescent="0.35">
      <c r="A189">
        <v>0</v>
      </c>
      <c r="B189">
        <v>10</v>
      </c>
      <c r="C189" s="3">
        <v>3600</v>
      </c>
      <c r="D189" t="s">
        <v>422</v>
      </c>
      <c r="E189" t="s">
        <v>155</v>
      </c>
      <c r="F189" t="s">
        <v>225</v>
      </c>
      <c r="G189" t="s">
        <v>105</v>
      </c>
      <c r="H189">
        <v>20030907</v>
      </c>
      <c r="I189">
        <f>16*3600</f>
        <v>57600</v>
      </c>
      <c r="L189" t="s">
        <v>184</v>
      </c>
      <c r="V189" s="21"/>
      <c r="AA189" s="3">
        <f t="shared" si="85"/>
        <v>3600</v>
      </c>
      <c r="AK189">
        <v>1000</v>
      </c>
      <c r="AL189">
        <v>7100</v>
      </c>
      <c r="AM189" s="6">
        <v>234</v>
      </c>
      <c r="AS189" s="7">
        <f>(1-POWER(AT189/1013.25,0.190263103))*44330.76923/30.48</f>
        <v>327.56765648636741</v>
      </c>
      <c r="AT189" s="7">
        <v>265</v>
      </c>
      <c r="AX189" s="7">
        <v>120</v>
      </c>
      <c r="BA189" s="6">
        <v>0.89999999999999991</v>
      </c>
      <c r="BB189" s="7"/>
      <c r="BC189" s="14"/>
      <c r="BG189" s="14">
        <v>5</v>
      </c>
      <c r="BH189" s="7"/>
      <c r="BI189" s="14"/>
      <c r="BJ189">
        <v>400</v>
      </c>
      <c r="BK189" s="14"/>
      <c r="BL189" s="14"/>
      <c r="BM189">
        <v>400</v>
      </c>
      <c r="BP189" s="3">
        <v>1500</v>
      </c>
      <c r="BY189">
        <f t="shared" si="96"/>
        <v>0</v>
      </c>
      <c r="BZ189">
        <v>4</v>
      </c>
      <c r="CB189">
        <v>8</v>
      </c>
      <c r="CF189" s="13"/>
      <c r="CG189" s="13"/>
      <c r="CH189" s="13"/>
      <c r="CI189">
        <v>1</v>
      </c>
      <c r="CK189">
        <v>3</v>
      </c>
      <c r="CU189">
        <v>1000</v>
      </c>
      <c r="CY189">
        <v>0.35</v>
      </c>
      <c r="DA189">
        <v>1</v>
      </c>
      <c r="DB189" s="3">
        <f>BP189*CY189</f>
        <v>525</v>
      </c>
      <c r="DH189" s="14">
        <f t="shared" si="97"/>
        <v>4899367.7668997189</v>
      </c>
      <c r="DI189" s="6">
        <f t="shared" si="86"/>
        <v>18.869559213639057</v>
      </c>
      <c r="DJ189" s="6">
        <f t="shared" si="77"/>
        <v>14.128234999911138</v>
      </c>
      <c r="DK189" s="8">
        <f t="shared" si="78"/>
        <v>3.3091506831281779E-4</v>
      </c>
      <c r="DL189" s="1">
        <f t="shared" si="79"/>
        <v>0.39453687028937867</v>
      </c>
      <c r="DM189">
        <f t="shared" si="80"/>
        <v>1.0138469433962263E-5</v>
      </c>
      <c r="DN189">
        <f t="shared" si="98"/>
        <v>3.0637678379693042E-2</v>
      </c>
      <c r="DO189">
        <f t="shared" si="99"/>
        <v>7.648303287174442E-4</v>
      </c>
      <c r="DP189" s="14">
        <f t="shared" si="100"/>
        <v>0</v>
      </c>
      <c r="DQ189" s="6">
        <f t="shared" si="84"/>
        <v>14.13600147942145</v>
      </c>
      <c r="DS189" s="6">
        <v>-20.85</v>
      </c>
      <c r="EJ189" s="22" t="s">
        <v>322</v>
      </c>
      <c r="HE189" s="1"/>
      <c r="IL189" s="15"/>
    </row>
    <row r="190" spans="1:246" x14ac:dyDescent="0.35">
      <c r="A190">
        <v>0</v>
      </c>
      <c r="B190">
        <v>10</v>
      </c>
      <c r="C190" s="3">
        <v>7100</v>
      </c>
      <c r="D190" t="s">
        <v>422</v>
      </c>
      <c r="E190" t="s">
        <v>155</v>
      </c>
      <c r="F190" t="s">
        <v>225</v>
      </c>
      <c r="G190" t="s">
        <v>105</v>
      </c>
      <c r="H190">
        <v>20030907</v>
      </c>
      <c r="I190">
        <f>17*3600</f>
        <v>61200</v>
      </c>
      <c r="L190" t="s">
        <v>184</v>
      </c>
      <c r="AA190" s="3">
        <f t="shared" si="85"/>
        <v>7100</v>
      </c>
      <c r="AM190" s="6">
        <v>234</v>
      </c>
      <c r="AS190" s="7">
        <f>(1-POWER(AT190/1013.25,0.190263103))*44330.76923/30.48</f>
        <v>327.56765648636741</v>
      </c>
      <c r="AT190" s="7">
        <v>265</v>
      </c>
      <c r="AX190" s="7">
        <v>120</v>
      </c>
      <c r="BA190" s="6">
        <v>0.89999999999999991</v>
      </c>
      <c r="BB190" s="7"/>
      <c r="BC190" s="14"/>
      <c r="BG190" s="14">
        <v>5</v>
      </c>
      <c r="BH190" s="7"/>
      <c r="BI190" s="14"/>
      <c r="BJ190">
        <v>2700</v>
      </c>
      <c r="BK190" s="14"/>
      <c r="BL190" s="14"/>
      <c r="BM190">
        <v>2700</v>
      </c>
      <c r="BP190" s="3">
        <v>2000</v>
      </c>
      <c r="BY190">
        <f t="shared" si="96"/>
        <v>0</v>
      </c>
      <c r="BZ190">
        <v>8.1</v>
      </c>
      <c r="CB190">
        <v>20</v>
      </c>
      <c r="CF190" s="13"/>
      <c r="CG190" s="13"/>
      <c r="CH190" s="13"/>
      <c r="CI190">
        <v>1</v>
      </c>
      <c r="CK190">
        <v>3</v>
      </c>
      <c r="CY190">
        <v>0.4</v>
      </c>
      <c r="DA190">
        <v>2</v>
      </c>
      <c r="DB190" s="3">
        <f>BP190*CY190</f>
        <v>800</v>
      </c>
      <c r="DH190" s="14">
        <f t="shared" si="97"/>
        <v>8435381.3085654918</v>
      </c>
      <c r="DI190" s="6">
        <f t="shared" si="86"/>
        <v>18.869559213639057</v>
      </c>
      <c r="DJ190" s="6">
        <f t="shared" si="77"/>
        <v>14.128234999911138</v>
      </c>
      <c r="DK190" s="8">
        <f t="shared" si="78"/>
        <v>3.3091506831281779E-4</v>
      </c>
      <c r="DL190" s="1">
        <f t="shared" si="79"/>
        <v>0.39453687028937867</v>
      </c>
      <c r="DM190">
        <f t="shared" si="80"/>
        <v>2.0530400603773581E-5</v>
      </c>
      <c r="DN190">
        <f t="shared" si="98"/>
        <v>6.2041298718878403E-2</v>
      </c>
      <c r="DO190">
        <f t="shared" si="99"/>
        <v>4.4422236797530179E-4</v>
      </c>
      <c r="DP190" s="14">
        <f t="shared" si="100"/>
        <v>0</v>
      </c>
      <c r="DQ190" s="6">
        <f t="shared" si="84"/>
        <v>14.13600147942145</v>
      </c>
      <c r="DS190" s="6">
        <v>7.05</v>
      </c>
      <c r="EJ190" s="22" t="s">
        <v>322</v>
      </c>
      <c r="FR190" s="1"/>
      <c r="FS190" s="1"/>
      <c r="FX190" s="1"/>
      <c r="FY190" s="1"/>
      <c r="FZ190" s="1"/>
      <c r="GA190" s="1"/>
      <c r="GB190" s="1"/>
      <c r="GC190" s="1"/>
      <c r="GD190" s="1"/>
      <c r="GE190" s="1"/>
      <c r="GG190" s="1"/>
      <c r="GH190" s="1"/>
      <c r="GI190" s="1"/>
      <c r="GK190" s="1"/>
      <c r="GL190" s="1"/>
      <c r="GQ190" s="1"/>
      <c r="GR190" s="1"/>
      <c r="GS190" s="1"/>
      <c r="GT190" s="1"/>
      <c r="GU190" s="1"/>
      <c r="GV190" s="1"/>
      <c r="GW190" s="1"/>
      <c r="GX190" s="1"/>
      <c r="GY190" s="1"/>
      <c r="GZ190" s="1"/>
      <c r="HA190" s="1"/>
      <c r="HE190" s="1"/>
      <c r="HF190" s="1"/>
      <c r="HG190" s="1"/>
      <c r="HH190" s="1"/>
      <c r="HI190" s="1"/>
      <c r="HJ190" s="1"/>
      <c r="HK190" s="1"/>
      <c r="HL190" s="1"/>
      <c r="HM190" s="1"/>
      <c r="HN190" s="1"/>
      <c r="HX190" s="1"/>
      <c r="HY190" s="1"/>
      <c r="HZ190" s="1"/>
      <c r="IA190" s="1"/>
      <c r="IB190" s="1"/>
      <c r="IC190" s="1"/>
      <c r="ID190" s="1"/>
      <c r="IE190" s="1"/>
      <c r="IF190" s="1"/>
      <c r="IG190" s="1"/>
      <c r="IH190" s="1"/>
      <c r="II190" s="1"/>
      <c r="IJ190" s="1"/>
      <c r="IL190" s="15"/>
    </row>
    <row r="191" spans="1:246" x14ac:dyDescent="0.35">
      <c r="A191">
        <v>0</v>
      </c>
      <c r="B191">
        <v>10</v>
      </c>
      <c r="C191" s="3">
        <v>1000</v>
      </c>
      <c r="D191" t="s">
        <v>422</v>
      </c>
      <c r="E191" t="s">
        <v>155</v>
      </c>
      <c r="F191" t="s">
        <v>225</v>
      </c>
      <c r="G191" t="s">
        <v>105</v>
      </c>
      <c r="H191">
        <v>20030907</v>
      </c>
      <c r="I191">
        <f>15*3600</f>
        <v>54000</v>
      </c>
      <c r="L191" t="s">
        <v>184</v>
      </c>
      <c r="AA191" s="3">
        <f t="shared" si="85"/>
        <v>1000</v>
      </c>
      <c r="AM191" s="6">
        <v>234</v>
      </c>
      <c r="AS191" s="7">
        <f>(1-POWER(AT191/1013.25,0.190263103))*44330.76923/30.48</f>
        <v>327.56765648636741</v>
      </c>
      <c r="AT191" s="7">
        <v>265</v>
      </c>
      <c r="AX191" s="7">
        <v>120</v>
      </c>
      <c r="BA191" s="6">
        <v>0.89999999999999991</v>
      </c>
      <c r="BB191" s="7"/>
      <c r="BC191" s="14"/>
      <c r="BG191" s="14">
        <v>5</v>
      </c>
      <c r="BH191" s="7"/>
      <c r="BI191" s="14"/>
      <c r="BJ191">
        <v>300</v>
      </c>
      <c r="BK191" s="14"/>
      <c r="BL191" s="14"/>
      <c r="BM191">
        <v>300</v>
      </c>
      <c r="BY191">
        <f t="shared" si="96"/>
        <v>0</v>
      </c>
      <c r="BZ191">
        <v>1</v>
      </c>
      <c r="CB191">
        <v>4</v>
      </c>
      <c r="CF191" s="13"/>
      <c r="CG191" s="13"/>
      <c r="CH191" s="13"/>
      <c r="CY191">
        <v>0.35</v>
      </c>
      <c r="DA191">
        <v>0.4</v>
      </c>
      <c r="DH191" s="14">
        <f t="shared" si="97"/>
        <v>1758320.5020567065</v>
      </c>
      <c r="DI191" s="6">
        <f t="shared" si="86"/>
        <v>18.869559213639057</v>
      </c>
      <c r="DJ191" s="6">
        <f t="shared" si="77"/>
        <v>14.128234999911138</v>
      </c>
      <c r="DK191" s="8">
        <f t="shared" si="78"/>
        <v>3.3091506831281779E-4</v>
      </c>
      <c r="DL191" s="1">
        <f t="shared" si="79"/>
        <v>0.39453687028937867</v>
      </c>
      <c r="DM191">
        <f t="shared" si="80"/>
        <v>2.5346173584905658E-6</v>
      </c>
      <c r="DN191">
        <f t="shared" si="98"/>
        <v>7.6594195949232606E-3</v>
      </c>
      <c r="DO191">
        <f t="shared" si="99"/>
        <v>2.1311160594911353E-3</v>
      </c>
      <c r="DP191" s="14">
        <f t="shared" si="100"/>
        <v>0</v>
      </c>
      <c r="DQ191" s="6">
        <f t="shared" si="84"/>
        <v>14.13600147942145</v>
      </c>
      <c r="DS191" s="6">
        <v>7.05</v>
      </c>
      <c r="EJ191" s="22" t="s">
        <v>322</v>
      </c>
      <c r="GC191" s="7"/>
      <c r="GD191" s="7"/>
      <c r="GE191" s="7"/>
      <c r="IL191" s="15"/>
    </row>
    <row r="192" spans="1:246" x14ac:dyDescent="0.35">
      <c r="A192">
        <v>6</v>
      </c>
      <c r="B192">
        <v>0</v>
      </c>
      <c r="C192" s="3">
        <v>150</v>
      </c>
      <c r="D192" t="s">
        <v>66</v>
      </c>
      <c r="E192" t="s">
        <v>146</v>
      </c>
      <c r="F192" t="s">
        <v>196</v>
      </c>
      <c r="G192" t="s">
        <v>17</v>
      </c>
      <c r="H192">
        <v>20050914</v>
      </c>
      <c r="I192">
        <f>6*3600+55*60</f>
        <v>24900</v>
      </c>
      <c r="L192" t="s">
        <v>244</v>
      </c>
      <c r="M192" t="s">
        <v>165</v>
      </c>
      <c r="N192">
        <v>1</v>
      </c>
      <c r="Q192" t="s">
        <v>16</v>
      </c>
      <c r="T192">
        <v>1</v>
      </c>
      <c r="U192">
        <v>26</v>
      </c>
      <c r="V192">
        <v>30.17</v>
      </c>
      <c r="W192">
        <v>1.85</v>
      </c>
      <c r="X192">
        <v>0.33</v>
      </c>
      <c r="Y192">
        <v>220</v>
      </c>
      <c r="AA192" s="3">
        <f t="shared" si="85"/>
        <v>150</v>
      </c>
      <c r="AM192" s="6">
        <v>213.15</v>
      </c>
      <c r="AT192" s="7">
        <v>196</v>
      </c>
      <c r="AX192" s="7">
        <v>120</v>
      </c>
      <c r="AZ192" s="7">
        <v>120</v>
      </c>
      <c r="BA192" s="6">
        <v>1.1000000000000001</v>
      </c>
      <c r="BG192">
        <v>10</v>
      </c>
      <c r="BH192">
        <v>5</v>
      </c>
      <c r="BI192">
        <v>15</v>
      </c>
      <c r="BM192">
        <v>120</v>
      </c>
      <c r="BP192" s="3">
        <v>350</v>
      </c>
      <c r="BV192">
        <v>68.3</v>
      </c>
      <c r="BY192">
        <f t="shared" si="96"/>
        <v>0.88542613220040001</v>
      </c>
      <c r="BZ192">
        <v>0.9</v>
      </c>
      <c r="CC192">
        <f>BS192*BZ192</f>
        <v>0</v>
      </c>
      <c r="CF192" s="13">
        <f>BM192*BP192*BV192*1000000</f>
        <v>2868600000000</v>
      </c>
      <c r="CG192" s="13"/>
      <c r="CH192" s="13"/>
      <c r="CI192">
        <v>0.48</v>
      </c>
      <c r="CL192">
        <v>1.5</v>
      </c>
      <c r="CO192">
        <v>3</v>
      </c>
      <c r="CY192">
        <f>CI192*BM192*0.001</f>
        <v>5.7599999999999998E-2</v>
      </c>
      <c r="DB192" s="3">
        <f>BP192*CY192</f>
        <v>20.16</v>
      </c>
      <c r="DH192" s="14">
        <f t="shared" si="97"/>
        <v>385452.66016423475</v>
      </c>
      <c r="DI192" s="6">
        <f t="shared" si="86"/>
        <v>2.2033964262559427</v>
      </c>
      <c r="DJ192" s="6">
        <f t="shared" si="77"/>
        <v>1.0806876397672829</v>
      </c>
      <c r="DK192" s="8">
        <f t="shared" si="78"/>
        <v>3.4223042779400235E-5</v>
      </c>
      <c r="DL192" s="1">
        <f t="shared" si="79"/>
        <v>0.32035264419072512</v>
      </c>
      <c r="DM192">
        <f t="shared" si="80"/>
        <v>2.8094040000000003E-6</v>
      </c>
      <c r="DN192">
        <f t="shared" si="98"/>
        <v>8.2091005703649925E-2</v>
      </c>
      <c r="DO192">
        <f t="shared" si="99"/>
        <v>9.400090130535356E-2</v>
      </c>
      <c r="DP192" s="14">
        <f t="shared" si="100"/>
        <v>82179489280392.953</v>
      </c>
      <c r="DQ192" s="6">
        <f t="shared" si="84"/>
        <v>1.0817706860491525</v>
      </c>
      <c r="DS192" s="6">
        <v>7.05</v>
      </c>
      <c r="EI192" t="s">
        <v>326</v>
      </c>
      <c r="EJ192" t="s">
        <v>316</v>
      </c>
      <c r="GC192" s="7"/>
      <c r="GD192" s="7"/>
      <c r="GE192" s="7"/>
      <c r="IL192" s="15"/>
    </row>
    <row r="193" spans="1:252" ht="14.25" customHeight="1" x14ac:dyDescent="0.35">
      <c r="A193">
        <v>6</v>
      </c>
      <c r="B193">
        <v>0</v>
      </c>
      <c r="C193" s="3">
        <v>900</v>
      </c>
      <c r="D193" t="s">
        <v>66</v>
      </c>
      <c r="E193" t="s">
        <v>146</v>
      </c>
      <c r="F193" t="s">
        <v>196</v>
      </c>
      <c r="G193" t="s">
        <v>17</v>
      </c>
      <c r="H193">
        <v>20050914</v>
      </c>
      <c r="I193">
        <f>6.75*3600</f>
        <v>24300</v>
      </c>
      <c r="J193">
        <f>7*3600+2*60</f>
        <v>25320</v>
      </c>
      <c r="L193" t="s">
        <v>244</v>
      </c>
      <c r="M193" t="s">
        <v>165</v>
      </c>
      <c r="N193">
        <v>1</v>
      </c>
      <c r="Q193" t="s">
        <v>25</v>
      </c>
      <c r="T193">
        <v>1</v>
      </c>
      <c r="U193">
        <v>26</v>
      </c>
      <c r="V193">
        <v>30.17</v>
      </c>
      <c r="W193">
        <v>1.85</v>
      </c>
      <c r="X193">
        <v>0.37</v>
      </c>
      <c r="Y193">
        <v>220</v>
      </c>
      <c r="AA193" s="3">
        <f t="shared" si="85"/>
        <v>900</v>
      </c>
      <c r="AK193">
        <f>11*60</f>
        <v>660</v>
      </c>
      <c r="AL193">
        <f>20*60</f>
        <v>1200</v>
      </c>
      <c r="AM193" s="6">
        <v>213.15</v>
      </c>
      <c r="AT193" s="7">
        <v>196</v>
      </c>
      <c r="AW193">
        <v>1</v>
      </c>
      <c r="AX193" s="7">
        <v>120</v>
      </c>
      <c r="AZ193" s="7">
        <v>120</v>
      </c>
      <c r="BA193" s="6">
        <v>1.1000000000000001</v>
      </c>
      <c r="BG193">
        <v>10</v>
      </c>
      <c r="BH193">
        <v>5</v>
      </c>
      <c r="BI193">
        <v>15</v>
      </c>
      <c r="BM193">
        <v>140</v>
      </c>
      <c r="BP193" s="3">
        <v>1800</v>
      </c>
      <c r="BV193">
        <v>18.32</v>
      </c>
      <c r="BY193">
        <f t="shared" si="96"/>
        <v>1.0995205480933337</v>
      </c>
      <c r="BZ193">
        <v>1</v>
      </c>
      <c r="CC193">
        <f>BS193*BZ193</f>
        <v>0</v>
      </c>
      <c r="CF193" s="13">
        <f>BM193*BP193*BV193*1000000</f>
        <v>4616640000000</v>
      </c>
      <c r="CG193" s="13"/>
      <c r="CH193" s="13"/>
      <c r="CI193">
        <v>0.28999999999999998</v>
      </c>
      <c r="CL193">
        <v>2.5</v>
      </c>
      <c r="CO193">
        <v>5.5</v>
      </c>
      <c r="CY193">
        <f>CI193*BM193*0.001</f>
        <v>4.0599999999999997E-2</v>
      </c>
      <c r="DB193" s="3">
        <f>BP193*CY193</f>
        <v>73.08</v>
      </c>
      <c r="DH193" s="14">
        <f t="shared" si="97"/>
        <v>1616188.6315524769</v>
      </c>
      <c r="DI193" s="6">
        <f t="shared" si="86"/>
        <v>2.2033964262559427</v>
      </c>
      <c r="DJ193" s="6">
        <f t="shared" si="77"/>
        <v>1.0806876397672829</v>
      </c>
      <c r="DK193" s="8">
        <f t="shared" si="78"/>
        <v>3.4223042779400235E-5</v>
      </c>
      <c r="DL193" s="1">
        <f t="shared" si="79"/>
        <v>0.32035264419072512</v>
      </c>
      <c r="DM193">
        <f t="shared" si="80"/>
        <v>3.1215600000000001E-6</v>
      </c>
      <c r="DN193">
        <f t="shared" si="98"/>
        <v>9.121222855961103E-2</v>
      </c>
      <c r="DO193">
        <f t="shared" si="99"/>
        <v>2.2418730560664599E-2</v>
      </c>
      <c r="DP193" s="14">
        <f t="shared" si="100"/>
        <v>92424945655867.969</v>
      </c>
      <c r="DQ193" s="6">
        <f t="shared" si="84"/>
        <v>1.0817706860491525</v>
      </c>
      <c r="DS193" s="6">
        <v>-9.9169999999999998</v>
      </c>
      <c r="EI193" t="s">
        <v>326</v>
      </c>
      <c r="EJ193" t="s">
        <v>316</v>
      </c>
      <c r="GC193" s="7"/>
      <c r="GD193" s="7"/>
      <c r="GE193" s="7"/>
      <c r="IL193" s="15"/>
    </row>
    <row r="194" spans="1:252" s="21" customFormat="1" ht="13" x14ac:dyDescent="0.3">
      <c r="A194" s="21">
        <v>0</v>
      </c>
      <c r="B194" s="21">
        <v>11</v>
      </c>
      <c r="C194" s="21">
        <f>(2+36)*60/2</f>
        <v>1140</v>
      </c>
      <c r="D194" s="21" t="s">
        <v>342</v>
      </c>
      <c r="E194" s="21" t="s">
        <v>474</v>
      </c>
      <c r="F194" s="21" t="s">
        <v>453</v>
      </c>
      <c r="G194" s="21" t="s">
        <v>341</v>
      </c>
      <c r="H194" s="21">
        <v>20051116</v>
      </c>
      <c r="I194" s="21">
        <v>28721</v>
      </c>
      <c r="J194" s="21">
        <v>29680</v>
      </c>
      <c r="K194" s="37">
        <f>I194/(24*3600)</f>
        <v>0.33241898148148147</v>
      </c>
      <c r="L194" s="21" t="s">
        <v>344</v>
      </c>
      <c r="M194" s="21" t="s">
        <v>398</v>
      </c>
      <c r="Q194" s="21" t="s">
        <v>405</v>
      </c>
      <c r="R194" s="21" t="s">
        <v>343</v>
      </c>
      <c r="S194" s="21">
        <v>2</v>
      </c>
      <c r="T194" s="21">
        <v>1</v>
      </c>
      <c r="U194" s="21">
        <v>37.463999999999999</v>
      </c>
      <c r="V194" s="21">
        <v>20</v>
      </c>
      <c r="W194" s="21">
        <v>1</v>
      </c>
      <c r="X194" s="21">
        <v>0.25</v>
      </c>
      <c r="Y194" s="38">
        <v>183</v>
      </c>
      <c r="Z194" s="38"/>
      <c r="AA194" s="39">
        <f t="shared" si="85"/>
        <v>1140</v>
      </c>
      <c r="AH194" s="37"/>
      <c r="AK194" s="21">
        <f>20*60</f>
        <v>1200</v>
      </c>
      <c r="AL194" s="21">
        <f>36*60</f>
        <v>2160</v>
      </c>
      <c r="AM194" s="40">
        <f>273.15-84.9</f>
        <v>188.24999999999997</v>
      </c>
      <c r="AN194" s="40">
        <f>AM194-4</f>
        <v>184.24999999999997</v>
      </c>
      <c r="AO194" s="40">
        <f>AM194+4</f>
        <v>192.24999999999997</v>
      </c>
      <c r="AP194" s="40">
        <v>17.899999999999999</v>
      </c>
      <c r="AQ194" s="40">
        <f>AP194-0.3</f>
        <v>17.599999999999998</v>
      </c>
      <c r="AR194" s="40">
        <f>AP194+0.3</f>
        <v>18.2</v>
      </c>
      <c r="AS194" s="41">
        <f>AP194*1000/30.48</f>
        <v>587.27034120734902</v>
      </c>
      <c r="AT194" s="41">
        <v>80.8</v>
      </c>
      <c r="AU194" s="41">
        <f>AT194-4</f>
        <v>76.8</v>
      </c>
      <c r="AV194" s="41">
        <f>AT194+4</f>
        <v>84.8</v>
      </c>
      <c r="AW194" s="21">
        <v>1</v>
      </c>
      <c r="AX194" s="41">
        <v>87</v>
      </c>
      <c r="AY194" s="41">
        <f>AX194+23</f>
        <v>110</v>
      </c>
      <c r="AZ194" s="41">
        <f>AX194-23</f>
        <v>64</v>
      </c>
      <c r="BA194" s="21">
        <v>2.6</v>
      </c>
      <c r="BD194" s="21">
        <v>6</v>
      </c>
      <c r="BE194" s="40"/>
      <c r="BF194" s="40"/>
      <c r="BP194" s="39">
        <v>3000</v>
      </c>
      <c r="BQ194" s="39">
        <v>1000</v>
      </c>
      <c r="BR194" s="39">
        <v>4000</v>
      </c>
      <c r="CF194" s="42"/>
      <c r="CG194" s="42"/>
      <c r="CH194" s="42"/>
      <c r="DB194" s="39"/>
      <c r="DC194" s="39"/>
      <c r="DD194" s="39"/>
      <c r="DE194" s="39"/>
      <c r="DH194" s="43"/>
      <c r="DI194" s="40"/>
      <c r="DJ194" s="40"/>
      <c r="DK194" s="44"/>
      <c r="DL194" s="45"/>
      <c r="DP194" s="43"/>
      <c r="DQ194" s="40"/>
      <c r="DR194" s="40"/>
      <c r="DS194" s="40">
        <f>-84.9+62.4</f>
        <v>-22.500000000000007</v>
      </c>
      <c r="DT194" s="40"/>
      <c r="EM194" s="39"/>
      <c r="FV194" s="40"/>
      <c r="GJ194" s="40"/>
      <c r="IQ194" s="40"/>
      <c r="IR194" s="40"/>
    </row>
    <row r="195" spans="1:252" s="21" customFormat="1" ht="13" x14ac:dyDescent="0.3">
      <c r="A195" s="21">
        <v>0</v>
      </c>
      <c r="B195" s="21">
        <v>11</v>
      </c>
      <c r="C195" s="21">
        <f>(36+53)*60/2</f>
        <v>2670</v>
      </c>
      <c r="D195" s="21" t="s">
        <v>342</v>
      </c>
      <c r="E195" s="21" t="s">
        <v>475</v>
      </c>
      <c r="F195" s="21" t="s">
        <v>453</v>
      </c>
      <c r="G195" s="21" t="s">
        <v>341</v>
      </c>
      <c r="H195" s="21">
        <v>20051116</v>
      </c>
      <c r="I195" s="21">
        <v>27751</v>
      </c>
      <c r="J195" s="21">
        <v>28721</v>
      </c>
      <c r="K195" s="37">
        <f>I195/(24*3600)</f>
        <v>0.32119212962962962</v>
      </c>
      <c r="L195" s="21" t="s">
        <v>344</v>
      </c>
      <c r="M195" s="21" t="s">
        <v>398</v>
      </c>
      <c r="N195" s="40"/>
      <c r="O195" s="40"/>
      <c r="Q195" s="21" t="s">
        <v>406</v>
      </c>
      <c r="R195" s="21" t="s">
        <v>343</v>
      </c>
      <c r="S195" s="21">
        <v>2</v>
      </c>
      <c r="T195" s="21">
        <v>1</v>
      </c>
      <c r="U195" s="21">
        <v>37.463999999999999</v>
      </c>
      <c r="V195" s="21">
        <v>20</v>
      </c>
      <c r="W195" s="21">
        <v>1</v>
      </c>
      <c r="X195" s="21">
        <v>0.25</v>
      </c>
      <c r="Y195" s="38">
        <v>184</v>
      </c>
      <c r="AA195" s="39">
        <f t="shared" si="85"/>
        <v>2670</v>
      </c>
      <c r="AK195" s="21">
        <f>36*60</f>
        <v>2160</v>
      </c>
      <c r="AL195" s="21">
        <f>53*60</f>
        <v>3180</v>
      </c>
      <c r="AM195" s="40">
        <f>273.15-82.2</f>
        <v>190.95</v>
      </c>
      <c r="AN195" s="40">
        <f>AM195-0.6</f>
        <v>190.35</v>
      </c>
      <c r="AO195" s="40">
        <f>AM195+0.6</f>
        <v>191.54999999999998</v>
      </c>
      <c r="AP195" s="40">
        <v>18.600000000000001</v>
      </c>
      <c r="AQ195" s="40">
        <f>AP195-0.1</f>
        <v>18.5</v>
      </c>
      <c r="AR195" s="40">
        <f>AP195+0.1</f>
        <v>18.700000000000003</v>
      </c>
      <c r="AS195" s="41">
        <f>AP195*1000/30.48</f>
        <v>610.23622047244089</v>
      </c>
      <c r="AT195" s="41">
        <v>71.2</v>
      </c>
      <c r="AU195" s="41">
        <f>AT195-1.2</f>
        <v>70</v>
      </c>
      <c r="AV195" s="41">
        <f>AT195+1.2</f>
        <v>72.400000000000006</v>
      </c>
      <c r="AW195" s="21">
        <v>0</v>
      </c>
      <c r="AX195" s="41">
        <v>64</v>
      </c>
      <c r="AY195" s="41">
        <f>AX195-7</f>
        <v>57</v>
      </c>
      <c r="AZ195" s="41">
        <f>AX195+7</f>
        <v>71</v>
      </c>
      <c r="BA195" s="21">
        <v>2.63</v>
      </c>
      <c r="BD195" s="21">
        <v>6</v>
      </c>
      <c r="BE195" s="40"/>
      <c r="BF195" s="40"/>
      <c r="BP195" s="39">
        <v>3000</v>
      </c>
      <c r="BQ195" s="39">
        <v>1000</v>
      </c>
      <c r="BR195" s="39">
        <v>4000</v>
      </c>
      <c r="CF195" s="42"/>
      <c r="CG195" s="42"/>
      <c r="CH195" s="42"/>
      <c r="DB195" s="39"/>
      <c r="DC195" s="39"/>
      <c r="DD195" s="39"/>
      <c r="DE195" s="39"/>
      <c r="DH195" s="43"/>
      <c r="DI195" s="40"/>
      <c r="DJ195" s="40"/>
      <c r="DK195" s="44"/>
      <c r="DL195" s="45"/>
      <c r="DP195" s="43"/>
      <c r="DQ195" s="40"/>
      <c r="DR195" s="40"/>
      <c r="DS195" s="40">
        <f>-82.2+63.7</f>
        <v>-18.5</v>
      </c>
      <c r="DT195" s="40"/>
      <c r="EM195" s="39"/>
      <c r="FV195" s="40"/>
      <c r="GJ195" s="40"/>
      <c r="IQ195" s="40"/>
      <c r="IR195" s="40"/>
    </row>
    <row r="196" spans="1:252" x14ac:dyDescent="0.35">
      <c r="A196">
        <v>9</v>
      </c>
      <c r="B196">
        <v>0</v>
      </c>
      <c r="C196" s="3">
        <v>1708</v>
      </c>
      <c r="D196" t="s">
        <v>342</v>
      </c>
      <c r="E196" t="s">
        <v>451</v>
      </c>
      <c r="F196" t="s">
        <v>453</v>
      </c>
      <c r="G196" t="s">
        <v>341</v>
      </c>
      <c r="H196">
        <v>20051130</v>
      </c>
      <c r="I196">
        <v>20600</v>
      </c>
      <c r="J196">
        <f>I196+150</f>
        <v>20750</v>
      </c>
      <c r="K196" s="5">
        <f>I196/24/3600</f>
        <v>0.23842592592592593</v>
      </c>
      <c r="L196" t="s">
        <v>344</v>
      </c>
      <c r="M196" t="s">
        <v>345</v>
      </c>
      <c r="N196">
        <v>2.7</v>
      </c>
      <c r="Q196" t="s">
        <v>347</v>
      </c>
      <c r="R196" t="s">
        <v>343</v>
      </c>
      <c r="S196">
        <v>2</v>
      </c>
      <c r="T196">
        <v>1</v>
      </c>
      <c r="U196">
        <v>37.463999999999999</v>
      </c>
      <c r="V196">
        <v>20</v>
      </c>
      <c r="W196">
        <v>1.2</v>
      </c>
      <c r="X196">
        <v>0.25</v>
      </c>
      <c r="Y196">
        <v>193</v>
      </c>
      <c r="AA196" s="3">
        <f t="shared" si="85"/>
        <v>1708</v>
      </c>
      <c r="AM196" s="6">
        <v>191.45</v>
      </c>
      <c r="AP196" s="6">
        <v>17997</v>
      </c>
      <c r="AS196" s="7">
        <v>591</v>
      </c>
      <c r="AT196" s="7">
        <v>78.3</v>
      </c>
      <c r="AW196">
        <v>1</v>
      </c>
      <c r="AX196" s="7">
        <v>76</v>
      </c>
      <c r="AY196" s="7">
        <v>70</v>
      </c>
      <c r="AZ196" s="7">
        <v>110</v>
      </c>
      <c r="BA196" s="6">
        <v>2.4</v>
      </c>
      <c r="BB196" s="6">
        <v>2</v>
      </c>
      <c r="BC196" s="6">
        <v>3</v>
      </c>
      <c r="BG196">
        <v>10</v>
      </c>
      <c r="BV196">
        <v>0.1</v>
      </c>
      <c r="BW196">
        <v>0.05</v>
      </c>
      <c r="BX196">
        <v>0.1</v>
      </c>
      <c r="BY196">
        <v>0.30896316099999999</v>
      </c>
      <c r="BZ196">
        <v>1.075</v>
      </c>
      <c r="CA196">
        <v>0.85</v>
      </c>
      <c r="CB196">
        <v>1.3</v>
      </c>
      <c r="CF196" s="13"/>
      <c r="CG196" s="13"/>
      <c r="CH196" s="13"/>
      <c r="CL196">
        <v>9.3000000000000007</v>
      </c>
      <c r="CO196">
        <v>25.3</v>
      </c>
      <c r="CP196">
        <v>7</v>
      </c>
      <c r="CQ196">
        <v>9</v>
      </c>
      <c r="DH196" s="14">
        <f t="shared" ref="DH196:DH206" si="101">7000*POWER(AA196,0.8)</f>
        <v>2698288.1935367715</v>
      </c>
      <c r="DI196" s="6">
        <v>0.23569999999999999</v>
      </c>
      <c r="DJ196" s="6">
        <v>4.1277150999999998E-2</v>
      </c>
      <c r="DK196" s="32">
        <v>3.27207E-6</v>
      </c>
      <c r="DL196" s="1">
        <v>0.14248330200000001</v>
      </c>
      <c r="DM196" s="14">
        <v>7.5447400000000002E-6</v>
      </c>
      <c r="DN196" s="1">
        <f t="shared" ref="DN196:DN201" si="102">DM196/DK196</f>
        <v>2.305800303783232</v>
      </c>
      <c r="DP196" s="14">
        <f t="shared" ref="DP196:DP203" si="103">(BV196*1000000/DL196)*DH196</f>
        <v>1893757482920.189</v>
      </c>
      <c r="DQ196" s="6">
        <v>4.134239E-2</v>
      </c>
      <c r="DS196" s="6">
        <v>-24.77</v>
      </c>
      <c r="DU196" s="14"/>
      <c r="EI196" t="s">
        <v>346</v>
      </c>
    </row>
    <row r="197" spans="1:252" x14ac:dyDescent="0.35">
      <c r="A197">
        <v>9</v>
      </c>
      <c r="B197">
        <v>0</v>
      </c>
      <c r="C197">
        <v>1641</v>
      </c>
      <c r="D197" t="s">
        <v>342</v>
      </c>
      <c r="E197" t="s">
        <v>451</v>
      </c>
      <c r="F197" t="s">
        <v>453</v>
      </c>
      <c r="G197" t="s">
        <v>341</v>
      </c>
      <c r="H197">
        <v>20051130</v>
      </c>
      <c r="I197">
        <v>21140</v>
      </c>
      <c r="J197">
        <f>I197+40</f>
        <v>21180</v>
      </c>
      <c r="K197" s="5">
        <f t="shared" ref="K197:K203" si="104">I197/24/3600</f>
        <v>0.24467592592592594</v>
      </c>
      <c r="L197" t="s">
        <v>344</v>
      </c>
      <c r="M197" t="s">
        <v>345</v>
      </c>
      <c r="N197">
        <v>2.7</v>
      </c>
      <c r="Q197" t="s">
        <v>348</v>
      </c>
      <c r="R197" t="s">
        <v>343</v>
      </c>
      <c r="S197">
        <v>2</v>
      </c>
      <c r="T197">
        <v>1</v>
      </c>
      <c r="U197">
        <v>37.463999999999999</v>
      </c>
      <c r="V197">
        <v>20</v>
      </c>
      <c r="W197">
        <v>1.2</v>
      </c>
      <c r="X197">
        <v>0.25</v>
      </c>
      <c r="Y197">
        <v>183</v>
      </c>
      <c r="AA197" s="3">
        <f t="shared" si="85"/>
        <v>1641</v>
      </c>
      <c r="AM197" s="6">
        <v>186.05</v>
      </c>
      <c r="AP197" s="6">
        <v>17937</v>
      </c>
      <c r="AS197" s="7">
        <v>591</v>
      </c>
      <c r="AT197" s="7">
        <v>77.599999999999994</v>
      </c>
      <c r="AW197">
        <v>1</v>
      </c>
      <c r="AX197" s="7">
        <v>157</v>
      </c>
      <c r="AY197" s="7">
        <v>60</v>
      </c>
      <c r="AZ197" s="7">
        <v>100</v>
      </c>
      <c r="BA197">
        <v>2.4</v>
      </c>
      <c r="BB197">
        <v>2</v>
      </c>
      <c r="BC197">
        <v>3</v>
      </c>
      <c r="BG197">
        <v>10</v>
      </c>
      <c r="BV197">
        <v>0.3</v>
      </c>
      <c r="BW197">
        <v>0.15</v>
      </c>
      <c r="BX197">
        <v>0.3</v>
      </c>
      <c r="BY197">
        <v>0.11216377199999999</v>
      </c>
      <c r="BZ197">
        <v>0.81499999999999995</v>
      </c>
      <c r="CA197">
        <v>0.64</v>
      </c>
      <c r="CB197">
        <v>0.99</v>
      </c>
      <c r="CF197" s="13"/>
      <c r="CG197" s="13"/>
      <c r="CH197" s="13"/>
      <c r="CL197">
        <v>4.5999999999999996</v>
      </c>
      <c r="CO197">
        <v>17.899999999999999</v>
      </c>
      <c r="CP197">
        <v>7</v>
      </c>
      <c r="CQ197">
        <v>9</v>
      </c>
      <c r="DH197" s="14">
        <f t="shared" si="101"/>
        <v>2613273.7428288083</v>
      </c>
      <c r="DI197" s="6">
        <v>0.13519999999999999</v>
      </c>
      <c r="DJ197" s="6">
        <v>1.6292266E-2</v>
      </c>
      <c r="DK197" s="32">
        <v>1.30315E-6</v>
      </c>
      <c r="DL197" s="1">
        <v>0.145308034</v>
      </c>
      <c r="DM197" s="14">
        <v>5.60877E-6</v>
      </c>
      <c r="DN197" s="1">
        <f t="shared" si="102"/>
        <v>4.3040095154049807</v>
      </c>
      <c r="DP197" s="14">
        <f t="shared" si="103"/>
        <v>5395311609877.2793</v>
      </c>
      <c r="DQ197" s="6">
        <v>1.6322349E-2</v>
      </c>
      <c r="DS197" s="6">
        <v>-20.52</v>
      </c>
      <c r="DU197" s="14"/>
      <c r="EI197" t="s">
        <v>346</v>
      </c>
    </row>
    <row r="198" spans="1:252" x14ac:dyDescent="0.35">
      <c r="A198">
        <v>9</v>
      </c>
      <c r="B198">
        <v>0</v>
      </c>
      <c r="C198" s="3">
        <v>2528</v>
      </c>
      <c r="D198" t="s">
        <v>342</v>
      </c>
      <c r="E198" t="s">
        <v>451</v>
      </c>
      <c r="F198" t="s">
        <v>453</v>
      </c>
      <c r="G198" t="s">
        <v>341</v>
      </c>
      <c r="H198">
        <v>20051130</v>
      </c>
      <c r="I198">
        <v>21300</v>
      </c>
      <c r="J198">
        <f>I198+30</f>
        <v>21330</v>
      </c>
      <c r="K198" s="5">
        <f t="shared" si="104"/>
        <v>0.24652777777777779</v>
      </c>
      <c r="L198" t="s">
        <v>344</v>
      </c>
      <c r="M198" t="s">
        <v>345</v>
      </c>
      <c r="N198">
        <v>2.7</v>
      </c>
      <c r="Q198" t="s">
        <v>349</v>
      </c>
      <c r="R198" t="s">
        <v>343</v>
      </c>
      <c r="S198">
        <v>2</v>
      </c>
      <c r="T198">
        <v>1</v>
      </c>
      <c r="U198">
        <v>37.463999999999999</v>
      </c>
      <c r="V198">
        <v>20</v>
      </c>
      <c r="W198">
        <v>1.2</v>
      </c>
      <c r="X198">
        <v>0.25</v>
      </c>
      <c r="Y198">
        <v>183</v>
      </c>
      <c r="AA198" s="3">
        <f t="shared" si="85"/>
        <v>2528</v>
      </c>
      <c r="AM198" s="6">
        <v>189.25</v>
      </c>
      <c r="AS198" s="7">
        <v>604</v>
      </c>
      <c r="AT198" s="7">
        <v>72.099999999999994</v>
      </c>
      <c r="AW198">
        <v>1</v>
      </c>
      <c r="AX198" s="7">
        <v>95</v>
      </c>
      <c r="BA198">
        <v>2.4</v>
      </c>
      <c r="BB198" s="6">
        <v>2</v>
      </c>
      <c r="BC198">
        <v>3</v>
      </c>
      <c r="BG198">
        <v>10</v>
      </c>
      <c r="BV198">
        <v>1.4999999999999999E-2</v>
      </c>
      <c r="BZ198">
        <v>0.13</v>
      </c>
      <c r="CA198">
        <v>0.1</v>
      </c>
      <c r="CB198">
        <v>0.16</v>
      </c>
      <c r="CF198" s="13"/>
      <c r="CG198" s="13"/>
      <c r="CH198" s="13"/>
      <c r="CL198">
        <v>7.7</v>
      </c>
      <c r="CO198">
        <v>23.6</v>
      </c>
      <c r="DH198" s="14">
        <f t="shared" si="101"/>
        <v>3692493.1277586785</v>
      </c>
      <c r="DI198" s="6">
        <v>0.18790000000000001</v>
      </c>
      <c r="DJ198" s="6">
        <v>2.8443270999999999E-2</v>
      </c>
      <c r="DK198" s="32">
        <v>2.44861E-6</v>
      </c>
      <c r="DL198" s="1">
        <v>0.13272629</v>
      </c>
      <c r="DM198" s="14">
        <v>9.7945900000000004E-7</v>
      </c>
      <c r="DN198" s="1">
        <f t="shared" si="102"/>
        <v>0.40000612592450413</v>
      </c>
      <c r="DP198" s="14">
        <f t="shared" si="103"/>
        <v>417305395309.25018</v>
      </c>
      <c r="DQ198" s="6">
        <v>2.8491005999999999E-2</v>
      </c>
      <c r="DS198" s="6">
        <v>-27.58</v>
      </c>
      <c r="DU198" s="14"/>
      <c r="EI198" t="s">
        <v>346</v>
      </c>
    </row>
    <row r="199" spans="1:252" x14ac:dyDescent="0.35">
      <c r="A199">
        <v>9</v>
      </c>
      <c r="B199">
        <v>0</v>
      </c>
      <c r="C199" s="3">
        <v>2301</v>
      </c>
      <c r="D199" t="s">
        <v>342</v>
      </c>
      <c r="E199" t="s">
        <v>452</v>
      </c>
      <c r="F199" t="s">
        <v>453</v>
      </c>
      <c r="G199" t="s">
        <v>341</v>
      </c>
      <c r="H199">
        <v>20051130</v>
      </c>
      <c r="I199">
        <v>22863</v>
      </c>
      <c r="J199">
        <f>I199+50</f>
        <v>22913</v>
      </c>
      <c r="K199" s="5">
        <f t="shared" si="104"/>
        <v>0.26461805555555556</v>
      </c>
      <c r="L199" t="s">
        <v>344</v>
      </c>
      <c r="M199" t="s">
        <v>345</v>
      </c>
      <c r="N199">
        <v>2.7</v>
      </c>
      <c r="Q199" t="s">
        <v>350</v>
      </c>
      <c r="R199" t="s">
        <v>343</v>
      </c>
      <c r="S199">
        <v>2</v>
      </c>
      <c r="T199">
        <v>1</v>
      </c>
      <c r="U199">
        <v>37.463999999999999</v>
      </c>
      <c r="V199">
        <v>20</v>
      </c>
      <c r="W199">
        <v>1.2</v>
      </c>
      <c r="X199">
        <v>0.25</v>
      </c>
      <c r="Y199">
        <v>183</v>
      </c>
      <c r="AA199" s="3">
        <f t="shared" si="85"/>
        <v>2301</v>
      </c>
      <c r="AM199" s="6">
        <v>189.05</v>
      </c>
      <c r="AS199" s="7">
        <v>604</v>
      </c>
      <c r="AT199" s="7">
        <v>72.8</v>
      </c>
      <c r="AW199">
        <v>1</v>
      </c>
      <c r="AX199" s="7">
        <v>107</v>
      </c>
      <c r="BA199">
        <v>2.4</v>
      </c>
      <c r="BB199">
        <v>2</v>
      </c>
      <c r="BC199">
        <v>3</v>
      </c>
      <c r="BG199">
        <v>10</v>
      </c>
      <c r="BV199">
        <v>4.8000000000000001E-2</v>
      </c>
      <c r="BZ199">
        <v>0.11849999999999999</v>
      </c>
      <c r="CA199">
        <v>7.6999999999999999E-2</v>
      </c>
      <c r="CB199">
        <v>0.16</v>
      </c>
      <c r="CF199" s="13"/>
      <c r="CG199" s="13"/>
      <c r="CH199" s="13"/>
      <c r="CL199">
        <v>5.0999999999999996</v>
      </c>
      <c r="CO199">
        <v>11.5</v>
      </c>
      <c r="DH199" s="14">
        <f t="shared" si="101"/>
        <v>3424769.4038394978</v>
      </c>
      <c r="DI199" s="6">
        <v>0.18410000000000001</v>
      </c>
      <c r="DJ199" s="6">
        <v>2.7484771000000002E-2</v>
      </c>
      <c r="DK199" s="32">
        <v>2.3433399999999999E-6</v>
      </c>
      <c r="DL199" s="1">
        <v>0.134156672</v>
      </c>
      <c r="DM199" s="14">
        <v>8.8329599999999997E-7</v>
      </c>
      <c r="DN199" s="1">
        <f t="shared" si="102"/>
        <v>0.3769388991780962</v>
      </c>
      <c r="DP199" s="14">
        <f t="shared" si="103"/>
        <v>1225350397662.6365</v>
      </c>
      <c r="DQ199" s="6">
        <v>2.7531159999999999E-2</v>
      </c>
      <c r="DS199" s="6">
        <v>-22.35</v>
      </c>
      <c r="DU199" s="14"/>
      <c r="EI199" t="s">
        <v>346</v>
      </c>
    </row>
    <row r="200" spans="1:252" x14ac:dyDescent="0.35">
      <c r="A200">
        <v>9</v>
      </c>
      <c r="B200">
        <v>0</v>
      </c>
      <c r="C200">
        <v>4432</v>
      </c>
      <c r="D200" t="s">
        <v>342</v>
      </c>
      <c r="E200" t="s">
        <v>451</v>
      </c>
      <c r="F200" t="s">
        <v>453</v>
      </c>
      <c r="G200" t="s">
        <v>341</v>
      </c>
      <c r="H200">
        <v>20051130</v>
      </c>
      <c r="I200">
        <v>23318</v>
      </c>
      <c r="J200">
        <f>I200+60</f>
        <v>23378</v>
      </c>
      <c r="K200" s="5">
        <f t="shared" si="104"/>
        <v>0.2698842592592593</v>
      </c>
      <c r="L200" t="s">
        <v>344</v>
      </c>
      <c r="M200" t="s">
        <v>345</v>
      </c>
      <c r="N200">
        <v>2.7</v>
      </c>
      <c r="Q200" t="s">
        <v>351</v>
      </c>
      <c r="R200" t="s">
        <v>343</v>
      </c>
      <c r="S200">
        <v>2</v>
      </c>
      <c r="T200">
        <v>1</v>
      </c>
      <c r="U200">
        <v>37.463999999999999</v>
      </c>
      <c r="V200">
        <v>20</v>
      </c>
      <c r="W200">
        <v>1.2</v>
      </c>
      <c r="X200">
        <v>0.25</v>
      </c>
      <c r="Y200" s="6">
        <v>183</v>
      </c>
      <c r="Z200" s="6"/>
      <c r="AA200" s="3">
        <f t="shared" si="85"/>
        <v>4432</v>
      </c>
      <c r="AM200" s="6">
        <v>192.25</v>
      </c>
      <c r="AS200" s="7">
        <v>614</v>
      </c>
      <c r="AT200" s="7">
        <v>68.3</v>
      </c>
      <c r="AW200">
        <v>1</v>
      </c>
      <c r="AX200" s="7">
        <v>75</v>
      </c>
      <c r="BA200">
        <v>2.4</v>
      </c>
      <c r="BB200" s="6">
        <v>2</v>
      </c>
      <c r="BC200">
        <v>3</v>
      </c>
      <c r="BG200">
        <v>10</v>
      </c>
      <c r="BV200">
        <v>0</v>
      </c>
      <c r="BZ200">
        <v>3.5999999999999997E-2</v>
      </c>
      <c r="CA200">
        <v>0</v>
      </c>
      <c r="CB200">
        <v>7.1999999999999995E-2</v>
      </c>
      <c r="CF200" s="13"/>
      <c r="CG200" s="13"/>
      <c r="CH200" s="13"/>
      <c r="DH200" s="14">
        <f t="shared" si="101"/>
        <v>5785992.1672710329</v>
      </c>
      <c r="DI200" s="6">
        <v>0.25600000000000001</v>
      </c>
      <c r="DJ200" s="6">
        <v>4.7164202000000002E-2</v>
      </c>
      <c r="DK200" s="32">
        <v>4.2861399999999998E-6</v>
      </c>
      <c r="DL200" s="1">
        <v>0.123769015</v>
      </c>
      <c r="DM200" s="14">
        <v>2.90864E-7</v>
      </c>
      <c r="DN200" s="1">
        <f t="shared" si="102"/>
        <v>6.7861525755108329E-2</v>
      </c>
      <c r="DP200" s="14">
        <f t="shared" si="103"/>
        <v>0</v>
      </c>
      <c r="DQ200" s="6">
        <v>4.7237214999999999E-2</v>
      </c>
      <c r="DS200" s="6">
        <v>-22.88</v>
      </c>
      <c r="EI200" t="s">
        <v>346</v>
      </c>
    </row>
    <row r="201" spans="1:252" ht="15" thickBot="1" x14ac:dyDescent="0.4">
      <c r="A201">
        <v>9</v>
      </c>
      <c r="B201">
        <v>0</v>
      </c>
      <c r="C201">
        <v>4500</v>
      </c>
      <c r="D201" t="s">
        <v>342</v>
      </c>
      <c r="E201" t="s">
        <v>451</v>
      </c>
      <c r="F201" t="s">
        <v>453</v>
      </c>
      <c r="G201" t="s">
        <v>341</v>
      </c>
      <c r="H201">
        <v>20051130</v>
      </c>
      <c r="I201">
        <v>24952</v>
      </c>
      <c r="J201">
        <f>I201+100</f>
        <v>25052</v>
      </c>
      <c r="K201" s="5">
        <f t="shared" si="104"/>
        <v>0.28879629629629633</v>
      </c>
      <c r="L201" t="s">
        <v>344</v>
      </c>
      <c r="M201" t="s">
        <v>345</v>
      </c>
      <c r="N201">
        <v>2.7</v>
      </c>
      <c r="Q201" t="s">
        <v>352</v>
      </c>
      <c r="R201" t="s">
        <v>343</v>
      </c>
      <c r="S201">
        <v>2</v>
      </c>
      <c r="T201">
        <v>1</v>
      </c>
      <c r="U201">
        <v>37.463999999999999</v>
      </c>
      <c r="V201">
        <v>20</v>
      </c>
      <c r="W201">
        <v>1.2</v>
      </c>
      <c r="X201">
        <v>0.25</v>
      </c>
      <c r="Y201" s="19">
        <v>183</v>
      </c>
      <c r="Z201" s="19"/>
      <c r="AA201" s="3">
        <f t="shared" si="85"/>
        <v>4500</v>
      </c>
      <c r="AK201">
        <v>3000</v>
      </c>
      <c r="AL201">
        <v>7000</v>
      </c>
      <c r="AM201" s="6">
        <v>189.95</v>
      </c>
      <c r="AS201" s="7">
        <v>597</v>
      </c>
      <c r="AT201" s="7">
        <v>74.8</v>
      </c>
      <c r="AW201">
        <v>1</v>
      </c>
      <c r="AX201" s="7">
        <v>89</v>
      </c>
      <c r="BA201">
        <v>2.4</v>
      </c>
      <c r="BB201">
        <v>2</v>
      </c>
      <c r="BC201">
        <v>3</v>
      </c>
      <c r="BG201">
        <v>10</v>
      </c>
      <c r="BV201">
        <v>0.05</v>
      </c>
      <c r="BZ201">
        <v>0.30499999999999999</v>
      </c>
      <c r="CA201">
        <v>0.21</v>
      </c>
      <c r="CB201">
        <v>0.4</v>
      </c>
      <c r="CF201" s="13"/>
      <c r="CG201" s="13"/>
      <c r="CH201" s="13"/>
      <c r="CL201">
        <v>7.1</v>
      </c>
      <c r="CO201">
        <v>19.5</v>
      </c>
      <c r="DH201" s="14">
        <f t="shared" si="101"/>
        <v>5856903.2640815973</v>
      </c>
      <c r="DI201" s="6">
        <v>0.20200000000000001</v>
      </c>
      <c r="DJ201" s="6">
        <v>3.2050973000000003E-2</v>
      </c>
      <c r="DK201" s="32">
        <v>2.6595900000000001E-6</v>
      </c>
      <c r="DL201" s="1">
        <v>0.13718918599999999</v>
      </c>
      <c r="DM201" s="14">
        <v>2.22321E-6</v>
      </c>
      <c r="DN201" s="1">
        <f t="shared" si="102"/>
        <v>0.83592207821506326</v>
      </c>
      <c r="DP201" s="14">
        <f t="shared" si="103"/>
        <v>2134608213245.6116</v>
      </c>
      <c r="DQ201" s="6">
        <v>3.2103721000000002E-2</v>
      </c>
      <c r="DS201" s="6">
        <v>-18.55</v>
      </c>
      <c r="DU201" s="14"/>
      <c r="EI201" t="s">
        <v>346</v>
      </c>
    </row>
    <row r="202" spans="1:252" ht="15" thickBot="1" x14ac:dyDescent="0.4">
      <c r="A202">
        <v>9</v>
      </c>
      <c r="B202">
        <v>0</v>
      </c>
      <c r="C202" s="33">
        <v>3025</v>
      </c>
      <c r="D202" t="s">
        <v>342</v>
      </c>
      <c r="E202" t="s">
        <v>465</v>
      </c>
      <c r="F202" t="s">
        <v>453</v>
      </c>
      <c r="G202" t="s">
        <v>341</v>
      </c>
      <c r="H202">
        <v>20051130</v>
      </c>
      <c r="I202" s="34">
        <v>21633</v>
      </c>
      <c r="J202" s="34">
        <f>I202+10</f>
        <v>21643</v>
      </c>
      <c r="K202" s="5">
        <f t="shared" si="104"/>
        <v>0.25038194444444445</v>
      </c>
      <c r="L202" t="s">
        <v>344</v>
      </c>
      <c r="M202" t="s">
        <v>345</v>
      </c>
      <c r="N202">
        <v>2.7</v>
      </c>
      <c r="Q202" t="s">
        <v>466</v>
      </c>
      <c r="R202" t="s">
        <v>343</v>
      </c>
      <c r="S202">
        <v>2</v>
      </c>
      <c r="T202">
        <v>1</v>
      </c>
      <c r="U202">
        <v>37.463999999999999</v>
      </c>
      <c r="V202">
        <v>20</v>
      </c>
      <c r="W202">
        <v>1.2</v>
      </c>
      <c r="X202">
        <v>0.25</v>
      </c>
      <c r="Y202" s="6">
        <v>183</v>
      </c>
      <c r="Z202" s="19"/>
      <c r="AA202" s="3">
        <f t="shared" si="85"/>
        <v>3025</v>
      </c>
      <c r="AK202" s="3">
        <f>AA202-30</f>
        <v>2995</v>
      </c>
      <c r="AL202" s="3">
        <f>AA202+30</f>
        <v>3055</v>
      </c>
      <c r="AM202" s="6">
        <f>-82.3+273.15</f>
        <v>190.84999999999997</v>
      </c>
      <c r="AN202" s="6">
        <f>AM202-0.5</f>
        <v>190.34999999999997</v>
      </c>
      <c r="AO202" s="6">
        <f>AM202+0.5</f>
        <v>191.34999999999997</v>
      </c>
      <c r="AP202" s="6">
        <v>18.3</v>
      </c>
      <c r="AQ202" s="6">
        <f>AP202-0.1</f>
        <v>18.2</v>
      </c>
      <c r="AR202" s="6">
        <f>AP202+0.1</f>
        <v>18.400000000000002</v>
      </c>
      <c r="AS202" s="7">
        <v>594</v>
      </c>
      <c r="AT202" s="34">
        <v>74.099999999999994</v>
      </c>
      <c r="AU202" s="7">
        <f>AT202-0.5</f>
        <v>73.599999999999994</v>
      </c>
      <c r="AV202" s="7">
        <f>AT202+0.5</f>
        <v>74.599999999999994</v>
      </c>
      <c r="AX202" s="7">
        <v>68</v>
      </c>
      <c r="BA202">
        <v>2.4</v>
      </c>
      <c r="BB202" s="6">
        <v>2</v>
      </c>
      <c r="BC202">
        <v>3</v>
      </c>
      <c r="BG202">
        <v>10</v>
      </c>
      <c r="BV202">
        <v>1.4E-2</v>
      </c>
      <c r="BW202">
        <v>0.01</v>
      </c>
      <c r="BX202">
        <v>1.6E-2</v>
      </c>
      <c r="BZ202">
        <v>0.1</v>
      </c>
      <c r="CA202">
        <v>0.05</v>
      </c>
      <c r="CF202" s="13"/>
      <c r="CG202" s="13"/>
      <c r="CH202" s="13"/>
      <c r="CL202">
        <v>12</v>
      </c>
      <c r="CO202">
        <v>1.9</v>
      </c>
      <c r="DH202" s="14">
        <f t="shared" si="101"/>
        <v>4262636.9300481444</v>
      </c>
      <c r="DI202" s="6">
        <v>0.20200000000000001</v>
      </c>
      <c r="DJ202" s="6">
        <v>3.2050973000000003E-2</v>
      </c>
      <c r="DK202" s="32">
        <f t="shared" ref="DK202:DK203" si="105">(18/29)*DJ202/(AT202*100)</f>
        <v>2.6847108474103036E-6</v>
      </c>
      <c r="DL202" s="1">
        <v>0.13718918599999999</v>
      </c>
      <c r="DM202">
        <f t="shared" ref="DM202:DM203" si="106">BZ202*0.000001/DL202</f>
        <v>7.2892042671643233E-7</v>
      </c>
      <c r="DN202" s="1">
        <f t="shared" ref="DN202:DN203" si="107">DM202/DK202</f>
        <v>0.27150798285020361</v>
      </c>
      <c r="DP202" s="14">
        <f t="shared" si="103"/>
        <v>434997238198.30829</v>
      </c>
      <c r="DQ202" s="6">
        <f t="shared" ref="DQ202:DQ203" si="108">EXP(9.550426-5723.265/AM202+3.53068*LN(AM202)-0.00728332*AM202)</f>
        <v>3.7382149217713684E-2</v>
      </c>
      <c r="DU202" s="14"/>
      <c r="EI202" t="s">
        <v>346</v>
      </c>
    </row>
    <row r="203" spans="1:252" ht="15" thickBot="1" x14ac:dyDescent="0.4">
      <c r="A203">
        <v>9</v>
      </c>
      <c r="B203">
        <v>0</v>
      </c>
      <c r="C203" s="33">
        <v>1531</v>
      </c>
      <c r="D203" t="s">
        <v>342</v>
      </c>
      <c r="E203" t="s">
        <v>465</v>
      </c>
      <c r="F203" t="s">
        <v>453</v>
      </c>
      <c r="G203" t="s">
        <v>341</v>
      </c>
      <c r="H203">
        <v>20051130</v>
      </c>
      <c r="I203" s="34">
        <v>22120</v>
      </c>
      <c r="J203" s="34">
        <f>I203+15</f>
        <v>22135</v>
      </c>
      <c r="K203" s="5">
        <f t="shared" si="104"/>
        <v>0.25601851851851853</v>
      </c>
      <c r="L203" t="s">
        <v>344</v>
      </c>
      <c r="M203" t="s">
        <v>345</v>
      </c>
      <c r="N203">
        <v>2.7</v>
      </c>
      <c r="Q203" t="s">
        <v>467</v>
      </c>
      <c r="R203" t="s">
        <v>343</v>
      </c>
      <c r="S203">
        <v>2</v>
      </c>
      <c r="T203">
        <v>1</v>
      </c>
      <c r="U203">
        <v>37.463999999999999</v>
      </c>
      <c r="V203">
        <v>20</v>
      </c>
      <c r="W203">
        <v>1.2</v>
      </c>
      <c r="X203">
        <v>0.25</v>
      </c>
      <c r="Y203" s="19">
        <v>183</v>
      </c>
      <c r="Z203" s="19"/>
      <c r="AA203" s="3">
        <f t="shared" si="85"/>
        <v>1531</v>
      </c>
      <c r="AK203" s="3">
        <f>AA203-30</f>
        <v>1501</v>
      </c>
      <c r="AL203" s="3">
        <f>AA203+30</f>
        <v>1561</v>
      </c>
      <c r="AM203" s="6">
        <f>-80.9+273.15</f>
        <v>192.24999999999997</v>
      </c>
      <c r="AN203" s="6">
        <f>AM203-0.5</f>
        <v>191.74999999999997</v>
      </c>
      <c r="AO203" s="6">
        <f>AM203+0.5</f>
        <v>192.74999999999997</v>
      </c>
      <c r="AP203" s="6">
        <v>18</v>
      </c>
      <c r="AQ203" s="6">
        <f>AP203-0.1</f>
        <v>17.899999999999999</v>
      </c>
      <c r="AR203" s="6">
        <f>AP203+0.1</f>
        <v>18.100000000000001</v>
      </c>
      <c r="AS203" s="7">
        <v>584</v>
      </c>
      <c r="AT203" s="7">
        <v>77.3</v>
      </c>
      <c r="AU203" s="7">
        <f>AT203-0.5</f>
        <v>76.8</v>
      </c>
      <c r="AV203" s="7">
        <f>AT203+0.5</f>
        <v>77.8</v>
      </c>
      <c r="AX203" s="7">
        <v>75</v>
      </c>
      <c r="BA203">
        <v>2.4</v>
      </c>
      <c r="BB203">
        <v>2</v>
      </c>
      <c r="BC203">
        <v>3</v>
      </c>
      <c r="BG203">
        <v>10</v>
      </c>
      <c r="BV203">
        <v>0.01</v>
      </c>
      <c r="BW203">
        <v>5.0000000000000001E-3</v>
      </c>
      <c r="BX203">
        <v>1.2999999999999999E-2</v>
      </c>
      <c r="BZ203">
        <v>0.15</v>
      </c>
      <c r="CA203">
        <v>0.05</v>
      </c>
      <c r="CF203" s="13"/>
      <c r="CG203" s="13"/>
      <c r="CH203" s="13"/>
      <c r="CL203">
        <v>8</v>
      </c>
      <c r="CO203">
        <v>5.3</v>
      </c>
      <c r="DH203" s="14">
        <f t="shared" si="101"/>
        <v>2472169.2067843727</v>
      </c>
      <c r="DI203" s="6">
        <v>0.20200000000000001</v>
      </c>
      <c r="DJ203" s="6">
        <v>3.2050973000000003E-2</v>
      </c>
      <c r="DK203" s="32">
        <f t="shared" si="105"/>
        <v>2.5735714591604587E-6</v>
      </c>
      <c r="DL203" s="1">
        <v>0.13718918599999999</v>
      </c>
      <c r="DM203">
        <f t="shared" si="106"/>
        <v>1.0933806400746484E-6</v>
      </c>
      <c r="DN203" s="1">
        <f t="shared" si="107"/>
        <v>0.42484953591742397</v>
      </c>
      <c r="DP203" s="14">
        <f t="shared" si="103"/>
        <v>180201463312.44891</v>
      </c>
      <c r="DQ203" s="6">
        <f t="shared" si="108"/>
        <v>4.723721548514901E-2</v>
      </c>
      <c r="DU203" s="14"/>
      <c r="EI203" t="s">
        <v>346</v>
      </c>
    </row>
    <row r="204" spans="1:252" x14ac:dyDescent="0.35">
      <c r="A204">
        <v>9</v>
      </c>
      <c r="B204">
        <v>0</v>
      </c>
      <c r="C204">
        <v>3513</v>
      </c>
      <c r="D204" t="s">
        <v>342</v>
      </c>
      <c r="E204" t="s">
        <v>478</v>
      </c>
      <c r="F204" t="s">
        <v>453</v>
      </c>
      <c r="G204" t="s">
        <v>341</v>
      </c>
      <c r="H204" s="10">
        <v>20051129</v>
      </c>
      <c r="I204">
        <v>21960</v>
      </c>
      <c r="J204">
        <v>34680</v>
      </c>
      <c r="K204" s="5">
        <f>I204/(24*3699)</f>
        <v>0.24736415247364152</v>
      </c>
      <c r="L204" t="s">
        <v>344</v>
      </c>
      <c r="M204" s="9" t="s">
        <v>399</v>
      </c>
      <c r="N204" s="6"/>
      <c r="O204" s="6"/>
      <c r="Q204" t="s">
        <v>400</v>
      </c>
      <c r="R204" t="s">
        <v>343</v>
      </c>
      <c r="S204">
        <v>2</v>
      </c>
      <c r="T204">
        <v>1</v>
      </c>
      <c r="U204">
        <v>37.463999999999999</v>
      </c>
      <c r="V204">
        <v>20</v>
      </c>
      <c r="W204">
        <v>1</v>
      </c>
      <c r="X204">
        <v>0.25</v>
      </c>
      <c r="Y204" s="19">
        <v>184</v>
      </c>
      <c r="AA204" s="3">
        <f t="shared" si="85"/>
        <v>3513</v>
      </c>
      <c r="AK204">
        <f>AA204-1909</f>
        <v>1604</v>
      </c>
      <c r="AL204">
        <f>AA204+1909</f>
        <v>5422</v>
      </c>
      <c r="AM204" s="6">
        <v>188.6</v>
      </c>
      <c r="AN204" s="6">
        <f>AM204-1.3</f>
        <v>187.29999999999998</v>
      </c>
      <c r="AO204" s="6">
        <f>AM204+1.3</f>
        <v>189.9</v>
      </c>
      <c r="AP204" s="6">
        <v>17.02</v>
      </c>
      <c r="AQ204" s="6">
        <f>AP204-0.03</f>
        <v>16.989999999999998</v>
      </c>
      <c r="AR204" s="6">
        <f>AP204+0.03</f>
        <v>17.05</v>
      </c>
      <c r="AS204" s="7">
        <f>17.02*1000/30.48</f>
        <v>558.39895013123362</v>
      </c>
      <c r="AT204" s="7">
        <v>87.6</v>
      </c>
      <c r="AU204" s="7">
        <f>AT204-0.5</f>
        <v>87.1</v>
      </c>
      <c r="AV204" s="7">
        <f>AT204+0.5</f>
        <v>88.1</v>
      </c>
      <c r="BA204"/>
      <c r="BV204">
        <v>3.1E-2</v>
      </c>
      <c r="BW204">
        <f>BV204-0.028</f>
        <v>2.9999999999999992E-3</v>
      </c>
      <c r="BX204">
        <f>BV204+0.028</f>
        <v>5.8999999999999997E-2</v>
      </c>
      <c r="BZ204">
        <v>6.0000000000000001E-3</v>
      </c>
      <c r="CA204">
        <f>BZ204-0.003</f>
        <v>3.0000000000000001E-3</v>
      </c>
      <c r="CB204">
        <f>BZ204+0.003</f>
        <v>9.0000000000000011E-3</v>
      </c>
      <c r="CF204" s="13"/>
      <c r="CG204" s="13"/>
      <c r="CH204" s="13"/>
      <c r="DH204" s="14">
        <f>7000*POWER(AA204,0.8)</f>
        <v>4804415.5047253156</v>
      </c>
      <c r="DP204" s="14"/>
      <c r="DS204" s="6">
        <v>-18.489999999999998</v>
      </c>
    </row>
    <row r="205" spans="1:252" x14ac:dyDescent="0.35">
      <c r="A205">
        <v>9</v>
      </c>
      <c r="B205">
        <v>0</v>
      </c>
      <c r="C205">
        <v>3395</v>
      </c>
      <c r="D205" t="s">
        <v>342</v>
      </c>
      <c r="E205" t="s">
        <v>478</v>
      </c>
      <c r="F205" t="s">
        <v>453</v>
      </c>
      <c r="G205" t="s">
        <v>341</v>
      </c>
      <c r="H205" s="10">
        <v>20051130</v>
      </c>
      <c r="I205" s="12">
        <v>18000</v>
      </c>
      <c r="J205" s="12">
        <v>25200</v>
      </c>
      <c r="K205" s="5">
        <f>I205/(24*3699)</f>
        <v>0.20275750202757503</v>
      </c>
      <c r="L205" t="s">
        <v>344</v>
      </c>
      <c r="M205" s="9" t="s">
        <v>399</v>
      </c>
      <c r="P205" s="10"/>
      <c r="Q205" t="s">
        <v>401</v>
      </c>
      <c r="R205" t="s">
        <v>343</v>
      </c>
      <c r="S205">
        <v>2</v>
      </c>
      <c r="T205">
        <v>1</v>
      </c>
      <c r="U205">
        <v>37.463999999999999</v>
      </c>
      <c r="V205">
        <v>20</v>
      </c>
      <c r="W205">
        <v>1</v>
      </c>
      <c r="X205">
        <v>0.25</v>
      </c>
      <c r="Y205" s="19">
        <v>184</v>
      </c>
      <c r="AA205" s="3">
        <f t="shared" si="85"/>
        <v>3395</v>
      </c>
      <c r="AK205">
        <f>AA205-1546</f>
        <v>1849</v>
      </c>
      <c r="AL205">
        <f>AA205+1546</f>
        <v>4941</v>
      </c>
      <c r="AM205" s="6">
        <v>192</v>
      </c>
      <c r="AN205" s="6">
        <f>AM205-1.5</f>
        <v>190.5</v>
      </c>
      <c r="AO205" s="6">
        <f>AM205+1.5</f>
        <v>193.5</v>
      </c>
      <c r="AP205" s="6">
        <v>17.989999999999998</v>
      </c>
      <c r="AQ205" s="6">
        <f>AP205-0.29</f>
        <v>17.7</v>
      </c>
      <c r="AR205" s="6">
        <f>AP205+0.29</f>
        <v>18.279999999999998</v>
      </c>
      <c r="AS205" s="7">
        <f>17.99*1000/30.48</f>
        <v>590.22309711286084</v>
      </c>
      <c r="AT205" s="7">
        <v>75.2</v>
      </c>
      <c r="AU205" s="7">
        <f>AT205-4.2</f>
        <v>71</v>
      </c>
      <c r="AV205" s="7">
        <f>AT205+4.2</f>
        <v>79.400000000000006</v>
      </c>
      <c r="AX205" s="7">
        <v>63</v>
      </c>
      <c r="AY205" s="7">
        <f>AX205-16</f>
        <v>47</v>
      </c>
      <c r="AZ205" s="7">
        <f>AX205+16</f>
        <v>79</v>
      </c>
      <c r="BA205"/>
      <c r="BV205">
        <v>3.0200000000000001E-2</v>
      </c>
      <c r="BW205">
        <f>BV205-0.025</f>
        <v>5.1999999999999998E-3</v>
      </c>
      <c r="BX205">
        <f>BV205+0.025</f>
        <v>5.5199999999999999E-2</v>
      </c>
      <c r="BY205">
        <f>(4*3.141592*917/3)*CL205*CL205*CL205*0.000000000000000001*BV204*1000000000000</f>
        <v>0</v>
      </c>
      <c r="BZ205">
        <v>0.16</v>
      </c>
      <c r="CA205">
        <f>BZ205-0.314</f>
        <v>-0.154</v>
      </c>
      <c r="CB205">
        <f>BZ205+0.314</f>
        <v>0.47399999999999998</v>
      </c>
      <c r="CF205" s="13"/>
      <c r="CG205" s="13"/>
      <c r="CH205" s="13"/>
      <c r="DH205" s="14">
        <f t="shared" si="101"/>
        <v>4674873.4930643057</v>
      </c>
      <c r="DP205" s="14"/>
      <c r="DS205" s="6">
        <v>-21.86</v>
      </c>
    </row>
    <row r="206" spans="1:252" x14ac:dyDescent="0.35">
      <c r="A206">
        <v>9</v>
      </c>
      <c r="B206">
        <v>0</v>
      </c>
      <c r="C206">
        <v>2284</v>
      </c>
      <c r="D206" t="s">
        <v>342</v>
      </c>
      <c r="E206" t="s">
        <v>478</v>
      </c>
      <c r="F206" t="s">
        <v>453</v>
      </c>
      <c r="G206" t="s">
        <v>341</v>
      </c>
      <c r="H206" s="10">
        <v>20051130</v>
      </c>
      <c r="I206" s="10">
        <v>47000</v>
      </c>
      <c r="J206" s="10">
        <v>60260</v>
      </c>
      <c r="K206" s="5">
        <f>I206/(24*3699)</f>
        <v>0.5294223664053348</v>
      </c>
      <c r="L206" t="s">
        <v>344</v>
      </c>
      <c r="M206" s="9" t="s">
        <v>399</v>
      </c>
      <c r="N206" s="11"/>
      <c r="P206" s="10"/>
      <c r="Q206" t="s">
        <v>402</v>
      </c>
      <c r="R206" t="s">
        <v>343</v>
      </c>
      <c r="S206">
        <v>2</v>
      </c>
      <c r="T206">
        <v>1</v>
      </c>
      <c r="U206">
        <v>37.463999999999999</v>
      </c>
      <c r="V206">
        <v>20</v>
      </c>
      <c r="W206">
        <v>1</v>
      </c>
      <c r="X206">
        <v>0.25</v>
      </c>
      <c r="Y206" s="19">
        <v>184</v>
      </c>
      <c r="AA206" s="3">
        <f t="shared" si="85"/>
        <v>2284</v>
      </c>
      <c r="AK206">
        <f>AA206-2659</f>
        <v>-375</v>
      </c>
      <c r="AL206">
        <f>AA206+2659</f>
        <v>4943</v>
      </c>
      <c r="AM206" s="6">
        <v>191</v>
      </c>
      <c r="AN206" s="6">
        <f>AM206-0.9</f>
        <v>190.1</v>
      </c>
      <c r="AO206" s="6">
        <f>AM206+0.9</f>
        <v>191.9</v>
      </c>
      <c r="AP206" s="6">
        <v>16.690000000000001</v>
      </c>
      <c r="AQ206" s="6">
        <f>AP206-0.16</f>
        <v>16.53</v>
      </c>
      <c r="AR206" s="6">
        <f>AP206+0.16</f>
        <v>16.850000000000001</v>
      </c>
      <c r="AS206" s="7">
        <f>16.69*1000/30.48</f>
        <v>547.57217847769027</v>
      </c>
      <c r="AT206" s="7">
        <v>92.2</v>
      </c>
      <c r="AU206" s="7">
        <f>AT206-2.7</f>
        <v>89.5</v>
      </c>
      <c r="AV206" s="7">
        <f>AT206+2.7</f>
        <v>94.9</v>
      </c>
      <c r="AX206" s="7">
        <v>59</v>
      </c>
      <c r="AY206" s="7">
        <f>AX206-15</f>
        <v>44</v>
      </c>
      <c r="AZ206" s="7">
        <f>AX206+15</f>
        <v>74</v>
      </c>
      <c r="BA206"/>
      <c r="BY206">
        <f>(4*3.141592*917/3)*CL206*CL206*CL206*0.000000000000000001*BV205*1000000000000</f>
        <v>0</v>
      </c>
      <c r="BZ206">
        <v>0.121</v>
      </c>
      <c r="CA206">
        <f>BZ206-0.073</f>
        <v>4.8000000000000001E-2</v>
      </c>
      <c r="CB206">
        <f>BZ206+0.073</f>
        <v>0.19400000000000001</v>
      </c>
      <c r="CF206" s="13"/>
      <c r="CG206" s="13"/>
      <c r="CH206" s="13"/>
      <c r="DH206" s="14">
        <f t="shared" si="101"/>
        <v>3404512.3949661958</v>
      </c>
      <c r="DP206" s="14"/>
      <c r="DS206" s="6">
        <v>-19.399999999999999</v>
      </c>
    </row>
    <row r="207" spans="1:252" x14ac:dyDescent="0.35">
      <c r="A207">
        <v>0</v>
      </c>
      <c r="B207">
        <v>11</v>
      </c>
      <c r="C207">
        <v>5616</v>
      </c>
      <c r="D207" t="s">
        <v>342</v>
      </c>
      <c r="E207" t="s">
        <v>476</v>
      </c>
      <c r="F207" t="s">
        <v>196</v>
      </c>
      <c r="G207" t="s">
        <v>341</v>
      </c>
      <c r="H207" s="10">
        <v>20051130</v>
      </c>
      <c r="I207">
        <f>7*3600+38*60</f>
        <v>27480</v>
      </c>
      <c r="K207" s="5">
        <v>0.31805555555555554</v>
      </c>
      <c r="L207" t="s">
        <v>344</v>
      </c>
      <c r="M207" s="9" t="s">
        <v>477</v>
      </c>
      <c r="Q207" t="s">
        <v>403</v>
      </c>
      <c r="R207" t="s">
        <v>343</v>
      </c>
      <c r="S207">
        <v>2</v>
      </c>
      <c r="T207">
        <v>1</v>
      </c>
      <c r="U207">
        <v>37.463999999999999</v>
      </c>
      <c r="V207">
        <v>20</v>
      </c>
      <c r="W207">
        <v>1</v>
      </c>
      <c r="X207">
        <v>0.25</v>
      </c>
      <c r="Y207" s="19">
        <v>184</v>
      </c>
      <c r="AA207" s="3">
        <f t="shared" si="85"/>
        <v>5616</v>
      </c>
      <c r="AK207">
        <f>AA207-0.81*3600</f>
        <v>2700</v>
      </c>
      <c r="AL207">
        <f>AA207+0.81*3600</f>
        <v>8532</v>
      </c>
      <c r="AM207" s="6">
        <f>273-82</f>
        <v>191</v>
      </c>
      <c r="AN207" s="6">
        <f>AM207-2</f>
        <v>189</v>
      </c>
      <c r="AO207" s="6">
        <f>AM207+2</f>
        <v>193</v>
      </c>
      <c r="AP207" s="6">
        <v>18</v>
      </c>
      <c r="AQ207" s="6">
        <f>AP207+0.4</f>
        <v>18.399999999999999</v>
      </c>
      <c r="AR207" s="6">
        <f>AP207-0.4</f>
        <v>17.600000000000001</v>
      </c>
      <c r="AT207" s="7">
        <v>72</v>
      </c>
      <c r="AU207" s="7">
        <f>AT207-2</f>
        <v>70</v>
      </c>
      <c r="AV207" s="7">
        <f>AT207+2</f>
        <v>74</v>
      </c>
      <c r="AW207">
        <v>1</v>
      </c>
      <c r="BJ207">
        <v>400</v>
      </c>
      <c r="BM207">
        <v>400</v>
      </c>
      <c r="BN207">
        <v>300</v>
      </c>
      <c r="BO207">
        <v>600</v>
      </c>
      <c r="BP207" s="3">
        <v>25000</v>
      </c>
      <c r="BQ207" s="3">
        <v>15000</v>
      </c>
      <c r="BR207" s="3">
        <v>30000</v>
      </c>
      <c r="CF207" s="13"/>
      <c r="CG207" s="13"/>
      <c r="CH207" s="13"/>
      <c r="CY207">
        <v>0.03</v>
      </c>
      <c r="CZ207">
        <f>CY207-0.01</f>
        <v>1.9999999999999997E-2</v>
      </c>
      <c r="DA207">
        <v>0.04</v>
      </c>
      <c r="DB207" s="3">
        <v>639</v>
      </c>
      <c r="DC207" s="3">
        <f>DB207*0.8</f>
        <v>511.20000000000005</v>
      </c>
      <c r="DD207" s="3">
        <f>DB207*1.2</f>
        <v>766.8</v>
      </c>
      <c r="DH207" s="14">
        <f t="shared" ref="DH207:DH237" si="109">7000*POWER(AA207,0.8)</f>
        <v>6992616.6396747408</v>
      </c>
      <c r="DI207" s="6">
        <f t="shared" ref="DI207:DI237" si="110">EXP(6.97+0.103*(AM207-273.15))</f>
        <v>0.22504610199743991</v>
      </c>
      <c r="DJ207" s="6">
        <f t="shared" ref="DJ207:DJ237" si="111">100*EXP(-6024.5282/AM207+24.7219+(0.010613868-0.000013198825*AM207)*AM207-0.49382577*LN(AM207))</f>
        <v>3.8276169166497793E-2</v>
      </c>
      <c r="DK207" s="8">
        <f t="shared" ref="DK207:DK237" si="112">(18/29)*DJ207/(AT207*100)</f>
        <v>3.2996697557325683E-6</v>
      </c>
      <c r="DL207" s="1">
        <f t="shared" ref="DL207:DL237" si="113">AT207*100/(287.04*AM207)</f>
        <v>0.1313278117284491</v>
      </c>
      <c r="DP207" s="14"/>
      <c r="DQ207" s="6">
        <f t="shared" ref="DQ207:DQ237" si="114">EXP(9.550426-5723.265/AM207+3.53068*LN(AM207)-0.00728332*AM207)</f>
        <v>3.8337390990623388E-2</v>
      </c>
      <c r="DS207" s="6">
        <v>-22.07</v>
      </c>
    </row>
    <row r="208" spans="1:252" x14ac:dyDescent="0.35">
      <c r="A208">
        <v>0</v>
      </c>
      <c r="B208">
        <v>11</v>
      </c>
      <c r="C208">
        <v>7956</v>
      </c>
      <c r="D208" t="s">
        <v>342</v>
      </c>
      <c r="E208" t="s">
        <v>476</v>
      </c>
      <c r="F208" t="s">
        <v>196</v>
      </c>
      <c r="G208" t="s">
        <v>341</v>
      </c>
      <c r="H208" s="10">
        <v>20051130</v>
      </c>
      <c r="I208">
        <f>7*3600+39*60</f>
        <v>27540</v>
      </c>
      <c r="K208" s="5">
        <v>0.31875000000000003</v>
      </c>
      <c r="L208" t="s">
        <v>344</v>
      </c>
      <c r="M208" s="9" t="s">
        <v>477</v>
      </c>
      <c r="Q208" t="s">
        <v>404</v>
      </c>
      <c r="R208" t="s">
        <v>343</v>
      </c>
      <c r="S208">
        <v>2</v>
      </c>
      <c r="T208">
        <v>1</v>
      </c>
      <c r="U208">
        <v>37.463999999999999</v>
      </c>
      <c r="V208">
        <v>20</v>
      </c>
      <c r="W208">
        <v>1</v>
      </c>
      <c r="X208">
        <v>0.25</v>
      </c>
      <c r="Y208" s="19">
        <v>184</v>
      </c>
      <c r="AA208" s="3">
        <f t="shared" si="85"/>
        <v>7956</v>
      </c>
      <c r="AK208">
        <f>AA208-0.66*3600</f>
        <v>5580</v>
      </c>
      <c r="AL208">
        <f>AA208+0.66*3600</f>
        <v>10332</v>
      </c>
      <c r="AM208" s="6">
        <f>273-85</f>
        <v>188</v>
      </c>
      <c r="AN208" s="6">
        <f>AM208-1</f>
        <v>187</v>
      </c>
      <c r="AO208" s="6">
        <f>AM208+2</f>
        <v>190</v>
      </c>
      <c r="AP208" s="6">
        <v>17.2</v>
      </c>
      <c r="AQ208" s="6">
        <f>AP208-0.6</f>
        <v>16.599999999999998</v>
      </c>
      <c r="AR208" s="6">
        <f>AP208+0.6</f>
        <v>17.8</v>
      </c>
      <c r="AT208" s="7">
        <v>85</v>
      </c>
      <c r="AU208" s="7">
        <f>AT208-5</f>
        <v>80</v>
      </c>
      <c r="AV208" s="7">
        <f>AT208+5</f>
        <v>90</v>
      </c>
      <c r="AW208">
        <v>1</v>
      </c>
      <c r="BJ208">
        <v>800</v>
      </c>
      <c r="BM208">
        <v>800</v>
      </c>
      <c r="BN208">
        <v>600</v>
      </c>
      <c r="BO208">
        <v>1200</v>
      </c>
      <c r="BP208" s="3">
        <v>40000</v>
      </c>
      <c r="BQ208" s="3">
        <v>25000</v>
      </c>
      <c r="BR208" s="3">
        <v>50000</v>
      </c>
      <c r="CF208" s="13"/>
      <c r="CG208" s="13"/>
      <c r="CH208" s="13"/>
      <c r="CY208">
        <v>0.06</v>
      </c>
      <c r="CZ208">
        <f>CY208-0.02</f>
        <v>3.9999999999999994E-2</v>
      </c>
      <c r="DA208">
        <v>0.08</v>
      </c>
      <c r="DB208" s="3">
        <v>1505</v>
      </c>
      <c r="DC208" s="3">
        <f>DB208*0.8</f>
        <v>1204</v>
      </c>
      <c r="DD208" s="3">
        <f>DB208*1.2</f>
        <v>1806</v>
      </c>
      <c r="DH208" s="14">
        <f t="shared" si="109"/>
        <v>9239614.6667586938</v>
      </c>
      <c r="DI208" s="6">
        <f t="shared" si="110"/>
        <v>0.16522452045588956</v>
      </c>
      <c r="DJ208" s="6">
        <f t="shared" si="111"/>
        <v>2.2930791809229523E-2</v>
      </c>
      <c r="DK208" s="8">
        <f t="shared" si="112"/>
        <v>1.6744594424589511E-6</v>
      </c>
      <c r="DL208" s="1">
        <f t="shared" si="113"/>
        <v>0.15751381674138379</v>
      </c>
      <c r="DP208" s="14"/>
      <c r="DQ208" s="6">
        <f t="shared" si="114"/>
        <v>2.2970690843138856E-2</v>
      </c>
      <c r="DS208" s="6">
        <v>-20.72</v>
      </c>
    </row>
    <row r="209" spans="1:246" x14ac:dyDescent="0.35">
      <c r="A209">
        <v>8</v>
      </c>
      <c r="B209">
        <v>0</v>
      </c>
      <c r="C209" s="3">
        <v>1150</v>
      </c>
      <c r="D209" t="s">
        <v>275</v>
      </c>
      <c r="E209" t="s">
        <v>280</v>
      </c>
      <c r="F209" t="s">
        <v>313</v>
      </c>
      <c r="G209" t="s">
        <v>102</v>
      </c>
      <c r="H209">
        <v>20060201</v>
      </c>
      <c r="I209" s="35">
        <v>65350</v>
      </c>
      <c r="J209" s="35">
        <v>65700</v>
      </c>
      <c r="K209" s="5">
        <v>0.7597222222222223</v>
      </c>
      <c r="L209" t="s">
        <v>276</v>
      </c>
      <c r="M209" t="s">
        <v>277</v>
      </c>
      <c r="N209">
        <v>1</v>
      </c>
      <c r="Q209" t="s">
        <v>278</v>
      </c>
      <c r="R209" t="s">
        <v>314</v>
      </c>
      <c r="S209">
        <v>2</v>
      </c>
      <c r="T209">
        <v>1</v>
      </c>
      <c r="U209">
        <v>37.299999999999997</v>
      </c>
      <c r="V209">
        <v>24.8</v>
      </c>
      <c r="W209">
        <v>1.76</v>
      </c>
      <c r="X209">
        <v>0.25</v>
      </c>
      <c r="Y209">
        <v>201</v>
      </c>
      <c r="AA209" s="3">
        <f t="shared" si="85"/>
        <v>1150</v>
      </c>
      <c r="AK209">
        <v>410</v>
      </c>
      <c r="AL209">
        <v>1150</v>
      </c>
      <c r="AM209" s="6">
        <v>185</v>
      </c>
      <c r="AN209" s="6">
        <v>184</v>
      </c>
      <c r="AO209" s="6">
        <v>187</v>
      </c>
      <c r="AS209" s="7">
        <v>581</v>
      </c>
      <c r="AT209" s="7">
        <v>79</v>
      </c>
      <c r="AU209" s="7">
        <v>77</v>
      </c>
      <c r="AV209" s="7">
        <v>79.2</v>
      </c>
      <c r="AW209" t="s">
        <v>279</v>
      </c>
      <c r="AX209" s="7">
        <v>120</v>
      </c>
      <c r="AY209" s="7">
        <v>80</v>
      </c>
      <c r="AZ209" s="7">
        <v>160</v>
      </c>
      <c r="BA209" s="6">
        <v>2.3E-2</v>
      </c>
      <c r="BB209">
        <v>0.02</v>
      </c>
      <c r="BC209">
        <v>0.03</v>
      </c>
      <c r="BD209" s="6">
        <v>20</v>
      </c>
      <c r="BM209">
        <v>178</v>
      </c>
      <c r="BN209">
        <v>170</v>
      </c>
      <c r="BO209">
        <v>230</v>
      </c>
      <c r="BV209">
        <v>0.8</v>
      </c>
      <c r="BW209">
        <v>0.5</v>
      </c>
      <c r="BX209">
        <v>2.5</v>
      </c>
      <c r="BY209">
        <f>(4*3.141592*917/3)*CL209*CL209*CL209*0.000000000000000001*BV209*1000000000000</f>
        <v>0.19666533471573336</v>
      </c>
      <c r="BZ209">
        <v>0.2</v>
      </c>
      <c r="CF209" s="13"/>
      <c r="CG209" s="13"/>
      <c r="CH209" s="13"/>
      <c r="CI209">
        <v>0.11</v>
      </c>
      <c r="CL209">
        <v>4</v>
      </c>
      <c r="CO209">
        <v>3</v>
      </c>
      <c r="CX209">
        <v>0</v>
      </c>
      <c r="DH209" s="14">
        <f t="shared" si="109"/>
        <v>1966329.5792254792</v>
      </c>
      <c r="DI209" s="6">
        <f t="shared" si="110"/>
        <v>0.12130466565552497</v>
      </c>
      <c r="DJ209" s="6">
        <f t="shared" si="111"/>
        <v>1.3513615423042084E-2</v>
      </c>
      <c r="DK209" s="8">
        <f t="shared" si="112"/>
        <v>1.0617419363367854E-6</v>
      </c>
      <c r="DL209" s="1">
        <f t="shared" si="113"/>
        <v>0.14876917050830094</v>
      </c>
      <c r="DM209">
        <f t="shared" ref="DM209:DM237" si="115">BZ209*0.000001/DL209</f>
        <v>1.3443645569620253E-6</v>
      </c>
      <c r="DN209">
        <f t="shared" ref="DN209:DN237" si="116">DM209/DK209</f>
        <v>1.2661876779590551</v>
      </c>
      <c r="DO209">
        <f t="shared" ref="DO209:DO237" si="117">1.24*29*AT209*100/(DH209*18*DJ209)</f>
        <v>0.59394523369698027</v>
      </c>
      <c r="DP209" s="14">
        <f t="shared" ref="DP209:DP237" si="118">(BV209*1000000/DL209)*DH209</f>
        <v>10573855174467.148</v>
      </c>
      <c r="DQ209" s="6">
        <f t="shared" si="114"/>
        <v>1.353941980201067E-2</v>
      </c>
      <c r="DS209" s="6">
        <v>-25.1</v>
      </c>
      <c r="EI209" s="2" t="s">
        <v>281</v>
      </c>
      <c r="ES209" s="2"/>
      <c r="ET209" s="5"/>
      <c r="HL209" s="14"/>
      <c r="HM209" s="14"/>
      <c r="HN209" s="14"/>
      <c r="IL209" s="15"/>
    </row>
    <row r="210" spans="1:246" x14ac:dyDescent="0.35">
      <c r="A210">
        <v>10</v>
      </c>
      <c r="B210">
        <v>0</v>
      </c>
      <c r="C210" s="3">
        <v>90</v>
      </c>
      <c r="D210" t="s">
        <v>62</v>
      </c>
      <c r="E210" t="s">
        <v>166</v>
      </c>
      <c r="F210" t="s">
        <v>196</v>
      </c>
      <c r="G210" t="s">
        <v>12</v>
      </c>
      <c r="H210">
        <v>20081119</v>
      </c>
      <c r="I210">
        <f>11*3600+41*60</f>
        <v>42060</v>
      </c>
      <c r="J210">
        <v>42360</v>
      </c>
      <c r="L210" t="s">
        <v>243</v>
      </c>
      <c r="M210" t="s">
        <v>481</v>
      </c>
      <c r="N210">
        <v>1</v>
      </c>
      <c r="Q210" t="s">
        <v>12</v>
      </c>
      <c r="R210" t="s">
        <v>227</v>
      </c>
      <c r="T210">
        <v>1</v>
      </c>
      <c r="U210">
        <v>21.21</v>
      </c>
      <c r="V210">
        <v>21</v>
      </c>
      <c r="W210">
        <v>1.26</v>
      </c>
      <c r="X210">
        <v>0.35</v>
      </c>
      <c r="Y210">
        <v>218</v>
      </c>
      <c r="AA210" s="3">
        <f t="shared" si="85"/>
        <v>90</v>
      </c>
      <c r="AK210">
        <v>61</v>
      </c>
      <c r="AL210">
        <v>122</v>
      </c>
      <c r="AM210" s="6">
        <v>221.4</v>
      </c>
      <c r="AN210" s="6">
        <v>221.3</v>
      </c>
      <c r="AO210" s="6">
        <v>221.5</v>
      </c>
      <c r="AT210" s="7">
        <v>263</v>
      </c>
      <c r="AX210" s="7">
        <v>89</v>
      </c>
      <c r="AY210" s="7">
        <v>82</v>
      </c>
      <c r="AZ210" s="7">
        <v>95</v>
      </c>
      <c r="BV210">
        <v>125</v>
      </c>
      <c r="BX210">
        <v>180</v>
      </c>
      <c r="CF210" s="13"/>
      <c r="CG210" s="13"/>
      <c r="CH210" s="13"/>
      <c r="CI210">
        <v>0.8</v>
      </c>
      <c r="CK210">
        <v>1.6</v>
      </c>
      <c r="CO210">
        <v>2.6</v>
      </c>
      <c r="CX210" t="s">
        <v>54</v>
      </c>
      <c r="DH210" s="14">
        <f t="shared" si="109"/>
        <v>256148.63598805634</v>
      </c>
      <c r="DI210" s="6">
        <f t="shared" si="110"/>
        <v>5.1538808809422605</v>
      </c>
      <c r="DJ210" s="6">
        <f t="shared" si="111"/>
        <v>3.1654601254378774</v>
      </c>
      <c r="DK210" s="8">
        <f t="shared" si="112"/>
        <v>7.4706021053994756E-5</v>
      </c>
      <c r="DL210" s="1">
        <f t="shared" si="113"/>
        <v>0.41384309235139916</v>
      </c>
      <c r="DM210">
        <f t="shared" si="115"/>
        <v>0</v>
      </c>
      <c r="DN210">
        <f t="shared" si="116"/>
        <v>0</v>
      </c>
      <c r="DO210">
        <f t="shared" si="117"/>
        <v>6.4799854646018867E-2</v>
      </c>
      <c r="DP210" s="14">
        <f t="shared" si="118"/>
        <v>77368887122367.828</v>
      </c>
      <c r="DQ210" s="6">
        <f t="shared" si="114"/>
        <v>3.1680931612352103</v>
      </c>
      <c r="DS210" s="6">
        <v>-1.7589999999999999</v>
      </c>
      <c r="EI210" t="s">
        <v>320</v>
      </c>
      <c r="EJ210" t="s">
        <v>316</v>
      </c>
    </row>
    <row r="211" spans="1:246" x14ac:dyDescent="0.35">
      <c r="A211">
        <v>10</v>
      </c>
      <c r="B211">
        <v>0</v>
      </c>
      <c r="C211" s="3">
        <v>111.5</v>
      </c>
      <c r="D211" t="s">
        <v>62</v>
      </c>
      <c r="E211" t="s">
        <v>142</v>
      </c>
      <c r="F211" t="s">
        <v>196</v>
      </c>
      <c r="G211" t="s">
        <v>26</v>
      </c>
      <c r="H211">
        <v>20081119</v>
      </c>
      <c r="I211">
        <v>33200</v>
      </c>
      <c r="J211">
        <v>34061</v>
      </c>
      <c r="L211" t="s">
        <v>243</v>
      </c>
      <c r="M211" t="s">
        <v>481</v>
      </c>
      <c r="N211">
        <v>1</v>
      </c>
      <c r="Q211" t="s">
        <v>26</v>
      </c>
      <c r="R211" s="46" t="s">
        <v>485</v>
      </c>
      <c r="T211">
        <v>1</v>
      </c>
      <c r="U211">
        <v>34.1</v>
      </c>
      <c r="V211">
        <v>47</v>
      </c>
      <c r="W211">
        <v>2.4</v>
      </c>
      <c r="X211">
        <v>0.34</v>
      </c>
      <c r="Y211">
        <v>224.43</v>
      </c>
      <c r="AA211" s="3">
        <f t="shared" si="85"/>
        <v>111.5</v>
      </c>
      <c r="AK211">
        <v>105</v>
      </c>
      <c r="AL211">
        <v>118</v>
      </c>
      <c r="AM211" s="6">
        <v>217</v>
      </c>
      <c r="AP211" s="6">
        <v>10.6</v>
      </c>
      <c r="AQ211" s="47">
        <v>10.5</v>
      </c>
      <c r="AR211" s="47">
        <v>10.7</v>
      </c>
      <c r="AS211" s="48">
        <v>350</v>
      </c>
      <c r="AT211" s="7">
        <v>241</v>
      </c>
      <c r="AX211" s="7">
        <v>91</v>
      </c>
      <c r="AZ211" s="7">
        <v>91</v>
      </c>
      <c r="BA211" s="6">
        <v>1.7</v>
      </c>
      <c r="BG211">
        <v>2</v>
      </c>
      <c r="BJ211">
        <f>BS211*1000000/BP211</f>
        <v>120</v>
      </c>
      <c r="BM211">
        <v>120</v>
      </c>
      <c r="BP211" s="3">
        <v>54</v>
      </c>
      <c r="BQ211" s="3">
        <v>51</v>
      </c>
      <c r="BS211">
        <f>BM211*BP211*0.000001</f>
        <v>6.4799999999999996E-3</v>
      </c>
      <c r="BT211">
        <f>BM211*BQ211*0.000001</f>
        <v>6.1199999999999996E-3</v>
      </c>
      <c r="BV211">
        <v>162</v>
      </c>
      <c r="BW211">
        <v>144</v>
      </c>
      <c r="BX211">
        <v>180</v>
      </c>
      <c r="BY211">
        <f t="shared" ref="BY211:BY224" si="119">(4*3.141592*917/3)*CL211*CL211*CL211*0.000000000000000001*BV211*1000000000000</f>
        <v>0</v>
      </c>
      <c r="BZ211">
        <v>4.0999999999999996</v>
      </c>
      <c r="CA211">
        <v>3.1</v>
      </c>
      <c r="CB211">
        <v>5.0999999999999996</v>
      </c>
      <c r="CC211">
        <f>BS211*BZ211</f>
        <v>2.6567999999999998E-2</v>
      </c>
      <c r="CF211" s="13">
        <v>773000000000</v>
      </c>
      <c r="CG211" s="13"/>
      <c r="CH211" s="13"/>
      <c r="CI211">
        <v>2.1</v>
      </c>
      <c r="CJ211">
        <v>1.8</v>
      </c>
      <c r="CK211">
        <v>2.4</v>
      </c>
      <c r="CO211">
        <v>2.6</v>
      </c>
      <c r="CY211">
        <f>CI211*BM211*0.001</f>
        <v>0.252</v>
      </c>
      <c r="DA211">
        <f>CK211*BM211*0.001</f>
        <v>0.28800000000000003</v>
      </c>
      <c r="DB211" s="3">
        <v>10</v>
      </c>
      <c r="DH211" s="14">
        <f t="shared" si="109"/>
        <v>304031.04617744265</v>
      </c>
      <c r="DI211" s="6">
        <f t="shared" si="110"/>
        <v>3.2757603169825007</v>
      </c>
      <c r="DJ211" s="6">
        <f t="shared" si="111"/>
        <v>1.8025915031276289</v>
      </c>
      <c r="DK211" s="8">
        <f t="shared" si="112"/>
        <v>4.6425306991411245E-5</v>
      </c>
      <c r="DL211" s="1">
        <f t="shared" si="113"/>
        <v>0.38691439462827959</v>
      </c>
      <c r="DM211">
        <f t="shared" si="115"/>
        <v>1.0596659253112033E-5</v>
      </c>
      <c r="DN211">
        <f t="shared" si="116"/>
        <v>0.22825178636023735</v>
      </c>
      <c r="DO211">
        <f t="shared" si="117"/>
        <v>8.7851456681424245E-2</v>
      </c>
      <c r="DP211" s="14">
        <f t="shared" si="118"/>
        <v>127296968436815.58</v>
      </c>
      <c r="DQ211" s="6">
        <f t="shared" si="114"/>
        <v>1.804256256555125</v>
      </c>
      <c r="DR211" s="6">
        <f>BS211*1000000*DL211/(W211*0.001)</f>
        <v>1044668.865496355</v>
      </c>
      <c r="DS211" s="6">
        <v>-3.9670000000000001</v>
      </c>
      <c r="EI211" t="s">
        <v>320</v>
      </c>
      <c r="EJ211" t="s">
        <v>316</v>
      </c>
    </row>
    <row r="212" spans="1:246" ht="15.5" x14ac:dyDescent="0.35">
      <c r="A212">
        <v>10</v>
      </c>
      <c r="B212">
        <v>0</v>
      </c>
      <c r="C212" s="3">
        <v>85</v>
      </c>
      <c r="D212" t="s">
        <v>62</v>
      </c>
      <c r="E212" t="s">
        <v>142</v>
      </c>
      <c r="F212" t="s">
        <v>196</v>
      </c>
      <c r="G212" t="s">
        <v>27</v>
      </c>
      <c r="H212">
        <v>20081119</v>
      </c>
      <c r="I212">
        <v>31487</v>
      </c>
      <c r="J212">
        <v>31695</v>
      </c>
      <c r="L212" t="s">
        <v>243</v>
      </c>
      <c r="M212" t="s">
        <v>481</v>
      </c>
      <c r="N212">
        <v>1</v>
      </c>
      <c r="Q212" t="s">
        <v>27</v>
      </c>
      <c r="R212" s="46" t="s">
        <v>486</v>
      </c>
      <c r="S212" s="23"/>
      <c r="T212">
        <v>1</v>
      </c>
      <c r="U212">
        <v>60.3</v>
      </c>
      <c r="V212">
        <v>171</v>
      </c>
      <c r="W212">
        <v>6.4</v>
      </c>
      <c r="X212">
        <v>0.37</v>
      </c>
      <c r="Y212">
        <v>217.64</v>
      </c>
      <c r="AA212" s="3">
        <f t="shared" ref="AA212:AA237" si="120">C212</f>
        <v>85</v>
      </c>
      <c r="AK212">
        <v>80</v>
      </c>
      <c r="AL212">
        <v>90</v>
      </c>
      <c r="AM212" s="6">
        <v>217</v>
      </c>
      <c r="AP212" s="6">
        <v>10.6</v>
      </c>
      <c r="AQ212" s="47">
        <v>10.5</v>
      </c>
      <c r="AR212" s="47">
        <v>10.7</v>
      </c>
      <c r="AS212" s="48">
        <v>351</v>
      </c>
      <c r="AT212" s="7">
        <v>242</v>
      </c>
      <c r="AX212" s="7">
        <v>94</v>
      </c>
      <c r="AZ212" s="7">
        <v>94</v>
      </c>
      <c r="BA212" s="6">
        <v>1.3</v>
      </c>
      <c r="BG212">
        <v>1.2</v>
      </c>
      <c r="BJ212">
        <f>BS212*1000000/BP212</f>
        <v>208</v>
      </c>
      <c r="BM212">
        <v>208</v>
      </c>
      <c r="BP212" s="3">
        <v>123</v>
      </c>
      <c r="BQ212" s="3">
        <v>90</v>
      </c>
      <c r="BS212">
        <f>BM212*BP212*0.000001</f>
        <v>2.5583999999999999E-2</v>
      </c>
      <c r="BT212">
        <f>BM212*BQ212*0.000001</f>
        <v>1.8720000000000001E-2</v>
      </c>
      <c r="BV212">
        <v>164</v>
      </c>
      <c r="BY212">
        <f t="shared" si="119"/>
        <v>0</v>
      </c>
      <c r="BZ212">
        <v>3.95</v>
      </c>
      <c r="CA212">
        <v>3</v>
      </c>
      <c r="CB212">
        <v>5</v>
      </c>
      <c r="CC212">
        <f>BS212*BZ212</f>
        <v>0.1010568</v>
      </c>
      <c r="CF212" s="13">
        <v>2580000000000</v>
      </c>
      <c r="CG212" s="13"/>
      <c r="CH212" s="13"/>
      <c r="CI212">
        <v>2.5</v>
      </c>
      <c r="CJ212">
        <v>2.1</v>
      </c>
      <c r="CK212">
        <v>2.9</v>
      </c>
      <c r="CO212">
        <v>2.9</v>
      </c>
      <c r="CY212">
        <f>CI212*BM212*0.001</f>
        <v>0.52</v>
      </c>
      <c r="DA212">
        <f>CK212*BM212*0.001</f>
        <v>0.60319999999999996</v>
      </c>
      <c r="DB212" s="3">
        <v>39</v>
      </c>
      <c r="DH212" s="14">
        <f t="shared" si="109"/>
        <v>244699.55557600444</v>
      </c>
      <c r="DI212" s="6">
        <f t="shared" si="110"/>
        <v>3.2757603169825007</v>
      </c>
      <c r="DJ212" s="6">
        <f t="shared" si="111"/>
        <v>1.8025915031276289</v>
      </c>
      <c r="DK212" s="8">
        <f t="shared" si="112"/>
        <v>4.6233466879876491E-5</v>
      </c>
      <c r="DL212" s="1">
        <f t="shared" si="113"/>
        <v>0.388519848547899</v>
      </c>
      <c r="DM212">
        <f t="shared" si="115"/>
        <v>1.0166790743801654E-5</v>
      </c>
      <c r="DN212">
        <f t="shared" si="116"/>
        <v>0.21990111124949696</v>
      </c>
      <c r="DO212">
        <f t="shared" si="117"/>
        <v>0.10960542332164576</v>
      </c>
      <c r="DP212" s="14">
        <f t="shared" si="118"/>
        <v>103291317713764.56</v>
      </c>
      <c r="DQ212" s="6">
        <f t="shared" si="114"/>
        <v>1.804256256555125</v>
      </c>
      <c r="DR212" s="6">
        <f>BS212*1000000*DL212/(W212*0.001)</f>
        <v>1553108.0945702263</v>
      </c>
      <c r="DS212" s="6">
        <v>-7.2960000000000003</v>
      </c>
      <c r="EI212" t="s">
        <v>320</v>
      </c>
      <c r="EJ212" t="s">
        <v>316</v>
      </c>
    </row>
    <row r="213" spans="1:246" x14ac:dyDescent="0.35">
      <c r="A213">
        <v>10</v>
      </c>
      <c r="B213">
        <v>0</v>
      </c>
      <c r="C213" s="3">
        <v>109</v>
      </c>
      <c r="D213" t="s">
        <v>62</v>
      </c>
      <c r="E213" t="s">
        <v>142</v>
      </c>
      <c r="F213" t="s">
        <v>196</v>
      </c>
      <c r="G213" t="s">
        <v>28</v>
      </c>
      <c r="H213">
        <v>20081119</v>
      </c>
      <c r="I213">
        <v>44040</v>
      </c>
      <c r="J213">
        <v>45020</v>
      </c>
      <c r="L213" t="s">
        <v>243</v>
      </c>
      <c r="M213" t="s">
        <v>481</v>
      </c>
      <c r="N213">
        <v>1</v>
      </c>
      <c r="Q213" t="s">
        <v>28</v>
      </c>
      <c r="R213" s="46" t="s">
        <v>487</v>
      </c>
      <c r="T213">
        <v>1</v>
      </c>
      <c r="U213">
        <v>79.8</v>
      </c>
      <c r="V213">
        <v>508</v>
      </c>
      <c r="W213">
        <v>15.9</v>
      </c>
      <c r="X213">
        <v>0.39</v>
      </c>
      <c r="Y213">
        <v>251.58</v>
      </c>
      <c r="AA213" s="3">
        <f t="shared" si="120"/>
        <v>109</v>
      </c>
      <c r="AK213">
        <v>102</v>
      </c>
      <c r="AL213">
        <v>115</v>
      </c>
      <c r="AM213" s="6">
        <v>218</v>
      </c>
      <c r="AP213" s="6">
        <v>10.6</v>
      </c>
      <c r="AQ213" s="47">
        <v>10.3</v>
      </c>
      <c r="AR213" s="47">
        <v>10.7</v>
      </c>
      <c r="AS213" s="48">
        <v>350</v>
      </c>
      <c r="AT213" s="7">
        <v>241</v>
      </c>
      <c r="AX213" s="7">
        <v>92</v>
      </c>
      <c r="AZ213" s="7">
        <v>92</v>
      </c>
      <c r="BA213" s="6">
        <v>1.3</v>
      </c>
      <c r="BG213">
        <v>0.2</v>
      </c>
      <c r="BJ213">
        <f>BS213*1000000/BP213</f>
        <v>299</v>
      </c>
      <c r="BM213">
        <v>299</v>
      </c>
      <c r="BP213" s="3">
        <v>125</v>
      </c>
      <c r="BQ213" s="3">
        <v>119</v>
      </c>
      <c r="BS213">
        <f>BM213*BP213*0.000001</f>
        <v>3.7374999999999999E-2</v>
      </c>
      <c r="BT213">
        <f>BM213*BQ213*0.000001</f>
        <v>3.5581000000000002E-2</v>
      </c>
      <c r="BV213">
        <v>235</v>
      </c>
      <c r="BW213">
        <v>225</v>
      </c>
      <c r="BX213">
        <v>245</v>
      </c>
      <c r="BY213">
        <f t="shared" si="119"/>
        <v>0</v>
      </c>
      <c r="BZ213">
        <v>5.16</v>
      </c>
      <c r="CA213">
        <v>3.9</v>
      </c>
      <c r="CB213">
        <v>6.5</v>
      </c>
      <c r="CC213">
        <f>BS213*BZ213</f>
        <v>0.192855</v>
      </c>
      <c r="CF213" s="13">
        <v>6390000000000</v>
      </c>
      <c r="CG213" s="13"/>
      <c r="CH213" s="13"/>
      <c r="CI213">
        <v>3.2</v>
      </c>
      <c r="CJ213">
        <v>2.7</v>
      </c>
      <c r="CK213">
        <v>3.7</v>
      </c>
      <c r="CO213">
        <v>2.95</v>
      </c>
      <c r="CY213">
        <f>CI213*BM213*0.001</f>
        <v>0.95680000000000009</v>
      </c>
      <c r="DA213">
        <f>CK213*BM213*0.001</f>
        <v>1.1063000000000001</v>
      </c>
      <c r="DB213" s="3">
        <v>88</v>
      </c>
      <c r="DH213" s="14">
        <f t="shared" si="109"/>
        <v>298565.23594626784</v>
      </c>
      <c r="DI213" s="6">
        <f t="shared" si="110"/>
        <v>3.6311521695671996</v>
      </c>
      <c r="DJ213" s="6">
        <f t="shared" si="111"/>
        <v>2.0527483863804896</v>
      </c>
      <c r="DK213" s="8">
        <f t="shared" si="112"/>
        <v>5.2868036850549172E-5</v>
      </c>
      <c r="DL213" s="1">
        <f t="shared" si="113"/>
        <v>0.38513955795567284</v>
      </c>
      <c r="DM213">
        <f t="shared" si="115"/>
        <v>1.3397740879668049E-5</v>
      </c>
      <c r="DN213">
        <f t="shared" si="116"/>
        <v>0.25341854318407281</v>
      </c>
      <c r="DO213">
        <f t="shared" si="117"/>
        <v>7.8557790984481651E-2</v>
      </c>
      <c r="DP213" s="14">
        <f t="shared" si="118"/>
        <v>182175081728292</v>
      </c>
      <c r="DQ213" s="6">
        <f t="shared" si="114"/>
        <v>2.054601874158124</v>
      </c>
      <c r="DR213" s="6">
        <f>BS213*1000000*DL213/(W213*0.001)</f>
        <v>905320.18733291014</v>
      </c>
      <c r="DS213" s="6">
        <v>-7.8940000000000001</v>
      </c>
      <c r="EI213" t="s">
        <v>320</v>
      </c>
      <c r="EJ213" t="s">
        <v>316</v>
      </c>
    </row>
    <row r="214" spans="1:246" x14ac:dyDescent="0.35">
      <c r="A214">
        <v>10</v>
      </c>
      <c r="B214">
        <v>0</v>
      </c>
      <c r="C214" s="3">
        <v>240</v>
      </c>
      <c r="D214" t="s">
        <v>62</v>
      </c>
      <c r="E214" t="s">
        <v>143</v>
      </c>
      <c r="F214" t="s">
        <v>196</v>
      </c>
      <c r="G214" t="s">
        <v>28</v>
      </c>
      <c r="H214">
        <v>20081119</v>
      </c>
      <c r="I214">
        <f>12.5*3600</f>
        <v>45000</v>
      </c>
      <c r="L214" t="s">
        <v>243</v>
      </c>
      <c r="M214" t="s">
        <v>482</v>
      </c>
      <c r="N214">
        <v>0.9</v>
      </c>
      <c r="Q214" t="s">
        <v>28</v>
      </c>
      <c r="R214" s="46" t="s">
        <v>487</v>
      </c>
      <c r="T214">
        <v>1</v>
      </c>
      <c r="U214">
        <v>79.8</v>
      </c>
      <c r="V214">
        <v>508</v>
      </c>
      <c r="W214">
        <v>15.9</v>
      </c>
      <c r="X214">
        <v>0.39</v>
      </c>
      <c r="Y214">
        <v>251.58</v>
      </c>
      <c r="AA214" s="3">
        <f t="shared" si="120"/>
        <v>240</v>
      </c>
      <c r="AK214">
        <v>190</v>
      </c>
      <c r="AL214">
        <v>300</v>
      </c>
      <c r="AM214" s="6">
        <v>216.6</v>
      </c>
      <c r="AP214" s="6">
        <v>10.6</v>
      </c>
      <c r="AQ214" s="47">
        <v>10.3</v>
      </c>
      <c r="AR214" s="47">
        <v>10.7</v>
      </c>
      <c r="AS214" s="48">
        <v>350</v>
      </c>
      <c r="AT214" s="7">
        <v>238</v>
      </c>
      <c r="AX214" s="7">
        <v>98</v>
      </c>
      <c r="AZ214" s="7">
        <v>98</v>
      </c>
      <c r="BA214" s="6">
        <v>1.3</v>
      </c>
      <c r="BG214">
        <v>0.2</v>
      </c>
      <c r="BJ214">
        <v>100</v>
      </c>
      <c r="BM214">
        <v>300</v>
      </c>
      <c r="BV214">
        <v>80</v>
      </c>
      <c r="BW214">
        <v>63</v>
      </c>
      <c r="BY214">
        <f t="shared" si="119"/>
        <v>2.495376115246748</v>
      </c>
      <c r="BZ214">
        <v>1.9</v>
      </c>
      <c r="CB214">
        <v>2.5</v>
      </c>
      <c r="CF214" s="13"/>
      <c r="CG214" s="13"/>
      <c r="CH214" s="13"/>
      <c r="CI214">
        <v>1.08</v>
      </c>
      <c r="CK214">
        <v>1.2</v>
      </c>
      <c r="CL214">
        <v>2.0099999999999998</v>
      </c>
      <c r="CO214">
        <v>2.4</v>
      </c>
      <c r="DH214" s="14">
        <f t="shared" si="109"/>
        <v>561393.05204494612</v>
      </c>
      <c r="DI214" s="6">
        <f t="shared" si="110"/>
        <v>3.1435414038110552</v>
      </c>
      <c r="DJ214" s="6">
        <f t="shared" si="111"/>
        <v>1.7107124956065787</v>
      </c>
      <c r="DK214" s="8">
        <f t="shared" si="112"/>
        <v>4.4614350798201126E-5</v>
      </c>
      <c r="DL214" s="1">
        <f t="shared" si="113"/>
        <v>0.38280366173898633</v>
      </c>
      <c r="DM214">
        <f t="shared" si="115"/>
        <v>4.963379899159663E-6</v>
      </c>
      <c r="DN214">
        <f t="shared" si="116"/>
        <v>0.11125074802970772</v>
      </c>
      <c r="DO214">
        <f t="shared" si="117"/>
        <v>4.9508534844176541E-2</v>
      </c>
      <c r="DP214" s="14">
        <f t="shared" si="118"/>
        <v>117322399580959.17</v>
      </c>
      <c r="DQ214" s="6">
        <f t="shared" si="114"/>
        <v>1.7123064427334265</v>
      </c>
      <c r="DS214" s="6">
        <v>-7.1319999999999997</v>
      </c>
      <c r="EI214" t="s">
        <v>320</v>
      </c>
      <c r="EJ214" t="s">
        <v>316</v>
      </c>
    </row>
    <row r="215" spans="1:246" x14ac:dyDescent="0.35">
      <c r="A215">
        <v>0</v>
      </c>
      <c r="B215">
        <v>10</v>
      </c>
      <c r="C215" s="3">
        <v>4000</v>
      </c>
      <c r="D215" t="s">
        <v>420</v>
      </c>
      <c r="E215" t="s">
        <v>156</v>
      </c>
      <c r="F215" t="s">
        <v>225</v>
      </c>
      <c r="G215" t="s">
        <v>106</v>
      </c>
      <c r="H215">
        <v>20081205</v>
      </c>
      <c r="I215">
        <f>20.5*3600</f>
        <v>73800</v>
      </c>
      <c r="L215" t="s">
        <v>184</v>
      </c>
      <c r="AA215" s="3">
        <f t="shared" si="120"/>
        <v>4000</v>
      </c>
      <c r="AK215">
        <v>1000</v>
      </c>
      <c r="AL215">
        <v>8000</v>
      </c>
      <c r="AM215" s="6">
        <v>215</v>
      </c>
      <c r="AT215" s="7">
        <v>250</v>
      </c>
      <c r="AX215" s="7">
        <v>120</v>
      </c>
      <c r="BA215" s="6">
        <v>1</v>
      </c>
      <c r="BB215" s="7"/>
      <c r="BC215" s="14"/>
      <c r="BG215" s="14">
        <v>5</v>
      </c>
      <c r="BH215" s="7"/>
      <c r="BI215" s="14"/>
      <c r="BJ215">
        <v>1500</v>
      </c>
      <c r="BK215" s="14"/>
      <c r="BL215" s="14"/>
      <c r="BM215">
        <v>1500</v>
      </c>
      <c r="BP215" s="3">
        <v>10000</v>
      </c>
      <c r="BS215">
        <f>BJ215*BP215*0.000001</f>
        <v>15</v>
      </c>
      <c r="BY215">
        <f t="shared" si="119"/>
        <v>0</v>
      </c>
      <c r="BZ215">
        <v>63</v>
      </c>
      <c r="CF215" s="13"/>
      <c r="CG215" s="13"/>
      <c r="CH215" s="13"/>
      <c r="CY215">
        <v>0.4</v>
      </c>
      <c r="DA215">
        <v>2</v>
      </c>
      <c r="DB215" s="3">
        <f>BP215*CY215</f>
        <v>4000</v>
      </c>
      <c r="DH215" s="14">
        <f t="shared" si="109"/>
        <v>5330231.0284044612</v>
      </c>
      <c r="DI215" s="6">
        <f t="shared" si="110"/>
        <v>2.6659220959353855</v>
      </c>
      <c r="DJ215" s="6">
        <f t="shared" si="111"/>
        <v>1.3850209493132239</v>
      </c>
      <c r="DK215" s="8">
        <f t="shared" si="112"/>
        <v>3.438672701743177E-5</v>
      </c>
      <c r="DL215" s="1">
        <f t="shared" si="113"/>
        <v>0.40509709367141111</v>
      </c>
      <c r="DM215">
        <f t="shared" si="115"/>
        <v>1.5551827200000002E-4</v>
      </c>
      <c r="DN215">
        <f t="shared" si="116"/>
        <v>4.5226250210193797</v>
      </c>
      <c r="DO215">
        <f t="shared" si="117"/>
        <v>6.7652649727520968E-3</v>
      </c>
      <c r="DP215" s="14">
        <f t="shared" si="118"/>
        <v>0</v>
      </c>
      <c r="DQ215" s="6">
        <f t="shared" si="114"/>
        <v>1.3863567511338233</v>
      </c>
      <c r="DS215" s="6">
        <v>-8.5739999999999998</v>
      </c>
    </row>
    <row r="216" spans="1:246" x14ac:dyDescent="0.35">
      <c r="A216">
        <v>11</v>
      </c>
      <c r="B216">
        <v>0</v>
      </c>
      <c r="C216" s="3">
        <v>420</v>
      </c>
      <c r="D216" t="s">
        <v>169</v>
      </c>
      <c r="E216" t="s">
        <v>170</v>
      </c>
      <c r="F216" t="s">
        <v>167</v>
      </c>
      <c r="G216" t="s">
        <v>167</v>
      </c>
      <c r="H216">
        <v>20110319</v>
      </c>
      <c r="I216">
        <v>55105</v>
      </c>
      <c r="J216">
        <v>55140</v>
      </c>
      <c r="K216">
        <v>1500</v>
      </c>
      <c r="L216" t="s">
        <v>159</v>
      </c>
      <c r="M216" t="s">
        <v>168</v>
      </c>
      <c r="N216">
        <v>0.9</v>
      </c>
      <c r="O216">
        <v>50</v>
      </c>
      <c r="Q216" t="s">
        <v>469</v>
      </c>
      <c r="R216" t="s">
        <v>468</v>
      </c>
      <c r="S216">
        <v>4</v>
      </c>
      <c r="T216">
        <v>1</v>
      </c>
      <c r="U216">
        <v>28.6</v>
      </c>
      <c r="V216">
        <v>35</v>
      </c>
      <c r="W216">
        <v>3.1</v>
      </c>
      <c r="X216">
        <v>0.26500000000000001</v>
      </c>
      <c r="Y216">
        <v>220</v>
      </c>
      <c r="AA216" s="3">
        <f t="shared" si="120"/>
        <v>420</v>
      </c>
      <c r="AM216" s="6">
        <v>213.32</v>
      </c>
      <c r="AT216" s="7">
        <v>273</v>
      </c>
      <c r="AX216" s="7">
        <v>109</v>
      </c>
      <c r="AY216" s="7">
        <v>103</v>
      </c>
      <c r="AZ216" s="7">
        <v>115</v>
      </c>
      <c r="BV216">
        <v>0.43</v>
      </c>
      <c r="BX216">
        <v>6.28</v>
      </c>
      <c r="BY216">
        <f t="shared" si="119"/>
        <v>0</v>
      </c>
      <c r="CF216" s="13"/>
      <c r="CG216" s="13"/>
      <c r="CH216" s="13"/>
      <c r="CR216">
        <v>7.0000000000000001E-3</v>
      </c>
      <c r="CT216">
        <v>1.4E-2</v>
      </c>
      <c r="CU216">
        <v>150</v>
      </c>
      <c r="CX216" t="s">
        <v>54</v>
      </c>
      <c r="DH216" s="14">
        <f t="shared" si="109"/>
        <v>878410.40674927179</v>
      </c>
      <c r="DI216" s="6">
        <f t="shared" si="110"/>
        <v>2.2423176586364426</v>
      </c>
      <c r="DJ216" s="6">
        <f t="shared" si="111"/>
        <v>1.1058074383458674</v>
      </c>
      <c r="DK216" s="8">
        <f t="shared" si="112"/>
        <v>2.5141510534578265E-5</v>
      </c>
      <c r="DL216" s="1">
        <f t="shared" si="113"/>
        <v>0.4458498764868456</v>
      </c>
      <c r="DM216">
        <f t="shared" si="115"/>
        <v>0</v>
      </c>
      <c r="DN216">
        <f t="shared" si="116"/>
        <v>0</v>
      </c>
      <c r="DO216">
        <f t="shared" si="117"/>
        <v>5.6147813115464594E-2</v>
      </c>
      <c r="DP216" s="14">
        <f t="shared" si="118"/>
        <v>847183087451.92859</v>
      </c>
      <c r="DQ216" s="6">
        <f t="shared" si="114"/>
        <v>1.1069118253333332</v>
      </c>
      <c r="DS216" s="6" t="s">
        <v>462</v>
      </c>
      <c r="EI216" t="s">
        <v>321</v>
      </c>
    </row>
    <row r="217" spans="1:246" x14ac:dyDescent="0.35">
      <c r="A217">
        <v>11</v>
      </c>
      <c r="B217">
        <v>0</v>
      </c>
      <c r="C217" s="3">
        <v>600</v>
      </c>
      <c r="D217" t="s">
        <v>169</v>
      </c>
      <c r="E217" t="s">
        <v>170</v>
      </c>
      <c r="F217" t="s">
        <v>167</v>
      </c>
      <c r="G217" t="s">
        <v>167</v>
      </c>
      <c r="H217">
        <v>20110319</v>
      </c>
      <c r="I217">
        <v>55590</v>
      </c>
      <c r="J217">
        <v>55605</v>
      </c>
      <c r="K217">
        <v>1500</v>
      </c>
      <c r="L217" t="s">
        <v>159</v>
      </c>
      <c r="M217" t="s">
        <v>168</v>
      </c>
      <c r="N217">
        <v>0.9</v>
      </c>
      <c r="O217">
        <v>50</v>
      </c>
      <c r="Q217" t="s">
        <v>469</v>
      </c>
      <c r="R217" t="s">
        <v>468</v>
      </c>
      <c r="S217">
        <v>4</v>
      </c>
      <c r="T217">
        <v>1</v>
      </c>
      <c r="U217">
        <v>28.6</v>
      </c>
      <c r="V217">
        <v>35</v>
      </c>
      <c r="W217">
        <v>3.1</v>
      </c>
      <c r="X217">
        <v>0.26500000000000001</v>
      </c>
      <c r="Y217">
        <v>220</v>
      </c>
      <c r="AA217" s="3">
        <f t="shared" si="120"/>
        <v>600</v>
      </c>
      <c r="AM217" s="6">
        <v>213.36</v>
      </c>
      <c r="AT217" s="7">
        <v>273</v>
      </c>
      <c r="AX217" s="7">
        <v>109</v>
      </c>
      <c r="AY217" s="7">
        <v>105</v>
      </c>
      <c r="AZ217" s="7">
        <v>113</v>
      </c>
      <c r="BV217">
        <v>7.82</v>
      </c>
      <c r="BX217">
        <v>62.1</v>
      </c>
      <c r="BY217">
        <f t="shared" si="119"/>
        <v>0</v>
      </c>
      <c r="CF217" s="13"/>
      <c r="CG217" s="13"/>
      <c r="CH217" s="13"/>
      <c r="CR217">
        <v>3.0000000000000001E-3</v>
      </c>
      <c r="CT217">
        <v>1.0999999999999999E-2</v>
      </c>
      <c r="CU217">
        <v>150</v>
      </c>
      <c r="CX217" t="s">
        <v>54</v>
      </c>
      <c r="DH217" s="14">
        <f t="shared" si="109"/>
        <v>1168473.9652328664</v>
      </c>
      <c r="DI217" s="6">
        <f t="shared" si="110"/>
        <v>2.2515750645513086</v>
      </c>
      <c r="DJ217" s="6">
        <f t="shared" si="111"/>
        <v>1.1117964655210635</v>
      </c>
      <c r="DK217" s="8">
        <f t="shared" si="112"/>
        <v>2.5277676366526645E-5</v>
      </c>
      <c r="DL217" s="1">
        <f t="shared" si="113"/>
        <v>0.44576629008330471</v>
      </c>
      <c r="DM217">
        <f t="shared" si="115"/>
        <v>0</v>
      </c>
      <c r="DN217">
        <f t="shared" si="116"/>
        <v>0</v>
      </c>
      <c r="DO217">
        <f t="shared" si="117"/>
        <v>4.1982229230242946E-2</v>
      </c>
      <c r="DP217" s="14">
        <f t="shared" si="118"/>
        <v>20498334242397.305</v>
      </c>
      <c r="DQ217" s="6">
        <f t="shared" si="114"/>
        <v>1.1129059269976831</v>
      </c>
      <c r="DS217" s="6">
        <v>-11.65</v>
      </c>
      <c r="EI217" t="s">
        <v>321</v>
      </c>
    </row>
    <row r="218" spans="1:246" x14ac:dyDescent="0.35">
      <c r="A218">
        <v>11</v>
      </c>
      <c r="B218">
        <v>0</v>
      </c>
      <c r="C218" s="3">
        <v>540</v>
      </c>
      <c r="D218" t="s">
        <v>169</v>
      </c>
      <c r="E218" t="s">
        <v>170</v>
      </c>
      <c r="F218" t="s">
        <v>167</v>
      </c>
      <c r="G218" t="s">
        <v>167</v>
      </c>
      <c r="H218">
        <v>20110319</v>
      </c>
      <c r="I218">
        <v>55710</v>
      </c>
      <c r="J218">
        <v>55750</v>
      </c>
      <c r="K218">
        <v>1500</v>
      </c>
      <c r="L218" t="s">
        <v>159</v>
      </c>
      <c r="M218" t="s">
        <v>168</v>
      </c>
      <c r="N218">
        <v>0.9</v>
      </c>
      <c r="O218">
        <v>50</v>
      </c>
      <c r="Q218" t="s">
        <v>469</v>
      </c>
      <c r="R218" t="s">
        <v>468</v>
      </c>
      <c r="S218">
        <v>4</v>
      </c>
      <c r="T218">
        <v>1</v>
      </c>
      <c r="U218">
        <v>28.6</v>
      </c>
      <c r="V218">
        <v>35</v>
      </c>
      <c r="W218">
        <v>3.1</v>
      </c>
      <c r="X218">
        <v>0.26500000000000001</v>
      </c>
      <c r="Y218">
        <v>220</v>
      </c>
      <c r="AA218" s="3">
        <f t="shared" si="120"/>
        <v>540</v>
      </c>
      <c r="AM218" s="6">
        <v>213.63</v>
      </c>
      <c r="AT218" s="7">
        <v>273</v>
      </c>
      <c r="AX218" s="7">
        <v>122.5</v>
      </c>
      <c r="AY218" s="7">
        <v>122</v>
      </c>
      <c r="AZ218" s="7">
        <v>123</v>
      </c>
      <c r="BV218">
        <v>3.98</v>
      </c>
      <c r="BX218">
        <v>42.6</v>
      </c>
      <c r="BY218">
        <f t="shared" si="119"/>
        <v>0</v>
      </c>
      <c r="CF218" s="13"/>
      <c r="CG218" s="13"/>
      <c r="CH218" s="13"/>
      <c r="CR218">
        <v>7.0000000000000001E-3</v>
      </c>
      <c r="CT218">
        <v>2.4E-2</v>
      </c>
      <c r="CU218">
        <v>150</v>
      </c>
      <c r="CX218" t="s">
        <v>54</v>
      </c>
      <c r="DH218" s="14">
        <f t="shared" si="109"/>
        <v>1074021.679588821</v>
      </c>
      <c r="DI218" s="6">
        <f t="shared" si="110"/>
        <v>2.3150701744126509</v>
      </c>
      <c r="DJ218" s="6">
        <f t="shared" si="111"/>
        <v>1.1530191291675416</v>
      </c>
      <c r="DK218" s="8">
        <f t="shared" si="112"/>
        <v>2.6214910098542061E-5</v>
      </c>
      <c r="DL218" s="1">
        <f t="shared" si="113"/>
        <v>0.44520290058593787</v>
      </c>
      <c r="DM218">
        <f t="shared" si="115"/>
        <v>0</v>
      </c>
      <c r="DN218">
        <f t="shared" si="116"/>
        <v>0</v>
      </c>
      <c r="DO218">
        <f t="shared" si="117"/>
        <v>4.4041313662157258E-2</v>
      </c>
      <c r="DP218" s="14">
        <f t="shared" si="118"/>
        <v>9601478964170.3535</v>
      </c>
      <c r="DQ218" s="6">
        <f t="shared" si="114"/>
        <v>1.1541633796720601</v>
      </c>
      <c r="DS218" s="6">
        <v>-11.61</v>
      </c>
      <c r="EI218" t="s">
        <v>321</v>
      </c>
    </row>
    <row r="219" spans="1:246" x14ac:dyDescent="0.35">
      <c r="A219">
        <v>11</v>
      </c>
      <c r="B219">
        <v>0</v>
      </c>
      <c r="C219" s="3">
        <v>720</v>
      </c>
      <c r="D219" t="s">
        <v>169</v>
      </c>
      <c r="E219" t="s">
        <v>170</v>
      </c>
      <c r="F219" t="s">
        <v>167</v>
      </c>
      <c r="G219" t="s">
        <v>167</v>
      </c>
      <c r="H219">
        <v>20110319</v>
      </c>
      <c r="I219">
        <v>56010</v>
      </c>
      <c r="J219">
        <v>56040</v>
      </c>
      <c r="K219">
        <v>1500</v>
      </c>
      <c r="L219" t="s">
        <v>159</v>
      </c>
      <c r="M219" t="s">
        <v>168</v>
      </c>
      <c r="N219">
        <v>0.9</v>
      </c>
      <c r="O219">
        <v>50</v>
      </c>
      <c r="Q219" t="s">
        <v>469</v>
      </c>
      <c r="R219" t="s">
        <v>468</v>
      </c>
      <c r="S219">
        <v>4</v>
      </c>
      <c r="T219">
        <v>1</v>
      </c>
      <c r="U219">
        <v>28.6</v>
      </c>
      <c r="V219">
        <v>35</v>
      </c>
      <c r="W219">
        <v>3.1</v>
      </c>
      <c r="X219">
        <v>0.26500000000000001</v>
      </c>
      <c r="Y219">
        <v>220</v>
      </c>
      <c r="AA219" s="3">
        <f t="shared" si="120"/>
        <v>720</v>
      </c>
      <c r="AM219" s="6">
        <v>213.47</v>
      </c>
      <c r="AT219" s="7">
        <v>273</v>
      </c>
      <c r="AX219" s="7">
        <v>115.5</v>
      </c>
      <c r="AY219" s="7">
        <v>114</v>
      </c>
      <c r="AZ219" s="7">
        <v>117</v>
      </c>
      <c r="BV219">
        <v>1.72</v>
      </c>
      <c r="BX219">
        <v>41.4</v>
      </c>
      <c r="BY219">
        <f t="shared" si="119"/>
        <v>0</v>
      </c>
      <c r="CF219" s="13"/>
      <c r="CG219" s="13"/>
      <c r="CH219" s="13"/>
      <c r="CR219">
        <v>1E-3</v>
      </c>
      <c r="CT219">
        <v>2E-3</v>
      </c>
      <c r="CU219">
        <v>150</v>
      </c>
      <c r="CX219" t="s">
        <v>54</v>
      </c>
      <c r="DH219" s="14">
        <f t="shared" si="109"/>
        <v>1351960.6060797081</v>
      </c>
      <c r="DI219" s="6">
        <f t="shared" si="110"/>
        <v>2.2772304734784452</v>
      </c>
      <c r="DJ219" s="6">
        <f t="shared" si="111"/>
        <v>1.1284223796028132</v>
      </c>
      <c r="DK219" s="8">
        <f t="shared" si="112"/>
        <v>2.5655681233864642E-5</v>
      </c>
      <c r="DL219" s="1">
        <f t="shared" si="113"/>
        <v>0.44553658899224208</v>
      </c>
      <c r="DM219">
        <f t="shared" si="115"/>
        <v>0</v>
      </c>
      <c r="DN219">
        <f t="shared" si="116"/>
        <v>0</v>
      </c>
      <c r="DO219">
        <f t="shared" si="117"/>
        <v>3.574983955748598E-2</v>
      </c>
      <c r="DP219" s="14">
        <f t="shared" si="118"/>
        <v>5219262121023.2148</v>
      </c>
      <c r="DQ219" s="6">
        <f t="shared" si="114"/>
        <v>1.1295459011935765</v>
      </c>
      <c r="DS219" s="6">
        <v>-11.89</v>
      </c>
      <c r="EI219" t="s">
        <v>321</v>
      </c>
    </row>
    <row r="220" spans="1:246" x14ac:dyDescent="0.35">
      <c r="A220">
        <v>11</v>
      </c>
      <c r="B220">
        <v>0</v>
      </c>
      <c r="C220" s="3">
        <v>1260</v>
      </c>
      <c r="D220" t="s">
        <v>169</v>
      </c>
      <c r="E220" t="s">
        <v>170</v>
      </c>
      <c r="F220" t="s">
        <v>167</v>
      </c>
      <c r="G220" t="s">
        <v>167</v>
      </c>
      <c r="H220">
        <v>20110319</v>
      </c>
      <c r="I220">
        <v>56025</v>
      </c>
      <c r="J220">
        <v>56190</v>
      </c>
      <c r="K220">
        <v>1500</v>
      </c>
      <c r="L220" t="s">
        <v>159</v>
      </c>
      <c r="M220" t="s">
        <v>168</v>
      </c>
      <c r="N220">
        <v>0.9</v>
      </c>
      <c r="O220">
        <v>50</v>
      </c>
      <c r="Q220" t="s">
        <v>469</v>
      </c>
      <c r="R220" t="s">
        <v>468</v>
      </c>
      <c r="S220">
        <v>4</v>
      </c>
      <c r="T220">
        <v>1</v>
      </c>
      <c r="U220">
        <v>28.6</v>
      </c>
      <c r="V220">
        <v>35</v>
      </c>
      <c r="W220">
        <v>3.1</v>
      </c>
      <c r="X220">
        <v>0.26500000000000001</v>
      </c>
      <c r="Y220">
        <v>220</v>
      </c>
      <c r="AA220" s="3">
        <f t="shared" si="120"/>
        <v>1260</v>
      </c>
      <c r="AM220" s="6">
        <v>213.43</v>
      </c>
      <c r="AT220" s="7">
        <v>273</v>
      </c>
      <c r="AX220" s="7">
        <v>114.5</v>
      </c>
      <c r="AY220" s="7">
        <v>110</v>
      </c>
      <c r="AZ220" s="7">
        <v>119</v>
      </c>
      <c r="BV220">
        <v>0.68</v>
      </c>
      <c r="BX220">
        <v>10.1</v>
      </c>
      <c r="BY220">
        <f t="shared" si="119"/>
        <v>0</v>
      </c>
      <c r="CF220" s="13"/>
      <c r="CG220" s="13"/>
      <c r="CH220" s="13"/>
      <c r="CR220">
        <v>1.2999999999999999E-2</v>
      </c>
      <c r="CT220">
        <v>3.4000000000000002E-2</v>
      </c>
      <c r="CU220">
        <v>150</v>
      </c>
      <c r="CX220" t="s">
        <v>54</v>
      </c>
      <c r="DH220" s="14">
        <f t="shared" si="109"/>
        <v>2115409.6253410508</v>
      </c>
      <c r="DI220" s="6">
        <f t="shared" si="110"/>
        <v>2.2678675847226688</v>
      </c>
      <c r="DJ220" s="6">
        <f t="shared" si="111"/>
        <v>1.1223499919554796</v>
      </c>
      <c r="DK220" s="8">
        <f t="shared" si="112"/>
        <v>2.5517620127824471E-5</v>
      </c>
      <c r="DL220" s="1">
        <f t="shared" si="113"/>
        <v>0.44562008926661623</v>
      </c>
      <c r="DM220">
        <f t="shared" si="115"/>
        <v>0</v>
      </c>
      <c r="DN220">
        <f t="shared" si="116"/>
        <v>0</v>
      </c>
      <c r="DO220">
        <f t="shared" si="117"/>
        <v>2.2971377619275417E-2</v>
      </c>
      <c r="DP220" s="14">
        <f t="shared" si="118"/>
        <v>3228037918127.3115</v>
      </c>
      <c r="DQ220" s="6">
        <f t="shared" si="114"/>
        <v>1.1234683828625525</v>
      </c>
      <c r="DS220" s="6">
        <v>-11.76</v>
      </c>
      <c r="EI220" t="s">
        <v>321</v>
      </c>
    </row>
    <row r="221" spans="1:246" x14ac:dyDescent="0.35">
      <c r="A221">
        <v>11</v>
      </c>
      <c r="B221">
        <v>0</v>
      </c>
      <c r="C221" s="3">
        <v>600</v>
      </c>
      <c r="D221" t="s">
        <v>169</v>
      </c>
      <c r="E221" t="s">
        <v>170</v>
      </c>
      <c r="F221" t="s">
        <v>167</v>
      </c>
      <c r="G221" t="s">
        <v>167</v>
      </c>
      <c r="H221">
        <v>20110319</v>
      </c>
      <c r="I221">
        <v>56205</v>
      </c>
      <c r="J221">
        <v>56235</v>
      </c>
      <c r="K221">
        <v>1500</v>
      </c>
      <c r="L221" t="s">
        <v>159</v>
      </c>
      <c r="M221" t="s">
        <v>168</v>
      </c>
      <c r="N221">
        <v>0.9</v>
      </c>
      <c r="O221">
        <v>50</v>
      </c>
      <c r="Q221" t="s">
        <v>469</v>
      </c>
      <c r="R221" t="s">
        <v>468</v>
      </c>
      <c r="S221">
        <v>4</v>
      </c>
      <c r="T221">
        <v>1</v>
      </c>
      <c r="U221">
        <v>28.6</v>
      </c>
      <c r="V221">
        <v>35</v>
      </c>
      <c r="W221">
        <v>3.1</v>
      </c>
      <c r="X221">
        <v>0.26500000000000001</v>
      </c>
      <c r="Y221">
        <v>220</v>
      </c>
      <c r="AA221" s="3">
        <f t="shared" si="120"/>
        <v>600</v>
      </c>
      <c r="AM221" s="6">
        <v>213.4</v>
      </c>
      <c r="AT221" s="7">
        <v>273</v>
      </c>
      <c r="AX221" s="7">
        <v>114</v>
      </c>
      <c r="AY221" s="7">
        <v>112</v>
      </c>
      <c r="AZ221" s="7">
        <v>116</v>
      </c>
      <c r="BV221">
        <v>0.46</v>
      </c>
      <c r="BX221">
        <v>5.14</v>
      </c>
      <c r="BY221">
        <f t="shared" si="119"/>
        <v>0</v>
      </c>
      <c r="CF221" s="13"/>
      <c r="CG221" s="13"/>
      <c r="CH221" s="13"/>
      <c r="CR221">
        <v>3.0000000000000001E-3</v>
      </c>
      <c r="CT221">
        <v>1.0999999999999999E-2</v>
      </c>
      <c r="CU221">
        <v>150</v>
      </c>
      <c r="CX221" t="s">
        <v>54</v>
      </c>
      <c r="DH221" s="14">
        <f t="shared" si="109"/>
        <v>1168473.9652328664</v>
      </c>
      <c r="DI221" s="6">
        <f t="shared" si="110"/>
        <v>2.2608706896560067</v>
      </c>
      <c r="DJ221" s="6">
        <f t="shared" si="111"/>
        <v>1.1178156825853083</v>
      </c>
      <c r="DK221" s="8">
        <f t="shared" si="112"/>
        <v>2.5414528592314702E-5</v>
      </c>
      <c r="DL221" s="1">
        <f t="shared" si="113"/>
        <v>0.44568273501487304</v>
      </c>
      <c r="DM221">
        <f t="shared" si="115"/>
        <v>0</v>
      </c>
      <c r="DN221">
        <f t="shared" si="116"/>
        <v>0</v>
      </c>
      <c r="DO221">
        <f t="shared" si="117"/>
        <v>4.1756163202976926E-2</v>
      </c>
      <c r="DP221" s="14">
        <f t="shared" si="118"/>
        <v>1206010423511.6523</v>
      </c>
      <c r="DQ221" s="6">
        <f t="shared" si="114"/>
        <v>1.1189302389297346</v>
      </c>
      <c r="DS221" s="6">
        <v>-11.75</v>
      </c>
      <c r="EI221" t="s">
        <v>321</v>
      </c>
    </row>
    <row r="222" spans="1:246" x14ac:dyDescent="0.35">
      <c r="A222">
        <v>11</v>
      </c>
      <c r="B222">
        <v>0</v>
      </c>
      <c r="C222" s="3">
        <v>840</v>
      </c>
      <c r="D222" t="s">
        <v>169</v>
      </c>
      <c r="E222" t="s">
        <v>170</v>
      </c>
      <c r="F222" t="s">
        <v>167</v>
      </c>
      <c r="G222" t="s">
        <v>167</v>
      </c>
      <c r="H222">
        <v>20110319</v>
      </c>
      <c r="I222">
        <v>56625</v>
      </c>
      <c r="J222">
        <v>56685</v>
      </c>
      <c r="K222">
        <v>1500</v>
      </c>
      <c r="L222" t="s">
        <v>159</v>
      </c>
      <c r="M222" t="s">
        <v>168</v>
      </c>
      <c r="N222">
        <v>0.9</v>
      </c>
      <c r="O222">
        <v>50</v>
      </c>
      <c r="Q222" t="s">
        <v>469</v>
      </c>
      <c r="R222" t="s">
        <v>468</v>
      </c>
      <c r="S222">
        <v>4</v>
      </c>
      <c r="T222">
        <v>1</v>
      </c>
      <c r="U222">
        <v>28.6</v>
      </c>
      <c r="V222">
        <v>35</v>
      </c>
      <c r="W222">
        <v>3.1</v>
      </c>
      <c r="X222">
        <v>0.26500000000000001</v>
      </c>
      <c r="Y222">
        <v>220</v>
      </c>
      <c r="AA222" s="3">
        <f t="shared" si="120"/>
        <v>840</v>
      </c>
      <c r="AM222" s="6">
        <v>213.48</v>
      </c>
      <c r="AT222" s="7">
        <v>273</v>
      </c>
      <c r="AX222" s="7">
        <v>124.5</v>
      </c>
      <c r="AY222" s="7">
        <v>123</v>
      </c>
      <c r="AZ222" s="7">
        <v>126</v>
      </c>
      <c r="BV222">
        <v>0.6</v>
      </c>
      <c r="BX222">
        <v>5.8</v>
      </c>
      <c r="BY222">
        <f t="shared" si="119"/>
        <v>0</v>
      </c>
      <c r="CF222" s="13"/>
      <c r="CG222" s="13"/>
      <c r="CH222" s="13"/>
      <c r="CR222">
        <v>2.9000000000000001E-2</v>
      </c>
      <c r="CT222">
        <v>5.8999999999999997E-2</v>
      </c>
      <c r="CU222">
        <v>150</v>
      </c>
      <c r="CX222" t="s">
        <v>54</v>
      </c>
      <c r="DH222" s="14">
        <f t="shared" si="109"/>
        <v>1529401.3488015123</v>
      </c>
      <c r="DI222" s="6">
        <f t="shared" si="110"/>
        <v>2.2795772292378698</v>
      </c>
      <c r="DJ222" s="6">
        <f t="shared" si="111"/>
        <v>1.1299452487121047</v>
      </c>
      <c r="DK222" s="8">
        <f t="shared" si="112"/>
        <v>2.569030501050636E-5</v>
      </c>
      <c r="DL222" s="1">
        <f t="shared" si="113"/>
        <v>0.44551571881288138</v>
      </c>
      <c r="DM222">
        <f t="shared" si="115"/>
        <v>0</v>
      </c>
      <c r="DN222">
        <f t="shared" si="116"/>
        <v>0</v>
      </c>
      <c r="DO222">
        <f t="shared" si="117"/>
        <v>3.1559561170536016E-2</v>
      </c>
      <c r="DP222" s="14">
        <f t="shared" si="118"/>
        <v>2059727121920.7434</v>
      </c>
      <c r="DQ222" s="6">
        <f t="shared" si="114"/>
        <v>1.1310700561828502</v>
      </c>
      <c r="DS222" s="6">
        <v>-11.76</v>
      </c>
      <c r="EI222" t="s">
        <v>321</v>
      </c>
    </row>
    <row r="223" spans="1:246" x14ac:dyDescent="0.35">
      <c r="A223">
        <v>11</v>
      </c>
      <c r="B223">
        <v>0</v>
      </c>
      <c r="C223" s="3">
        <v>1440</v>
      </c>
      <c r="D223" t="s">
        <v>169</v>
      </c>
      <c r="E223" t="s">
        <v>170</v>
      </c>
      <c r="F223" t="s">
        <v>167</v>
      </c>
      <c r="G223" t="s">
        <v>167</v>
      </c>
      <c r="H223">
        <v>20110319</v>
      </c>
      <c r="I223">
        <v>56029.999999999993</v>
      </c>
      <c r="J223">
        <v>57334.999999999993</v>
      </c>
      <c r="K223">
        <v>1500</v>
      </c>
      <c r="L223" t="s">
        <v>159</v>
      </c>
      <c r="M223" t="s">
        <v>168</v>
      </c>
      <c r="N223">
        <v>0.9</v>
      </c>
      <c r="O223">
        <v>50</v>
      </c>
      <c r="Q223" t="s">
        <v>469</v>
      </c>
      <c r="R223" t="s">
        <v>468</v>
      </c>
      <c r="S223">
        <v>4</v>
      </c>
      <c r="T223">
        <v>1</v>
      </c>
      <c r="U223">
        <v>28.6</v>
      </c>
      <c r="V223">
        <v>35</v>
      </c>
      <c r="W223">
        <v>3.1</v>
      </c>
      <c r="X223">
        <v>0.26500000000000001</v>
      </c>
      <c r="Y223">
        <v>220</v>
      </c>
      <c r="AA223" s="3">
        <f t="shared" si="120"/>
        <v>1440</v>
      </c>
      <c r="AM223" s="6">
        <v>213.48</v>
      </c>
      <c r="AT223" s="7">
        <v>273</v>
      </c>
      <c r="AX223" s="7">
        <v>123.5</v>
      </c>
      <c r="AY223" s="7">
        <v>125</v>
      </c>
      <c r="AZ223" s="7">
        <v>122</v>
      </c>
      <c r="BV223">
        <v>0.94</v>
      </c>
      <c r="BX223">
        <v>3.08</v>
      </c>
      <c r="BY223">
        <f t="shared" si="119"/>
        <v>0</v>
      </c>
      <c r="CF223" s="13"/>
      <c r="CG223" s="13"/>
      <c r="CH223" s="13"/>
      <c r="CR223">
        <v>6.4000000000000001E-2</v>
      </c>
      <c r="CT223">
        <v>0.182</v>
      </c>
      <c r="CU223">
        <v>150</v>
      </c>
      <c r="CX223" t="s">
        <v>54</v>
      </c>
      <c r="DH223" s="14">
        <f t="shared" si="109"/>
        <v>2353900.1343537187</v>
      </c>
      <c r="DI223" s="6">
        <f t="shared" si="110"/>
        <v>2.2795772292378698</v>
      </c>
      <c r="DJ223" s="6">
        <f t="shared" si="111"/>
        <v>1.1299452487121047</v>
      </c>
      <c r="DK223" s="8">
        <f t="shared" si="112"/>
        <v>2.569030501050636E-5</v>
      </c>
      <c r="DL223" s="1">
        <f t="shared" si="113"/>
        <v>0.44551571881288138</v>
      </c>
      <c r="DM223">
        <f t="shared" si="115"/>
        <v>0</v>
      </c>
      <c r="DN223">
        <f t="shared" si="116"/>
        <v>0</v>
      </c>
      <c r="DO223">
        <f t="shared" si="117"/>
        <v>2.050521800707308E-2</v>
      </c>
      <c r="DP223" s="14">
        <f t="shared" si="118"/>
        <v>4966527628224.5498</v>
      </c>
      <c r="DQ223" s="6">
        <f t="shared" si="114"/>
        <v>1.1310700561828502</v>
      </c>
      <c r="DS223" s="6">
        <v>-12.12</v>
      </c>
      <c r="EI223" t="s">
        <v>321</v>
      </c>
    </row>
    <row r="224" spans="1:246" x14ac:dyDescent="0.35">
      <c r="A224">
        <v>11</v>
      </c>
      <c r="B224">
        <v>0</v>
      </c>
      <c r="C224" s="3">
        <f>30*60</f>
        <v>1800</v>
      </c>
      <c r="D224" t="s">
        <v>169</v>
      </c>
      <c r="E224" t="s">
        <v>170</v>
      </c>
      <c r="F224" t="s">
        <v>167</v>
      </c>
      <c r="G224" t="s">
        <v>167</v>
      </c>
      <c r="H224">
        <v>20110319</v>
      </c>
      <c r="I224">
        <v>56820</v>
      </c>
      <c r="J224">
        <v>56980.000000000007</v>
      </c>
      <c r="K224">
        <v>1500</v>
      </c>
      <c r="L224" t="s">
        <v>159</v>
      </c>
      <c r="M224" t="s">
        <v>168</v>
      </c>
      <c r="N224">
        <v>0.9</v>
      </c>
      <c r="O224">
        <v>50</v>
      </c>
      <c r="Q224" t="s">
        <v>469</v>
      </c>
      <c r="R224" t="s">
        <v>468</v>
      </c>
      <c r="S224">
        <v>4</v>
      </c>
      <c r="T224">
        <v>1</v>
      </c>
      <c r="U224">
        <v>28.6</v>
      </c>
      <c r="V224">
        <v>35</v>
      </c>
      <c r="W224">
        <v>3.1</v>
      </c>
      <c r="X224">
        <v>0.26500000000000001</v>
      </c>
      <c r="Y224">
        <v>220</v>
      </c>
      <c r="AA224" s="3">
        <f t="shared" si="120"/>
        <v>1800</v>
      </c>
      <c r="AK224">
        <f>11*60</f>
        <v>660</v>
      </c>
      <c r="AL224">
        <v>1800</v>
      </c>
      <c r="AM224" s="6">
        <v>213.39</v>
      </c>
      <c r="AT224" s="7">
        <v>273</v>
      </c>
      <c r="AX224" s="7">
        <v>117</v>
      </c>
      <c r="AY224" s="7">
        <v>115</v>
      </c>
      <c r="AZ224" s="7">
        <v>125</v>
      </c>
      <c r="BV224">
        <v>1</v>
      </c>
      <c r="BX224">
        <v>10.5</v>
      </c>
      <c r="BY224">
        <f t="shared" si="119"/>
        <v>0</v>
      </c>
      <c r="CF224" s="13"/>
      <c r="CG224" s="13"/>
      <c r="CH224" s="13"/>
      <c r="CR224">
        <v>2.7E-2</v>
      </c>
      <c r="CT224">
        <v>0.32</v>
      </c>
      <c r="CU224">
        <v>150</v>
      </c>
      <c r="CX224" t="s">
        <v>54</v>
      </c>
      <c r="DH224" s="14">
        <f t="shared" si="109"/>
        <v>2813947.8471816014</v>
      </c>
      <c r="DI224" s="6">
        <f t="shared" si="110"/>
        <v>2.2585431917128678</v>
      </c>
      <c r="DJ224" s="6">
        <f t="shared" si="111"/>
        <v>1.1163080403473413</v>
      </c>
      <c r="DK224" s="8">
        <f t="shared" si="112"/>
        <v>2.5380251012065358E-5</v>
      </c>
      <c r="DL224" s="1">
        <f t="shared" si="113"/>
        <v>0.44570362084527815</v>
      </c>
      <c r="DM224">
        <f t="shared" si="115"/>
        <v>0</v>
      </c>
      <c r="DN224">
        <f t="shared" si="116"/>
        <v>0</v>
      </c>
      <c r="DO224">
        <f t="shared" si="117"/>
        <v>1.7362398828111456E-2</v>
      </c>
      <c r="DP224" s="14">
        <f t="shared" si="118"/>
        <v>6313495595671.7188</v>
      </c>
      <c r="DQ224" s="6">
        <f t="shared" si="114"/>
        <v>1.1174213210608399</v>
      </c>
      <c r="DS224" s="6">
        <v>-12.08</v>
      </c>
      <c r="EI224" t="s">
        <v>321</v>
      </c>
    </row>
    <row r="225" spans="1:173" x14ac:dyDescent="0.35">
      <c r="A225">
        <v>10</v>
      </c>
      <c r="B225">
        <v>0</v>
      </c>
      <c r="C225" s="3">
        <v>120</v>
      </c>
      <c r="D225" s="1" t="s">
        <v>64</v>
      </c>
      <c r="E225" t="s">
        <v>470</v>
      </c>
      <c r="F225" t="s">
        <v>196</v>
      </c>
      <c r="G225" t="s">
        <v>216</v>
      </c>
      <c r="H225">
        <v>20110916</v>
      </c>
      <c r="I225">
        <v>58020</v>
      </c>
      <c r="J225">
        <v>59030</v>
      </c>
      <c r="K225" s="6">
        <f t="shared" ref="K225:K227" si="121">I225/3600</f>
        <v>16.116666666666667</v>
      </c>
      <c r="L225" t="s">
        <v>217</v>
      </c>
      <c r="M225" s="1" t="s">
        <v>484</v>
      </c>
      <c r="Q225" t="s">
        <v>216</v>
      </c>
      <c r="R225" t="s">
        <v>219</v>
      </c>
      <c r="S225">
        <v>2</v>
      </c>
      <c r="T225">
        <v>1</v>
      </c>
      <c r="U225">
        <v>64.8</v>
      </c>
      <c r="V225">
        <v>239.6</v>
      </c>
      <c r="W225" s="6">
        <f>1000*(2*3.5/3.6)/Y225</f>
        <v>7.8208287764109947</v>
      </c>
      <c r="X225">
        <v>0.33</v>
      </c>
      <c r="Y225" s="7">
        <f>0.84*SQRT(1.4*287.04*218)</f>
        <v>248.62383515021239</v>
      </c>
      <c r="Z225" s="7"/>
      <c r="AA225" s="3">
        <f t="shared" si="120"/>
        <v>120</v>
      </c>
      <c r="AK225">
        <v>90</v>
      </c>
      <c r="AL225">
        <v>130</v>
      </c>
      <c r="AM225" s="6">
        <v>218</v>
      </c>
      <c r="AN225" s="6">
        <v>217</v>
      </c>
      <c r="AO225" s="6">
        <v>218</v>
      </c>
      <c r="AP225" s="6">
        <v>11.224</v>
      </c>
      <c r="AQ225" s="6">
        <f>AP225-0.2</f>
        <v>11.024000000000001</v>
      </c>
      <c r="AR225" s="6">
        <f>AP225</f>
        <v>11.224</v>
      </c>
      <c r="AS225" s="7">
        <v>360</v>
      </c>
      <c r="AT225" s="7">
        <v>227.3</v>
      </c>
      <c r="AU225" s="7">
        <v>227.2</v>
      </c>
      <c r="AV225" s="7">
        <v>227.8</v>
      </c>
      <c r="AX225" s="7">
        <v>89</v>
      </c>
      <c r="AY225" s="7">
        <v>88</v>
      </c>
      <c r="AZ225" s="7">
        <v>95</v>
      </c>
      <c r="BA225" s="6">
        <f>100*SQRT(9.8*20/(2000*330))</f>
        <v>1.7232808737106582</v>
      </c>
      <c r="BD225" s="6">
        <v>1</v>
      </c>
      <c r="BG225">
        <v>1</v>
      </c>
      <c r="BV225">
        <v>70</v>
      </c>
      <c r="BW225">
        <v>29</v>
      </c>
      <c r="BX225">
        <v>142</v>
      </c>
      <c r="BY225" s="1"/>
      <c r="CC225">
        <f>BJ226*BP225*BZ225*0.000001</f>
        <v>0</v>
      </c>
      <c r="CF225" s="13">
        <f>BJ226*BP225*BV225*1000000</f>
        <v>0</v>
      </c>
      <c r="CG225" s="13"/>
      <c r="CH225" s="13"/>
      <c r="CI225">
        <v>0.6</v>
      </c>
      <c r="CK225">
        <v>2</v>
      </c>
      <c r="CY225">
        <f>CI225*0.001*BJ226</f>
        <v>1.7999999999999999E-2</v>
      </c>
      <c r="DB225">
        <f>CY225*BP225</f>
        <v>0</v>
      </c>
      <c r="DH225" s="14">
        <f>7000*POWER(AA225,0.8)</f>
        <v>322435.63769539713</v>
      </c>
      <c r="DI225" s="6">
        <f>EXP(6.97+0.103*(AM225-273.15))</f>
        <v>3.6311521695671996</v>
      </c>
      <c r="DJ225" s="6">
        <f>100*EXP(-6024.5282/AM225+24.7219+(0.010613868-0.000013198825*AM225)*AM225-0.49382577*LN(AM225))</f>
        <v>2.0527483863804896</v>
      </c>
      <c r="DK225" s="8">
        <f>(18/29)*DJ225/(AT225*100)</f>
        <v>5.6054539731554557E-5</v>
      </c>
      <c r="DL225" s="1">
        <f>AT225*100/(287.04*AM225)</f>
        <v>0.3632457324619271</v>
      </c>
      <c r="DM225">
        <f>BZ225*0.000001/DL225</f>
        <v>0</v>
      </c>
      <c r="DN225">
        <f>DM225/DK225</f>
        <v>0</v>
      </c>
      <c r="DO225">
        <f>1.24*29*AT225*100/(DH225*18*DJ225)</f>
        <v>6.8606909672156005E-2</v>
      </c>
      <c r="DP225" s="14">
        <f>(BV225*1000000/DL225)*DH225</f>
        <v>62135608547151.977</v>
      </c>
      <c r="DQ225" s="6">
        <f>EXP(9.550426-5723.265/AM225+3.53068*LN(AM225)-0.00728332*AM225)</f>
        <v>2.054601874158124</v>
      </c>
      <c r="DR225" s="6">
        <f>BS225*1000000*DL225/(W225*0.001)</f>
        <v>0</v>
      </c>
      <c r="DS225" s="6">
        <v>-3.5030000000000001</v>
      </c>
      <c r="EI225" t="s">
        <v>320</v>
      </c>
      <c r="EJ225" t="s">
        <v>316</v>
      </c>
      <c r="EN225" s="1"/>
      <c r="EO225" s="1"/>
      <c r="EQ225" s="1"/>
      <c r="ET225" s="6"/>
      <c r="EV225" s="1"/>
      <c r="EY225" s="1"/>
      <c r="EZ225" s="1"/>
      <c r="FA225" s="1"/>
      <c r="FB225" s="1"/>
      <c r="FE225" s="7"/>
      <c r="FF225" s="7"/>
      <c r="FG225" s="6"/>
      <c r="FH225" s="1"/>
      <c r="FI225" s="3"/>
      <c r="FL225" s="1"/>
      <c r="FM225" s="1"/>
      <c r="FN225" s="1"/>
      <c r="FO225" s="1"/>
      <c r="FP225" s="1"/>
      <c r="FQ225" s="1"/>
    </row>
    <row r="226" spans="1:173" ht="15.75" customHeight="1" x14ac:dyDescent="0.35">
      <c r="A226">
        <v>10</v>
      </c>
      <c r="B226">
        <v>0</v>
      </c>
      <c r="C226" s="3">
        <v>80</v>
      </c>
      <c r="D226" s="1" t="s">
        <v>64</v>
      </c>
      <c r="E226" s="1" t="s">
        <v>471</v>
      </c>
      <c r="F226" t="s">
        <v>196</v>
      </c>
      <c r="G226" s="1" t="s">
        <v>29</v>
      </c>
      <c r="H226">
        <v>20110916</v>
      </c>
      <c r="I226">
        <v>60025</v>
      </c>
      <c r="J226">
        <v>60205</v>
      </c>
      <c r="K226" s="6">
        <f t="shared" si="121"/>
        <v>16.673611111111111</v>
      </c>
      <c r="L226" t="s">
        <v>217</v>
      </c>
      <c r="M226" s="1" t="s">
        <v>483</v>
      </c>
      <c r="N226">
        <v>0.4</v>
      </c>
      <c r="O226">
        <v>50</v>
      </c>
      <c r="P226" s="1"/>
      <c r="Q226" s="1" t="s">
        <v>29</v>
      </c>
      <c r="R226" s="1" t="s">
        <v>222</v>
      </c>
      <c r="S226">
        <v>2</v>
      </c>
      <c r="T226">
        <v>1</v>
      </c>
      <c r="U226" s="7">
        <v>34.1</v>
      </c>
      <c r="V226" s="7">
        <v>77.5</v>
      </c>
      <c r="W226" s="6">
        <v>3.62</v>
      </c>
      <c r="X226" s="1">
        <v>0.33</v>
      </c>
      <c r="Y226" s="3">
        <v>230</v>
      </c>
      <c r="Z226" s="3"/>
      <c r="AA226" s="3">
        <f t="shared" si="120"/>
        <v>80</v>
      </c>
      <c r="AB226" s="1"/>
      <c r="AC226" s="1"/>
      <c r="AD226" s="1"/>
      <c r="AE226" s="1"/>
      <c r="AF226" s="1"/>
      <c r="AG226" s="1"/>
      <c r="AH226" s="1"/>
      <c r="AI226" s="1"/>
      <c r="AJ226" s="1"/>
      <c r="AK226">
        <v>70</v>
      </c>
      <c r="AL226">
        <v>110</v>
      </c>
      <c r="AM226" s="6">
        <v>221</v>
      </c>
      <c r="AN226" s="6">
        <v>219</v>
      </c>
      <c r="AO226" s="6">
        <v>222</v>
      </c>
      <c r="AP226" s="6">
        <v>10.71</v>
      </c>
      <c r="AQ226" s="6">
        <f>AP226-0.1</f>
        <v>10.610000000000001</v>
      </c>
      <c r="AR226" s="6">
        <f t="shared" ref="AR226:AR227" si="122">AP226</f>
        <v>10.71</v>
      </c>
      <c r="AS226" s="7">
        <v>350</v>
      </c>
      <c r="AT226" s="7">
        <v>238.4</v>
      </c>
      <c r="AU226" s="7">
        <v>238.4</v>
      </c>
      <c r="AV226" s="7">
        <v>244</v>
      </c>
      <c r="AW226">
        <v>1</v>
      </c>
      <c r="AX226" s="7">
        <v>105</v>
      </c>
      <c r="AY226" s="7">
        <v>95</v>
      </c>
      <c r="AZ226" s="7">
        <v>110</v>
      </c>
      <c r="BA226" s="6">
        <f>100*SQRT(9.8*20/(2000*330))</f>
        <v>1.7232808737106582</v>
      </c>
      <c r="BB226" s="1"/>
      <c r="BC226" s="1"/>
      <c r="BD226" s="6">
        <v>1</v>
      </c>
      <c r="BG226">
        <v>1</v>
      </c>
      <c r="BH226" s="1"/>
      <c r="BI226" s="1"/>
      <c r="BJ226">
        <v>30</v>
      </c>
      <c r="BK226" s="1"/>
      <c r="BL226" s="1"/>
      <c r="BM226" s="1">
        <v>150</v>
      </c>
      <c r="BN226" s="1"/>
      <c r="BO226" s="1"/>
      <c r="BS226" s="1"/>
      <c r="BT226" s="1"/>
      <c r="BU226" s="1"/>
      <c r="BV226">
        <v>117</v>
      </c>
      <c r="BW226">
        <v>100</v>
      </c>
      <c r="BX226">
        <v>225</v>
      </c>
      <c r="BY226" s="1">
        <f t="shared" ref="BY226" si="123">(4*3.141592*917/3)*CL226*CL226*CL226*0.000000000000000001*BV226*1000000000000</f>
        <v>0.44941101878400003</v>
      </c>
      <c r="BZ226" s="1">
        <f>BY226</f>
        <v>0.44941101878400003</v>
      </c>
      <c r="CA226" s="1">
        <f>BZ226*0.7*0.7*0.7</f>
        <v>0.15414797944291198</v>
      </c>
      <c r="CB226" s="1">
        <f>BZ226*1.2*1.2*1.2</f>
        <v>0.77658224045875202</v>
      </c>
      <c r="CC226" s="1"/>
      <c r="CD226" s="1"/>
      <c r="CE226" s="1"/>
      <c r="CF226" s="13"/>
      <c r="CG226" s="13"/>
      <c r="CH226" s="13"/>
      <c r="CI226">
        <v>1.4</v>
      </c>
      <c r="CJ226">
        <v>1</v>
      </c>
      <c r="CK226">
        <v>3.2</v>
      </c>
      <c r="CL226">
        <v>1</v>
      </c>
      <c r="CM226">
        <v>0.5</v>
      </c>
      <c r="CN226">
        <v>1.2</v>
      </c>
      <c r="CR226" s="1"/>
      <c r="CS226" s="1"/>
      <c r="CT226" s="1"/>
      <c r="CU226" s="1"/>
      <c r="CV226" s="1"/>
      <c r="CW226" s="1"/>
      <c r="CX226" s="1"/>
      <c r="CY226" s="1"/>
      <c r="CZ226" s="1"/>
      <c r="DA226" s="1"/>
      <c r="DF226" s="1"/>
      <c r="DG226" s="1"/>
      <c r="DH226" s="14">
        <f t="shared" ref="DH226:DH227" si="124">7000*POWER(AA226,0.8)</f>
        <v>233114.89807252437</v>
      </c>
      <c r="DI226" s="6">
        <f t="shared" ref="DI226:DI227" si="125">EXP(6.97+0.103*(AM226-273.15))</f>
        <v>4.9458557317393446</v>
      </c>
      <c r="DJ226" s="6">
        <f t="shared" ref="DJ226:DJ227" si="126">100*EXP(-6024.5282/AM226+24.7219+(0.010613868-0.000013198825*AM226)*AM226-0.49382577*LN(AM226))</f>
        <v>3.0102729394734147</v>
      </c>
      <c r="DK226" s="8">
        <f t="shared" ref="DK226:DK227" si="127">(18/29)*DJ226/(AT226*100)</f>
        <v>7.8374382247340706E-5</v>
      </c>
      <c r="DL226" s="1">
        <f t="shared" ref="DL226:DL227" si="128">AT226*100/(287.04*AM226)</f>
        <v>0.37581278974157195</v>
      </c>
      <c r="DM226">
        <f t="shared" ref="DM226:DM227" si="129">BZ226*0.000001/DL226</f>
        <v>1.1958374782642123E-6</v>
      </c>
      <c r="DN226">
        <f t="shared" ref="DN226:DN227" si="130">DM226/DK226</f>
        <v>1.5258014723360551E-2</v>
      </c>
      <c r="DO226">
        <f t="shared" ref="DO226:DO227" si="131">1.24*29*AT226*100/(DH226*18*DJ226)</f>
        <v>6.7869949312036645E-2</v>
      </c>
      <c r="DP226" s="14">
        <f t="shared" ref="DP226:DP227" si="132">(BV226*1000000/DL226)*DH226</f>
        <v>72574547271902.719</v>
      </c>
      <c r="DQ226" s="6">
        <f t="shared" ref="DQ226:DQ227" si="133">EXP(9.550426-5723.265/AM226+3.53068*LN(AM226)-0.00728332*AM226)</f>
        <v>3.0128023838529434</v>
      </c>
      <c r="DS226" s="6">
        <v>-11.89</v>
      </c>
      <c r="ED226" s="1"/>
      <c r="EG226" s="1"/>
      <c r="EH226" s="1"/>
      <c r="EI226" t="s">
        <v>320</v>
      </c>
      <c r="EJ226" s="1" t="s">
        <v>316</v>
      </c>
      <c r="EN226" s="1"/>
      <c r="ET226" s="6"/>
      <c r="EV226" s="1"/>
      <c r="FG226" s="6"/>
      <c r="FI226" s="7"/>
    </row>
    <row r="227" spans="1:173" x14ac:dyDescent="0.35">
      <c r="A227">
        <v>10</v>
      </c>
      <c r="B227">
        <v>0</v>
      </c>
      <c r="C227" s="3">
        <v>160</v>
      </c>
      <c r="D227" s="1" t="s">
        <v>64</v>
      </c>
      <c r="E227" t="s">
        <v>470</v>
      </c>
      <c r="F227" s="1" t="s">
        <v>196</v>
      </c>
      <c r="G227" t="s">
        <v>216</v>
      </c>
      <c r="H227">
        <v>20110924</v>
      </c>
      <c r="I227">
        <v>40390</v>
      </c>
      <c r="J227">
        <v>40600</v>
      </c>
      <c r="K227" s="6">
        <f t="shared" si="121"/>
        <v>11.219444444444445</v>
      </c>
      <c r="L227" t="s">
        <v>223</v>
      </c>
      <c r="M227" s="1" t="s">
        <v>484</v>
      </c>
      <c r="P227" s="1"/>
      <c r="Q227" s="1" t="s">
        <v>216</v>
      </c>
      <c r="S227">
        <v>2</v>
      </c>
      <c r="T227">
        <v>1</v>
      </c>
      <c r="U227">
        <v>64.8</v>
      </c>
      <c r="V227">
        <v>240.6</v>
      </c>
      <c r="W227" s="6">
        <f>1000*(2*3.5/3.6)/Y227</f>
        <v>7.8208287764109947</v>
      </c>
      <c r="X227">
        <v>0.33</v>
      </c>
      <c r="Y227" s="7">
        <f>0.84*SQRT(1.4*287.04*218)</f>
        <v>248.62383515021239</v>
      </c>
      <c r="Z227" s="3"/>
      <c r="AA227" s="3">
        <f t="shared" si="120"/>
        <v>160</v>
      </c>
      <c r="AB227" s="1"/>
      <c r="AC227" s="1"/>
      <c r="AD227" s="1"/>
      <c r="AE227" s="1"/>
      <c r="AF227" s="1"/>
      <c r="AG227" s="1"/>
      <c r="AH227" s="1"/>
      <c r="AI227" s="1"/>
      <c r="AJ227" s="1"/>
      <c r="AK227">
        <v>140</v>
      </c>
      <c r="AL227">
        <v>180</v>
      </c>
      <c r="AM227" s="6">
        <v>218</v>
      </c>
      <c r="AN227" s="6">
        <v>217</v>
      </c>
      <c r="AO227" s="6">
        <v>219</v>
      </c>
      <c r="AP227" s="6">
        <v>11.224</v>
      </c>
      <c r="AQ227" s="6">
        <f>AP227-0.2</f>
        <v>11.024000000000001</v>
      </c>
      <c r="AR227" s="6">
        <f t="shared" si="122"/>
        <v>11.224</v>
      </c>
      <c r="AS227" s="7">
        <v>360</v>
      </c>
      <c r="AT227" s="7">
        <v>227.3</v>
      </c>
      <c r="AU227" s="7">
        <v>226.8</v>
      </c>
      <c r="AV227" s="7">
        <v>227.4</v>
      </c>
      <c r="AX227" s="7">
        <v>90</v>
      </c>
      <c r="AY227" s="7">
        <v>87</v>
      </c>
      <c r="AZ227" s="7">
        <v>92</v>
      </c>
      <c r="BA227" s="6">
        <v>0.4</v>
      </c>
      <c r="BB227" s="1"/>
      <c r="BC227" s="1"/>
      <c r="BD227" s="6">
        <v>1</v>
      </c>
      <c r="BE227" s="6">
        <v>0</v>
      </c>
      <c r="BF227" s="6">
        <v>1</v>
      </c>
      <c r="BG227">
        <v>1</v>
      </c>
      <c r="BH227" s="1"/>
      <c r="BI227" s="1"/>
      <c r="BJ227" s="1"/>
      <c r="BK227" s="1"/>
      <c r="BL227" s="1"/>
      <c r="BM227" s="1"/>
      <c r="BN227" s="1"/>
      <c r="BO227" s="1"/>
      <c r="BS227" s="1"/>
      <c r="BT227" s="1"/>
      <c r="BU227" s="1"/>
      <c r="BV227">
        <v>55</v>
      </c>
      <c r="BW227">
        <v>24</v>
      </c>
      <c r="BX227">
        <v>111</v>
      </c>
      <c r="BY227" s="1"/>
      <c r="CA227" s="1"/>
      <c r="CB227" s="1"/>
      <c r="CC227" s="1"/>
      <c r="CD227" s="1"/>
      <c r="CE227" s="1"/>
      <c r="CF227" s="13"/>
      <c r="CG227" s="13"/>
      <c r="CH227" s="13"/>
      <c r="CI227">
        <v>1</v>
      </c>
      <c r="CK227">
        <v>1.9</v>
      </c>
      <c r="CR227" s="1"/>
      <c r="CS227" s="1"/>
      <c r="CT227" s="1"/>
      <c r="CU227" s="1"/>
      <c r="CV227" s="1"/>
      <c r="CW227" s="1"/>
      <c r="CX227" s="1"/>
      <c r="CY227" s="1"/>
      <c r="CZ227" s="1"/>
      <c r="DA227" s="1"/>
      <c r="DF227" s="1"/>
      <c r="DG227" s="1"/>
      <c r="DH227" s="14">
        <f t="shared" si="124"/>
        <v>405876.61165950936</v>
      </c>
      <c r="DI227" s="6">
        <f t="shared" si="125"/>
        <v>3.6311521695671996</v>
      </c>
      <c r="DJ227" s="6">
        <f t="shared" si="126"/>
        <v>2.0527483863804896</v>
      </c>
      <c r="DK227" s="8">
        <f t="shared" si="127"/>
        <v>5.6054539731554557E-5</v>
      </c>
      <c r="DL227" s="1">
        <f t="shared" si="128"/>
        <v>0.3632457324619271</v>
      </c>
      <c r="DM227">
        <f t="shared" si="129"/>
        <v>0</v>
      </c>
      <c r="DN227">
        <f t="shared" si="130"/>
        <v>0</v>
      </c>
      <c r="DO227">
        <f t="shared" si="131"/>
        <v>5.4502555789072524E-2</v>
      </c>
      <c r="DP227" s="14">
        <f t="shared" si="132"/>
        <v>61454854513983.258</v>
      </c>
      <c r="DQ227" s="6">
        <f t="shared" si="133"/>
        <v>2.054601874158124</v>
      </c>
      <c r="DS227" s="6">
        <v>-5.6779999999999999</v>
      </c>
      <c r="ED227" s="1"/>
      <c r="EG227" s="1"/>
      <c r="EH227" s="1"/>
      <c r="EI227" s="18" t="s">
        <v>320</v>
      </c>
      <c r="EJ227" s="1" t="s">
        <v>316</v>
      </c>
      <c r="EN227" s="1"/>
      <c r="EP227" s="1"/>
      <c r="ET227" s="6"/>
      <c r="EV227" s="1"/>
      <c r="EY227" s="1"/>
      <c r="EZ227" s="1"/>
      <c r="FA227" s="1"/>
      <c r="FB227" s="1"/>
      <c r="FF227" s="7"/>
      <c r="FG227" s="6"/>
      <c r="FH227" s="1"/>
      <c r="FI227" s="3"/>
      <c r="FL227" s="1"/>
      <c r="FM227" s="1"/>
      <c r="FN227" s="1"/>
      <c r="FO227" s="1"/>
      <c r="FP227" s="1"/>
      <c r="FQ227" s="1"/>
    </row>
    <row r="228" spans="1:173" x14ac:dyDescent="0.35">
      <c r="A228">
        <v>0</v>
      </c>
      <c r="B228">
        <v>12</v>
      </c>
      <c r="C228" s="3">
        <v>300</v>
      </c>
      <c r="D228" t="s">
        <v>421</v>
      </c>
      <c r="E228" t="s">
        <v>157</v>
      </c>
      <c r="F228" t="s">
        <v>208</v>
      </c>
      <c r="G228" t="s">
        <v>121</v>
      </c>
      <c r="H228">
        <v>20121103</v>
      </c>
      <c r="I228">
        <f t="shared" ref="I228:I235" si="134">8*3600+40*60</f>
        <v>31200</v>
      </c>
      <c r="L228" t="s">
        <v>119</v>
      </c>
      <c r="M228" t="s">
        <v>120</v>
      </c>
      <c r="Q228" t="s">
        <v>122</v>
      </c>
      <c r="T228">
        <v>1</v>
      </c>
      <c r="U228">
        <v>28.72</v>
      </c>
      <c r="V228">
        <v>41</v>
      </c>
      <c r="W228" s="14">
        <v>2.339</v>
      </c>
      <c r="X228">
        <v>0.33</v>
      </c>
      <c r="AA228" s="3">
        <f t="shared" si="120"/>
        <v>300</v>
      </c>
      <c r="AM228" s="6">
        <v>214.84999999999997</v>
      </c>
      <c r="AP228" s="6">
        <v>11</v>
      </c>
      <c r="AT228" s="7">
        <v>216.544724</v>
      </c>
      <c r="AX228" s="7">
        <v>90</v>
      </c>
      <c r="AY228" s="7">
        <v>90</v>
      </c>
      <c r="AZ228" s="7">
        <v>140</v>
      </c>
      <c r="BA228" s="6">
        <v>1.2</v>
      </c>
      <c r="BD228" s="6">
        <v>10</v>
      </c>
      <c r="BP228" s="3">
        <v>100</v>
      </c>
      <c r="BY228">
        <f t="shared" ref="BY228:BY237" si="135">(4*3.141592*917/3)*CL228*CL228*CL228*0.000000000000000001*BV228*1000000000000</f>
        <v>0</v>
      </c>
      <c r="CF228" s="13"/>
      <c r="CG228" s="13"/>
      <c r="CH228" s="13"/>
      <c r="DH228" s="14">
        <f t="shared" si="109"/>
        <v>671112.06085992826</v>
      </c>
      <c r="DI228" s="6">
        <f t="shared" si="110"/>
        <v>2.6250501483645952</v>
      </c>
      <c r="DJ228" s="6">
        <f t="shared" si="111"/>
        <v>1.3576505048149867</v>
      </c>
      <c r="DK228" s="8">
        <f t="shared" si="112"/>
        <v>3.8914807440806904E-5</v>
      </c>
      <c r="DL228" s="1">
        <f t="shared" si="113"/>
        <v>0.35113152885435872</v>
      </c>
      <c r="DM228">
        <f t="shared" si="115"/>
        <v>0</v>
      </c>
      <c r="DN228">
        <f t="shared" si="116"/>
        <v>0</v>
      </c>
      <c r="DO228">
        <f t="shared" si="117"/>
        <v>4.7480114277855756E-2</v>
      </c>
      <c r="DP228" s="14">
        <f t="shared" si="118"/>
        <v>0</v>
      </c>
      <c r="DQ228" s="6">
        <f t="shared" si="114"/>
        <v>1.3589640633431013</v>
      </c>
      <c r="DS228" s="6">
        <v>-5.9279999999999999</v>
      </c>
      <c r="EJ228" s="1" t="s">
        <v>316</v>
      </c>
      <c r="FG228" s="14"/>
    </row>
    <row r="229" spans="1:173" x14ac:dyDescent="0.35">
      <c r="A229">
        <v>0</v>
      </c>
      <c r="B229">
        <v>12</v>
      </c>
      <c r="C229" s="3">
        <v>900</v>
      </c>
      <c r="D229" t="s">
        <v>421</v>
      </c>
      <c r="E229" t="s">
        <v>157</v>
      </c>
      <c r="F229" t="s">
        <v>208</v>
      </c>
      <c r="G229" t="s">
        <v>121</v>
      </c>
      <c r="H229">
        <v>20121103</v>
      </c>
      <c r="I229">
        <f t="shared" si="134"/>
        <v>31200</v>
      </c>
      <c r="L229" t="s">
        <v>119</v>
      </c>
      <c r="M229" t="s">
        <v>120</v>
      </c>
      <c r="T229">
        <v>1</v>
      </c>
      <c r="U229">
        <v>28.72</v>
      </c>
      <c r="V229">
        <v>41</v>
      </c>
      <c r="W229" s="14">
        <v>2.339</v>
      </c>
      <c r="X229">
        <v>0.33</v>
      </c>
      <c r="AA229" s="3">
        <f t="shared" si="120"/>
        <v>900</v>
      </c>
      <c r="AM229" s="6">
        <v>214.84999999999997</v>
      </c>
      <c r="AP229" s="6">
        <v>11</v>
      </c>
      <c r="AT229" s="7">
        <v>216.544724</v>
      </c>
      <c r="AX229" s="7">
        <v>90</v>
      </c>
      <c r="AY229" s="7">
        <v>90</v>
      </c>
      <c r="AZ229" s="7">
        <v>140</v>
      </c>
      <c r="BA229" s="6">
        <v>1.2</v>
      </c>
      <c r="BD229" s="6">
        <v>10</v>
      </c>
      <c r="BP229" s="3">
        <v>300</v>
      </c>
      <c r="BY229">
        <f t="shared" si="135"/>
        <v>0</v>
      </c>
      <c r="CF229" s="13"/>
      <c r="CG229" s="13"/>
      <c r="CH229" s="13"/>
      <c r="DH229" s="14">
        <f t="shared" si="109"/>
        <v>1616188.6315524769</v>
      </c>
      <c r="DI229" s="6">
        <f t="shared" si="110"/>
        <v>2.6250501483645952</v>
      </c>
      <c r="DJ229" s="6">
        <f t="shared" si="111"/>
        <v>1.3576505048149867</v>
      </c>
      <c r="DK229" s="8">
        <f t="shared" si="112"/>
        <v>3.8914807440806904E-5</v>
      </c>
      <c r="DL229" s="1">
        <f t="shared" si="113"/>
        <v>0.35113152885435872</v>
      </c>
      <c r="DM229">
        <f t="shared" si="115"/>
        <v>0</v>
      </c>
      <c r="DN229">
        <f t="shared" si="116"/>
        <v>0</v>
      </c>
      <c r="DO229">
        <f t="shared" si="117"/>
        <v>1.97158157908018E-2</v>
      </c>
      <c r="DP229" s="14">
        <f t="shared" si="118"/>
        <v>0</v>
      </c>
      <c r="DQ229" s="6">
        <f t="shared" si="114"/>
        <v>1.3589640633431013</v>
      </c>
      <c r="DS229" s="6">
        <v>-8.1669999999999998</v>
      </c>
      <c r="EJ229" s="1" t="s">
        <v>316</v>
      </c>
      <c r="FG229" s="14"/>
    </row>
    <row r="230" spans="1:173" x14ac:dyDescent="0.35">
      <c r="A230">
        <v>0</v>
      </c>
      <c r="B230">
        <v>12</v>
      </c>
      <c r="C230" s="3">
        <f>18*60</f>
        <v>1080</v>
      </c>
      <c r="D230" t="s">
        <v>421</v>
      </c>
      <c r="E230" t="s">
        <v>157</v>
      </c>
      <c r="F230" t="s">
        <v>208</v>
      </c>
      <c r="G230" t="s">
        <v>70</v>
      </c>
      <c r="H230">
        <v>20121103</v>
      </c>
      <c r="I230">
        <f t="shared" si="134"/>
        <v>31200</v>
      </c>
      <c r="L230" t="s">
        <v>119</v>
      </c>
      <c r="M230" t="s">
        <v>120</v>
      </c>
      <c r="T230">
        <v>1</v>
      </c>
      <c r="U230">
        <v>64.44</v>
      </c>
      <c r="V230">
        <v>285.7</v>
      </c>
      <c r="W230" s="14">
        <v>11.04</v>
      </c>
      <c r="X230">
        <v>0.33</v>
      </c>
      <c r="AA230" s="3">
        <f t="shared" si="120"/>
        <v>1080</v>
      </c>
      <c r="AM230" s="6">
        <v>218.54999999999998</v>
      </c>
      <c r="AP230" s="6">
        <v>10.55</v>
      </c>
      <c r="AT230" s="7">
        <v>238.348221</v>
      </c>
      <c r="AX230" s="7">
        <v>110</v>
      </c>
      <c r="AY230" s="7">
        <v>110</v>
      </c>
      <c r="AZ230" s="7">
        <v>150</v>
      </c>
      <c r="BA230" s="6">
        <v>1.2</v>
      </c>
      <c r="BD230" s="6">
        <v>10</v>
      </c>
      <c r="BP230" s="3">
        <v>500</v>
      </c>
      <c r="BY230">
        <f t="shared" si="135"/>
        <v>0</v>
      </c>
      <c r="CF230" s="13"/>
      <c r="CG230" s="13"/>
      <c r="CH230" s="13"/>
      <c r="DH230" s="14">
        <f t="shared" si="109"/>
        <v>1869980.3563165951</v>
      </c>
      <c r="DI230" s="6">
        <f t="shared" si="110"/>
        <v>3.8427951290487052</v>
      </c>
      <c r="DJ230" s="6">
        <f t="shared" si="111"/>
        <v>2.2037287466020805</v>
      </c>
      <c r="DK230" s="8">
        <f t="shared" si="112"/>
        <v>5.7387952386771997E-5</v>
      </c>
      <c r="DL230" s="1">
        <f t="shared" si="113"/>
        <v>0.37994320559877398</v>
      </c>
      <c r="DM230">
        <f t="shared" si="115"/>
        <v>0</v>
      </c>
      <c r="DN230">
        <f t="shared" si="116"/>
        <v>0</v>
      </c>
      <c r="DO230">
        <f t="shared" si="117"/>
        <v>1.1554839342030143E-2</v>
      </c>
      <c r="DP230" s="14">
        <f t="shared" si="118"/>
        <v>0</v>
      </c>
      <c r="DQ230" s="6">
        <f t="shared" si="114"/>
        <v>2.2056934697510213</v>
      </c>
      <c r="DS230" s="6">
        <v>-8.1669999999999998</v>
      </c>
      <c r="EJ230" s="1" t="s">
        <v>316</v>
      </c>
      <c r="FG230" s="14"/>
    </row>
    <row r="231" spans="1:173" x14ac:dyDescent="0.35">
      <c r="A231">
        <v>0</v>
      </c>
      <c r="B231">
        <v>12</v>
      </c>
      <c r="C231" s="3">
        <f>28*60</f>
        <v>1680</v>
      </c>
      <c r="D231" t="s">
        <v>421</v>
      </c>
      <c r="E231" t="s">
        <v>157</v>
      </c>
      <c r="F231" t="s">
        <v>208</v>
      </c>
      <c r="G231" t="s">
        <v>70</v>
      </c>
      <c r="H231">
        <v>20121103</v>
      </c>
      <c r="I231">
        <f t="shared" si="134"/>
        <v>31200</v>
      </c>
      <c r="L231" t="s">
        <v>119</v>
      </c>
      <c r="M231" t="s">
        <v>120</v>
      </c>
      <c r="T231">
        <v>1</v>
      </c>
      <c r="U231">
        <v>64.44</v>
      </c>
      <c r="V231">
        <v>285.7</v>
      </c>
      <c r="W231" s="14">
        <v>11.04</v>
      </c>
      <c r="X231">
        <v>0.33</v>
      </c>
      <c r="AA231" s="3">
        <f t="shared" si="120"/>
        <v>1680</v>
      </c>
      <c r="AM231" s="6">
        <v>218.54999999999998</v>
      </c>
      <c r="AP231" s="6">
        <v>10.55</v>
      </c>
      <c r="AT231" s="7">
        <v>238.348221</v>
      </c>
      <c r="AX231" s="7">
        <v>110</v>
      </c>
      <c r="AY231" s="7">
        <v>110</v>
      </c>
      <c r="AZ231" s="7">
        <v>150</v>
      </c>
      <c r="BA231" s="6">
        <v>1.2</v>
      </c>
      <c r="BD231" s="6">
        <v>10</v>
      </c>
      <c r="BP231" s="3">
        <v>1200</v>
      </c>
      <c r="BY231">
        <f t="shared" si="135"/>
        <v>0</v>
      </c>
      <c r="CF231" s="13"/>
      <c r="CG231" s="13"/>
      <c r="CH231" s="13"/>
      <c r="DH231" s="14">
        <f t="shared" si="109"/>
        <v>2662842.4114100169</v>
      </c>
      <c r="DI231" s="6">
        <f t="shared" si="110"/>
        <v>3.8427951290487052</v>
      </c>
      <c r="DJ231" s="6">
        <f t="shared" si="111"/>
        <v>2.2037287466020805</v>
      </c>
      <c r="DK231" s="8">
        <f t="shared" si="112"/>
        <v>5.7387952386771997E-5</v>
      </c>
      <c r="DL231" s="1">
        <f t="shared" si="113"/>
        <v>0.37994320559877398</v>
      </c>
      <c r="DM231">
        <f t="shared" si="115"/>
        <v>0</v>
      </c>
      <c r="DN231">
        <f t="shared" si="116"/>
        <v>0</v>
      </c>
      <c r="DO231">
        <f t="shared" si="117"/>
        <v>8.1143827728615454E-3</v>
      </c>
      <c r="DP231" s="14">
        <f t="shared" si="118"/>
        <v>0</v>
      </c>
      <c r="DQ231" s="6">
        <f t="shared" si="114"/>
        <v>2.2056934697510213</v>
      </c>
      <c r="DS231" s="6">
        <v>-6.2519999999999998</v>
      </c>
      <c r="EJ231" s="1" t="s">
        <v>316</v>
      </c>
      <c r="FG231" s="14"/>
    </row>
    <row r="232" spans="1:173" x14ac:dyDescent="0.35">
      <c r="A232">
        <v>0</v>
      </c>
      <c r="B232">
        <v>12</v>
      </c>
      <c r="C232" s="3">
        <f>13*60</f>
        <v>780</v>
      </c>
      <c r="D232" t="s">
        <v>421</v>
      </c>
      <c r="E232" t="s">
        <v>157</v>
      </c>
      <c r="F232" t="s">
        <v>208</v>
      </c>
      <c r="G232" t="s">
        <v>26</v>
      </c>
      <c r="H232">
        <v>20121103</v>
      </c>
      <c r="I232">
        <f t="shared" si="134"/>
        <v>31200</v>
      </c>
      <c r="L232" t="s">
        <v>119</v>
      </c>
      <c r="M232" t="s">
        <v>120</v>
      </c>
      <c r="T232">
        <v>1</v>
      </c>
      <c r="U232">
        <v>34.1</v>
      </c>
      <c r="V232">
        <v>60</v>
      </c>
      <c r="W232" s="14">
        <v>2.6709999999999998</v>
      </c>
      <c r="X232">
        <v>0.33</v>
      </c>
      <c r="AA232" s="3">
        <f t="shared" si="120"/>
        <v>780</v>
      </c>
      <c r="AM232" s="6">
        <v>214.54999999999998</v>
      </c>
      <c r="AP232" s="6">
        <v>11.26</v>
      </c>
      <c r="AT232" s="7">
        <v>206.539276</v>
      </c>
      <c r="AX232" s="7">
        <v>110</v>
      </c>
      <c r="AY232" s="7">
        <v>110</v>
      </c>
      <c r="AZ232" s="7">
        <v>150</v>
      </c>
      <c r="BA232" s="6">
        <v>1.2</v>
      </c>
      <c r="BD232" s="6">
        <v>10</v>
      </c>
      <c r="BP232" s="3">
        <v>700</v>
      </c>
      <c r="BY232">
        <f t="shared" si="135"/>
        <v>0</v>
      </c>
      <c r="CF232" s="13"/>
      <c r="CG232" s="13"/>
      <c r="CH232" s="13"/>
      <c r="DH232" s="14">
        <f t="shared" si="109"/>
        <v>1441364.1705736679</v>
      </c>
      <c r="DI232" s="6">
        <f t="shared" si="110"/>
        <v>2.5451765018638057</v>
      </c>
      <c r="DJ232" s="6">
        <f t="shared" si="111"/>
        <v>1.3044131587765968</v>
      </c>
      <c r="DK232" s="8">
        <f t="shared" si="112"/>
        <v>3.9200086753640259E-5</v>
      </c>
      <c r="DL232" s="1">
        <f t="shared" si="113"/>
        <v>0.33537579107654997</v>
      </c>
      <c r="DM232">
        <f t="shared" si="115"/>
        <v>0</v>
      </c>
      <c r="DN232">
        <f t="shared" si="116"/>
        <v>0</v>
      </c>
      <c r="DO232">
        <f t="shared" si="117"/>
        <v>2.1946280961367325E-2</v>
      </c>
      <c r="DP232" s="14">
        <f t="shared" si="118"/>
        <v>0</v>
      </c>
      <c r="DQ232" s="6">
        <f t="shared" si="114"/>
        <v>1.305683189303021</v>
      </c>
      <c r="DS232" s="6">
        <v>-6.2519999999999998</v>
      </c>
      <c r="EJ232" s="1" t="s">
        <v>316</v>
      </c>
      <c r="FG232" s="14"/>
    </row>
    <row r="233" spans="1:173" x14ac:dyDescent="0.35">
      <c r="A233">
        <v>0</v>
      </c>
      <c r="B233">
        <v>12</v>
      </c>
      <c r="C233" s="3">
        <f>23*60</f>
        <v>1380</v>
      </c>
      <c r="D233" t="s">
        <v>421</v>
      </c>
      <c r="E233" t="s">
        <v>157</v>
      </c>
      <c r="F233" t="s">
        <v>208</v>
      </c>
      <c r="G233" t="s">
        <v>26</v>
      </c>
      <c r="H233">
        <v>20121103</v>
      </c>
      <c r="I233">
        <f t="shared" si="134"/>
        <v>31200</v>
      </c>
      <c r="L233" t="s">
        <v>119</v>
      </c>
      <c r="M233" t="s">
        <v>120</v>
      </c>
      <c r="T233">
        <v>1</v>
      </c>
      <c r="U233">
        <v>34.1</v>
      </c>
      <c r="V233">
        <v>60</v>
      </c>
      <c r="W233" s="14">
        <v>2.6709999999999998</v>
      </c>
      <c r="X233">
        <v>0.33</v>
      </c>
      <c r="AA233" s="3">
        <f t="shared" si="120"/>
        <v>1380</v>
      </c>
      <c r="AM233" s="6">
        <v>214.54999999999998</v>
      </c>
      <c r="AP233" s="6">
        <v>11.26</v>
      </c>
      <c r="AT233" s="7">
        <v>206.539276</v>
      </c>
      <c r="AX233" s="7">
        <v>110</v>
      </c>
      <c r="AY233" s="7">
        <v>110</v>
      </c>
      <c r="AZ233" s="7">
        <v>150</v>
      </c>
      <c r="BA233" s="6">
        <v>1.2</v>
      </c>
      <c r="BD233" s="6">
        <v>10</v>
      </c>
      <c r="BP233" s="3">
        <v>1500</v>
      </c>
      <c r="BY233">
        <f t="shared" si="135"/>
        <v>0</v>
      </c>
      <c r="CF233" s="13"/>
      <c r="CG233" s="13"/>
      <c r="CH233" s="13"/>
      <c r="DH233" s="14">
        <f t="shared" si="109"/>
        <v>2275104.2888254151</v>
      </c>
      <c r="DI233" s="6">
        <f t="shared" si="110"/>
        <v>2.5451765018638057</v>
      </c>
      <c r="DJ233" s="6">
        <f t="shared" si="111"/>
        <v>1.3044131587765968</v>
      </c>
      <c r="DK233" s="8">
        <f t="shared" si="112"/>
        <v>3.9200086753640259E-5</v>
      </c>
      <c r="DL233" s="1">
        <f t="shared" si="113"/>
        <v>0.33537579107654997</v>
      </c>
      <c r="DM233">
        <f t="shared" si="115"/>
        <v>0</v>
      </c>
      <c r="DN233">
        <f t="shared" si="116"/>
        <v>0</v>
      </c>
      <c r="DO233">
        <f t="shared" si="117"/>
        <v>1.3903794744894563E-2</v>
      </c>
      <c r="DP233" s="14">
        <f t="shared" si="118"/>
        <v>0</v>
      </c>
      <c r="DQ233" s="6">
        <f t="shared" si="114"/>
        <v>1.305683189303021</v>
      </c>
      <c r="DS233" s="6">
        <v>-8.69</v>
      </c>
      <c r="EJ233" s="1" t="s">
        <v>316</v>
      </c>
      <c r="FG233" s="14"/>
    </row>
    <row r="234" spans="1:173" x14ac:dyDescent="0.35">
      <c r="A234">
        <v>0</v>
      </c>
      <c r="B234">
        <v>12</v>
      </c>
      <c r="C234" s="3">
        <f>8*60</f>
        <v>480</v>
      </c>
      <c r="D234" t="s">
        <v>421</v>
      </c>
      <c r="E234" t="s">
        <v>157</v>
      </c>
      <c r="F234" t="s">
        <v>208</v>
      </c>
      <c r="G234" t="s">
        <v>121</v>
      </c>
      <c r="H234">
        <v>20121103</v>
      </c>
      <c r="I234">
        <f t="shared" si="134"/>
        <v>31200</v>
      </c>
      <c r="L234" t="s">
        <v>119</v>
      </c>
      <c r="M234" t="s">
        <v>120</v>
      </c>
      <c r="T234">
        <v>1</v>
      </c>
      <c r="U234">
        <v>28.72</v>
      </c>
      <c r="V234">
        <v>41</v>
      </c>
      <c r="W234" s="14">
        <v>2.339</v>
      </c>
      <c r="X234">
        <v>0.33</v>
      </c>
      <c r="AA234" s="3">
        <f t="shared" si="120"/>
        <v>480</v>
      </c>
      <c r="AM234" s="6">
        <v>233.14999999999998</v>
      </c>
      <c r="AP234" s="6">
        <v>8.81</v>
      </c>
      <c r="AT234" s="7">
        <v>316.68167099999999</v>
      </c>
      <c r="AX234" s="7">
        <v>90</v>
      </c>
      <c r="AY234" s="7">
        <v>90</v>
      </c>
      <c r="AZ234" s="7">
        <v>150</v>
      </c>
      <c r="BA234" s="6">
        <v>1.2</v>
      </c>
      <c r="BD234" s="6">
        <v>10</v>
      </c>
      <c r="BP234" s="3">
        <v>200</v>
      </c>
      <c r="BY234">
        <f t="shared" si="135"/>
        <v>0</v>
      </c>
      <c r="CF234" s="13"/>
      <c r="CG234" s="13"/>
      <c r="CH234" s="13"/>
      <c r="DH234" s="14">
        <f t="shared" si="109"/>
        <v>977442.07537651621</v>
      </c>
      <c r="DI234" s="6">
        <f t="shared" si="110"/>
        <v>17.287781840567632</v>
      </c>
      <c r="DJ234" s="6">
        <f t="shared" si="111"/>
        <v>12.836970549449125</v>
      </c>
      <c r="DK234" s="8">
        <f t="shared" si="112"/>
        <v>2.5160202037067088E-4</v>
      </c>
      <c r="DL234" s="1">
        <f t="shared" si="113"/>
        <v>0.47320038218036098</v>
      </c>
      <c r="DM234">
        <f t="shared" si="115"/>
        <v>0</v>
      </c>
      <c r="DN234">
        <f t="shared" si="116"/>
        <v>0</v>
      </c>
      <c r="DO234">
        <f t="shared" si="117"/>
        <v>5.0421589351910198E-3</v>
      </c>
      <c r="DP234" s="14">
        <f t="shared" si="118"/>
        <v>0</v>
      </c>
      <c r="DQ234" s="6">
        <f t="shared" si="114"/>
        <v>12.844281376147109</v>
      </c>
      <c r="DS234" s="6">
        <v>-8.69</v>
      </c>
      <c r="EJ234" s="1" t="s">
        <v>316</v>
      </c>
      <c r="FG234" s="14"/>
    </row>
    <row r="235" spans="1:173" x14ac:dyDescent="0.35">
      <c r="A235">
        <v>0</v>
      </c>
      <c r="B235">
        <v>12</v>
      </c>
      <c r="C235" s="3">
        <f>18*60</f>
        <v>1080</v>
      </c>
      <c r="D235" t="s">
        <v>421</v>
      </c>
      <c r="E235" t="s">
        <v>157</v>
      </c>
      <c r="F235" t="s">
        <v>208</v>
      </c>
      <c r="G235" t="s">
        <v>121</v>
      </c>
      <c r="H235">
        <v>20121103</v>
      </c>
      <c r="I235">
        <f t="shared" si="134"/>
        <v>31200</v>
      </c>
      <c r="L235" t="s">
        <v>119</v>
      </c>
      <c r="M235" t="s">
        <v>120</v>
      </c>
      <c r="T235">
        <v>1</v>
      </c>
      <c r="U235">
        <v>28.72</v>
      </c>
      <c r="V235">
        <v>41</v>
      </c>
      <c r="W235" s="14">
        <v>2.339</v>
      </c>
      <c r="X235">
        <v>0.33</v>
      </c>
      <c r="AA235" s="3">
        <f t="shared" si="120"/>
        <v>1080</v>
      </c>
      <c r="AM235" s="6">
        <v>233.14999999999998</v>
      </c>
      <c r="AP235" s="6">
        <v>8.81</v>
      </c>
      <c r="AT235" s="7">
        <v>272.55783100000002</v>
      </c>
      <c r="AX235" s="7">
        <v>90</v>
      </c>
      <c r="AY235" s="7">
        <v>90</v>
      </c>
      <c r="AZ235" s="7">
        <v>150</v>
      </c>
      <c r="BA235" s="6">
        <v>1.2</v>
      </c>
      <c r="BD235" s="6">
        <v>10</v>
      </c>
      <c r="BP235" s="3">
        <v>200</v>
      </c>
      <c r="BY235">
        <f t="shared" si="135"/>
        <v>0</v>
      </c>
      <c r="CF235" s="13"/>
      <c r="CG235" s="13"/>
      <c r="CH235" s="13"/>
      <c r="DH235" s="14">
        <f t="shared" si="109"/>
        <v>1869980.3563165951</v>
      </c>
      <c r="DI235" s="6">
        <f t="shared" si="110"/>
        <v>17.287781840567632</v>
      </c>
      <c r="DJ235" s="6">
        <f t="shared" si="111"/>
        <v>12.836970549449125</v>
      </c>
      <c r="DK235" s="8">
        <f t="shared" si="112"/>
        <v>2.9233336626442437E-4</v>
      </c>
      <c r="DL235" s="1">
        <f t="shared" si="113"/>
        <v>0.40726850211501581</v>
      </c>
      <c r="DM235">
        <f t="shared" si="115"/>
        <v>0</v>
      </c>
      <c r="DN235">
        <f t="shared" si="116"/>
        <v>0</v>
      </c>
      <c r="DO235">
        <f t="shared" si="117"/>
        <v>2.2683300865403919E-3</v>
      </c>
      <c r="DP235" s="14">
        <f t="shared" si="118"/>
        <v>0</v>
      </c>
      <c r="DQ235" s="6">
        <f t="shared" si="114"/>
        <v>12.844281376147109</v>
      </c>
      <c r="DS235" s="6">
        <v>5.7720000000000002</v>
      </c>
      <c r="EJ235" s="1" t="s">
        <v>316</v>
      </c>
      <c r="FG235" s="14"/>
    </row>
    <row r="236" spans="1:173" x14ac:dyDescent="0.35">
      <c r="A236">
        <v>12</v>
      </c>
      <c r="B236">
        <v>0</v>
      </c>
      <c r="C236" s="3">
        <v>6533.02</v>
      </c>
      <c r="D236" s="1" t="s">
        <v>235</v>
      </c>
      <c r="E236" t="s">
        <v>236</v>
      </c>
      <c r="F236" t="s">
        <v>237</v>
      </c>
      <c r="G236" t="s">
        <v>240</v>
      </c>
      <c r="H236">
        <v>20140326</v>
      </c>
      <c r="I236">
        <v>36144</v>
      </c>
      <c r="J236">
        <f>I236+18</f>
        <v>36162</v>
      </c>
      <c r="K236" s="5">
        <v>0.41805555555555557</v>
      </c>
      <c r="L236" t="s">
        <v>238</v>
      </c>
      <c r="M236" s="1" t="s">
        <v>239</v>
      </c>
      <c r="N236">
        <v>1</v>
      </c>
      <c r="O236">
        <v>50</v>
      </c>
      <c r="Q236" t="s">
        <v>235</v>
      </c>
      <c r="T236">
        <v>1</v>
      </c>
      <c r="U236">
        <v>60.93</v>
      </c>
      <c r="V236">
        <v>200</v>
      </c>
      <c r="W236" s="6">
        <v>7.6</v>
      </c>
      <c r="X236">
        <v>0.36</v>
      </c>
      <c r="Y236">
        <v>230</v>
      </c>
      <c r="AA236" s="3">
        <f t="shared" si="120"/>
        <v>6533.02</v>
      </c>
      <c r="AK236">
        <v>6430</v>
      </c>
      <c r="AL236">
        <v>5640</v>
      </c>
      <c r="AM236" s="6">
        <v>211</v>
      </c>
      <c r="AP236" s="6">
        <v>11.3</v>
      </c>
      <c r="AQ236" s="6">
        <v>11</v>
      </c>
      <c r="AR236" s="6">
        <v>11.3</v>
      </c>
      <c r="AS236" s="7">
        <v>380</v>
      </c>
      <c r="AT236" s="7">
        <v>206</v>
      </c>
      <c r="AV236" s="7">
        <v>215</v>
      </c>
      <c r="AX236" s="7">
        <v>102</v>
      </c>
      <c r="BP236" s="3">
        <f>18*220</f>
        <v>3960</v>
      </c>
      <c r="BV236">
        <v>0.3</v>
      </c>
      <c r="BX236">
        <v>0.9</v>
      </c>
      <c r="BY236">
        <f t="shared" si="135"/>
        <v>0.31646025906039998</v>
      </c>
      <c r="BZ236">
        <v>0.9</v>
      </c>
      <c r="CF236" s="13"/>
      <c r="CG236" s="13"/>
      <c r="CH236" s="13"/>
      <c r="CL236">
        <v>6.5</v>
      </c>
      <c r="CO236">
        <v>9.5</v>
      </c>
      <c r="CX236" t="s">
        <v>54</v>
      </c>
      <c r="CY236">
        <v>0.1</v>
      </c>
      <c r="CZ236">
        <v>0.1</v>
      </c>
      <c r="DH236" s="14">
        <f t="shared" si="109"/>
        <v>7892039.1356269708</v>
      </c>
      <c r="DI236" s="6">
        <f t="shared" si="110"/>
        <v>1.7657049222017607</v>
      </c>
      <c r="DJ236" s="6">
        <f t="shared" si="111"/>
        <v>0.80558998591883801</v>
      </c>
      <c r="DK236" s="8">
        <f t="shared" si="112"/>
        <v>2.4272882066520062E-5</v>
      </c>
      <c r="DL236" s="1">
        <f t="shared" si="113"/>
        <v>0.34012796736884926</v>
      </c>
      <c r="DM236">
        <f t="shared" si="115"/>
        <v>2.6460629126213593E-6</v>
      </c>
      <c r="DN236">
        <f t="shared" si="116"/>
        <v>0.10901313265436709</v>
      </c>
      <c r="DO236">
        <f t="shared" si="117"/>
        <v>6.4730820078318166E-3</v>
      </c>
      <c r="DP236" s="14">
        <f t="shared" si="118"/>
        <v>6960944020579.6191</v>
      </c>
      <c r="DQ236" s="6">
        <f t="shared" si="114"/>
        <v>0.80643279161675863</v>
      </c>
      <c r="DS236" s="6">
        <v>7.27</v>
      </c>
      <c r="EI236" t="s">
        <v>320</v>
      </c>
      <c r="EJ236" t="s">
        <v>317</v>
      </c>
      <c r="EN236" s="1"/>
      <c r="ET236" s="5"/>
      <c r="EV236" s="1"/>
      <c r="FG236" s="6"/>
    </row>
    <row r="237" spans="1:173" x14ac:dyDescent="0.35">
      <c r="A237">
        <v>12</v>
      </c>
      <c r="B237">
        <v>0</v>
      </c>
      <c r="C237" s="2">
        <v>25780</v>
      </c>
      <c r="D237" s="1" t="s">
        <v>235</v>
      </c>
      <c r="E237" t="s">
        <v>236</v>
      </c>
      <c r="F237" t="s">
        <v>237</v>
      </c>
      <c r="G237" t="s">
        <v>251</v>
      </c>
      <c r="H237">
        <v>20140326</v>
      </c>
      <c r="I237">
        <v>36144</v>
      </c>
      <c r="J237">
        <f>I237+18</f>
        <v>36162</v>
      </c>
      <c r="K237" s="5">
        <v>0.41805555555555557</v>
      </c>
      <c r="L237" t="s">
        <v>238</v>
      </c>
      <c r="M237" s="1" t="s">
        <v>239</v>
      </c>
      <c r="N237">
        <v>1</v>
      </c>
      <c r="O237">
        <v>50</v>
      </c>
      <c r="Q237" t="s">
        <v>235</v>
      </c>
      <c r="T237">
        <v>1</v>
      </c>
      <c r="U237">
        <v>19.329999999999998</v>
      </c>
      <c r="V237">
        <f>0.001*15400</f>
        <v>15.4</v>
      </c>
      <c r="W237" s="6">
        <v>0.7</v>
      </c>
      <c r="X237">
        <v>0.36</v>
      </c>
      <c r="Y237">
        <v>230</v>
      </c>
      <c r="AA237" s="3">
        <f t="shared" si="120"/>
        <v>25780</v>
      </c>
      <c r="AK237">
        <v>6430</v>
      </c>
      <c r="AL237">
        <v>5640</v>
      </c>
      <c r="AM237" s="6">
        <v>211</v>
      </c>
      <c r="AP237" s="6">
        <v>11.3</v>
      </c>
      <c r="AQ237" s="6">
        <v>11</v>
      </c>
      <c r="AR237" s="6">
        <v>11.3</v>
      </c>
      <c r="AS237" s="7">
        <v>370</v>
      </c>
      <c r="AT237" s="7">
        <v>206</v>
      </c>
      <c r="AV237" s="7">
        <v>215</v>
      </c>
      <c r="AX237" s="7">
        <v>102</v>
      </c>
      <c r="BP237" s="3">
        <v>2800</v>
      </c>
      <c r="BV237">
        <v>0.3</v>
      </c>
      <c r="BX237">
        <v>0.9</v>
      </c>
      <c r="BY237">
        <f t="shared" si="135"/>
        <v>0.31646025906039998</v>
      </c>
      <c r="BZ237">
        <v>0.9</v>
      </c>
      <c r="CF237" s="13"/>
      <c r="CG237" s="13"/>
      <c r="CH237" s="13"/>
      <c r="CL237">
        <v>6.5</v>
      </c>
      <c r="CO237">
        <v>9.5</v>
      </c>
      <c r="CX237" t="s">
        <v>54</v>
      </c>
      <c r="CY237">
        <v>0.1</v>
      </c>
      <c r="CZ237">
        <v>0.1</v>
      </c>
      <c r="DH237" s="14">
        <f t="shared" si="109"/>
        <v>23665973.311993495</v>
      </c>
      <c r="DI237" s="6">
        <f t="shared" si="110"/>
        <v>1.7657049222017607</v>
      </c>
      <c r="DJ237" s="6">
        <f t="shared" si="111"/>
        <v>0.80558998591883801</v>
      </c>
      <c r="DK237" s="8">
        <f t="shared" si="112"/>
        <v>2.4272882066520062E-5</v>
      </c>
      <c r="DL237" s="1">
        <f t="shared" si="113"/>
        <v>0.34012796736884926</v>
      </c>
      <c r="DM237">
        <f t="shared" si="115"/>
        <v>2.6460629126213593E-6</v>
      </c>
      <c r="DN237">
        <f t="shared" si="116"/>
        <v>0.10901313265436709</v>
      </c>
      <c r="DO237">
        <f t="shared" si="117"/>
        <v>2.1586188685526037E-3</v>
      </c>
      <c r="DP237" s="14">
        <f t="shared" si="118"/>
        <v>20873884757317.621</v>
      </c>
      <c r="DQ237" s="6">
        <f t="shared" si="114"/>
        <v>0.80643279161675863</v>
      </c>
      <c r="DS237" s="6">
        <v>-12.25</v>
      </c>
      <c r="EI237" t="s">
        <v>320</v>
      </c>
      <c r="EJ237" t="s">
        <v>317</v>
      </c>
      <c r="EM237" s="2"/>
      <c r="EN237" s="1"/>
      <c r="ET237" s="5"/>
      <c r="EV237" s="1"/>
      <c r="FG237" s="6"/>
      <c r="FJ237" s="2"/>
    </row>
    <row r="238" spans="1:173" x14ac:dyDescent="0.35">
      <c r="Q238" s="27"/>
      <c r="AX238"/>
      <c r="AY238"/>
      <c r="AZ238"/>
      <c r="BA238"/>
      <c r="DB238"/>
      <c r="DP238" s="14"/>
    </row>
    <row r="239" spans="1:173" ht="15.5" x14ac:dyDescent="0.35">
      <c r="I239" s="36"/>
      <c r="BA239"/>
      <c r="DB239"/>
      <c r="DP239" s="14"/>
    </row>
    <row r="240" spans="1:173" x14ac:dyDescent="0.35">
      <c r="DP240" s="14"/>
    </row>
    <row r="241" spans="120:120" x14ac:dyDescent="0.35">
      <c r="DP241" s="14"/>
    </row>
    <row r="242" spans="120:120" x14ac:dyDescent="0.35">
      <c r="DP242" s="14"/>
    </row>
    <row r="243" spans="120:120" x14ac:dyDescent="0.35">
      <c r="DP243" s="14"/>
    </row>
    <row r="244" spans="120:120" x14ac:dyDescent="0.35">
      <c r="DP244" s="14"/>
    </row>
    <row r="245" spans="120:120" x14ac:dyDescent="0.35">
      <c r="DP245" s="14"/>
    </row>
    <row r="246" spans="120:120" x14ac:dyDescent="0.35">
      <c r="DP246" s="14"/>
    </row>
    <row r="247" spans="120:120" x14ac:dyDescent="0.35">
      <c r="DP247" s="14"/>
    </row>
    <row r="248" spans="120:120" x14ac:dyDescent="0.35">
      <c r="DP248" s="14"/>
    </row>
    <row r="249" spans="120:120" x14ac:dyDescent="0.35">
      <c r="DP249" s="14"/>
    </row>
    <row r="250" spans="120:120" x14ac:dyDescent="0.35">
      <c r="DP250" s="14"/>
    </row>
    <row r="251" spans="120:120" x14ac:dyDescent="0.35">
      <c r="DP251" s="14"/>
    </row>
    <row r="252" spans="120:120" x14ac:dyDescent="0.35">
      <c r="DP252" s="14"/>
    </row>
    <row r="253" spans="120:120" x14ac:dyDescent="0.35">
      <c r="DP253" s="14"/>
    </row>
    <row r="254" spans="120:120" x14ac:dyDescent="0.35">
      <c r="DP254" s="14"/>
    </row>
    <row r="255" spans="120:120" x14ac:dyDescent="0.35">
      <c r="DP255" s="14"/>
    </row>
    <row r="256" spans="120:120" x14ac:dyDescent="0.35">
      <c r="DP256" s="14"/>
    </row>
    <row r="257" spans="12:120" x14ac:dyDescent="0.35">
      <c r="DP257" s="14"/>
    </row>
    <row r="258" spans="12:120" x14ac:dyDescent="0.35">
      <c r="DP258" s="14"/>
    </row>
    <row r="259" spans="12:120" x14ac:dyDescent="0.35">
      <c r="DP259" s="14"/>
    </row>
    <row r="260" spans="12:120" x14ac:dyDescent="0.35">
      <c r="DP260" s="14"/>
    </row>
    <row r="261" spans="12:120" x14ac:dyDescent="0.35">
      <c r="DP261" s="14"/>
    </row>
    <row r="262" spans="12:120" x14ac:dyDescent="0.35">
      <c r="L262" s="17"/>
      <c r="DP262" s="14"/>
    </row>
    <row r="263" spans="12:120" x14ac:dyDescent="0.35">
      <c r="DP263" s="14"/>
    </row>
    <row r="264" spans="12:120" x14ac:dyDescent="0.35">
      <c r="DP264" s="14"/>
    </row>
    <row r="265" spans="12:120" x14ac:dyDescent="0.35">
      <c r="DP265" s="14"/>
    </row>
    <row r="266" spans="12:120" x14ac:dyDescent="0.35">
      <c r="DP266" s="14"/>
    </row>
    <row r="267" spans="12:120" x14ac:dyDescent="0.35">
      <c r="DP267" s="14"/>
    </row>
    <row r="268" spans="12:120" x14ac:dyDescent="0.35">
      <c r="DP268" s="14"/>
    </row>
    <row r="269" spans="12:120" x14ac:dyDescent="0.35">
      <c r="DP269" s="14"/>
    </row>
    <row r="270" spans="12:120" x14ac:dyDescent="0.35">
      <c r="DP270" s="14"/>
    </row>
    <row r="271" spans="12:120" x14ac:dyDescent="0.35">
      <c r="DP271" s="14"/>
    </row>
    <row r="272" spans="12:120" x14ac:dyDescent="0.35">
      <c r="DP272" s="14"/>
    </row>
    <row r="273" spans="120:120" x14ac:dyDescent="0.35">
      <c r="DP273" s="14"/>
    </row>
    <row r="274" spans="120:120" x14ac:dyDescent="0.35">
      <c r="DP274" s="14"/>
    </row>
  </sheetData>
  <autoFilter ref="A1:IV237" xr:uid="{00000000-0001-0000-0000-000000000000}"/>
  <sortState xmlns:xlrd2="http://schemas.microsoft.com/office/spreadsheetml/2017/richdata2" ref="A2:IU236">
    <sortCondition ref="H2:H236"/>
  </sortState>
  <hyperlinks>
    <hyperlink ref="EJ189" r:id="rId1" xr:uid="{00000000-0004-0000-0000-000000000000}"/>
    <hyperlink ref="EJ83:EJ84" r:id="rId2" display="http://www-pm.larc.nasa.gov/prod/flttrkdbase/" xr:uid="{00000000-0004-0000-0000-000001000000}"/>
    <hyperlink ref="EI133" r:id="rId3" xr:uid="{00000000-0004-0000-0000-000002000000}"/>
    <hyperlink ref="EI138:EI139" r:id="rId4" display="http://scout-tropical.nilu.no/" xr:uid="{00000000-0004-0000-0000-000003000000}"/>
    <hyperlink ref="EI227" r:id="rId5" xr:uid="{00000000-0004-0000-0000-000004000000}"/>
  </hyperlinks>
  <pageMargins left="0.7" right="0.7" top="0.78740157499999996" bottom="0.78740157499999996" header="0.3" footer="0.3"/>
  <pageSetup paperSize="9" orientation="portrait" horizontalDpi="1200" verticalDpi="1200"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A241"/>
  <sheetViews>
    <sheetView workbookViewId="0">
      <selection activeCell="G15" sqref="G15"/>
    </sheetView>
  </sheetViews>
  <sheetFormatPr defaultColWidth="10.90625" defaultRowHeight="14.5" x14ac:dyDescent="0.35"/>
  <cols>
    <col min="1" max="1" width="11.453125" style="3" customWidth="1"/>
  </cols>
  <sheetData>
    <row r="6" spans="1:1" x14ac:dyDescent="0.35">
      <c r="A6"/>
    </row>
    <row r="7" spans="1:1" x14ac:dyDescent="0.35">
      <c r="A7"/>
    </row>
    <row r="8" spans="1:1" x14ac:dyDescent="0.35">
      <c r="A8"/>
    </row>
    <row r="9" spans="1:1" x14ac:dyDescent="0.35">
      <c r="A9"/>
    </row>
    <row r="28" spans="1:1" x14ac:dyDescent="0.35"/>
    <row r="86" spans="1:1" x14ac:dyDescent="0.35">
      <c r="A86"/>
    </row>
    <row r="88" spans="1:1" x14ac:dyDescent="0.35">
      <c r="A88"/>
    </row>
    <row r="89" spans="1:1" x14ac:dyDescent="0.35">
      <c r="A89"/>
    </row>
    <row r="90" spans="1:1" x14ac:dyDescent="0.35">
      <c r="A90"/>
    </row>
    <row r="91" spans="1:1" x14ac:dyDescent="0.35">
      <c r="A91"/>
    </row>
    <row r="92" spans="1:1" x14ac:dyDescent="0.35">
      <c r="A92"/>
    </row>
    <row r="93" spans="1:1" x14ac:dyDescent="0.35">
      <c r="A93"/>
    </row>
    <row r="94" spans="1:1" x14ac:dyDescent="0.35">
      <c r="A94"/>
    </row>
    <row r="95" spans="1:1" x14ac:dyDescent="0.35">
      <c r="A95" s="4"/>
    </row>
    <row r="96" spans="1:1" x14ac:dyDescent="0.35">
      <c r="A96"/>
    </row>
    <row r="97" spans="1:1" x14ac:dyDescent="0.35">
      <c r="A97"/>
    </row>
    <row r="98" spans="1:1" x14ac:dyDescent="0.35">
      <c r="A98"/>
    </row>
    <row r="99" spans="1:1" x14ac:dyDescent="0.35">
      <c r="A99"/>
    </row>
    <row r="100" spans="1:1" x14ac:dyDescent="0.35">
      <c r="A100"/>
    </row>
    <row r="101" spans="1:1" x14ac:dyDescent="0.35">
      <c r="A101"/>
    </row>
    <row r="102" spans="1:1" x14ac:dyDescent="0.35">
      <c r="A102"/>
    </row>
    <row r="103" spans="1:1" x14ac:dyDescent="0.35">
      <c r="A103"/>
    </row>
    <row r="104" spans="1:1" x14ac:dyDescent="0.35">
      <c r="A104"/>
    </row>
    <row r="105" spans="1:1" x14ac:dyDescent="0.35">
      <c r="A105"/>
    </row>
    <row r="106" spans="1:1" x14ac:dyDescent="0.35">
      <c r="A106"/>
    </row>
    <row r="107" spans="1:1" x14ac:dyDescent="0.35">
      <c r="A107"/>
    </row>
    <row r="109" spans="1:1" x14ac:dyDescent="0.35">
      <c r="A109"/>
    </row>
    <row r="110" spans="1:1" x14ac:dyDescent="0.35">
      <c r="A110"/>
    </row>
    <row r="111" spans="1:1" x14ac:dyDescent="0.35">
      <c r="A111"/>
    </row>
    <row r="112" spans="1:1" x14ac:dyDescent="0.35">
      <c r="A112"/>
    </row>
    <row r="113" spans="1:1" x14ac:dyDescent="0.35">
      <c r="A113"/>
    </row>
    <row r="114" spans="1:1" x14ac:dyDescent="0.35">
      <c r="A114"/>
    </row>
    <row r="117" spans="1:1" x14ac:dyDescent="0.35">
      <c r="A117"/>
    </row>
    <row r="119" spans="1:1" x14ac:dyDescent="0.35">
      <c r="A119"/>
    </row>
    <row r="120" spans="1:1" x14ac:dyDescent="0.35">
      <c r="A120"/>
    </row>
    <row r="126" spans="1:1" x14ac:dyDescent="0.35"/>
    <row r="140" spans="1:1" x14ac:dyDescent="0.35">
      <c r="A140"/>
    </row>
    <row r="141" spans="1:1" x14ac:dyDescent="0.35">
      <c r="A141"/>
    </row>
    <row r="142" spans="1:1" x14ac:dyDescent="0.35">
      <c r="A142"/>
    </row>
    <row r="143" spans="1:1" x14ac:dyDescent="0.35">
      <c r="A143"/>
    </row>
    <row r="144" spans="1:1" x14ac:dyDescent="0.35">
      <c r="A144"/>
    </row>
    <row r="145" spans="1:1" x14ac:dyDescent="0.35">
      <c r="A145"/>
    </row>
    <row r="146" spans="1:1" x14ac:dyDescent="0.35">
      <c r="A146"/>
    </row>
    <row r="147" spans="1:1" x14ac:dyDescent="0.35">
      <c r="A147"/>
    </row>
    <row r="148" spans="1:1" x14ac:dyDescent="0.35">
      <c r="A148"/>
    </row>
    <row r="149" spans="1:1" x14ac:dyDescent="0.35">
      <c r="A149"/>
    </row>
    <row r="150" spans="1:1" x14ac:dyDescent="0.35">
      <c r="A150"/>
    </row>
    <row r="151" spans="1:1" x14ac:dyDescent="0.35">
      <c r="A151"/>
    </row>
    <row r="152" spans="1:1" x14ac:dyDescent="0.35">
      <c r="A152"/>
    </row>
    <row r="153" spans="1:1" x14ac:dyDescent="0.35">
      <c r="A153"/>
    </row>
    <row r="154" spans="1:1" x14ac:dyDescent="0.35">
      <c r="A154"/>
    </row>
    <row r="155" spans="1:1" x14ac:dyDescent="0.35">
      <c r="A155"/>
    </row>
    <row r="156" spans="1:1" x14ac:dyDescent="0.35">
      <c r="A156"/>
    </row>
    <row r="157" spans="1:1" x14ac:dyDescent="0.35">
      <c r="A157"/>
    </row>
    <row r="158" spans="1:1" x14ac:dyDescent="0.35">
      <c r="A158"/>
    </row>
    <row r="159" spans="1:1" x14ac:dyDescent="0.35">
      <c r="A159"/>
    </row>
    <row r="160" spans="1:1" x14ac:dyDescent="0.35">
      <c r="A160"/>
    </row>
    <row r="161" spans="1:1" x14ac:dyDescent="0.35">
      <c r="A161"/>
    </row>
    <row r="162" spans="1:1" x14ac:dyDescent="0.35">
      <c r="A162"/>
    </row>
    <row r="163" spans="1:1" x14ac:dyDescent="0.35">
      <c r="A163"/>
    </row>
    <row r="164" spans="1:1" x14ac:dyDescent="0.35">
      <c r="A164"/>
    </row>
    <row r="165" spans="1:1" x14ac:dyDescent="0.35">
      <c r="A165"/>
    </row>
    <row r="166" spans="1:1" x14ac:dyDescent="0.35">
      <c r="A166"/>
    </row>
    <row r="167" spans="1:1" x14ac:dyDescent="0.35">
      <c r="A167"/>
    </row>
    <row r="168" spans="1:1" x14ac:dyDescent="0.35">
      <c r="A168"/>
    </row>
    <row r="169" spans="1:1" x14ac:dyDescent="0.35">
      <c r="A169"/>
    </row>
    <row r="170" spans="1:1" x14ac:dyDescent="0.35">
      <c r="A170"/>
    </row>
    <row r="171" spans="1:1" x14ac:dyDescent="0.35">
      <c r="A171"/>
    </row>
    <row r="172" spans="1:1" x14ac:dyDescent="0.35">
      <c r="A172"/>
    </row>
    <row r="173" spans="1:1" x14ac:dyDescent="0.35">
      <c r="A173"/>
    </row>
    <row r="174" spans="1:1" x14ac:dyDescent="0.35">
      <c r="A174"/>
    </row>
    <row r="175" spans="1:1" x14ac:dyDescent="0.35">
      <c r="A175"/>
    </row>
    <row r="176" spans="1:1" x14ac:dyDescent="0.35">
      <c r="A176"/>
    </row>
    <row r="177" spans="1:1" x14ac:dyDescent="0.35">
      <c r="A177"/>
    </row>
    <row r="179" spans="1:1" x14ac:dyDescent="0.35">
      <c r="A179"/>
    </row>
    <row r="180" spans="1:1" x14ac:dyDescent="0.35">
      <c r="A180"/>
    </row>
    <row r="187" spans="1:1" x14ac:dyDescent="0.35">
      <c r="A187"/>
    </row>
    <row r="188" spans="1:1" x14ac:dyDescent="0.35">
      <c r="A188"/>
    </row>
    <row r="189" spans="1:1" x14ac:dyDescent="0.35">
      <c r="A189"/>
    </row>
    <row r="191" spans="1:1" x14ac:dyDescent="0.35">
      <c r="A191"/>
    </row>
    <row r="194" spans="1:1" x14ac:dyDescent="0.35">
      <c r="A194"/>
    </row>
    <row r="195" spans="1:1" x14ac:dyDescent="0.35">
      <c r="A195"/>
    </row>
    <row r="196" spans="1:1" x14ac:dyDescent="0.35">
      <c r="A196"/>
    </row>
    <row r="197" spans="1:1" x14ac:dyDescent="0.35">
      <c r="A197"/>
    </row>
    <row r="198" spans="1:1" x14ac:dyDescent="0.35">
      <c r="A198"/>
    </row>
    <row r="199" spans="1:1" x14ac:dyDescent="0.35">
      <c r="A199"/>
    </row>
    <row r="228" spans="1:1" x14ac:dyDescent="0.35"/>
    <row r="229" spans="1:1" x14ac:dyDescent="0.35">
      <c r="A229" s="2"/>
    </row>
    <row r="233" spans="1:1" x14ac:dyDescent="0.35">
      <c r="A233"/>
    </row>
    <row r="234" spans="1:1" x14ac:dyDescent="0.35">
      <c r="A234"/>
    </row>
    <row r="235" spans="1:1" x14ac:dyDescent="0.35">
      <c r="A235"/>
    </row>
    <row r="236" spans="1:1" x14ac:dyDescent="0.35">
      <c r="A236"/>
    </row>
    <row r="237" spans="1:1" x14ac:dyDescent="0.35">
      <c r="A237"/>
    </row>
    <row r="238" spans="1:1" x14ac:dyDescent="0.35">
      <c r="A238"/>
    </row>
    <row r="239" spans="1:1" x14ac:dyDescent="0.35">
      <c r="A239"/>
    </row>
    <row r="240" spans="1:1" x14ac:dyDescent="0.35">
      <c r="A240"/>
    </row>
    <row r="241" spans="1:1" x14ac:dyDescent="0.35">
      <c r="A241"/>
    </row>
  </sheetData>
  <sortState xmlns:xlrd2="http://schemas.microsoft.com/office/spreadsheetml/2017/richdata2" ref="A1:A333">
    <sortCondition descending="1" ref="A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E14"/>
  <sheetViews>
    <sheetView workbookViewId="0">
      <selection activeCell="I16" sqref="I16"/>
    </sheetView>
  </sheetViews>
  <sheetFormatPr defaultColWidth="10.90625" defaultRowHeight="14.5" x14ac:dyDescent="0.35"/>
  <sheetData>
    <row r="1" spans="3:5" x14ac:dyDescent="0.35">
      <c r="C1" s="3"/>
    </row>
    <row r="2" spans="3:5" x14ac:dyDescent="0.35">
      <c r="C2" s="3"/>
    </row>
    <row r="4" spans="3:5" x14ac:dyDescent="0.35">
      <c r="C4" s="3"/>
    </row>
    <row r="5" spans="3:5" x14ac:dyDescent="0.35">
      <c r="C5" s="3"/>
    </row>
    <row r="6" spans="3:5" x14ac:dyDescent="0.35">
      <c r="C6" s="3"/>
    </row>
    <row r="7" spans="3:5" x14ac:dyDescent="0.35">
      <c r="C7" s="3"/>
    </row>
    <row r="8" spans="3:5" x14ac:dyDescent="0.35">
      <c r="C8" s="3"/>
    </row>
    <row r="9" spans="3:5" x14ac:dyDescent="0.35">
      <c r="C9" s="3"/>
    </row>
    <row r="11" spans="3:5" x14ac:dyDescent="0.35">
      <c r="C11" s="3"/>
    </row>
    <row r="12" spans="3:5" x14ac:dyDescent="0.35">
      <c r="C12" s="3"/>
    </row>
    <row r="13" spans="3:5" x14ac:dyDescent="0.35">
      <c r="C13" s="3"/>
    </row>
    <row r="14" spans="3:5" x14ac:dyDescent="0.35">
      <c r="C14" s="2"/>
      <c r="D14" s="1"/>
    </row>
  </sheetData>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
  <sheetViews>
    <sheetView workbookViewId="0">
      <selection sqref="A1:F9"/>
    </sheetView>
  </sheetViews>
  <sheetFormatPr defaultColWidth="10.90625" defaultRowHeight="14.5" x14ac:dyDescent="0.35"/>
  <cols>
    <col min="1" max="3" width="11.453125" style="6"/>
  </cols>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Tabelle1</vt:lpstr>
      <vt:lpstr>Tabelle2</vt:lpstr>
      <vt:lpstr>Tabelle3</vt:lpstr>
      <vt:lpstr>Tabelle4</vt:lpstr>
      <vt:lpstr>Tabelle1!ARAMS</vt:lpstr>
      <vt:lpstr>Tabelle1!P</vt:lpstr>
      <vt:lpstr>Tabelle1!P1P2</vt:lpstr>
    </vt:vector>
  </TitlesOfParts>
  <Company>DLR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Schumann, Ulrich</dc:creator>
  <cp:lastModifiedBy>KY Gregoire Arthur</cp:lastModifiedBy>
  <dcterms:created xsi:type="dcterms:W3CDTF">2016-02-21T14:00:50Z</dcterms:created>
  <dcterms:modified xsi:type="dcterms:W3CDTF">2024-09-20T02:34:30Z</dcterms:modified>
</cp:coreProperties>
</file>