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anciscobacellar_petrobras_com_br/Documents/Área de Trabalho/"/>
    </mc:Choice>
  </mc:AlternateContent>
  <xr:revisionPtr revIDLastSave="9" documentId="11_1AB35645CA85AEC5858A8328DAAE1444169A94FC" xr6:coauthVersionLast="47" xr6:coauthVersionMax="47" xr10:uidLastSave="{0DF3A6A9-7471-4F0A-B00A-9E43FFA7909A}"/>
  <bookViews>
    <workbookView xWindow="22932" yWindow="1320" windowWidth="23256" windowHeight="12456" xr2:uid="{00000000-000D-0000-FFFF-FFFF00000000}"/>
  </bookViews>
  <sheets>
    <sheet name="Condição operacional" sheetId="1" r:id="rId1"/>
    <sheet name="Memória de Cálcul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1" i="1"/>
  <c r="C10" i="3"/>
  <c r="C9" i="3"/>
  <c r="C8" i="3"/>
  <c r="C7" i="3"/>
  <c r="C6" i="3"/>
  <c r="C5" i="3"/>
  <c r="C4" i="3"/>
  <c r="C3" i="3"/>
  <c r="C18" i="3" l="1"/>
  <c r="C18" i="1" s="1"/>
  <c r="C14" i="3"/>
  <c r="C15" i="3"/>
  <c r="C11" i="3"/>
  <c r="C16" i="3" l="1"/>
  <c r="C17" i="3" s="1"/>
  <c r="C12" i="3"/>
  <c r="C13" i="3"/>
  <c r="C17" i="1" s="1"/>
  <c r="C19" i="1" l="1"/>
  <c r="C22" i="1"/>
  <c r="C24" i="1" s="1"/>
  <c r="C20" i="1" l="1"/>
</calcChain>
</file>

<file path=xl/sharedStrings.xml><?xml version="1.0" encoding="utf-8"?>
<sst xmlns="http://schemas.openxmlformats.org/spreadsheetml/2006/main" count="87" uniqueCount="67">
  <si>
    <t>dg</t>
  </si>
  <si>
    <t>API</t>
  </si>
  <si>
    <t>do</t>
  </si>
  <si>
    <r>
      <t>Q</t>
    </r>
    <r>
      <rPr>
        <vertAlign val="subscript"/>
        <sz val="11"/>
        <color theme="1"/>
        <rFont val="Calibri"/>
        <family val="2"/>
        <scheme val="minor"/>
      </rPr>
      <t>L</t>
    </r>
  </si>
  <si>
    <r>
      <t>Q</t>
    </r>
    <r>
      <rPr>
        <vertAlign val="subscript"/>
        <sz val="11"/>
        <color theme="1"/>
        <rFont val="Calibri"/>
        <family val="2"/>
        <scheme val="minor"/>
      </rPr>
      <t>O</t>
    </r>
  </si>
  <si>
    <t>BSW</t>
  </si>
  <si>
    <t>RGO</t>
  </si>
  <si>
    <r>
      <t>P</t>
    </r>
    <r>
      <rPr>
        <vertAlign val="subscript"/>
        <sz val="11"/>
        <color theme="1"/>
        <rFont val="Calibri"/>
        <family val="2"/>
        <scheme val="minor"/>
      </rPr>
      <t>SUC</t>
    </r>
  </si>
  <si>
    <r>
      <t>T</t>
    </r>
    <r>
      <rPr>
        <vertAlign val="subscript"/>
        <sz val="11"/>
        <color theme="1"/>
        <rFont val="Calibri"/>
        <family val="2"/>
        <scheme val="minor"/>
      </rPr>
      <t>SUC</t>
    </r>
  </si>
  <si>
    <t>Freq</t>
  </si>
  <si>
    <t>Pb</t>
  </si>
  <si>
    <t>Rs</t>
  </si>
  <si>
    <t>Bo</t>
  </si>
  <si>
    <t>Ppr</t>
  </si>
  <si>
    <t>Tpr</t>
  </si>
  <si>
    <t>z</t>
  </si>
  <si>
    <t>Bg</t>
  </si>
  <si>
    <t>Qo_P,T</t>
  </si>
  <si>
    <t>Qw_P,T</t>
  </si>
  <si>
    <t>Qg_P,T</t>
  </si>
  <si>
    <t>Qtotal_P,T</t>
  </si>
  <si>
    <t>FGL</t>
  </si>
  <si>
    <r>
      <t>Q</t>
    </r>
    <r>
      <rPr>
        <vertAlign val="subscript"/>
        <sz val="11"/>
        <color theme="1"/>
        <rFont val="Calibri"/>
        <family val="2"/>
        <scheme val="minor"/>
      </rPr>
      <t>downthrust</t>
    </r>
  </si>
  <si>
    <r>
      <t>Q</t>
    </r>
    <r>
      <rPr>
        <vertAlign val="subscript"/>
        <sz val="11"/>
        <color theme="1"/>
        <rFont val="Calibri"/>
        <family val="2"/>
        <scheme val="minor"/>
      </rPr>
      <t>upthrust</t>
    </r>
  </si>
  <si>
    <r>
      <t>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/d)</t>
    </r>
  </si>
  <si>
    <t>(%)</t>
  </si>
  <si>
    <t>(bar)</t>
  </si>
  <si>
    <r>
      <t>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</si>
  <si>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(Hz)</t>
  </si>
  <si>
    <t>(psia)</t>
  </si>
  <si>
    <t>(R)</t>
  </si>
  <si>
    <t>(scf/stb)</t>
  </si>
  <si>
    <t>Sm3/Sm3</t>
  </si>
  <si>
    <t>-</t>
  </si>
  <si>
    <t>sm3/Sm3</t>
  </si>
  <si>
    <t>(m3/d)</t>
  </si>
  <si>
    <t>m3/m3</t>
  </si>
  <si>
    <t>°</t>
  </si>
  <si>
    <t>Tpc</t>
  </si>
  <si>
    <t>Ppc</t>
  </si>
  <si>
    <t>%</t>
  </si>
  <si>
    <t>Condição</t>
  </si>
  <si>
    <t>Bw</t>
  </si>
  <si>
    <t>(kgf/cm2)</t>
  </si>
  <si>
    <t>CÁLCULOS</t>
  </si>
  <si>
    <t>RESULTADOS</t>
  </si>
  <si>
    <t>Poço:</t>
  </si>
  <si>
    <t>Data:</t>
  </si>
  <si>
    <t>7-JUB-31</t>
  </si>
  <si>
    <t>DADOS DE ENTRADA</t>
  </si>
  <si>
    <t>Temperatura na sucção da bomba lida no PI (sensor da BCSS)</t>
  </si>
  <si>
    <t>Pressão na sucção da bomba lida no PI (sensor da BCSS)</t>
  </si>
  <si>
    <t>Frequência de operação da BCSS lida no PI (variável do VSD)</t>
  </si>
  <si>
    <t>Razão Gás-Óleo da formação obtida do último BTP</t>
  </si>
  <si>
    <t>BSW total do poço obtido do último BTP</t>
  </si>
  <si>
    <t>Pressão de saturação</t>
  </si>
  <si>
    <t>Densidade do gás</t>
  </si>
  <si>
    <t>Densidade do óleo</t>
  </si>
  <si>
    <t>Vazão de óleo @ 20ºC e 1 atm</t>
  </si>
  <si>
    <t>Vazão de óleo na condição de P e T na sucção da bomba</t>
  </si>
  <si>
    <t>Vazão de água na condição de P e T na sucção da bomba</t>
  </si>
  <si>
    <t>Vazão de gás na condição de P e T na sucção da bomba</t>
  </si>
  <si>
    <t>Fração de Gás Livre na sucção da bomba</t>
  </si>
  <si>
    <t>Condição operacional em relação aos limites de vazão MÍNIMA e MÁXIMA</t>
  </si>
  <si>
    <t>Vazão volumétrica MÍNIMA da BCSS na condição de P e T na sucção da bomba</t>
  </si>
  <si>
    <t>Vazão volumétrica TOTAL (óleo + água + gás) da BCSS na condição de P e T na sucção da bomba</t>
  </si>
  <si>
    <t>Vazão volumétrica MÁXIMA da BCSS na condição de P e T na sucção da bomba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</si>
</sst>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F32"/>
  <sheetViews>
    <sheetView tabSelected="1" topLeftCell="A4" zoomScaleNormal="100" workbookViewId="0">
      <selection activeCell="C15" sqref="C15"/>
    </sheetView>
  </sheetViews>
  <sheetFormatPr defaultRowHeight="15" x14ac:dyDescent="0.25"/>
  <cols>
    <col min="2" max="6" width="9.7109375" customWidth="1"/>
    <col min="7" max="7" width="10.28515625" bestFit="1" customWidth="1"/>
    <col min="8" max="9" width="9.7109375" customWidth="1"/>
  </cols>
  <sheetData>
    <row r="1" spans="2:6" ht="7.5" customHeight="1" x14ac:dyDescent="0.25"/>
    <row r="2" spans="2:6" ht="15.95" customHeight="1" x14ac:dyDescent="0.25">
      <c r="B2" s="7" t="s">
        <v>46</v>
      </c>
      <c r="C2" s="15" t="s">
        <v>48</v>
      </c>
      <c r="D2" s="15"/>
    </row>
    <row r="3" spans="2:6" ht="15.95" customHeight="1" x14ac:dyDescent="0.25">
      <c r="B3" s="7" t="s">
        <v>47</v>
      </c>
      <c r="C3" s="16">
        <v>42516</v>
      </c>
      <c r="D3" s="16"/>
    </row>
    <row r="4" spans="2:6" ht="7.5" customHeight="1" x14ac:dyDescent="0.25">
      <c r="B4" s="8"/>
      <c r="C4" s="8"/>
      <c r="D4" s="8"/>
    </row>
    <row r="5" spans="2:6" ht="15.95" customHeight="1" x14ac:dyDescent="0.25">
      <c r="B5" s="21" t="s">
        <v>49</v>
      </c>
      <c r="C5" s="21"/>
      <c r="D5" s="21"/>
    </row>
    <row r="6" spans="2:6" ht="15.95" customHeight="1" x14ac:dyDescent="0.25">
      <c r="B6" s="4" t="s">
        <v>1</v>
      </c>
      <c r="C6" s="6">
        <v>17.600000000000001</v>
      </c>
      <c r="D6" s="4" t="s">
        <v>37</v>
      </c>
      <c r="F6" s="14" t="s">
        <v>57</v>
      </c>
    </row>
    <row r="7" spans="2:6" ht="15.95" customHeight="1" x14ac:dyDescent="0.25">
      <c r="B7" s="4" t="s">
        <v>0</v>
      </c>
      <c r="C7" s="6">
        <v>0.63600000000000001</v>
      </c>
      <c r="D7" s="4" t="s">
        <v>33</v>
      </c>
      <c r="F7" s="14" t="s">
        <v>56</v>
      </c>
    </row>
    <row r="8" spans="2:6" ht="15.95" customHeight="1" x14ac:dyDescent="0.25">
      <c r="B8" s="4" t="s">
        <v>10</v>
      </c>
      <c r="C8" s="5">
        <v>183.7</v>
      </c>
      <c r="D8" s="4" t="s">
        <v>43</v>
      </c>
      <c r="F8" s="14" t="s">
        <v>55</v>
      </c>
    </row>
    <row r="9" spans="2:6" ht="15.95" customHeight="1" x14ac:dyDescent="0.25">
      <c r="B9" s="4" t="s">
        <v>4</v>
      </c>
      <c r="C9" s="3">
        <v>606</v>
      </c>
      <c r="D9" s="4" t="s">
        <v>24</v>
      </c>
      <c r="F9" s="14" t="s">
        <v>58</v>
      </c>
    </row>
    <row r="10" spans="2:6" ht="15.95" customHeight="1" x14ac:dyDescent="0.25">
      <c r="B10" s="4" t="s">
        <v>5</v>
      </c>
      <c r="C10" s="3">
        <v>86.2</v>
      </c>
      <c r="D10" s="4" t="s">
        <v>25</v>
      </c>
      <c r="F10" s="14" t="s">
        <v>54</v>
      </c>
    </row>
    <row r="11" spans="2:6" ht="15.95" customHeight="1" x14ac:dyDescent="0.25">
      <c r="B11" s="4" t="s">
        <v>6</v>
      </c>
      <c r="C11" s="3">
        <v>46.5</v>
      </c>
      <c r="D11" s="4" t="s">
        <v>36</v>
      </c>
      <c r="F11" s="14" t="s">
        <v>53</v>
      </c>
    </row>
    <row r="12" spans="2:6" ht="15.95" customHeight="1" x14ac:dyDescent="0.25">
      <c r="B12" s="4" t="s">
        <v>7</v>
      </c>
      <c r="C12" s="3">
        <v>71.599999999999994</v>
      </c>
      <c r="D12" s="4" t="s">
        <v>26</v>
      </c>
      <c r="F12" s="14" t="s">
        <v>51</v>
      </c>
    </row>
    <row r="13" spans="2:6" ht="15.95" customHeight="1" x14ac:dyDescent="0.25">
      <c r="B13" s="4" t="s">
        <v>8</v>
      </c>
      <c r="C13" s="3">
        <v>68.900000000000006</v>
      </c>
      <c r="D13" s="4" t="s">
        <v>27</v>
      </c>
      <c r="F13" s="14" t="s">
        <v>50</v>
      </c>
    </row>
    <row r="14" spans="2:6" ht="15.95" customHeight="1" x14ac:dyDescent="0.25">
      <c r="B14" s="4" t="s">
        <v>9</v>
      </c>
      <c r="C14" s="3">
        <v>55</v>
      </c>
      <c r="D14" s="4" t="s">
        <v>28</v>
      </c>
      <c r="F14" s="14" t="s">
        <v>52</v>
      </c>
    </row>
    <row r="15" spans="2:6" ht="7.5" customHeight="1" x14ac:dyDescent="0.25">
      <c r="B15" s="8"/>
      <c r="C15" s="8"/>
      <c r="D15" s="8"/>
    </row>
    <row r="16" spans="2:6" ht="15.95" customHeight="1" x14ac:dyDescent="0.25">
      <c r="B16" s="18" t="s">
        <v>45</v>
      </c>
      <c r="C16" s="19"/>
      <c r="D16" s="20"/>
    </row>
    <row r="17" spans="2:6" ht="15.95" customHeight="1" x14ac:dyDescent="0.25">
      <c r="B17" s="4" t="s">
        <v>17</v>
      </c>
      <c r="C17" s="2">
        <f>C9*'Memória de Cálculo'!C13</f>
        <v>656.74193980585699</v>
      </c>
      <c r="D17" s="4" t="s">
        <v>35</v>
      </c>
      <c r="F17" s="14" t="s">
        <v>59</v>
      </c>
    </row>
    <row r="18" spans="2:6" ht="15.95" customHeight="1" x14ac:dyDescent="0.25">
      <c r="B18" s="4" t="s">
        <v>18</v>
      </c>
      <c r="C18" s="2">
        <f>'Memória de Cálculo'!C3*(C10/100)*'Memória de Cálculo'!C18</f>
        <v>3822.805909734082</v>
      </c>
      <c r="D18" s="4" t="s">
        <v>35</v>
      </c>
      <c r="F18" s="14" t="s">
        <v>60</v>
      </c>
    </row>
    <row r="19" spans="2:6" ht="15.95" customHeight="1" x14ac:dyDescent="0.25">
      <c r="B19" s="4" t="s">
        <v>19</v>
      </c>
      <c r="C19" s="2">
        <f>(C11-'Memória de Cálculo'!C12)*C9*'Memória de Cálculo'!C17</f>
        <v>246.46611948221644</v>
      </c>
      <c r="D19" s="4" t="s">
        <v>35</v>
      </c>
      <c r="F19" s="14" t="s">
        <v>61</v>
      </c>
    </row>
    <row r="20" spans="2:6" ht="15.95" customHeight="1" x14ac:dyDescent="0.25">
      <c r="B20" s="4" t="s">
        <v>21</v>
      </c>
      <c r="C20" s="11">
        <f>C19/C22*100</f>
        <v>5.2150950271780925</v>
      </c>
      <c r="D20" s="4" t="s">
        <v>40</v>
      </c>
      <c r="F20" s="14" t="s">
        <v>62</v>
      </c>
    </row>
    <row r="21" spans="2:6" ht="15.95" customHeight="1" x14ac:dyDescent="0.25">
      <c r="B21" s="4" t="s">
        <v>22</v>
      </c>
      <c r="C21" s="2">
        <f>3021*C14/60</f>
        <v>2769.25</v>
      </c>
      <c r="D21" s="4" t="s">
        <v>35</v>
      </c>
      <c r="F21" s="14" t="s">
        <v>64</v>
      </c>
    </row>
    <row r="22" spans="2:6" ht="15.95" customHeight="1" x14ac:dyDescent="0.25">
      <c r="B22" s="4" t="s">
        <v>20</v>
      </c>
      <c r="C22" s="12">
        <f>C17+C18+C19</f>
        <v>4726.0139690221558</v>
      </c>
      <c r="D22" s="4" t="s">
        <v>35</v>
      </c>
      <c r="F22" s="14" t="s">
        <v>65</v>
      </c>
    </row>
    <row r="23" spans="2:6" ht="15.95" customHeight="1" x14ac:dyDescent="0.25">
      <c r="B23" s="4" t="s">
        <v>23</v>
      </c>
      <c r="C23" s="2">
        <f>5564*C14/60</f>
        <v>5100.333333333333</v>
      </c>
      <c r="D23" s="4" t="s">
        <v>35</v>
      </c>
      <c r="F23" s="14" t="s">
        <v>66</v>
      </c>
    </row>
    <row r="24" spans="2:6" ht="15.95" customHeight="1" x14ac:dyDescent="0.25">
      <c r="B24" s="4" t="s">
        <v>41</v>
      </c>
      <c r="C24" s="17" t="str">
        <f>IF(C22&lt;C21,"Downthrust",IF(C22&gt;C23,"Upthrust","Dentro da Faixa"))</f>
        <v>Dentro da Faixa</v>
      </c>
      <c r="D24" s="17"/>
      <c r="F24" s="14" t="s">
        <v>63</v>
      </c>
    </row>
    <row r="25" spans="2:6" ht="15.95" customHeight="1" x14ac:dyDescent="0.25"/>
    <row r="26" spans="2:6" ht="15.95" customHeight="1" x14ac:dyDescent="0.25"/>
    <row r="27" spans="2:6" ht="15.95" customHeight="1" x14ac:dyDescent="0.25"/>
    <row r="28" spans="2:6" ht="15.95" customHeight="1" x14ac:dyDescent="0.25"/>
    <row r="29" spans="2:6" ht="15.95" customHeight="1" x14ac:dyDescent="0.25"/>
    <row r="30" spans="2:6" ht="15.95" customHeight="1" x14ac:dyDescent="0.25"/>
    <row r="31" spans="2:6" ht="15.95" customHeight="1" x14ac:dyDescent="0.25"/>
    <row r="32" spans="2:6" ht="15.95" customHeight="1" x14ac:dyDescent="0.25"/>
  </sheetData>
  <mergeCells count="5">
    <mergeCell ref="C2:D2"/>
    <mergeCell ref="C3:D3"/>
    <mergeCell ref="C24:D24"/>
    <mergeCell ref="B16:D16"/>
    <mergeCell ref="B5:D5"/>
  </mergeCells>
  <conditionalFormatting sqref="C24:D24">
    <cfRule type="cellIs" dxfId="1" priority="1" operator="notEqual">
      <formula>"Dentro da Faixa"</formula>
    </cfRule>
    <cfRule type="cellIs" dxfId="0" priority="2" operator="equal">
      <formula>"Dentro da Faixa"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8"/>
  <sheetViews>
    <sheetView workbookViewId="0">
      <selection activeCell="H17" sqref="H17"/>
    </sheetView>
  </sheetViews>
  <sheetFormatPr defaultRowHeight="15" x14ac:dyDescent="0.25"/>
  <cols>
    <col min="3" max="3" width="13.7109375" bestFit="1" customWidth="1"/>
  </cols>
  <sheetData>
    <row r="2" spans="2:4" x14ac:dyDescent="0.25">
      <c r="B2" s="22" t="s">
        <v>44</v>
      </c>
      <c r="C2" s="22"/>
      <c r="D2" s="22"/>
    </row>
    <row r="3" spans="2:4" ht="18" x14ac:dyDescent="0.25">
      <c r="B3" s="4" t="s">
        <v>3</v>
      </c>
      <c r="C3" s="2">
        <f>'Condição operacional'!C9/(100-'Condição operacional'!C10)*100</f>
        <v>4391.3043478260879</v>
      </c>
      <c r="D3" s="4" t="s">
        <v>24</v>
      </c>
    </row>
    <row r="4" spans="2:4" x14ac:dyDescent="0.25">
      <c r="B4" s="4" t="s">
        <v>2</v>
      </c>
      <c r="C4" s="1">
        <f>141.5/(131.5+'Condição operacional'!C6)</f>
        <v>0.94902749832327304</v>
      </c>
      <c r="D4" s="4"/>
    </row>
    <row r="5" spans="2:4" x14ac:dyDescent="0.25">
      <c r="B5" s="4" t="s">
        <v>39</v>
      </c>
      <c r="C5" s="2">
        <f>708.75-57.5*'Condição operacional'!C7</f>
        <v>672.18</v>
      </c>
      <c r="D5" s="4" t="s">
        <v>29</v>
      </c>
    </row>
    <row r="6" spans="2:4" x14ac:dyDescent="0.25">
      <c r="B6" s="4" t="s">
        <v>38</v>
      </c>
      <c r="C6" s="2">
        <f>169+314*'Condição operacional'!C7</f>
        <v>368.70400000000001</v>
      </c>
      <c r="D6" s="4" t="s">
        <v>30</v>
      </c>
    </row>
    <row r="7" spans="2:4" ht="18" x14ac:dyDescent="0.25">
      <c r="B7" s="4" t="s">
        <v>7</v>
      </c>
      <c r="C7" s="2">
        <f>'Condição operacional'!C12*14.50377+14.7</f>
        <v>1053.169932</v>
      </c>
      <c r="D7" s="4" t="s">
        <v>29</v>
      </c>
    </row>
    <row r="8" spans="2:4" ht="18" x14ac:dyDescent="0.25">
      <c r="B8" s="4" t="s">
        <v>8</v>
      </c>
      <c r="C8" s="2">
        <f>('Condição operacional'!C13+273.15)*9/5</f>
        <v>615.68999999999994</v>
      </c>
      <c r="D8" s="4" t="s">
        <v>30</v>
      </c>
    </row>
    <row r="9" spans="2:4" x14ac:dyDescent="0.25">
      <c r="B9" s="4" t="s">
        <v>6</v>
      </c>
      <c r="C9" s="2">
        <f>'Condição operacional'!C11/0.1781</f>
        <v>261.08927568781581</v>
      </c>
      <c r="D9" s="4" t="s">
        <v>31</v>
      </c>
    </row>
    <row r="10" spans="2:4" x14ac:dyDescent="0.25">
      <c r="B10" s="4" t="s">
        <v>10</v>
      </c>
      <c r="C10" s="2">
        <f>'Condição operacional'!C8*14.22334+14.7</f>
        <v>2627.5275579999998</v>
      </c>
      <c r="D10" s="4" t="s">
        <v>29</v>
      </c>
    </row>
    <row r="11" spans="2:4" x14ac:dyDescent="0.25">
      <c r="B11" s="4" t="s">
        <v>11</v>
      </c>
      <c r="C11" s="2">
        <f>IF(C7&lt;=C10,'Condição operacional'!C7*((C7/18.2+1.4)*10^(0.0125*'Condição operacional'!C6-0.00091*(C8-459.67)))^1.2048,C9)</f>
        <v>107.97873195934625</v>
      </c>
      <c r="D11" s="4" t="s">
        <v>31</v>
      </c>
    </row>
    <row r="12" spans="2:4" x14ac:dyDescent="0.25">
      <c r="B12" s="4" t="s">
        <v>11</v>
      </c>
      <c r="C12" s="9">
        <f>C11*0.1781</f>
        <v>19.231012161959569</v>
      </c>
      <c r="D12" s="4" t="s">
        <v>32</v>
      </c>
    </row>
    <row r="13" spans="2:4" x14ac:dyDescent="0.25">
      <c r="B13" s="4" t="s">
        <v>12</v>
      </c>
      <c r="C13" s="1">
        <f>0.972+0.000147*(C11*('Condição operacional'!C7/C4)^0.5+1.25*(C8-460))^1.175</f>
        <v>1.0837325739370578</v>
      </c>
      <c r="D13" s="4" t="s">
        <v>32</v>
      </c>
    </row>
    <row r="14" spans="2:4" x14ac:dyDescent="0.25">
      <c r="B14" s="4" t="s">
        <v>13</v>
      </c>
      <c r="C14" s="9">
        <f>C7/$C$5</f>
        <v>1.5667974828171027</v>
      </c>
      <c r="D14" s="4" t="s">
        <v>33</v>
      </c>
    </row>
    <row r="15" spans="2:4" x14ac:dyDescent="0.25">
      <c r="B15" s="4" t="s">
        <v>14</v>
      </c>
      <c r="C15" s="9">
        <f>C8/$C$6</f>
        <v>1.6698761065787189</v>
      </c>
      <c r="D15" s="4" t="s">
        <v>33</v>
      </c>
    </row>
    <row r="16" spans="2:4" x14ac:dyDescent="0.25">
      <c r="B16" s="4" t="s">
        <v>15</v>
      </c>
      <c r="C16" s="1">
        <f>1-3.52*C14/(10^(0.9813*C15))+0.274*C14^2/(10^(0.8157*C15))</f>
        <v>0.90248074652604593</v>
      </c>
      <c r="D16" s="4" t="s">
        <v>33</v>
      </c>
    </row>
    <row r="17" spans="2:4" x14ac:dyDescent="0.25">
      <c r="B17" s="4" t="s">
        <v>16</v>
      </c>
      <c r="C17" s="10">
        <f>(14.7/C7)*(C8*C16)/520</f>
        <v>1.4914736496200507E-2</v>
      </c>
      <c r="D17" s="4" t="s">
        <v>34</v>
      </c>
    </row>
    <row r="18" spans="2:4" x14ac:dyDescent="0.25">
      <c r="B18" s="4" t="s">
        <v>42</v>
      </c>
      <c r="C18" s="13">
        <f>(1+(-1.0001*10^-2+1.33391*(10^-4)*(C8-459.67)+5.50654*(10^-7)*(C8-459.67)))*(1+(-1.95301*(10^-9)*C7*(C8-459.67)-1.72834*(10^-13)*(C7^2)*(C8-459.67)-3.58922*(10^-7)*C7-2.25341*(10^-10)*(C7^2)))</f>
        <v>1.0099071457568614</v>
      </c>
      <c r="D18" s="4" t="s">
        <v>32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Condição operacional</vt:lpstr>
      <vt:lpstr>Memória de Cálculo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Amaral Tarcha</dc:creator>
  <cp:lastModifiedBy>Francisco Raphael Ribeiro Bacellar</cp:lastModifiedBy>
  <dcterms:created xsi:type="dcterms:W3CDTF">2015-08-04T20:24:00Z</dcterms:created>
  <dcterms:modified xsi:type="dcterms:W3CDTF">2023-12-19T19:31:11Z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2023-12-19T19:30:35Z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0e19e4d1-8348-4f39-a4c1-8deb8e4c0086</vt:lpwstr>
  </property>
  <property fmtid="{D5CDD505-2E9C-101B-9397-08002B2CF9AE}" pid="8" name="MSIP_Label_140b9f7d-8e3a-482f-9702-4b7ffc40985a_ContentBits">
    <vt:lpwstr>2</vt:lpwstr>
  </property>
</Properties>
</file>