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fd0021dac3b5d2/Рабочий стол/"/>
    </mc:Choice>
  </mc:AlternateContent>
  <xr:revisionPtr revIDLastSave="17" documentId="14_{72D9F6A0-1663-48FE-8C93-9C9752702638}" xr6:coauthVersionLast="47" xr6:coauthVersionMax="47" xr10:uidLastSave="{FFA36B57-C1F7-45F1-BA18-D24418168691}"/>
  <bookViews>
    <workbookView xWindow="-51720" yWindow="-2955" windowWidth="51840" windowHeight="21120" tabRatio="826" firstSheet="2" activeTab="5" xr2:uid="{C93532BF-09C2-4FA9-951F-1814C31F141A}"/>
  </bookViews>
  <sheets>
    <sheet name="1 график" sheetId="1" r:id="rId1"/>
    <sheet name="2 график" sheetId="2" r:id="rId2"/>
    <sheet name="3 графики" sheetId="4" r:id="rId3"/>
    <sheet name="степень черноты" sheetId="5" r:id="rId4"/>
    <sheet name="Анодный ток от анодного напры" sheetId="3" r:id="rId5"/>
    <sheet name="Лист1" sheetId="8" r:id="rId6"/>
    <sheet name="Расчет кпд" sheetId="6" r:id="rId7"/>
    <sheet name="Зависимость Iа от Iн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5" i="8" l="1"/>
  <c r="BK4" i="8"/>
  <c r="BE12" i="8"/>
  <c r="BE14" i="8"/>
  <c r="BE15" i="8"/>
  <c r="BE16" i="8"/>
  <c r="BE17" i="8"/>
  <c r="BE11" i="8"/>
  <c r="BG3" i="8"/>
  <c r="A4" i="8"/>
  <c r="A5" i="8"/>
  <c r="A6" i="8"/>
  <c r="A7" i="8"/>
  <c r="A8" i="8"/>
  <c r="D8" i="8" s="1"/>
  <c r="A9" i="8"/>
  <c r="A10" i="8"/>
  <c r="A11" i="8"/>
  <c r="F11" i="8" s="1"/>
  <c r="A12" i="8"/>
  <c r="D12" i="8" s="1"/>
  <c r="A13" i="8"/>
  <c r="A14" i="8"/>
  <c r="A15" i="8"/>
  <c r="A16" i="8"/>
  <c r="F16" i="8" s="1"/>
  <c r="A17" i="8"/>
  <c r="F17" i="8" s="1"/>
  <c r="A18" i="8"/>
  <c r="A19" i="8"/>
  <c r="A20" i="8"/>
  <c r="F20" i="8" s="1"/>
  <c r="A21" i="8"/>
  <c r="D10" i="8"/>
  <c r="F18" i="8"/>
  <c r="F19" i="8"/>
  <c r="A3" i="8"/>
  <c r="F3" i="8" s="1"/>
  <c r="BG4" i="8"/>
  <c r="BJ5" i="8" s="1"/>
  <c r="BK8" i="8" s="1"/>
  <c r="BG5" i="8"/>
  <c r="BG6" i="8"/>
  <c r="BG7" i="8"/>
  <c r="BG8" i="8"/>
  <c r="AY4" i="8"/>
  <c r="BC4" i="8" s="1"/>
  <c r="AY5" i="8"/>
  <c r="AY6" i="8"/>
  <c r="AY7" i="8"/>
  <c r="AY8" i="8"/>
  <c r="AY9" i="8"/>
  <c r="AY10" i="8"/>
  <c r="AY11" i="8"/>
  <c r="BA11" i="8" s="1"/>
  <c r="AY12" i="8"/>
  <c r="BA12" i="8" s="1"/>
  <c r="AY13" i="8"/>
  <c r="AY14" i="8"/>
  <c r="AY15" i="8"/>
  <c r="AY16" i="8"/>
  <c r="BC16" i="8" s="1"/>
  <c r="AY17" i="8"/>
  <c r="AY18" i="8"/>
  <c r="AY19" i="8"/>
  <c r="BA19" i="8" s="1"/>
  <c r="AY3" i="8"/>
  <c r="AQ4" i="8"/>
  <c r="AQ5" i="8"/>
  <c r="AQ6" i="8"/>
  <c r="AQ7" i="8"/>
  <c r="AQ8" i="8"/>
  <c r="AS8" i="8" s="1"/>
  <c r="AQ9" i="8"/>
  <c r="AQ10" i="8"/>
  <c r="AQ11" i="8"/>
  <c r="AS11" i="8" s="1"/>
  <c r="AQ12" i="8"/>
  <c r="AQ13" i="8"/>
  <c r="AQ14" i="8"/>
  <c r="AQ15" i="8"/>
  <c r="AQ16" i="8"/>
  <c r="AU16" i="8" s="1"/>
  <c r="AQ17" i="8"/>
  <c r="AQ18" i="8"/>
  <c r="AQ19" i="8"/>
  <c r="AS19" i="8" s="1"/>
  <c r="AQ20" i="8"/>
  <c r="AQ21" i="8"/>
  <c r="AQ3" i="8"/>
  <c r="AI4" i="8"/>
  <c r="AM4" i="8" s="1"/>
  <c r="AI5" i="8"/>
  <c r="AI6" i="8"/>
  <c r="AI7" i="8"/>
  <c r="AI8" i="8"/>
  <c r="AM8" i="8" s="1"/>
  <c r="AI9" i="8"/>
  <c r="AI10" i="8"/>
  <c r="AI11" i="8"/>
  <c r="AI12" i="8"/>
  <c r="AK12" i="8" s="1"/>
  <c r="AI13" i="8"/>
  <c r="AI14" i="8"/>
  <c r="AI15" i="8"/>
  <c r="AI16" i="8"/>
  <c r="AK16" i="8" s="1"/>
  <c r="AI17" i="8"/>
  <c r="AI18" i="8"/>
  <c r="AI19" i="8"/>
  <c r="AK19" i="8" s="1"/>
  <c r="AI20" i="8"/>
  <c r="AK20" i="8" s="1"/>
  <c r="AI21" i="8"/>
  <c r="AI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C18" i="8" s="1"/>
  <c r="AA19" i="8"/>
  <c r="AA20" i="8"/>
  <c r="AA21" i="8"/>
  <c r="AA3" i="8"/>
  <c r="S4" i="8"/>
  <c r="W4" i="8" s="1"/>
  <c r="S5" i="8"/>
  <c r="S6" i="8"/>
  <c r="S7" i="8"/>
  <c r="S8" i="8"/>
  <c r="S9" i="8"/>
  <c r="S10" i="8"/>
  <c r="S11" i="8"/>
  <c r="W11" i="8" s="1"/>
  <c r="S12" i="8"/>
  <c r="U12" i="8" s="1"/>
  <c r="S13" i="8"/>
  <c r="S14" i="8"/>
  <c r="S15" i="8"/>
  <c r="S16" i="8"/>
  <c r="S17" i="8"/>
  <c r="W17" i="8" s="1"/>
  <c r="S18" i="8"/>
  <c r="S19" i="8"/>
  <c r="W19" i="8" s="1"/>
  <c r="S20" i="8"/>
  <c r="U20" i="8" s="1"/>
  <c r="S21" i="8"/>
  <c r="S3" i="8"/>
  <c r="K4" i="8"/>
  <c r="K5" i="8"/>
  <c r="K6" i="8"/>
  <c r="K7" i="8"/>
  <c r="K8" i="8"/>
  <c r="K9" i="8"/>
  <c r="M9" i="8" s="1"/>
  <c r="K10" i="8"/>
  <c r="K11" i="8"/>
  <c r="O11" i="8" s="1"/>
  <c r="K12" i="8"/>
  <c r="K13" i="8"/>
  <c r="M13" i="8" s="1"/>
  <c r="K14" i="8"/>
  <c r="K15" i="8"/>
  <c r="K16" i="8"/>
  <c r="K17" i="8"/>
  <c r="M17" i="8" s="1"/>
  <c r="K18" i="8"/>
  <c r="K19" i="8"/>
  <c r="O19" i="8" s="1"/>
  <c r="K20" i="8"/>
  <c r="K21" i="8"/>
  <c r="O21" i="8" s="1"/>
  <c r="K3" i="8"/>
  <c r="C3" i="8"/>
  <c r="AW19" i="8"/>
  <c r="AW18" i="8"/>
  <c r="AW17" i="8"/>
  <c r="AW16" i="8"/>
  <c r="AW15" i="8"/>
  <c r="AW14" i="8"/>
  <c r="AZ14" i="8" s="1"/>
  <c r="AW13" i="8"/>
  <c r="AW12" i="8"/>
  <c r="AW11" i="8"/>
  <c r="AW10" i="8"/>
  <c r="AW9" i="8"/>
  <c r="AW8" i="8"/>
  <c r="AW7" i="8"/>
  <c r="AW6" i="8"/>
  <c r="BB6" i="8" s="1"/>
  <c r="AW5" i="8"/>
  <c r="AW4" i="8"/>
  <c r="AW3" i="8"/>
  <c r="AO21" i="8"/>
  <c r="AO20" i="8"/>
  <c r="AO19" i="8"/>
  <c r="AO18" i="8"/>
  <c r="AO17" i="8"/>
  <c r="AO16" i="8"/>
  <c r="AO15" i="8"/>
  <c r="AO14" i="8"/>
  <c r="AT14" i="8" s="1"/>
  <c r="AO13" i="8"/>
  <c r="AO12" i="8"/>
  <c r="AO11" i="8"/>
  <c r="AO10" i="8"/>
  <c r="AO9" i="8"/>
  <c r="AO8" i="8"/>
  <c r="AO7" i="8"/>
  <c r="AO6" i="8"/>
  <c r="AT6" i="8" s="1"/>
  <c r="AO5" i="8"/>
  <c r="AO4" i="8"/>
  <c r="AO3" i="8"/>
  <c r="AG21" i="8"/>
  <c r="AG20" i="8"/>
  <c r="AG19" i="8"/>
  <c r="AG18" i="8"/>
  <c r="AG17" i="8"/>
  <c r="AG16" i="8"/>
  <c r="AG15" i="8"/>
  <c r="AG14" i="8"/>
  <c r="AL14" i="8" s="1"/>
  <c r="AG13" i="8"/>
  <c r="AG12" i="8"/>
  <c r="AG11" i="8"/>
  <c r="AG10" i="8"/>
  <c r="AG9" i="8"/>
  <c r="AG8" i="8"/>
  <c r="AG7" i="8"/>
  <c r="AG6" i="8"/>
  <c r="AL6" i="8" s="1"/>
  <c r="AG5" i="8"/>
  <c r="AG4" i="8"/>
  <c r="AG3" i="8"/>
  <c r="Y21" i="8"/>
  <c r="Y20" i="8"/>
  <c r="Y19" i="8"/>
  <c r="Y18" i="8"/>
  <c r="Y17" i="8"/>
  <c r="Y16" i="8"/>
  <c r="Y15" i="8"/>
  <c r="AD15" i="8" s="1"/>
  <c r="Y14" i="8"/>
  <c r="AD14" i="8" s="1"/>
  <c r="Y13" i="8"/>
  <c r="Y12" i="8"/>
  <c r="Y11" i="8"/>
  <c r="Y10" i="8"/>
  <c r="Y9" i="8"/>
  <c r="Y8" i="8"/>
  <c r="Y7" i="8"/>
  <c r="AD7" i="8" s="1"/>
  <c r="Y6" i="8"/>
  <c r="AD6" i="8" s="1"/>
  <c r="Y5" i="8"/>
  <c r="Y4" i="8"/>
  <c r="Y3" i="8"/>
  <c r="Q21" i="8"/>
  <c r="Q20" i="8"/>
  <c r="Q19" i="8"/>
  <c r="Q18" i="8"/>
  <c r="Q17" i="8"/>
  <c r="Q16" i="8"/>
  <c r="Q15" i="8"/>
  <c r="Q14" i="8"/>
  <c r="V14" i="8" s="1"/>
  <c r="Q13" i="8"/>
  <c r="Q12" i="8"/>
  <c r="Q11" i="8"/>
  <c r="Q10" i="8"/>
  <c r="Q9" i="8"/>
  <c r="Q8" i="8"/>
  <c r="Q7" i="8"/>
  <c r="Q6" i="8"/>
  <c r="V6" i="8" s="1"/>
  <c r="Q5" i="8"/>
  <c r="Q4" i="8"/>
  <c r="Q3" i="8"/>
  <c r="I21" i="8"/>
  <c r="I20" i="8"/>
  <c r="I19" i="8"/>
  <c r="I18" i="8"/>
  <c r="I17" i="8"/>
  <c r="I16" i="8"/>
  <c r="I15" i="8"/>
  <c r="I14" i="8"/>
  <c r="N14" i="8" s="1"/>
  <c r="I13" i="8"/>
  <c r="I12" i="8"/>
  <c r="I11" i="8"/>
  <c r="I10" i="8"/>
  <c r="I9" i="8"/>
  <c r="I8" i="8"/>
  <c r="I7" i="8"/>
  <c r="I6" i="8"/>
  <c r="N6" i="8" s="1"/>
  <c r="I5" i="8"/>
  <c r="I4" i="8"/>
  <c r="I3" i="8"/>
  <c r="F21" i="8"/>
  <c r="D13" i="8"/>
  <c r="D15" i="8"/>
  <c r="F5" i="8"/>
  <c r="D9" i="8"/>
  <c r="C4" i="8"/>
  <c r="C5" i="8"/>
  <c r="C6" i="8"/>
  <c r="C7" i="8"/>
  <c r="C8" i="8"/>
  <c r="C9" i="8"/>
  <c r="C10" i="8"/>
  <c r="C11" i="8"/>
  <c r="G11" i="8" s="1"/>
  <c r="C12" i="8"/>
  <c r="C13" i="8"/>
  <c r="C14" i="8"/>
  <c r="C15" i="8"/>
  <c r="C16" i="8"/>
  <c r="C17" i="8"/>
  <c r="C18" i="8"/>
  <c r="C19" i="8"/>
  <c r="E19" i="8" s="1"/>
  <c r="C20" i="8"/>
  <c r="C21" i="8"/>
  <c r="AT21" i="8"/>
  <c r="AR21" i="8"/>
  <c r="AU21" i="8"/>
  <c r="AL21" i="8"/>
  <c r="AJ21" i="8"/>
  <c r="AM21" i="8"/>
  <c r="AE21" i="8"/>
  <c r="AD21" i="8"/>
  <c r="AB21" i="8"/>
  <c r="AC21" i="8"/>
  <c r="W21" i="8"/>
  <c r="V21" i="8"/>
  <c r="U21" i="8"/>
  <c r="T21" i="8"/>
  <c r="N21" i="8"/>
  <c r="L21" i="8"/>
  <c r="G21" i="8"/>
  <c r="AT20" i="8"/>
  <c r="AR20" i="8"/>
  <c r="AS20" i="8"/>
  <c r="AL20" i="8"/>
  <c r="AJ20" i="8"/>
  <c r="AD20" i="8"/>
  <c r="AB20" i="8"/>
  <c r="AE20" i="8"/>
  <c r="V20" i="8"/>
  <c r="T20" i="8"/>
  <c r="O20" i="8"/>
  <c r="N20" i="8"/>
  <c r="M20" i="8"/>
  <c r="L20" i="8"/>
  <c r="E20" i="8"/>
  <c r="BB19" i="8"/>
  <c r="AZ19" i="8"/>
  <c r="AT19" i="8"/>
  <c r="AR19" i="8"/>
  <c r="AU19" i="8"/>
  <c r="AL19" i="8"/>
  <c r="AJ19" i="8"/>
  <c r="AM19" i="8"/>
  <c r="AE19" i="8"/>
  <c r="AD19" i="8"/>
  <c r="AB19" i="8"/>
  <c r="AC19" i="8"/>
  <c r="V19" i="8"/>
  <c r="T19" i="8"/>
  <c r="N19" i="8"/>
  <c r="L19" i="8"/>
  <c r="BB18" i="8"/>
  <c r="AZ18" i="8"/>
  <c r="BA18" i="8"/>
  <c r="AU18" i="8"/>
  <c r="AT18" i="8"/>
  <c r="AR18" i="8"/>
  <c r="AS18" i="8"/>
  <c r="AL18" i="8"/>
  <c r="AK18" i="8"/>
  <c r="AJ18" i="8"/>
  <c r="AM18" i="8"/>
  <c r="AD18" i="8"/>
  <c r="AB18" i="8"/>
  <c r="W18" i="8"/>
  <c r="V18" i="8"/>
  <c r="T18" i="8"/>
  <c r="U18" i="8"/>
  <c r="N18" i="8"/>
  <c r="L18" i="8"/>
  <c r="O18" i="8"/>
  <c r="G18" i="8"/>
  <c r="E18" i="8"/>
  <c r="D18" i="8"/>
  <c r="BB17" i="8"/>
  <c r="BA17" i="8"/>
  <c r="AZ17" i="8"/>
  <c r="BC17" i="8"/>
  <c r="AT17" i="8"/>
  <c r="AR17" i="8"/>
  <c r="AS17" i="8"/>
  <c r="AM17" i="8"/>
  <c r="AL17" i="8"/>
  <c r="AJ17" i="8"/>
  <c r="AK17" i="8"/>
  <c r="AD17" i="8"/>
  <c r="AC17" i="8"/>
  <c r="AB17" i="8"/>
  <c r="AE17" i="8"/>
  <c r="V17" i="8"/>
  <c r="U17" i="8"/>
  <c r="T17" i="8"/>
  <c r="N17" i="8"/>
  <c r="L17" i="8"/>
  <c r="D17" i="8"/>
  <c r="G17" i="8"/>
  <c r="BB16" i="8"/>
  <c r="BA16" i="8"/>
  <c r="AZ16" i="8"/>
  <c r="AT16" i="8"/>
  <c r="AS16" i="8"/>
  <c r="AR16" i="8"/>
  <c r="AL16" i="8"/>
  <c r="AJ16" i="8"/>
  <c r="AE16" i="8"/>
  <c r="AD16" i="8"/>
  <c r="AB16" i="8"/>
  <c r="AC16" i="8"/>
  <c r="V16" i="8"/>
  <c r="U16" i="8"/>
  <c r="T16" i="8"/>
  <c r="W16" i="8"/>
  <c r="N16" i="8"/>
  <c r="M16" i="8"/>
  <c r="L16" i="8"/>
  <c r="O16" i="8"/>
  <c r="G16" i="8"/>
  <c r="D16" i="8"/>
  <c r="E16" i="8"/>
  <c r="BB15" i="8"/>
  <c r="BA15" i="8"/>
  <c r="AZ15" i="8"/>
  <c r="BC15" i="8"/>
  <c r="AT15" i="8"/>
  <c r="AS15" i="8"/>
  <c r="AR15" i="8"/>
  <c r="AU15" i="8"/>
  <c r="AM15" i="8"/>
  <c r="AL15" i="8"/>
  <c r="AJ15" i="8"/>
  <c r="AK15" i="8"/>
  <c r="AE15" i="8"/>
  <c r="V15" i="8"/>
  <c r="U15" i="8"/>
  <c r="T15" i="8"/>
  <c r="W15" i="8"/>
  <c r="N15" i="8"/>
  <c r="M15" i="8"/>
  <c r="L15" i="8"/>
  <c r="O15" i="8"/>
  <c r="E15" i="8"/>
  <c r="BC14" i="8"/>
  <c r="BB14" i="8"/>
  <c r="BA14" i="8"/>
  <c r="AS14" i="8"/>
  <c r="AU14" i="8"/>
  <c r="AK14" i="8"/>
  <c r="AE14" i="8"/>
  <c r="U14" i="8"/>
  <c r="W14" i="8"/>
  <c r="M14" i="8"/>
  <c r="O14" i="8"/>
  <c r="G14" i="8"/>
  <c r="F14" i="8"/>
  <c r="D14" i="8"/>
  <c r="E14" i="8"/>
  <c r="BB13" i="8"/>
  <c r="BA13" i="8"/>
  <c r="AZ13" i="8"/>
  <c r="BC13" i="8"/>
  <c r="AT13" i="8"/>
  <c r="AR13" i="8"/>
  <c r="AS13" i="8"/>
  <c r="AL13" i="8"/>
  <c r="AJ13" i="8"/>
  <c r="AM13" i="8"/>
  <c r="AD13" i="8"/>
  <c r="AC13" i="8"/>
  <c r="AB13" i="8"/>
  <c r="AE13" i="8"/>
  <c r="V13" i="8"/>
  <c r="U13" i="8"/>
  <c r="T13" i="8"/>
  <c r="W13" i="8"/>
  <c r="O13" i="8"/>
  <c r="N13" i="8"/>
  <c r="L13" i="8"/>
  <c r="G13" i="8"/>
  <c r="F13" i="8"/>
  <c r="E13" i="8"/>
  <c r="BB12" i="8"/>
  <c r="AZ12" i="8"/>
  <c r="BC12" i="8"/>
  <c r="AU12" i="8"/>
  <c r="AT12" i="8"/>
  <c r="AR12" i="8"/>
  <c r="AS12" i="8"/>
  <c r="AM12" i="8"/>
  <c r="AL12" i="8"/>
  <c r="AJ12" i="8"/>
  <c r="AD12" i="8"/>
  <c r="AC12" i="8"/>
  <c r="AB12" i="8"/>
  <c r="AE12" i="8"/>
  <c r="V12" i="8"/>
  <c r="T12" i="8"/>
  <c r="N12" i="8"/>
  <c r="L12" i="8"/>
  <c r="M12" i="8"/>
  <c r="G12" i="8"/>
  <c r="BB11" i="8"/>
  <c r="AZ11" i="8"/>
  <c r="BC11" i="8"/>
  <c r="AT11" i="8"/>
  <c r="AR11" i="8"/>
  <c r="AL11" i="8"/>
  <c r="AJ11" i="8"/>
  <c r="AM11" i="8"/>
  <c r="AD11" i="8"/>
  <c r="AC11" i="8"/>
  <c r="AB11" i="8"/>
  <c r="AE11" i="8"/>
  <c r="V11" i="8"/>
  <c r="U11" i="8"/>
  <c r="T11" i="8"/>
  <c r="N11" i="8"/>
  <c r="L11" i="8"/>
  <c r="D11" i="8"/>
  <c r="BB10" i="8"/>
  <c r="BA10" i="8"/>
  <c r="AZ10" i="8"/>
  <c r="BC10" i="8"/>
  <c r="AT10" i="8"/>
  <c r="AS10" i="8"/>
  <c r="AR10" i="8"/>
  <c r="AU10" i="8"/>
  <c r="AL10" i="8"/>
  <c r="AJ10" i="8"/>
  <c r="AK10" i="8"/>
  <c r="AD10" i="8"/>
  <c r="AB10" i="8"/>
  <c r="AE10" i="8"/>
  <c r="V10" i="8"/>
  <c r="U10" i="8"/>
  <c r="T10" i="8"/>
  <c r="W10" i="8"/>
  <c r="N10" i="8"/>
  <c r="M10" i="8"/>
  <c r="L10" i="8"/>
  <c r="O10" i="8"/>
  <c r="G10" i="8"/>
  <c r="F10" i="8"/>
  <c r="E10" i="8"/>
  <c r="BC9" i="8"/>
  <c r="BB9" i="8"/>
  <c r="AZ9" i="8"/>
  <c r="BA9" i="8"/>
  <c r="AT9" i="8"/>
  <c r="AS9" i="8"/>
  <c r="AR9" i="8"/>
  <c r="AU9" i="8"/>
  <c r="AL9" i="8"/>
  <c r="AK9" i="8"/>
  <c r="AJ9" i="8"/>
  <c r="AM9" i="8"/>
  <c r="AD9" i="8"/>
  <c r="AB9" i="8"/>
  <c r="AC9" i="8"/>
  <c r="V9" i="8"/>
  <c r="T9" i="8"/>
  <c r="W9" i="8"/>
  <c r="N9" i="8"/>
  <c r="L9" i="8"/>
  <c r="E9" i="8"/>
  <c r="G9" i="8"/>
  <c r="BC8" i="8"/>
  <c r="BB8" i="8"/>
  <c r="AZ8" i="8"/>
  <c r="BA8" i="8"/>
  <c r="AU8" i="8"/>
  <c r="AT8" i="8"/>
  <c r="AR8" i="8"/>
  <c r="AL8" i="8"/>
  <c r="AK8" i="8"/>
  <c r="AJ8" i="8"/>
  <c r="AE8" i="8"/>
  <c r="AD8" i="8"/>
  <c r="AC8" i="8"/>
  <c r="AB8" i="8"/>
  <c r="V8" i="8"/>
  <c r="T8" i="8"/>
  <c r="U8" i="8"/>
  <c r="N8" i="8"/>
  <c r="L8" i="8"/>
  <c r="O8" i="8"/>
  <c r="F8" i="8"/>
  <c r="E8" i="8"/>
  <c r="G8" i="8"/>
  <c r="BB7" i="8"/>
  <c r="BA7" i="8"/>
  <c r="AZ7" i="8"/>
  <c r="BC7" i="8"/>
  <c r="AU7" i="8"/>
  <c r="AT7" i="8"/>
  <c r="AR7" i="8"/>
  <c r="AS7" i="8"/>
  <c r="AM7" i="8"/>
  <c r="AL7" i="8"/>
  <c r="AK7" i="8"/>
  <c r="AJ7" i="8"/>
  <c r="AC7" i="8"/>
  <c r="AE7" i="8"/>
  <c r="W7" i="8"/>
  <c r="V7" i="8"/>
  <c r="U7" i="8"/>
  <c r="T7" i="8"/>
  <c r="N7" i="8"/>
  <c r="L7" i="8"/>
  <c r="M7" i="8"/>
  <c r="F7" i="8"/>
  <c r="D7" i="8"/>
  <c r="G7" i="8"/>
  <c r="BC6" i="8"/>
  <c r="BA6" i="8"/>
  <c r="AS6" i="8"/>
  <c r="AJ6" i="8"/>
  <c r="AM6" i="8"/>
  <c r="AE6" i="8"/>
  <c r="AC6" i="8"/>
  <c r="U6" i="8"/>
  <c r="W6" i="8"/>
  <c r="O6" i="8"/>
  <c r="M6" i="8"/>
  <c r="G6" i="8"/>
  <c r="F6" i="8"/>
  <c r="E6" i="8"/>
  <c r="D6" i="8"/>
  <c r="BB5" i="8"/>
  <c r="BA5" i="8"/>
  <c r="AZ5" i="8"/>
  <c r="BC5" i="8"/>
  <c r="AU5" i="8"/>
  <c r="AT5" i="8"/>
  <c r="AS5" i="8"/>
  <c r="AR5" i="8"/>
  <c r="AM5" i="8"/>
  <c r="AL5" i="8"/>
  <c r="AK5" i="8"/>
  <c r="AJ5" i="8"/>
  <c r="AE5" i="8"/>
  <c r="AD5" i="8"/>
  <c r="AB5" i="8"/>
  <c r="AC5" i="8"/>
  <c r="W5" i="8"/>
  <c r="V5" i="8"/>
  <c r="U5" i="8"/>
  <c r="T5" i="8"/>
  <c r="N5" i="8"/>
  <c r="L5" i="8"/>
  <c r="M5" i="8"/>
  <c r="G5" i="8"/>
  <c r="BB4" i="8"/>
  <c r="BA4" i="8"/>
  <c r="AZ4" i="8"/>
  <c r="AT4" i="8"/>
  <c r="AR4" i="8"/>
  <c r="AS4" i="8"/>
  <c r="AL4" i="8"/>
  <c r="AJ4" i="8"/>
  <c r="AD4" i="8"/>
  <c r="AC4" i="8"/>
  <c r="AB4" i="8"/>
  <c r="AE4" i="8"/>
  <c r="V4" i="8"/>
  <c r="U4" i="8"/>
  <c r="T4" i="8"/>
  <c r="O4" i="8"/>
  <c r="N4" i="8"/>
  <c r="M4" i="8"/>
  <c r="L4" i="8"/>
  <c r="G4" i="8"/>
  <c r="F4" i="8"/>
  <c r="E4" i="8"/>
  <c r="D4" i="8"/>
  <c r="BB3" i="8"/>
  <c r="BA3" i="8"/>
  <c r="AZ3" i="8"/>
  <c r="BC3" i="8"/>
  <c r="AU3" i="8"/>
  <c r="AT3" i="8"/>
  <c r="AS3" i="8"/>
  <c r="AR3" i="8"/>
  <c r="AM3" i="8"/>
  <c r="AL3" i="8"/>
  <c r="AK3" i="8"/>
  <c r="AJ3" i="8"/>
  <c r="AE3" i="8"/>
  <c r="AD3" i="8"/>
  <c r="AB3" i="8"/>
  <c r="AC3" i="8"/>
  <c r="W3" i="8"/>
  <c r="V3" i="8"/>
  <c r="U3" i="8"/>
  <c r="T3" i="8"/>
  <c r="N3" i="8"/>
  <c r="L3" i="8"/>
  <c r="M3" i="8"/>
  <c r="G3" i="8"/>
  <c r="BG2" i="8"/>
  <c r="I3" i="7"/>
  <c r="I4" i="7"/>
  <c r="I5" i="7"/>
  <c r="I6" i="7"/>
  <c r="I7" i="7"/>
  <c r="H3" i="7"/>
  <c r="H4" i="7"/>
  <c r="H5" i="7"/>
  <c r="H6" i="7"/>
  <c r="H7" i="7"/>
  <c r="H8" i="7"/>
  <c r="G8" i="7"/>
  <c r="G3" i="7"/>
  <c r="G4" i="7"/>
  <c r="G5" i="7"/>
  <c r="G6" i="7"/>
  <c r="G7" i="7"/>
  <c r="I2" i="7"/>
  <c r="H2" i="7"/>
  <c r="G2" i="7"/>
  <c r="F3" i="7"/>
  <c r="F4" i="7"/>
  <c r="F5" i="7"/>
  <c r="F6" i="7"/>
  <c r="F7" i="7"/>
  <c r="F8" i="7"/>
  <c r="F2" i="7"/>
  <c r="E2" i="6"/>
  <c r="E3" i="6"/>
  <c r="E4" i="6"/>
  <c r="E5" i="6"/>
  <c r="E6" i="6"/>
  <c r="E7" i="6"/>
  <c r="E8" i="6"/>
  <c r="BF13" i="3"/>
  <c r="BE12" i="3"/>
  <c r="BE13" i="3"/>
  <c r="BE14" i="3"/>
  <c r="BE15" i="3"/>
  <c r="BE11" i="3"/>
  <c r="BG3" i="3"/>
  <c r="BG4" i="3"/>
  <c r="BG5" i="3"/>
  <c r="BG6" i="3"/>
  <c r="B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E20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B39" i="4"/>
  <c r="BK3" i="8" l="1"/>
  <c r="BK7" i="8"/>
  <c r="BK6" i="8"/>
  <c r="BK5" i="8"/>
  <c r="BE13" i="8"/>
  <c r="BH13" i="8" s="1"/>
  <c r="BK2" i="8"/>
  <c r="D3" i="8"/>
  <c r="BC19" i="8"/>
  <c r="AM20" i="8"/>
  <c r="AE18" i="8"/>
  <c r="W20" i="8"/>
  <c r="W12" i="8"/>
  <c r="M19" i="8"/>
  <c r="O17" i="8"/>
  <c r="O9" i="8"/>
  <c r="M11" i="8"/>
  <c r="M21" i="8"/>
  <c r="AZ6" i="8"/>
  <c r="AR6" i="8"/>
  <c r="AR14" i="8"/>
  <c r="AJ14" i="8"/>
  <c r="AB6" i="8"/>
  <c r="AB14" i="8"/>
  <c r="AB15" i="8"/>
  <c r="AB7" i="8"/>
  <c r="T14" i="8"/>
  <c r="T6" i="8"/>
  <c r="L14" i="8"/>
  <c r="L6" i="8"/>
  <c r="D21" i="8"/>
  <c r="F15" i="8"/>
  <c r="D20" i="8"/>
  <c r="F12" i="8"/>
  <c r="F9" i="8"/>
  <c r="D19" i="8"/>
  <c r="D5" i="8"/>
  <c r="E11" i="8"/>
  <c r="G19" i="8"/>
  <c r="O3" i="8"/>
  <c r="AU4" i="8"/>
  <c r="O5" i="8"/>
  <c r="AU6" i="8"/>
  <c r="O7" i="8"/>
  <c r="W8" i="8"/>
  <c r="AE9" i="8"/>
  <c r="AM10" i="8"/>
  <c r="AU11" i="8"/>
  <c r="O12" i="8"/>
  <c r="AU13" i="8"/>
  <c r="AM14" i="8"/>
  <c r="G15" i="8"/>
  <c r="AM16" i="8"/>
  <c r="AU17" i="8"/>
  <c r="BC18" i="8"/>
  <c r="G20" i="8"/>
  <c r="AK21" i="8"/>
  <c r="E3" i="8"/>
  <c r="AK4" i="8"/>
  <c r="E5" i="8"/>
  <c r="AK6" i="8"/>
  <c r="E7" i="8"/>
  <c r="M8" i="8"/>
  <c r="U9" i="8"/>
  <c r="AC10" i="8"/>
  <c r="AK11" i="8"/>
  <c r="E12" i="8"/>
  <c r="AK13" i="8"/>
  <c r="AC14" i="8"/>
  <c r="AU20" i="8"/>
  <c r="E21" i="8"/>
  <c r="AC15" i="8"/>
  <c r="E17" i="8"/>
  <c r="M18" i="8"/>
  <c r="U19" i="8"/>
  <c r="AC20" i="8"/>
  <c r="AS21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F1" i="5"/>
  <c r="D20" i="5" s="1"/>
  <c r="F20" i="5" s="1"/>
  <c r="D15" i="5"/>
  <c r="F15" i="5" s="1"/>
  <c r="D16" i="5"/>
  <c r="F16" i="5" s="1"/>
  <c r="B2" i="5"/>
  <c r="B3" i="5"/>
  <c r="B4" i="5"/>
  <c r="B5" i="5"/>
  <c r="B6" i="5"/>
  <c r="B7" i="5"/>
  <c r="B1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M5" i="8" l="1"/>
  <c r="BJ7" i="8" s="1"/>
  <c r="BH14" i="8" s="1"/>
  <c r="D17" i="5"/>
  <c r="F17" i="5" s="1"/>
  <c r="D19" i="5"/>
  <c r="F19" i="5" s="1"/>
  <c r="D18" i="5"/>
  <c r="F18" i="5" s="1"/>
  <c r="N3" i="3" l="1"/>
  <c r="BB19" i="3"/>
  <c r="AZ19" i="3"/>
  <c r="AY19" i="3"/>
  <c r="BC19" i="3" s="1"/>
  <c r="BC18" i="3"/>
  <c r="BB18" i="3"/>
  <c r="AZ18" i="3"/>
  <c r="AY18" i="3"/>
  <c r="BA18" i="3" s="1"/>
  <c r="BB17" i="3"/>
  <c r="AZ17" i="3"/>
  <c r="AY17" i="3"/>
  <c r="BC17" i="3" s="1"/>
  <c r="BB16" i="3"/>
  <c r="AZ16" i="3"/>
  <c r="AY16" i="3"/>
  <c r="BC16" i="3" s="1"/>
  <c r="BB15" i="3"/>
  <c r="AZ15" i="3"/>
  <c r="AY15" i="3"/>
  <c r="BA15" i="3" s="1"/>
  <c r="BB14" i="3"/>
  <c r="AZ14" i="3"/>
  <c r="AY14" i="3"/>
  <c r="BC14" i="3" s="1"/>
  <c r="BB13" i="3"/>
  <c r="AZ13" i="3"/>
  <c r="AY13" i="3"/>
  <c r="BC13" i="3" s="1"/>
  <c r="BC12" i="3"/>
  <c r="BB12" i="3"/>
  <c r="AZ12" i="3"/>
  <c r="AY12" i="3"/>
  <c r="BA12" i="3" s="1"/>
  <c r="BB11" i="3"/>
  <c r="AZ11" i="3"/>
  <c r="AY11" i="3"/>
  <c r="BC11" i="3" s="1"/>
  <c r="BB10" i="3"/>
  <c r="AZ10" i="3"/>
  <c r="AY10" i="3"/>
  <c r="BA10" i="3" s="1"/>
  <c r="BB9" i="3"/>
  <c r="AZ9" i="3"/>
  <c r="AY9" i="3"/>
  <c r="BC9" i="3" s="1"/>
  <c r="BB8" i="3"/>
  <c r="AZ8" i="3"/>
  <c r="AY8" i="3"/>
  <c r="BC8" i="3" s="1"/>
  <c r="BB7" i="3"/>
  <c r="AZ7" i="3"/>
  <c r="AY7" i="3"/>
  <c r="BA7" i="3" s="1"/>
  <c r="BB6" i="3"/>
  <c r="AZ6" i="3"/>
  <c r="AY6" i="3"/>
  <c r="BC6" i="3" s="1"/>
  <c r="BB5" i="3"/>
  <c r="BA5" i="3"/>
  <c r="AZ5" i="3"/>
  <c r="AY5" i="3"/>
  <c r="BC5" i="3" s="1"/>
  <c r="BB4" i="3"/>
  <c r="AZ4" i="3"/>
  <c r="AY4" i="3"/>
  <c r="BC4" i="3" s="1"/>
  <c r="BB3" i="3"/>
  <c r="AZ3" i="3"/>
  <c r="AY3" i="3"/>
  <c r="BC3" i="3" s="1"/>
  <c r="AU21" i="3"/>
  <c r="AT21" i="3"/>
  <c r="AU20" i="3"/>
  <c r="AT20" i="3"/>
  <c r="AT19" i="3"/>
  <c r="AU18" i="3"/>
  <c r="AT18" i="3"/>
  <c r="AT17" i="3"/>
  <c r="AU16" i="3"/>
  <c r="AT16" i="3"/>
  <c r="AT15" i="3"/>
  <c r="AT14" i="3"/>
  <c r="AT13" i="3"/>
  <c r="AT12" i="3"/>
  <c r="AT11" i="3"/>
  <c r="AT10" i="3"/>
  <c r="AU9" i="3"/>
  <c r="AT9" i="3"/>
  <c r="AU8" i="3"/>
  <c r="AT8" i="3"/>
  <c r="AT7" i="3"/>
  <c r="AU6" i="3"/>
  <c r="AT6" i="3"/>
  <c r="AU5" i="3"/>
  <c r="AT5" i="3"/>
  <c r="AT4" i="3"/>
  <c r="AU3" i="3"/>
  <c r="AT3" i="3"/>
  <c r="AL21" i="3"/>
  <c r="AL20" i="3"/>
  <c r="AL19" i="3"/>
  <c r="AL18" i="3"/>
  <c r="AL17" i="3"/>
  <c r="AL16" i="3"/>
  <c r="AM15" i="3"/>
  <c r="AL15" i="3"/>
  <c r="AL14" i="3"/>
  <c r="AL13" i="3"/>
  <c r="AL12" i="3"/>
  <c r="AL11" i="3"/>
  <c r="AL10" i="3"/>
  <c r="AL9" i="3"/>
  <c r="AM8" i="3"/>
  <c r="AL8" i="3"/>
  <c r="AL7" i="3"/>
  <c r="AL6" i="3"/>
  <c r="AM5" i="3"/>
  <c r="AL5" i="3"/>
  <c r="AL4" i="3"/>
  <c r="AM3" i="3"/>
  <c r="AL3" i="3"/>
  <c r="AE21" i="3"/>
  <c r="AD21" i="3"/>
  <c r="AD20" i="3"/>
  <c r="AD19" i="3"/>
  <c r="AD18" i="3"/>
  <c r="AD17" i="3"/>
  <c r="AE16" i="3"/>
  <c r="AD16" i="3"/>
  <c r="AE15" i="3"/>
  <c r="AD15" i="3"/>
  <c r="AD14" i="3"/>
  <c r="AD13" i="3"/>
  <c r="AD12" i="3"/>
  <c r="AD11" i="3"/>
  <c r="AD10" i="3"/>
  <c r="AE9" i="3"/>
  <c r="AD9" i="3"/>
  <c r="AE8" i="3"/>
  <c r="AD8" i="3"/>
  <c r="AD7" i="3"/>
  <c r="AD6" i="3"/>
  <c r="AD5" i="3"/>
  <c r="AD4" i="3"/>
  <c r="AD3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AR21" i="3"/>
  <c r="AQ21" i="3"/>
  <c r="AS21" i="3" s="1"/>
  <c r="AR20" i="3"/>
  <c r="AQ20" i="3"/>
  <c r="AS20" i="3" s="1"/>
  <c r="AR19" i="3"/>
  <c r="AQ19" i="3"/>
  <c r="AS19" i="3" s="1"/>
  <c r="AR18" i="3"/>
  <c r="AQ18" i="3"/>
  <c r="AS18" i="3" s="1"/>
  <c r="AR17" i="3"/>
  <c r="AQ17" i="3"/>
  <c r="AS17" i="3" s="1"/>
  <c r="AR16" i="3"/>
  <c r="AQ16" i="3"/>
  <c r="AS16" i="3" s="1"/>
  <c r="AR15" i="3"/>
  <c r="AQ15" i="3"/>
  <c r="AS15" i="3" s="1"/>
  <c r="AR14" i="3"/>
  <c r="AQ14" i="3"/>
  <c r="AS14" i="3" s="1"/>
  <c r="AR13" i="3"/>
  <c r="AQ13" i="3"/>
  <c r="AS13" i="3" s="1"/>
  <c r="AR12" i="3"/>
  <c r="AQ12" i="3"/>
  <c r="AS12" i="3" s="1"/>
  <c r="AR11" i="3"/>
  <c r="AQ11" i="3"/>
  <c r="AS11" i="3" s="1"/>
  <c r="AR10" i="3"/>
  <c r="AQ10" i="3"/>
  <c r="AS10" i="3" s="1"/>
  <c r="AR9" i="3"/>
  <c r="AQ9" i="3"/>
  <c r="AS9" i="3" s="1"/>
  <c r="AR8" i="3"/>
  <c r="AQ8" i="3"/>
  <c r="AS8" i="3" s="1"/>
  <c r="AR7" i="3"/>
  <c r="AQ7" i="3"/>
  <c r="AS7" i="3" s="1"/>
  <c r="AR6" i="3"/>
  <c r="AQ6" i="3"/>
  <c r="AS6" i="3" s="1"/>
  <c r="AR5" i="3"/>
  <c r="AQ5" i="3"/>
  <c r="AS5" i="3" s="1"/>
  <c r="AR4" i="3"/>
  <c r="AQ4" i="3"/>
  <c r="AS4" i="3" s="1"/>
  <c r="AR3" i="3"/>
  <c r="AQ3" i="3"/>
  <c r="AS3" i="3" s="1"/>
  <c r="AJ21" i="3"/>
  <c r="AI21" i="3"/>
  <c r="AK21" i="3" s="1"/>
  <c r="AJ20" i="3"/>
  <c r="AI20" i="3"/>
  <c r="AK20" i="3" s="1"/>
  <c r="AJ19" i="3"/>
  <c r="AI19" i="3"/>
  <c r="AK19" i="3" s="1"/>
  <c r="AJ18" i="3"/>
  <c r="AI18" i="3"/>
  <c r="AK18" i="3" s="1"/>
  <c r="AJ17" i="3"/>
  <c r="AI17" i="3"/>
  <c r="AK17" i="3" s="1"/>
  <c r="AJ16" i="3"/>
  <c r="AI16" i="3"/>
  <c r="AK16" i="3" s="1"/>
  <c r="AJ15" i="3"/>
  <c r="AI15" i="3"/>
  <c r="AK15" i="3" s="1"/>
  <c r="AJ14" i="3"/>
  <c r="AI14" i="3"/>
  <c r="AK14" i="3" s="1"/>
  <c r="AJ13" i="3"/>
  <c r="AI13" i="3"/>
  <c r="AK13" i="3" s="1"/>
  <c r="AJ12" i="3"/>
  <c r="AI12" i="3"/>
  <c r="AK12" i="3" s="1"/>
  <c r="AJ11" i="3"/>
  <c r="AI11" i="3"/>
  <c r="AK11" i="3" s="1"/>
  <c r="AJ10" i="3"/>
  <c r="AI10" i="3"/>
  <c r="AK10" i="3" s="1"/>
  <c r="AJ9" i="3"/>
  <c r="AI9" i="3"/>
  <c r="AK9" i="3" s="1"/>
  <c r="AJ8" i="3"/>
  <c r="AI8" i="3"/>
  <c r="AK8" i="3" s="1"/>
  <c r="AJ7" i="3"/>
  <c r="AI7" i="3"/>
  <c r="AK7" i="3" s="1"/>
  <c r="AJ6" i="3"/>
  <c r="AI6" i="3"/>
  <c r="AK6" i="3" s="1"/>
  <c r="AJ5" i="3"/>
  <c r="AI5" i="3"/>
  <c r="AK5" i="3" s="1"/>
  <c r="AJ4" i="3"/>
  <c r="AI4" i="3"/>
  <c r="AK4" i="3" s="1"/>
  <c r="AJ3" i="3"/>
  <c r="AI3" i="3"/>
  <c r="AK3" i="3" s="1"/>
  <c r="AB21" i="3"/>
  <c r="AA21" i="3"/>
  <c r="AC21" i="3" s="1"/>
  <c r="AB20" i="3"/>
  <c r="AA20" i="3"/>
  <c r="AC20" i="3" s="1"/>
  <c r="AB19" i="3"/>
  <c r="AA19" i="3"/>
  <c r="AC19" i="3" s="1"/>
  <c r="AB18" i="3"/>
  <c r="AA18" i="3"/>
  <c r="AC18" i="3" s="1"/>
  <c r="AB17" i="3"/>
  <c r="AA17" i="3"/>
  <c r="AC17" i="3" s="1"/>
  <c r="AB16" i="3"/>
  <c r="AA16" i="3"/>
  <c r="AC16" i="3" s="1"/>
  <c r="AB15" i="3"/>
  <c r="AA15" i="3"/>
  <c r="AC15" i="3" s="1"/>
  <c r="AB14" i="3"/>
  <c r="AA14" i="3"/>
  <c r="AC14" i="3" s="1"/>
  <c r="AB13" i="3"/>
  <c r="AA13" i="3"/>
  <c r="AC13" i="3" s="1"/>
  <c r="AB12" i="3"/>
  <c r="AA12" i="3"/>
  <c r="AC12" i="3" s="1"/>
  <c r="AB11" i="3"/>
  <c r="AA11" i="3"/>
  <c r="AC11" i="3" s="1"/>
  <c r="AB10" i="3"/>
  <c r="AA10" i="3"/>
  <c r="AC10" i="3" s="1"/>
  <c r="AB9" i="3"/>
  <c r="AA9" i="3"/>
  <c r="AC9" i="3" s="1"/>
  <c r="AB8" i="3"/>
  <c r="AA8" i="3"/>
  <c r="AC8" i="3" s="1"/>
  <c r="AB7" i="3"/>
  <c r="AA7" i="3"/>
  <c r="AC7" i="3" s="1"/>
  <c r="AB6" i="3"/>
  <c r="AA6" i="3"/>
  <c r="AC6" i="3" s="1"/>
  <c r="AB5" i="3"/>
  <c r="AA5" i="3"/>
  <c r="AC5" i="3" s="1"/>
  <c r="AB4" i="3"/>
  <c r="AA4" i="3"/>
  <c r="AC4" i="3" s="1"/>
  <c r="AB3" i="3"/>
  <c r="AA3" i="3"/>
  <c r="AC3" i="3" s="1"/>
  <c r="T21" i="3"/>
  <c r="S21" i="3"/>
  <c r="U21" i="3" s="1"/>
  <c r="T20" i="3"/>
  <c r="S20" i="3"/>
  <c r="U20" i="3" s="1"/>
  <c r="T19" i="3"/>
  <c r="S19" i="3"/>
  <c r="U19" i="3" s="1"/>
  <c r="T18" i="3"/>
  <c r="S18" i="3"/>
  <c r="U18" i="3" s="1"/>
  <c r="T17" i="3"/>
  <c r="S17" i="3"/>
  <c r="U17" i="3" s="1"/>
  <c r="T16" i="3"/>
  <c r="S16" i="3"/>
  <c r="U16" i="3" s="1"/>
  <c r="T15" i="3"/>
  <c r="S15" i="3"/>
  <c r="U15" i="3" s="1"/>
  <c r="T14" i="3"/>
  <c r="S14" i="3"/>
  <c r="U14" i="3" s="1"/>
  <c r="T13" i="3"/>
  <c r="S13" i="3"/>
  <c r="U13" i="3" s="1"/>
  <c r="T12" i="3"/>
  <c r="S12" i="3"/>
  <c r="U12" i="3" s="1"/>
  <c r="T11" i="3"/>
  <c r="S11" i="3"/>
  <c r="U11" i="3" s="1"/>
  <c r="T10" i="3"/>
  <c r="S10" i="3"/>
  <c r="U10" i="3" s="1"/>
  <c r="T9" i="3"/>
  <c r="S9" i="3"/>
  <c r="U9" i="3" s="1"/>
  <c r="T8" i="3"/>
  <c r="S8" i="3"/>
  <c r="U8" i="3" s="1"/>
  <c r="T7" i="3"/>
  <c r="S7" i="3"/>
  <c r="U7" i="3" s="1"/>
  <c r="T6" i="3"/>
  <c r="S6" i="3"/>
  <c r="U6" i="3" s="1"/>
  <c r="T5" i="3"/>
  <c r="S5" i="3"/>
  <c r="U5" i="3" s="1"/>
  <c r="T4" i="3"/>
  <c r="S4" i="3"/>
  <c r="U4" i="3" s="1"/>
  <c r="T3" i="3"/>
  <c r="S3" i="3"/>
  <c r="U3" i="3" s="1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D17" i="3"/>
  <c r="D15" i="3"/>
  <c r="D16" i="3"/>
  <c r="D18" i="3"/>
  <c r="D19" i="3"/>
  <c r="D20" i="3"/>
  <c r="D21" i="3"/>
  <c r="D4" i="3"/>
  <c r="D5" i="3"/>
  <c r="D6" i="3"/>
  <c r="D7" i="3"/>
  <c r="D8" i="3"/>
  <c r="D9" i="3"/>
  <c r="D10" i="3"/>
  <c r="D11" i="3"/>
  <c r="D12" i="3"/>
  <c r="D13" i="3"/>
  <c r="D14" i="3"/>
  <c r="D3" i="3"/>
  <c r="C3" i="3"/>
  <c r="G3" i="3" s="1"/>
  <c r="C4" i="3"/>
  <c r="G4" i="3" s="1"/>
  <c r="C5" i="3"/>
  <c r="G5" i="3" s="1"/>
  <c r="C6" i="3"/>
  <c r="G6" i="3" s="1"/>
  <c r="C7" i="3"/>
  <c r="C8" i="3"/>
  <c r="C9" i="3"/>
  <c r="G9" i="3" s="1"/>
  <c r="C10" i="3"/>
  <c r="C11" i="3"/>
  <c r="C12" i="3"/>
  <c r="G12" i="3" s="1"/>
  <c r="C13" i="3"/>
  <c r="G13" i="3" s="1"/>
  <c r="C14" i="3"/>
  <c r="G14" i="3" s="1"/>
  <c r="C15" i="3"/>
  <c r="C16" i="3"/>
  <c r="C17" i="3"/>
  <c r="C18" i="3"/>
  <c r="C19" i="3"/>
  <c r="C20" i="3"/>
  <c r="G20" i="3" s="1"/>
  <c r="C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A17" i="3" l="1"/>
  <c r="BC15" i="3"/>
  <c r="BA13" i="3"/>
  <c r="BC10" i="3"/>
  <c r="BA9" i="3"/>
  <c r="BC7" i="3"/>
  <c r="BA4" i="3"/>
  <c r="AU19" i="3"/>
  <c r="AU17" i="3"/>
  <c r="AU15" i="3"/>
  <c r="AU14" i="3"/>
  <c r="AU13" i="3"/>
  <c r="AU12" i="3"/>
  <c r="AU11" i="3"/>
  <c r="AU10" i="3"/>
  <c r="AU7" i="3"/>
  <c r="AU4" i="3"/>
  <c r="AM20" i="3"/>
  <c r="AM17" i="3"/>
  <c r="AM16" i="3"/>
  <c r="AM13" i="3"/>
  <c r="AM12" i="3"/>
  <c r="AM7" i="3"/>
  <c r="AE20" i="3"/>
  <c r="AE19" i="3"/>
  <c r="AE18" i="3"/>
  <c r="AE17" i="3"/>
  <c r="AE14" i="3"/>
  <c r="AE13" i="3"/>
  <c r="AE12" i="3"/>
  <c r="AE11" i="3"/>
  <c r="AE10" i="3"/>
  <c r="AE7" i="3"/>
  <c r="AE6" i="3"/>
  <c r="AE5" i="3"/>
  <c r="AE4" i="3"/>
  <c r="AE3" i="3"/>
  <c r="AM21" i="3"/>
  <c r="AM19" i="3"/>
  <c r="AM18" i="3"/>
  <c r="AM14" i="3"/>
  <c r="AM11" i="3"/>
  <c r="AM10" i="3"/>
  <c r="AM9" i="3"/>
  <c r="AM6" i="3"/>
  <c r="AM4" i="3"/>
  <c r="BA6" i="3"/>
  <c r="BA14" i="3"/>
  <c r="BA3" i="3"/>
  <c r="BA11" i="3"/>
  <c r="BA19" i="3"/>
  <c r="BA8" i="3"/>
  <c r="BA16" i="3"/>
  <c r="O5" i="3"/>
  <c r="O9" i="3"/>
  <c r="O13" i="3"/>
  <c r="O17" i="3"/>
  <c r="O21" i="3"/>
  <c r="W6" i="3"/>
  <c r="W10" i="3"/>
  <c r="W14" i="3"/>
  <c r="W18" i="3"/>
  <c r="O6" i="3"/>
  <c r="O10" i="3"/>
  <c r="O14" i="3"/>
  <c r="O18" i="3"/>
  <c r="W3" i="3"/>
  <c r="W7" i="3"/>
  <c r="W11" i="3"/>
  <c r="W15" i="3"/>
  <c r="W19" i="3"/>
  <c r="O3" i="3"/>
  <c r="O7" i="3"/>
  <c r="O11" i="3"/>
  <c r="O15" i="3"/>
  <c r="O19" i="3"/>
  <c r="W4" i="3"/>
  <c r="W8" i="3"/>
  <c r="W12" i="3"/>
  <c r="W16" i="3"/>
  <c r="W20" i="3"/>
  <c r="O4" i="3"/>
  <c r="O8" i="3"/>
  <c r="O12" i="3"/>
  <c r="O16" i="3"/>
  <c r="O20" i="3"/>
  <c r="W5" i="3"/>
  <c r="W9" i="3"/>
  <c r="W13" i="3"/>
  <c r="W17" i="3"/>
  <c r="W21" i="3"/>
  <c r="G19" i="3"/>
  <c r="G15" i="3"/>
  <c r="G11" i="3"/>
  <c r="G7" i="3"/>
  <c r="G18" i="3"/>
  <c r="G10" i="3"/>
  <c r="G21" i="3"/>
  <c r="G17" i="3"/>
  <c r="G16" i="3"/>
  <c r="G8" i="3"/>
</calcChain>
</file>

<file path=xl/sharedStrings.xml><?xml version="1.0" encoding="utf-8"?>
<sst xmlns="http://schemas.openxmlformats.org/spreadsheetml/2006/main" count="153" uniqueCount="51">
  <si>
    <t>Напря</t>
  </si>
  <si>
    <t>Ток накала</t>
  </si>
  <si>
    <t>P</t>
  </si>
  <si>
    <t>R</t>
  </si>
  <si>
    <t>Ток нак 2.4</t>
  </si>
  <si>
    <t>Напр</t>
  </si>
  <si>
    <t>Ток. мкА</t>
  </si>
  <si>
    <t>Ток А</t>
  </si>
  <si>
    <t>lg(I)</t>
  </si>
  <si>
    <t>lg(U)</t>
  </si>
  <si>
    <t>Ток нак 2.5</t>
  </si>
  <si>
    <t>Ток нак 2.6</t>
  </si>
  <si>
    <t>Ток нак 2.7</t>
  </si>
  <si>
    <t>Ток нак 2.8</t>
  </si>
  <si>
    <t>Ток нак 2.9</t>
  </si>
  <si>
    <t>IA = gV^(3/2)</t>
  </si>
  <si>
    <t>Ток нак 3</t>
  </si>
  <si>
    <t>Сопротивлние</t>
  </si>
  <si>
    <t>a =</t>
  </si>
  <si>
    <t>p =</t>
  </si>
  <si>
    <t xml:space="preserve">d = </t>
  </si>
  <si>
    <t xml:space="preserve">l = </t>
  </si>
  <si>
    <t>T1</t>
  </si>
  <si>
    <t>T2</t>
  </si>
  <si>
    <t xml:space="preserve">G = </t>
  </si>
  <si>
    <t xml:space="preserve">S = </t>
  </si>
  <si>
    <t xml:space="preserve">С = </t>
  </si>
  <si>
    <t>T3</t>
  </si>
  <si>
    <t xml:space="preserve">g = </t>
  </si>
  <si>
    <t xml:space="preserve">Первеанс g = </t>
  </si>
  <si>
    <t xml:space="preserve">lg(g) = </t>
  </si>
  <si>
    <t>теор g=</t>
  </si>
  <si>
    <t>e/m=81/8*(g*ra/la)^2</t>
  </si>
  <si>
    <t>g=</t>
  </si>
  <si>
    <t>H = Iнас/P</t>
  </si>
  <si>
    <t>I</t>
  </si>
  <si>
    <t>U</t>
  </si>
  <si>
    <t>Iнас</t>
  </si>
  <si>
    <t>H, А/Вт</t>
  </si>
  <si>
    <t>Iн</t>
  </si>
  <si>
    <t>Ia, U=10</t>
  </si>
  <si>
    <t>U = 50</t>
  </si>
  <si>
    <t>U = 100</t>
  </si>
  <si>
    <t>U = 140</t>
  </si>
  <si>
    <t xml:space="preserve">e/m  = </t>
  </si>
  <si>
    <t xml:space="preserve">e/m теор = </t>
  </si>
  <si>
    <t>(x - |x|)^2</t>
  </si>
  <si>
    <t>сигма g=</t>
  </si>
  <si>
    <t xml:space="preserve">сумма = </t>
  </si>
  <si>
    <t>сигма e/m</t>
  </si>
  <si>
    <t xml:space="preserve">e/m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</si>
</sst>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Ток</a:t>
            </a:r>
            <a:r>
              <a:rPr lang="ru-RU" baseline="0"/>
              <a:t> накала от напряжение накала </a:t>
            </a:r>
            <a:r>
              <a:rPr lang="en-US" baseline="0"/>
              <a:t>Ia(Ua)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1321741032371"/>
          <c:h val="0.65049394867308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график'!$B$1</c:f>
              <c:strCache>
                <c:ptCount val="1"/>
                <c:pt idx="0">
                  <c:v>Ток накала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график'!$A$2:$A$31</c:f>
              <c:numCache>
                <c:formatCode>General</c:formatCode>
                <c:ptCount val="30"/>
                <c:pt idx="0">
                  <c:v>3.5499999999999997E-2</c:v>
                </c:pt>
                <c:pt idx="1">
                  <c:v>7.2499999999999995E-2</c:v>
                </c:pt>
                <c:pt idx="2">
                  <c:v>0.11459999999999999</c:v>
                </c:pt>
                <c:pt idx="3">
                  <c:v>0.16669999999999999</c:v>
                </c:pt>
                <c:pt idx="4">
                  <c:v>0.2455</c:v>
                </c:pt>
                <c:pt idx="5">
                  <c:v>0.36840000000000001</c:v>
                </c:pt>
                <c:pt idx="6">
                  <c:v>0.50800000000000001</c:v>
                </c:pt>
                <c:pt idx="7">
                  <c:v>0.65800000000000003</c:v>
                </c:pt>
                <c:pt idx="8">
                  <c:v>0.81499999999999995</c:v>
                </c:pt>
                <c:pt idx="9">
                  <c:v>0.98399999999999999</c:v>
                </c:pt>
                <c:pt idx="10">
                  <c:v>1.1599999999999999</c:v>
                </c:pt>
                <c:pt idx="11">
                  <c:v>1.34</c:v>
                </c:pt>
                <c:pt idx="12">
                  <c:v>1.5369999999999999</c:v>
                </c:pt>
                <c:pt idx="13">
                  <c:v>1.76</c:v>
                </c:pt>
                <c:pt idx="14">
                  <c:v>2</c:v>
                </c:pt>
                <c:pt idx="15">
                  <c:v>2.2799999999999998</c:v>
                </c:pt>
                <c:pt idx="16">
                  <c:v>2.56</c:v>
                </c:pt>
                <c:pt idx="17">
                  <c:v>2.9</c:v>
                </c:pt>
                <c:pt idx="18">
                  <c:v>3.23</c:v>
                </c:pt>
                <c:pt idx="19">
                  <c:v>3.55</c:v>
                </c:pt>
                <c:pt idx="20">
                  <c:v>3.89</c:v>
                </c:pt>
                <c:pt idx="21">
                  <c:v>4.25</c:v>
                </c:pt>
                <c:pt idx="22">
                  <c:v>4.59</c:v>
                </c:pt>
                <c:pt idx="23">
                  <c:v>4.95</c:v>
                </c:pt>
                <c:pt idx="24">
                  <c:v>5.31</c:v>
                </c:pt>
                <c:pt idx="25">
                  <c:v>5.7</c:v>
                </c:pt>
                <c:pt idx="26">
                  <c:v>6.1</c:v>
                </c:pt>
                <c:pt idx="27">
                  <c:v>6.5</c:v>
                </c:pt>
                <c:pt idx="28">
                  <c:v>6.95</c:v>
                </c:pt>
                <c:pt idx="29">
                  <c:v>7.42</c:v>
                </c:pt>
              </c:numCache>
            </c:numRef>
          </c:xVal>
          <c:yVal>
            <c:numRef>
              <c:f>'1 график'!$B$2:$B$31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E-40BB-9058-F7D54FC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22000"/>
        <c:axId val="1181029904"/>
      </c:scatterChart>
      <c:valAx>
        <c:axId val="11810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 </a:t>
                </a:r>
                <a:r>
                  <a:rPr lang="ru-RU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9904"/>
        <c:crosses val="autoZero"/>
        <c:crossBetween val="midCat"/>
      </c:valAx>
      <c:valAx>
        <c:axId val="1181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</a:t>
                </a:r>
                <a:r>
                  <a:rPr lang="ru-RU"/>
                  <a:t>А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напры'!$L$3:$L$21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напры'!$M$3:$M$21</c:f>
              <c:numCache>
                <c:formatCode>General</c:formatCode>
                <c:ptCount val="19"/>
                <c:pt idx="0">
                  <c:v>-4.1203307943679466</c:v>
                </c:pt>
                <c:pt idx="1">
                  <c:v>-3.8696662315049939</c:v>
                </c:pt>
                <c:pt idx="2">
                  <c:v>-3.5171264163912461</c:v>
                </c:pt>
                <c:pt idx="3">
                  <c:v>-3.3334820194451193</c:v>
                </c:pt>
                <c:pt idx="4">
                  <c:v>-3.1904402853647325</c:v>
                </c:pt>
                <c:pt idx="5">
                  <c:v>-3.067526235322847</c:v>
                </c:pt>
                <c:pt idx="6">
                  <c:v>-3.0438315695246367</c:v>
                </c:pt>
                <c:pt idx="7">
                  <c:v>-3.0319842860063582</c:v>
                </c:pt>
                <c:pt idx="8">
                  <c:v>-3.023191662661934</c:v>
                </c:pt>
                <c:pt idx="9">
                  <c:v>-3.0159229660971691</c:v>
                </c:pt>
                <c:pt idx="10">
                  <c:v>-3.0096611452123985</c:v>
                </c:pt>
                <c:pt idx="11">
                  <c:v>-3.0043648054024499</c:v>
                </c:pt>
                <c:pt idx="12">
                  <c:v>-2.9986990669795821</c:v>
                </c:pt>
                <c:pt idx="13">
                  <c:v>-2.9939620450026827</c:v>
                </c:pt>
                <c:pt idx="14">
                  <c:v>-2.9897000433601879</c:v>
                </c:pt>
                <c:pt idx="15">
                  <c:v>-2.9850596502070634</c:v>
                </c:pt>
                <c:pt idx="16">
                  <c:v>-2.980883709552927</c:v>
                </c:pt>
                <c:pt idx="17">
                  <c:v>-2.9779842601822799</c:v>
                </c:pt>
                <c:pt idx="18">
                  <c:v>-2.9738754832545498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AD2-B0A1-993E460FDE2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1111111111111"/>
                  <c:y val="4.6923665791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напры'!$L$3:$L$4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напры'!$M$3:$M$4</c:f>
              <c:numCache>
                <c:formatCode>General</c:formatCode>
                <c:ptCount val="2"/>
                <c:pt idx="0">
                  <c:v>-4.1203307943679466</c:v>
                </c:pt>
                <c:pt idx="1">
                  <c:v>-3.8696662315049939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1-4C09-89C3-CEB020CA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856"/>
        <c:axId val="60220016"/>
      </c:scatterChart>
      <c:valAx>
        <c:axId val="602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016"/>
        <c:crosses val="autoZero"/>
        <c:crossBetween val="midCat"/>
      </c:valAx>
      <c:valAx>
        <c:axId val="6022001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напры'!$N$3:$N$21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напры'!$O$3:$O$21</c:f>
              <c:numCache>
                <c:formatCode>General</c:formatCode>
                <c:ptCount val="19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  <c:pt idx="3">
                  <c:v>4.64E-4</c:v>
                </c:pt>
                <c:pt idx="4">
                  <c:v>6.4499999999999996E-4</c:v>
                </c:pt>
                <c:pt idx="5">
                  <c:v>8.5599999999999999E-4</c:v>
                </c:pt>
                <c:pt idx="6">
                  <c:v>9.0399999999999996E-4</c:v>
                </c:pt>
                <c:pt idx="7">
                  <c:v>9.2899999999999992E-4</c:v>
                </c:pt>
                <c:pt idx="8">
                  <c:v>9.4799999999999995E-4</c:v>
                </c:pt>
                <c:pt idx="9">
                  <c:v>9.639999999999999E-4</c:v>
                </c:pt>
                <c:pt idx="10">
                  <c:v>9.7799999999999992E-4</c:v>
                </c:pt>
                <c:pt idx="11">
                  <c:v>9.8999999999999999E-4</c:v>
                </c:pt>
                <c:pt idx="12">
                  <c:v>1.003E-3</c:v>
                </c:pt>
                <c:pt idx="13">
                  <c:v>1.0139999999999999E-3</c:v>
                </c:pt>
                <c:pt idx="14">
                  <c:v>1.024E-3</c:v>
                </c:pt>
                <c:pt idx="15">
                  <c:v>1.0349999999999999E-3</c:v>
                </c:pt>
                <c:pt idx="16">
                  <c:v>1.0449999999999999E-3</c:v>
                </c:pt>
                <c:pt idx="17">
                  <c:v>1.052E-3</c:v>
                </c:pt>
                <c:pt idx="18">
                  <c:v>1.062E-3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A84-8758-ACCB316E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120"/>
        <c:axId val="155994784"/>
      </c:scatterChart>
      <c:valAx>
        <c:axId val="1559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784"/>
        <c:crosses val="autoZero"/>
        <c:crossBetween val="midCat"/>
      </c:valAx>
      <c:valAx>
        <c:axId val="155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67672790901139E-2"/>
                  <c:y val="-4.5064523184601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напры'!$N$3:$N$5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напры'!$O$3:$O$5</c:f>
              <c:numCache>
                <c:formatCode>General</c:formatCode>
                <c:ptCount val="3"/>
                <c:pt idx="0">
                  <c:v>7.5799999999999999E-5</c:v>
                </c:pt>
                <c:pt idx="1">
                  <c:v>1.35E-4</c:v>
                </c:pt>
                <c:pt idx="2">
                  <c:v>3.0399999999999996E-4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4-46BD-B404-EEA707E4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9888"/>
        <c:axId val="55393648"/>
      </c:scatterChart>
      <c:valAx>
        <c:axId val="55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648"/>
        <c:crosses val="autoZero"/>
        <c:crossBetween val="midCat"/>
      </c:valAx>
      <c:valAx>
        <c:axId val="55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напры'!$T$3:$T$21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напры'!$U$3:$U$21</c:f>
              <c:numCache>
                <c:formatCode>General</c:formatCode>
                <c:ptCount val="19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  <c:pt idx="6">
                  <c:v>-2.563837352959244</c:v>
                </c:pt>
                <c:pt idx="7">
                  <c:v>-2.5457651042517346</c:v>
                </c:pt>
                <c:pt idx="8">
                  <c:v>-2.5346171485515816</c:v>
                </c:pt>
                <c:pt idx="9">
                  <c:v>-2.5223000716678694</c:v>
                </c:pt>
                <c:pt idx="10">
                  <c:v>-2.5158425756346192</c:v>
                </c:pt>
                <c:pt idx="11">
                  <c:v>-2.5094796906366512</c:v>
                </c:pt>
                <c:pt idx="12">
                  <c:v>-2.5032086842999575</c:v>
                </c:pt>
                <c:pt idx="13">
                  <c:v>-2.4983930775811705</c:v>
                </c:pt>
                <c:pt idx="14">
                  <c:v>-2.4893209689677902</c:v>
                </c:pt>
                <c:pt idx="15">
                  <c:v>-2.4851867050007148</c:v>
                </c:pt>
                <c:pt idx="16">
                  <c:v>-2.481222931073225</c:v>
                </c:pt>
                <c:pt idx="17">
                  <c:v>-2.4767739580342991</c:v>
                </c:pt>
                <c:pt idx="18">
                  <c:v>-2.4731440128741253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C-4DEC-B725-3BFFB2FD0F0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893963254593175"/>
                  <c:y val="9.351560221638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напры'!$T$3:$T$7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xVal>
          <c:yVal>
            <c:numRef>
              <c:f>'Анодный ток от анодного напры'!$U$3:$U$8</c:f>
              <c:numCache>
                <c:formatCode>General</c:formatCode>
                <c:ptCount val="6"/>
                <c:pt idx="0">
                  <c:v>-4.1426675035687319</c:v>
                </c:pt>
                <c:pt idx="1">
                  <c:v>-3.6497519816658373</c:v>
                </c:pt>
                <c:pt idx="2">
                  <c:v>-3.4801720062242811</c:v>
                </c:pt>
                <c:pt idx="3">
                  <c:v>-3.2740883677049517</c:v>
                </c:pt>
                <c:pt idx="4">
                  <c:v>-3.1163385648463824</c:v>
                </c:pt>
                <c:pt idx="5">
                  <c:v>-2.7106340484799682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1BC-91D2-F45D5198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3488"/>
        <c:axId val="158833904"/>
      </c:scatterChart>
      <c:valAx>
        <c:axId val="1588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904"/>
        <c:crosses val="autoZero"/>
        <c:crossBetween val="midCat"/>
      </c:valAx>
      <c:valAx>
        <c:axId val="15883390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напры'!$V$3:$V$21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напры'!$W$3:$W$21</c:f>
              <c:numCache>
                <c:formatCode>General</c:formatCode>
                <c:ptCount val="19"/>
                <c:pt idx="0">
                  <c:v>7.2000000000000002E-5</c:v>
                </c:pt>
                <c:pt idx="1">
                  <c:v>2.24E-4</c:v>
                </c:pt>
                <c:pt idx="2">
                  <c:v>3.3099999999999997E-4</c:v>
                </c:pt>
                <c:pt idx="3">
                  <c:v>5.3200000000000003E-4</c:v>
                </c:pt>
                <c:pt idx="4">
                  <c:v>7.6499999999999995E-4</c:v>
                </c:pt>
                <c:pt idx="5">
                  <c:v>1.9469999999999999E-3</c:v>
                </c:pt>
                <c:pt idx="6">
                  <c:v>2.7299999999999998E-3</c:v>
                </c:pt>
                <c:pt idx="7">
                  <c:v>2.846E-3</c:v>
                </c:pt>
                <c:pt idx="8">
                  <c:v>2.9199999999999999E-3</c:v>
                </c:pt>
                <c:pt idx="9">
                  <c:v>3.0039999999999997E-3</c:v>
                </c:pt>
                <c:pt idx="10">
                  <c:v>3.0490000000000001E-3</c:v>
                </c:pt>
                <c:pt idx="11">
                  <c:v>3.094E-3</c:v>
                </c:pt>
                <c:pt idx="12">
                  <c:v>3.1389999999999999E-3</c:v>
                </c:pt>
                <c:pt idx="13">
                  <c:v>3.1739999999999997E-3</c:v>
                </c:pt>
                <c:pt idx="14">
                  <c:v>3.241E-3</c:v>
                </c:pt>
                <c:pt idx="15">
                  <c:v>3.2719999999999997E-3</c:v>
                </c:pt>
                <c:pt idx="16">
                  <c:v>3.3019999999999998E-3</c:v>
                </c:pt>
                <c:pt idx="17">
                  <c:v>3.336E-3</c:v>
                </c:pt>
                <c:pt idx="18">
                  <c:v>3.3639999999999998E-3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4B01-A056-C52B8C0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09104"/>
        <c:axId val="1855508272"/>
      </c:scatterChart>
      <c:valAx>
        <c:axId val="18555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8272"/>
        <c:crosses val="autoZero"/>
        <c:crossBetween val="midCat"/>
      </c:valAx>
      <c:valAx>
        <c:axId val="1855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напры'!$AB$3:$AB$21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напры'!$AC$3:$AC$21</c:f>
              <c:numCache>
                <c:formatCode>General</c:formatCode>
                <c:ptCount val="19"/>
                <c:pt idx="0">
                  <c:v>-4.1249387366082999</c:v>
                </c:pt>
                <c:pt idx="1">
                  <c:v>-3.8181564120552274</c:v>
                </c:pt>
                <c:pt idx="2">
                  <c:v>-3.3477536589966768</c:v>
                </c:pt>
                <c:pt idx="3">
                  <c:v>-3.2510371387438388</c:v>
                </c:pt>
                <c:pt idx="4">
                  <c:v>-3.0644927341752872</c:v>
                </c:pt>
                <c:pt idx="5">
                  <c:v>-2.6458915608525992</c:v>
                </c:pt>
                <c:pt idx="6">
                  <c:v>-2.1739251972991736</c:v>
                </c:pt>
                <c:pt idx="7">
                  <c:v>-2.0767559813697236</c:v>
                </c:pt>
                <c:pt idx="8">
                  <c:v>-2.0609802235513337</c:v>
                </c:pt>
                <c:pt idx="9">
                  <c:v>-2.0520763801682738</c:v>
                </c:pt>
                <c:pt idx="10">
                  <c:v>-2.0447934624580584</c:v>
                </c:pt>
                <c:pt idx="11">
                  <c:v>-2.040005161671584</c:v>
                </c:pt>
                <c:pt idx="12">
                  <c:v>-2.0352690789463708</c:v>
                </c:pt>
                <c:pt idx="13">
                  <c:v>-2.0315170514460648</c:v>
                </c:pt>
                <c:pt idx="14">
                  <c:v>-2.0277971616209354</c:v>
                </c:pt>
                <c:pt idx="15">
                  <c:v>-2.0241088635982072</c:v>
                </c:pt>
                <c:pt idx="16">
                  <c:v>-2.0168249279621868</c:v>
                </c:pt>
                <c:pt idx="17">
                  <c:v>-2.0118871597316481</c:v>
                </c:pt>
                <c:pt idx="18">
                  <c:v>-2.0087739243075053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3-4CBE-998D-18264D570514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7777777777777772"/>
                  <c:y val="-6.872557596967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напры'!$AB$3:$AB$4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напры'!$AC$3:$AC$4</c:f>
              <c:numCache>
                <c:formatCode>General</c:formatCode>
                <c:ptCount val="2"/>
                <c:pt idx="0">
                  <c:v>-4.1249387366082999</c:v>
                </c:pt>
                <c:pt idx="1">
                  <c:v>-3.8181564120552274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4E54-B68D-E1121CA8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896"/>
        <c:axId val="57503152"/>
      </c:scatterChart>
      <c:valAx>
        <c:axId val="575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152"/>
        <c:crosses val="autoZero"/>
        <c:crossBetween val="midCat"/>
      </c:valAx>
      <c:valAx>
        <c:axId val="57503152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напры'!$AD$3:$AD$21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напры'!$AE$3:$AE$21</c:f>
              <c:numCache>
                <c:formatCode>General</c:formatCode>
                <c:ptCount val="19"/>
                <c:pt idx="0">
                  <c:v>7.4999999999999993E-5</c:v>
                </c:pt>
                <c:pt idx="1">
                  <c:v>1.5199999999999998E-4</c:v>
                </c:pt>
                <c:pt idx="2">
                  <c:v>4.4899999999999996E-4</c:v>
                </c:pt>
                <c:pt idx="3">
                  <c:v>5.6099999999999998E-4</c:v>
                </c:pt>
                <c:pt idx="4">
                  <c:v>8.6199999999999992E-4</c:v>
                </c:pt>
                <c:pt idx="5">
                  <c:v>2.2599999999999999E-3</c:v>
                </c:pt>
                <c:pt idx="6">
                  <c:v>6.6999999999999994E-3</c:v>
                </c:pt>
                <c:pt idx="7">
                  <c:v>8.3800000000000003E-3</c:v>
                </c:pt>
                <c:pt idx="8">
                  <c:v>8.6899999999999998E-3</c:v>
                </c:pt>
                <c:pt idx="9">
                  <c:v>8.8699999999999994E-3</c:v>
                </c:pt>
                <c:pt idx="10">
                  <c:v>9.0200000000000002E-3</c:v>
                </c:pt>
                <c:pt idx="11">
                  <c:v>9.1199999999999996E-3</c:v>
                </c:pt>
                <c:pt idx="12">
                  <c:v>9.219999999999999E-3</c:v>
                </c:pt>
                <c:pt idx="13">
                  <c:v>9.2999999999999992E-3</c:v>
                </c:pt>
                <c:pt idx="14">
                  <c:v>9.3799999999999994E-3</c:v>
                </c:pt>
                <c:pt idx="15">
                  <c:v>9.4599999999999997E-3</c:v>
                </c:pt>
                <c:pt idx="16">
                  <c:v>9.6200000000000001E-3</c:v>
                </c:pt>
                <c:pt idx="17">
                  <c:v>9.7299999999999991E-3</c:v>
                </c:pt>
                <c:pt idx="18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9-45ED-A6F2-1E288EB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1568"/>
        <c:axId val="156071984"/>
      </c:scatterChart>
      <c:valAx>
        <c:axId val="1560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984"/>
        <c:crosses val="autoZero"/>
        <c:crossBetween val="midCat"/>
      </c:valAx>
      <c:valAx>
        <c:axId val="156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напры'!$AJ$3:$AJ$21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напры'!$AK$3:$AK$21</c:f>
              <c:numCache>
                <c:formatCode>General</c:formatCode>
                <c:ptCount val="19"/>
                <c:pt idx="0">
                  <c:v>-4.0555173278498318</c:v>
                </c:pt>
                <c:pt idx="1">
                  <c:v>-3.8477116556169437</c:v>
                </c:pt>
                <c:pt idx="2">
                  <c:v>-3.4841261562883208</c:v>
                </c:pt>
                <c:pt idx="3">
                  <c:v>-3.2814983111327258</c:v>
                </c:pt>
                <c:pt idx="4">
                  <c:v>-3.0619809025237896</c:v>
                </c:pt>
                <c:pt idx="5">
                  <c:v>-2.6458915608525992</c:v>
                </c:pt>
                <c:pt idx="6">
                  <c:v>-2.1191864077192086</c:v>
                </c:pt>
                <c:pt idx="7">
                  <c:v>-1.8741935418604732</c:v>
                </c:pt>
                <c:pt idx="8">
                  <c:v>-1.6867657083052761</c:v>
                </c:pt>
                <c:pt idx="9">
                  <c:v>-1.6522797829659619</c:v>
                </c:pt>
                <c:pt idx="10">
                  <c:v>-1.6378946807062271</c:v>
                </c:pt>
                <c:pt idx="11">
                  <c:v>-1.6283780728239787</c:v>
                </c:pt>
                <c:pt idx="12">
                  <c:v>-1.6188849192901495</c:v>
                </c:pt>
                <c:pt idx="13">
                  <c:v>-1.6108339156354676</c:v>
                </c:pt>
                <c:pt idx="14">
                  <c:v>-1.5985994592184558</c:v>
                </c:pt>
                <c:pt idx="15">
                  <c:v>-1.5934598195660448</c:v>
                </c:pt>
                <c:pt idx="16">
                  <c:v>-1.5883802940367699</c:v>
                </c:pt>
                <c:pt idx="17">
                  <c:v>-1.5783960731301689</c:v>
                </c:pt>
                <c:pt idx="18">
                  <c:v>-1.5718652059712113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4D1-8435-925E4F9A2BC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6388888888888888"/>
                  <c:y val="-9.5687153689122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напры'!$AJ$3:$AJ$4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напры'!$AK$3:$AK$4</c:f>
              <c:numCache>
                <c:formatCode>General</c:formatCode>
                <c:ptCount val="2"/>
                <c:pt idx="0">
                  <c:v>-4.0555173278498318</c:v>
                </c:pt>
                <c:pt idx="1">
                  <c:v>-3.8477116556169437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854-8C6C-8D27301E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5216"/>
        <c:axId val="155446464"/>
      </c:scatterChart>
      <c:valAx>
        <c:axId val="1554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6464"/>
        <c:crosses val="autoZero"/>
        <c:crossBetween val="midCat"/>
      </c:valAx>
      <c:valAx>
        <c:axId val="155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напры'!$AL$3:$AL$21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напры'!$AM$3:$AM$21</c:f>
              <c:numCache>
                <c:formatCode>General</c:formatCode>
                <c:ptCount val="19"/>
                <c:pt idx="0">
                  <c:v>8.7999999999999998E-5</c:v>
                </c:pt>
                <c:pt idx="1">
                  <c:v>1.4199999999999998E-4</c:v>
                </c:pt>
                <c:pt idx="2">
                  <c:v>3.28E-4</c:v>
                </c:pt>
                <c:pt idx="3">
                  <c:v>5.2300000000000003E-4</c:v>
                </c:pt>
                <c:pt idx="4">
                  <c:v>8.6699999999999993E-4</c:v>
                </c:pt>
                <c:pt idx="5">
                  <c:v>2.2599999999999999E-3</c:v>
                </c:pt>
                <c:pt idx="6">
                  <c:v>7.6E-3</c:v>
                </c:pt>
                <c:pt idx="7">
                  <c:v>1.3359999999999999E-2</c:v>
                </c:pt>
                <c:pt idx="8">
                  <c:v>2.0569999999999998E-2</c:v>
                </c:pt>
                <c:pt idx="9">
                  <c:v>2.2269999999999998E-2</c:v>
                </c:pt>
                <c:pt idx="10">
                  <c:v>2.3019999999999999E-2</c:v>
                </c:pt>
                <c:pt idx="11">
                  <c:v>2.3529999999999999E-2</c:v>
                </c:pt>
                <c:pt idx="12">
                  <c:v>2.4049999999999998E-2</c:v>
                </c:pt>
                <c:pt idx="13">
                  <c:v>2.4499999999999997E-2</c:v>
                </c:pt>
                <c:pt idx="14">
                  <c:v>2.52E-2</c:v>
                </c:pt>
                <c:pt idx="15">
                  <c:v>2.5499999999999998E-2</c:v>
                </c:pt>
                <c:pt idx="16">
                  <c:v>2.58E-2</c:v>
                </c:pt>
                <c:pt idx="17">
                  <c:v>2.64E-2</c:v>
                </c:pt>
                <c:pt idx="18">
                  <c:v>2.6799999999999997E-2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4-47B0-89AF-030DD27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312"/>
        <c:axId val="55336384"/>
      </c:scatterChart>
      <c:valAx>
        <c:axId val="553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384"/>
        <c:crosses val="autoZero"/>
        <c:crossBetween val="midCat"/>
      </c:valAx>
      <c:valAx>
        <c:axId val="55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напры'!$AR$3:$AR$21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напры'!$AS$3:$AS$21</c:f>
              <c:numCache>
                <c:formatCode>General</c:formatCode>
                <c:ptCount val="19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  <c:pt idx="3">
                  <c:v>-3.2692177243336107</c:v>
                </c:pt>
                <c:pt idx="4">
                  <c:v>-3.1249387366082999</c:v>
                </c:pt>
                <c:pt idx="5">
                  <c:v>-2.6363880201078556</c:v>
                </c:pt>
                <c:pt idx="6">
                  <c:v>-2.1444808443321999</c:v>
                </c:pt>
                <c:pt idx="7">
                  <c:v>-1.8513973451939065</c:v>
                </c:pt>
                <c:pt idx="8">
                  <c:v>-1.6516951369518393</c:v>
                </c:pt>
                <c:pt idx="9">
                  <c:v>-1.5093393466438632</c:v>
                </c:pt>
                <c:pt idx="10">
                  <c:v>-1.3788237182249647</c:v>
                </c:pt>
                <c:pt idx="11">
                  <c:v>-1.30715308072277</c:v>
                </c:pt>
                <c:pt idx="12">
                  <c:v>-1.2798406965940432</c:v>
                </c:pt>
                <c:pt idx="13">
                  <c:v>-1.2588484011482151</c:v>
                </c:pt>
                <c:pt idx="14">
                  <c:v>-1.2403321553103694</c:v>
                </c:pt>
                <c:pt idx="15">
                  <c:v>-1.2218487496163564</c:v>
                </c:pt>
                <c:pt idx="16">
                  <c:v>-1.2006594505464183</c:v>
                </c:pt>
                <c:pt idx="17">
                  <c:v>-1.1904402853647322</c:v>
                </c:pt>
                <c:pt idx="18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8-4405-AF3A-4771D6246802}"/>
            </c:ext>
          </c:extLst>
        </c:ser>
        <c:ser>
          <c:idx val="1"/>
          <c:order val="1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4986132983377075"/>
                  <c:y val="-7.424941673957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напры'!$AR$3:$AR$5</c:f>
              <c:numCache>
                <c:formatCode>General</c:formatCode>
                <c:ptCount val="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</c:numCache>
            </c:numRef>
          </c:xVal>
          <c:yVal>
            <c:numRef>
              <c:f>'Анодный ток от анодного напры'!$AS$3:$AS$5</c:f>
              <c:numCache>
                <c:formatCode>General</c:formatCode>
                <c:ptCount val="3"/>
                <c:pt idx="0">
                  <c:v>-4.0809219076239263</c:v>
                </c:pt>
                <c:pt idx="1">
                  <c:v>-3.7212463990471711</c:v>
                </c:pt>
                <c:pt idx="2">
                  <c:v>-3.5086383061657274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C-4857-8E5E-9F5FA557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2448"/>
        <c:axId val="233975376"/>
      </c:scatterChart>
      <c:valAx>
        <c:axId val="2339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5376"/>
        <c:crosses val="autoZero"/>
        <c:crossBetween val="midCat"/>
      </c:valAx>
      <c:valAx>
        <c:axId val="233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график'!$B$2:$B$31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'1 график'!$D$2:$D$31</c:f>
              <c:numCache>
                <c:formatCode>0.00E+00</c:formatCode>
                <c:ptCount val="30"/>
                <c:pt idx="0">
                  <c:v>126.71134956942946</c:v>
                </c:pt>
                <c:pt idx="1">
                  <c:v>131.66248990850369</c:v>
                </c:pt>
                <c:pt idx="2">
                  <c:v>144.53545479009688</c:v>
                </c:pt>
                <c:pt idx="3">
                  <c:v>167.47573836114097</c:v>
                </c:pt>
                <c:pt idx="4">
                  <c:v>216.49202771797627</c:v>
                </c:pt>
                <c:pt idx="5">
                  <c:v>297.69072927879438</c:v>
                </c:pt>
                <c:pt idx="6">
                  <c:v>371.43914347224364</c:v>
                </c:pt>
                <c:pt idx="7">
                  <c:v>435.33243070505915</c:v>
                </c:pt>
                <c:pt idx="8">
                  <c:v>490.16172557110372</c:v>
                </c:pt>
                <c:pt idx="9">
                  <c:v>541.94698600645847</c:v>
                </c:pt>
                <c:pt idx="10">
                  <c:v>588.51771210490256</c:v>
                </c:pt>
                <c:pt idx="11">
                  <c:v>629.52715733763898</c:v>
                </c:pt>
                <c:pt idx="12">
                  <c:v>672.86021466423767</c:v>
                </c:pt>
                <c:pt idx="13">
                  <c:v>722.26280178379216</c:v>
                </c:pt>
                <c:pt idx="14">
                  <c:v>772.56010046645133</c:v>
                </c:pt>
                <c:pt idx="15">
                  <c:v>833.07403794402569</c:v>
                </c:pt>
                <c:pt idx="16">
                  <c:v>886.4686886595324</c:v>
                </c:pt>
                <c:pt idx="17">
                  <c:v>955.93566858031295</c:v>
                </c:pt>
                <c:pt idx="18">
                  <c:v>1014.6158503767492</c:v>
                </c:pt>
                <c:pt idx="19">
                  <c:v>1064.1272537674918</c:v>
                </c:pt>
                <c:pt idx="20">
                  <c:v>1115.2104477420678</c:v>
                </c:pt>
                <c:pt idx="21">
                  <c:v>1167.6510972208628</c:v>
                </c:pt>
                <c:pt idx="22">
                  <c:v>1209.7912376561987</c:v>
                </c:pt>
                <c:pt idx="23">
                  <c:v>1253.920966765339</c:v>
                </c:pt>
                <c:pt idx="24">
                  <c:v>1294.520317545748</c:v>
                </c:pt>
                <c:pt idx="25">
                  <c:v>1339.61378032624</c:v>
                </c:pt>
                <c:pt idx="26">
                  <c:v>1383.8119941793243</c:v>
                </c:pt>
                <c:pt idx="27">
                  <c:v>1424.8531927571892</c:v>
                </c:pt>
                <c:pt idx="28">
                  <c:v>1474.4458956608885</c:v>
                </c:pt>
                <c:pt idx="29">
                  <c:v>1525.1334320057408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7-4EC4-B654-7833F168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44672"/>
        <c:axId val="1024438848"/>
      </c:scatterChart>
      <c:valAx>
        <c:axId val="10244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38848"/>
        <c:crosses val="autoZero"/>
        <c:crossBetween val="midCat"/>
      </c:valAx>
      <c:valAx>
        <c:axId val="10244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напры'!$AT$3:$AT$21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напры'!$AU$3:$AU$21</c:f>
              <c:numCache>
                <c:formatCode>General</c:formatCode>
                <c:ptCount val="19"/>
                <c:pt idx="0">
                  <c:v>8.2999999999999998E-5</c:v>
                </c:pt>
                <c:pt idx="1">
                  <c:v>1.8999999999999998E-4</c:v>
                </c:pt>
                <c:pt idx="2">
                  <c:v>3.1E-4</c:v>
                </c:pt>
                <c:pt idx="3">
                  <c:v>5.3799999999999996E-4</c:v>
                </c:pt>
                <c:pt idx="4">
                  <c:v>7.5000000000000002E-4</c:v>
                </c:pt>
                <c:pt idx="5">
                  <c:v>2.31E-3</c:v>
                </c:pt>
                <c:pt idx="6">
                  <c:v>7.1699999999999993E-3</c:v>
                </c:pt>
                <c:pt idx="7">
                  <c:v>1.4079999999999999E-2</c:v>
                </c:pt>
                <c:pt idx="8">
                  <c:v>2.23E-2</c:v>
                </c:pt>
                <c:pt idx="9">
                  <c:v>3.0949999999999998E-2</c:v>
                </c:pt>
                <c:pt idx="10">
                  <c:v>4.1799999999999997E-2</c:v>
                </c:pt>
                <c:pt idx="11">
                  <c:v>4.9299999999999997E-2</c:v>
                </c:pt>
                <c:pt idx="12">
                  <c:v>5.2499999999999998E-2</c:v>
                </c:pt>
                <c:pt idx="13">
                  <c:v>5.5099999999999996E-2</c:v>
                </c:pt>
                <c:pt idx="14">
                  <c:v>5.7499999999999996E-2</c:v>
                </c:pt>
                <c:pt idx="15">
                  <c:v>0.06</c:v>
                </c:pt>
                <c:pt idx="16">
                  <c:v>6.3E-2</c:v>
                </c:pt>
                <c:pt idx="17">
                  <c:v>6.4500000000000002E-2</c:v>
                </c:pt>
                <c:pt idx="18">
                  <c:v>6.6599999999999993E-2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744-83B1-890AC0C0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68"/>
        <c:axId val="45466384"/>
      </c:scatterChart>
      <c:valAx>
        <c:axId val="454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384"/>
        <c:crosses val="autoZero"/>
        <c:crossBetween val="midCat"/>
      </c:valAx>
      <c:valAx>
        <c:axId val="45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напры'!$AZ$3:$AZ$19</c:f>
              <c:numCache>
                <c:formatCode>General</c:formatCode>
                <c:ptCount val="1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</c:numCache>
            </c:numRef>
          </c:xVal>
          <c:yVal>
            <c:numRef>
              <c:f>'Анодный ток от анодного напры'!$BA$3:$BA$19</c:f>
              <c:numCache>
                <c:formatCode>General</c:formatCode>
                <c:ptCount val="17"/>
                <c:pt idx="0">
                  <c:v>-4.0861861476162833</c:v>
                </c:pt>
                <c:pt idx="1">
                  <c:v>-3.7825160557860937</c:v>
                </c:pt>
                <c:pt idx="2">
                  <c:v>-3.4436974992327127</c:v>
                </c:pt>
                <c:pt idx="3">
                  <c:v>-3.2700257143004445</c:v>
                </c:pt>
                <c:pt idx="4">
                  <c:v>-3.2006594505464183</c:v>
                </c:pt>
                <c:pt idx="5">
                  <c:v>-2.6736641390712488</c:v>
                </c:pt>
                <c:pt idx="6">
                  <c:v>-2.1146387799684883</c:v>
                </c:pt>
                <c:pt idx="7">
                  <c:v>-1.8517059025652542</c:v>
                </c:pt>
                <c:pt idx="8">
                  <c:v>-1.6478174818886375</c:v>
                </c:pt>
                <c:pt idx="9">
                  <c:v>-1.494850021680094</c:v>
                </c:pt>
                <c:pt idx="10">
                  <c:v>-1.3675427078152758</c:v>
                </c:pt>
                <c:pt idx="11">
                  <c:v>-1.2620126736665693</c:v>
                </c:pt>
                <c:pt idx="12">
                  <c:v>-1.174573882232177</c:v>
                </c:pt>
                <c:pt idx="13">
                  <c:v>-1.0783135245163979</c:v>
                </c:pt>
                <c:pt idx="14">
                  <c:v>-1.0109953843014632</c:v>
                </c:pt>
                <c:pt idx="15">
                  <c:v>-0.95311480916228986</c:v>
                </c:pt>
                <c:pt idx="16">
                  <c:v>-0.8900841369762067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E-4E4D-96C6-24789D023E0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333333333333333"/>
                  <c:y val="-0.399239574219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напры'!$AZ$3:$AZ$4</c:f>
              <c:numCache>
                <c:formatCode>General</c:formatCode>
                <c:ptCount val="2"/>
                <c:pt idx="0">
                  <c:v>0</c:v>
                </c:pt>
                <c:pt idx="1">
                  <c:v>0.3010299956639812</c:v>
                </c:pt>
              </c:numCache>
            </c:numRef>
          </c:xVal>
          <c:yVal>
            <c:numRef>
              <c:f>'Анодный ток от анодного напры'!$BA$3:$BA$4</c:f>
              <c:numCache>
                <c:formatCode>General</c:formatCode>
                <c:ptCount val="2"/>
                <c:pt idx="0">
                  <c:v>-4.0861861476162833</c:v>
                </c:pt>
                <c:pt idx="1">
                  <c:v>-3.7825160557860937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8-40CD-B77E-9FD29966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4160"/>
        <c:axId val="158271248"/>
      </c:scatterChart>
      <c:valAx>
        <c:axId val="158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248"/>
        <c:crosses val="autoZero"/>
        <c:crossBetween val="midCat"/>
      </c:valAx>
      <c:valAx>
        <c:axId val="1582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напры'!$BB$3:$BB$19</c:f>
              <c:numCache>
                <c:formatCode>General</c:formatCode>
                <c:ptCount val="17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</c:numCache>
            </c:numRef>
          </c:xVal>
          <c:yVal>
            <c:numRef>
              <c:f>'Анодный ток от анодного напры'!$BC$3:$BC$19</c:f>
              <c:numCache>
                <c:formatCode>General</c:formatCode>
                <c:ptCount val="17"/>
                <c:pt idx="0">
                  <c:v>8.2000000000000001E-5</c:v>
                </c:pt>
                <c:pt idx="1">
                  <c:v>1.65E-4</c:v>
                </c:pt>
                <c:pt idx="2">
                  <c:v>3.5999999999999997E-4</c:v>
                </c:pt>
                <c:pt idx="3">
                  <c:v>5.3699999999999993E-4</c:v>
                </c:pt>
                <c:pt idx="4">
                  <c:v>6.2999999999999992E-4</c:v>
                </c:pt>
                <c:pt idx="5">
                  <c:v>2.1199999999999999E-3</c:v>
                </c:pt>
                <c:pt idx="6">
                  <c:v>7.6799999999999993E-3</c:v>
                </c:pt>
                <c:pt idx="7">
                  <c:v>1.4069999999999999E-2</c:v>
                </c:pt>
                <c:pt idx="8">
                  <c:v>2.2499999999999999E-2</c:v>
                </c:pt>
                <c:pt idx="9">
                  <c:v>3.2000000000000001E-2</c:v>
                </c:pt>
                <c:pt idx="10">
                  <c:v>4.2900000000000001E-2</c:v>
                </c:pt>
                <c:pt idx="11">
                  <c:v>5.4699999999999999E-2</c:v>
                </c:pt>
                <c:pt idx="12">
                  <c:v>6.6900000000000001E-2</c:v>
                </c:pt>
                <c:pt idx="13">
                  <c:v>8.3499999999999991E-2</c:v>
                </c:pt>
                <c:pt idx="14">
                  <c:v>9.7499999999999989E-2</c:v>
                </c:pt>
                <c:pt idx="15">
                  <c:v>0.1114</c:v>
                </c:pt>
                <c:pt idx="16">
                  <c:v>0.1288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FA2-A85F-7806FB84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77872"/>
        <c:axId val="233964144"/>
      </c:scatterChart>
      <c:valAx>
        <c:axId val="233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4144"/>
        <c:crosses val="autoZero"/>
        <c:crossBetween val="midCat"/>
      </c:valAx>
      <c:valAx>
        <c:axId val="233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напры'!$AT$3:$AT$21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напры'!$AU$3:$AU$21</c:f>
              <c:numCache>
                <c:formatCode>General</c:formatCode>
                <c:ptCount val="19"/>
                <c:pt idx="0">
                  <c:v>8.2999999999999998E-5</c:v>
                </c:pt>
                <c:pt idx="1">
                  <c:v>1.8999999999999998E-4</c:v>
                </c:pt>
                <c:pt idx="2">
                  <c:v>3.1E-4</c:v>
                </c:pt>
                <c:pt idx="3">
                  <c:v>5.3799999999999996E-4</c:v>
                </c:pt>
                <c:pt idx="4">
                  <c:v>7.5000000000000002E-4</c:v>
                </c:pt>
                <c:pt idx="5">
                  <c:v>2.31E-3</c:v>
                </c:pt>
                <c:pt idx="6">
                  <c:v>7.1699999999999993E-3</c:v>
                </c:pt>
                <c:pt idx="7">
                  <c:v>1.4079999999999999E-2</c:v>
                </c:pt>
                <c:pt idx="8">
                  <c:v>2.23E-2</c:v>
                </c:pt>
                <c:pt idx="9">
                  <c:v>3.0949999999999998E-2</c:v>
                </c:pt>
                <c:pt idx="10">
                  <c:v>4.1799999999999997E-2</c:v>
                </c:pt>
                <c:pt idx="11">
                  <c:v>4.9299999999999997E-2</c:v>
                </c:pt>
                <c:pt idx="12">
                  <c:v>5.2499999999999998E-2</c:v>
                </c:pt>
                <c:pt idx="13">
                  <c:v>5.5099999999999996E-2</c:v>
                </c:pt>
                <c:pt idx="14">
                  <c:v>5.7499999999999996E-2</c:v>
                </c:pt>
                <c:pt idx="15">
                  <c:v>0.06</c:v>
                </c:pt>
                <c:pt idx="16">
                  <c:v>6.3E-2</c:v>
                </c:pt>
                <c:pt idx="17">
                  <c:v>6.4500000000000002E-2</c:v>
                </c:pt>
                <c:pt idx="18">
                  <c:v>6.6599999999999993E-2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F56-BFAE-3CA39A27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5968"/>
        <c:axId val="45466384"/>
      </c:scatterChart>
      <c:valAx>
        <c:axId val="45465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66384"/>
        <c:crosses val="autoZero"/>
        <c:crossBetween val="midCat"/>
      </c:valAx>
      <c:valAx>
        <c:axId val="454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Лист1!$T$3:$T$5</c:f>
              <c:numCache>
                <c:formatCode>General</c:formatCode>
                <c:ptCount val="3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</c:numCache>
            </c:numRef>
          </c:xVal>
          <c:yVal>
            <c:numRef>
              <c:f>Лист1!$U$3:$U$5</c:f>
              <c:numCache>
                <c:formatCode>General</c:formatCode>
                <c:ptCount val="3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6-4BAA-9004-16CC9A28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5664"/>
        <c:axId val="90846912"/>
      </c:scatterChart>
      <c:valAx>
        <c:axId val="90845664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912"/>
        <c:crosses val="autoZero"/>
        <c:crossBetween val="midCat"/>
      </c:valAx>
      <c:valAx>
        <c:axId val="90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036504811898512"/>
                  <c:y val="1.8186789151356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Лист1!$AB$3:$AB$4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Лист1!$AC$3:$AC$4</c:f>
              <c:numCache>
                <c:formatCode>General</c:formatCode>
                <c:ptCount val="2"/>
                <c:pt idx="0">
                  <c:v>5.3521825181113627</c:v>
                </c:pt>
                <c:pt idx="1">
                  <c:v>5.6589648426644352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C-4B4E-9247-DD3DD390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8704"/>
        <c:axId val="126430800"/>
      </c:scatterChart>
      <c:valAx>
        <c:axId val="126438704"/>
        <c:scaling>
          <c:orientation val="minMax"/>
          <c:max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800"/>
        <c:crosses val="autoZero"/>
        <c:crossBetween val="midCat"/>
      </c:valAx>
      <c:valAx>
        <c:axId val="126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Лист1!$AJ$3:$AJ$4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Лист1!$AK$3:$AK$4</c:f>
              <c:numCache>
                <c:formatCode>General</c:formatCode>
                <c:ptCount val="2"/>
                <c:pt idx="0">
                  <c:v>5.4216039268698308</c:v>
                </c:pt>
                <c:pt idx="1">
                  <c:v>5.6294095991027184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3-45D4-8E85-C15E07E2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97136"/>
        <c:axId val="303791728"/>
      </c:scatterChart>
      <c:valAx>
        <c:axId val="3037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1728"/>
        <c:crosses val="autoZero"/>
        <c:crossBetween val="midCat"/>
      </c:valAx>
      <c:valAx>
        <c:axId val="3037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Лист1!$AR$3:$AR$4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Лист1!$AS$3:$AS$4</c:f>
              <c:numCache>
                <c:formatCode>General</c:formatCode>
                <c:ptCount val="2"/>
                <c:pt idx="0">
                  <c:v>5.3961993470957363</c:v>
                </c:pt>
                <c:pt idx="1">
                  <c:v>5.7558748556724915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2-4347-AD29-3AA34DE1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50448"/>
        <c:axId val="318067920"/>
      </c:scatterChart>
      <c:valAx>
        <c:axId val="318050448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7920"/>
        <c:crosses val="autoZero"/>
        <c:crossBetween val="midCat"/>
      </c:valAx>
      <c:valAx>
        <c:axId val="318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68110236220474E-2"/>
          <c:y val="0.19486111111111112"/>
          <c:w val="0.8932637795275590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Лист1!$AZ$3:$AZ$4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Лист1!$BA$3:$BA$4</c:f>
              <c:numCache>
                <c:formatCode>General</c:formatCode>
                <c:ptCount val="2"/>
                <c:pt idx="0">
                  <c:v>5.3909351071033793</c:v>
                </c:pt>
                <c:pt idx="1">
                  <c:v>5.6946051989335684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6-441F-BE88-5A02641D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71456"/>
        <c:axId val="2062075200"/>
      </c:scatterChart>
      <c:valAx>
        <c:axId val="2062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5200"/>
        <c:crosses val="autoZero"/>
        <c:crossBetween val="midCat"/>
      </c:valAx>
      <c:valAx>
        <c:axId val="2062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Лист1!$L$3:$L$4</c:f>
              <c:numCache>
                <c:formatCode>General</c:formatCode>
                <c:ptCount val="2"/>
                <c:pt idx="0">
                  <c:v>-2.4768260348353568</c:v>
                </c:pt>
                <c:pt idx="1">
                  <c:v>-2.1757960391713755</c:v>
                </c:pt>
              </c:numCache>
            </c:numRef>
          </c:xVal>
          <c:yVal>
            <c:numRef>
              <c:f>Лист1!$M$3:$M$4</c:f>
              <c:numCache>
                <c:formatCode>General</c:formatCode>
                <c:ptCount val="2"/>
                <c:pt idx="0">
                  <c:v>5.356790460351716</c:v>
                </c:pt>
                <c:pt idx="1">
                  <c:v>5.6074550232146683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8-4A94-861C-23092A22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5584"/>
        <c:axId val="126836000"/>
      </c:scatterChart>
      <c:valAx>
        <c:axId val="1268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6000"/>
        <c:crosses val="autoZero"/>
        <c:crossBetween val="midCat"/>
      </c:valAx>
      <c:valAx>
        <c:axId val="1268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сопротивления катода от мощности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график'!$C$2:$C$31</c:f>
              <c:numCache>
                <c:formatCode>General</c:formatCode>
                <c:ptCount val="30"/>
                <c:pt idx="0">
                  <c:v>3.5499999999999998E-3</c:v>
                </c:pt>
                <c:pt idx="1">
                  <c:v>1.4499999999999999E-2</c:v>
                </c:pt>
                <c:pt idx="2">
                  <c:v>3.4379999999999994E-2</c:v>
                </c:pt>
                <c:pt idx="3">
                  <c:v>6.6680000000000003E-2</c:v>
                </c:pt>
                <c:pt idx="4">
                  <c:v>0.12275</c:v>
                </c:pt>
                <c:pt idx="5">
                  <c:v>0.22103999999999999</c:v>
                </c:pt>
                <c:pt idx="6">
                  <c:v>0.35559999999999997</c:v>
                </c:pt>
                <c:pt idx="7">
                  <c:v>0.52640000000000009</c:v>
                </c:pt>
                <c:pt idx="8">
                  <c:v>0.73349999999999993</c:v>
                </c:pt>
                <c:pt idx="9">
                  <c:v>0.98399999999999999</c:v>
                </c:pt>
                <c:pt idx="10">
                  <c:v>1.276</c:v>
                </c:pt>
                <c:pt idx="11">
                  <c:v>1.6080000000000001</c:v>
                </c:pt>
                <c:pt idx="12">
                  <c:v>1.9981</c:v>
                </c:pt>
                <c:pt idx="13">
                  <c:v>2.464</c:v>
                </c:pt>
                <c:pt idx="14">
                  <c:v>3</c:v>
                </c:pt>
                <c:pt idx="15">
                  <c:v>3.6479999999999997</c:v>
                </c:pt>
                <c:pt idx="16">
                  <c:v>4.3520000000000003</c:v>
                </c:pt>
                <c:pt idx="17">
                  <c:v>5.22</c:v>
                </c:pt>
                <c:pt idx="18">
                  <c:v>6.1369999999999996</c:v>
                </c:pt>
                <c:pt idx="19">
                  <c:v>7.1</c:v>
                </c:pt>
                <c:pt idx="20">
                  <c:v>8.1690000000000005</c:v>
                </c:pt>
                <c:pt idx="21">
                  <c:v>9.3500000000000014</c:v>
                </c:pt>
                <c:pt idx="22">
                  <c:v>10.556999999999999</c:v>
                </c:pt>
                <c:pt idx="23">
                  <c:v>11.88</c:v>
                </c:pt>
                <c:pt idx="24">
                  <c:v>13.274999999999999</c:v>
                </c:pt>
                <c:pt idx="25">
                  <c:v>14.82</c:v>
                </c:pt>
                <c:pt idx="26">
                  <c:v>16.47</c:v>
                </c:pt>
                <c:pt idx="27">
                  <c:v>18.2</c:v>
                </c:pt>
                <c:pt idx="28">
                  <c:v>20.155000000000001</c:v>
                </c:pt>
                <c:pt idx="29">
                  <c:v>22.259999999999998</c:v>
                </c:pt>
              </c:numCache>
            </c:numRef>
          </c:xVal>
          <c:yVal>
            <c:numRef>
              <c:f>'2 график'!$D$2:$D$31</c:f>
              <c:numCache>
                <c:formatCode>General</c:formatCode>
                <c:ptCount val="30"/>
                <c:pt idx="0">
                  <c:v>0.35499999999999993</c:v>
                </c:pt>
                <c:pt idx="1">
                  <c:v>0.36249999999999993</c:v>
                </c:pt>
                <c:pt idx="2">
                  <c:v>0.38200000000000001</c:v>
                </c:pt>
                <c:pt idx="3">
                  <c:v>0.41674999999999995</c:v>
                </c:pt>
                <c:pt idx="4">
                  <c:v>0.49099999999999999</c:v>
                </c:pt>
                <c:pt idx="5">
                  <c:v>0.61399999999999999</c:v>
                </c:pt>
                <c:pt idx="6">
                  <c:v>0.72571428571428576</c:v>
                </c:pt>
                <c:pt idx="7">
                  <c:v>0.82250000000000001</c:v>
                </c:pt>
                <c:pt idx="8">
                  <c:v>0.90555555555555545</c:v>
                </c:pt>
                <c:pt idx="9">
                  <c:v>0.98399999999999999</c:v>
                </c:pt>
                <c:pt idx="10">
                  <c:v>1.0545454545454545</c:v>
                </c:pt>
                <c:pt idx="11">
                  <c:v>1.1166666666666667</c:v>
                </c:pt>
                <c:pt idx="12">
                  <c:v>1.1823076923076923</c:v>
                </c:pt>
                <c:pt idx="13">
                  <c:v>1.2571428571428573</c:v>
                </c:pt>
                <c:pt idx="14">
                  <c:v>1.3333333333333333</c:v>
                </c:pt>
                <c:pt idx="15">
                  <c:v>1.4249999999999998</c:v>
                </c:pt>
                <c:pt idx="16">
                  <c:v>1.5058823529411764</c:v>
                </c:pt>
                <c:pt idx="17">
                  <c:v>1.6111111111111109</c:v>
                </c:pt>
                <c:pt idx="18">
                  <c:v>1.7000000000000002</c:v>
                </c:pt>
                <c:pt idx="19">
                  <c:v>1.7749999999999999</c:v>
                </c:pt>
                <c:pt idx="20">
                  <c:v>1.8523809523809525</c:v>
                </c:pt>
                <c:pt idx="21">
                  <c:v>1.9318181818181817</c:v>
                </c:pt>
                <c:pt idx="22">
                  <c:v>1.9956521739130435</c:v>
                </c:pt>
                <c:pt idx="23">
                  <c:v>2.0625</c:v>
                </c:pt>
                <c:pt idx="24">
                  <c:v>2.1239999999999997</c:v>
                </c:pt>
                <c:pt idx="25">
                  <c:v>2.1923076923076925</c:v>
                </c:pt>
                <c:pt idx="26">
                  <c:v>2.2592592592592591</c:v>
                </c:pt>
                <c:pt idx="27">
                  <c:v>2.3214285714285716</c:v>
                </c:pt>
                <c:pt idx="28">
                  <c:v>2.396551724137931</c:v>
                </c:pt>
                <c:pt idx="29">
                  <c:v>2.4733333333333332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735-8AFC-D5ECD300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84399"/>
        <c:axId val="1531984815"/>
      </c:scatterChart>
      <c:valAx>
        <c:axId val="15319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815"/>
        <c:crosses val="autoZero"/>
        <c:crossBetween val="midCat"/>
      </c:valAx>
      <c:valAx>
        <c:axId val="1531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lg(I) </a:t>
            </a:r>
            <a:r>
              <a:rPr lang="ru-RU" baseline="0"/>
              <a:t>от </a:t>
            </a:r>
            <a:r>
              <a:rPr lang="en-US" baseline="0"/>
              <a:t>lg(U)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Лист1!$D$3:$D$21</c:f>
              <c:numCache>
                <c:formatCode>General</c:formatCode>
                <c:ptCount val="19"/>
                <c:pt idx="0">
                  <c:v>-2.4771212547196626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5.3692158574101425</c:v>
                </c:pt>
                <c:pt idx="1">
                  <c:v>5.6674529528899535</c:v>
                </c:pt>
                <c:pt idx="2">
                  <c:v>5.7715874808812551</c:v>
                </c:pt>
                <c:pt idx="3">
                  <c:v>5.8500332576897689</c:v>
                </c:pt>
                <c:pt idx="4">
                  <c:v>5.8698182079793284</c:v>
                </c:pt>
                <c:pt idx="5">
                  <c:v>5.8954225460394074</c:v>
                </c:pt>
                <c:pt idx="6">
                  <c:v>5.9132839017604182</c:v>
                </c:pt>
                <c:pt idx="7">
                  <c:v>5.9273703630390235</c:v>
                </c:pt>
                <c:pt idx="8">
                  <c:v>5.9365137424788932</c:v>
                </c:pt>
                <c:pt idx="9">
                  <c:v>5.9469432706978251</c:v>
                </c:pt>
                <c:pt idx="10">
                  <c:v>5.9542425094393252</c:v>
                </c:pt>
                <c:pt idx="11">
                  <c:v>5.9628426812012423</c:v>
                </c:pt>
                <c:pt idx="12">
                  <c:v>5.9698816437464997</c:v>
                </c:pt>
                <c:pt idx="13">
                  <c:v>5.9781805169374138</c:v>
                </c:pt>
                <c:pt idx="14">
                  <c:v>5.984977126415493</c:v>
                </c:pt>
                <c:pt idx="15">
                  <c:v>5.9929950984313418</c:v>
                </c:pt>
                <c:pt idx="16">
                  <c:v>5.9995654882259819</c:v>
                </c:pt>
                <c:pt idx="17">
                  <c:v>6.0060379549973169</c:v>
                </c:pt>
                <c:pt idx="18">
                  <c:v>6.0124153747624334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8-4C5F-B505-C650DD0B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63136"/>
        <c:axId val="2047964800"/>
      </c:scatterChart>
      <c:valAx>
        <c:axId val="20479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4800"/>
        <c:crosses val="autoZero"/>
        <c:crossBetween val="midCat"/>
      </c:valAx>
      <c:valAx>
        <c:axId val="20479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414282589676292"/>
                  <c:y val="4.362350539515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Лист1!$D$3:$D$4</c:f>
              <c:numCache>
                <c:formatCode>General</c:formatCode>
                <c:ptCount val="2"/>
                <c:pt idx="0">
                  <c:v>-2.4771212547196626</c:v>
                </c:pt>
                <c:pt idx="1">
                  <c:v>-2.1757960391713755</c:v>
                </c:pt>
              </c:numCache>
            </c:numRef>
          </c:xVal>
          <c:yVal>
            <c:numRef>
              <c:f>Лист1!$E$3:$E$4</c:f>
              <c:numCache>
                <c:formatCode>General</c:formatCode>
                <c:ptCount val="2"/>
                <c:pt idx="0">
                  <c:v>5.3692158574101425</c:v>
                </c:pt>
                <c:pt idx="1">
                  <c:v>5.6674529528899535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943-BD0F-A47170FD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384"/>
      </c:scatterChart>
      <c:valAx>
        <c:axId val="20626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384"/>
        <c:crosses val="autoZero"/>
        <c:crossBetween val="midCat"/>
      </c:valAx>
      <c:valAx>
        <c:axId val="20626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Лист1!$L$3:$L$21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Лист1!$M$3:$M$21</c:f>
              <c:numCache>
                <c:formatCode>General</c:formatCode>
                <c:ptCount val="19"/>
                <c:pt idx="0">
                  <c:v>5.356790460351716</c:v>
                </c:pt>
                <c:pt idx="1">
                  <c:v>5.6074550232146683</c:v>
                </c:pt>
                <c:pt idx="2">
                  <c:v>5.9599948383284165</c:v>
                </c:pt>
                <c:pt idx="3">
                  <c:v>6.1436392352745433</c:v>
                </c:pt>
                <c:pt idx="4">
                  <c:v>6.2866809693549301</c:v>
                </c:pt>
                <c:pt idx="5">
                  <c:v>6.4095950193968161</c:v>
                </c:pt>
                <c:pt idx="6">
                  <c:v>6.4332896851950254</c:v>
                </c:pt>
                <c:pt idx="7">
                  <c:v>6.445136968713304</c:v>
                </c:pt>
                <c:pt idx="8">
                  <c:v>6.4539295920577286</c:v>
                </c:pt>
                <c:pt idx="9">
                  <c:v>6.4611982886224935</c:v>
                </c:pt>
                <c:pt idx="10">
                  <c:v>6.4674601095072637</c:v>
                </c:pt>
                <c:pt idx="11">
                  <c:v>6.4727564493172123</c:v>
                </c:pt>
                <c:pt idx="12">
                  <c:v>6.4784221877400805</c:v>
                </c:pt>
                <c:pt idx="13">
                  <c:v>6.4831592097169795</c:v>
                </c:pt>
                <c:pt idx="14">
                  <c:v>6.4874212113594742</c:v>
                </c:pt>
                <c:pt idx="15">
                  <c:v>6.4920616045125987</c:v>
                </c:pt>
                <c:pt idx="16">
                  <c:v>6.4962375451667356</c:v>
                </c:pt>
                <c:pt idx="17">
                  <c:v>6.4991369945373831</c:v>
                </c:pt>
                <c:pt idx="18">
                  <c:v>6.5032457714651128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3-4B11-B601-FC9C3940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56480"/>
        <c:axId val="2047959392"/>
      </c:scatterChart>
      <c:valAx>
        <c:axId val="2047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9392"/>
        <c:crosses val="autoZero"/>
        <c:crossBetween val="midCat"/>
      </c:valAx>
      <c:valAx>
        <c:axId val="20479593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Лист1!$T$3:$T$21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Лист1!$U$3:$U$21</c:f>
              <c:numCache>
                <c:formatCode>General</c:formatCode>
                <c:ptCount val="19"/>
                <c:pt idx="0">
                  <c:v>5.3344537511509307</c:v>
                </c:pt>
                <c:pt idx="1">
                  <c:v>5.7050079593333356</c:v>
                </c:pt>
                <c:pt idx="2">
                  <c:v>5.9684829485539348</c:v>
                </c:pt>
                <c:pt idx="3">
                  <c:v>6.2030328870147109</c:v>
                </c:pt>
                <c:pt idx="4">
                  <c:v>6.3607826898732798</c:v>
                </c:pt>
                <c:pt idx="5">
                  <c:v>6.7664872062396944</c:v>
                </c:pt>
                <c:pt idx="6">
                  <c:v>6.9132839017604182</c:v>
                </c:pt>
                <c:pt idx="7">
                  <c:v>6.931356150467928</c:v>
                </c:pt>
                <c:pt idx="8">
                  <c:v>6.942504106168081</c:v>
                </c:pt>
                <c:pt idx="9">
                  <c:v>6.9548211830517932</c:v>
                </c:pt>
                <c:pt idx="10">
                  <c:v>6.9612786790850434</c:v>
                </c:pt>
                <c:pt idx="11">
                  <c:v>6.9676415640830109</c:v>
                </c:pt>
                <c:pt idx="12">
                  <c:v>6.9739125704197047</c:v>
                </c:pt>
                <c:pt idx="13">
                  <c:v>6.9787281771384917</c:v>
                </c:pt>
                <c:pt idx="14">
                  <c:v>6.9878002857518728</c:v>
                </c:pt>
                <c:pt idx="15">
                  <c:v>6.9919345497189482</c:v>
                </c:pt>
                <c:pt idx="16">
                  <c:v>6.9958983236464372</c:v>
                </c:pt>
                <c:pt idx="17">
                  <c:v>7.0003472966853639</c:v>
                </c:pt>
                <c:pt idx="18">
                  <c:v>7.0039772418455373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6-4096-A0A3-B621F32C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0416"/>
        <c:axId val="318061680"/>
      </c:scatterChart>
      <c:valAx>
        <c:axId val="3180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1680"/>
        <c:crosses val="autoZero"/>
        <c:crossBetween val="midCat"/>
      </c:valAx>
      <c:valAx>
        <c:axId val="31806168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Лист1!$AB$3:$AB$21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Лист1!$AC$3:$AC$21</c:f>
              <c:numCache>
                <c:formatCode>General</c:formatCode>
                <c:ptCount val="19"/>
                <c:pt idx="0">
                  <c:v>5.3521825181113627</c:v>
                </c:pt>
                <c:pt idx="1">
                  <c:v>5.6589648426644352</c:v>
                </c:pt>
                <c:pt idx="2">
                  <c:v>6.1293675957229858</c:v>
                </c:pt>
                <c:pt idx="3">
                  <c:v>6.2260841159758238</c:v>
                </c:pt>
                <c:pt idx="4">
                  <c:v>6.4126285205443754</c:v>
                </c:pt>
                <c:pt idx="5">
                  <c:v>6.8312296938670629</c:v>
                </c:pt>
                <c:pt idx="6">
                  <c:v>7.3031960574204886</c:v>
                </c:pt>
                <c:pt idx="7">
                  <c:v>7.400365273349939</c:v>
                </c:pt>
                <c:pt idx="8">
                  <c:v>7.4161410311683289</c:v>
                </c:pt>
                <c:pt idx="9">
                  <c:v>7.4250448745513884</c:v>
                </c:pt>
                <c:pt idx="10">
                  <c:v>7.4323277922616038</c:v>
                </c:pt>
                <c:pt idx="11">
                  <c:v>7.4371160930480782</c:v>
                </c:pt>
                <c:pt idx="12">
                  <c:v>7.4418521757732918</c:v>
                </c:pt>
                <c:pt idx="13">
                  <c:v>7.4456042032735974</c:v>
                </c:pt>
                <c:pt idx="14">
                  <c:v>7.4493240930987268</c:v>
                </c:pt>
                <c:pt idx="15">
                  <c:v>7.4530123911214554</c:v>
                </c:pt>
                <c:pt idx="16">
                  <c:v>7.4602963267574758</c:v>
                </c:pt>
                <c:pt idx="17">
                  <c:v>7.4652340949880145</c:v>
                </c:pt>
                <c:pt idx="18">
                  <c:v>7.4683473304121577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B-4658-8758-D2313D9E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2880"/>
        <c:axId val="126416240"/>
      </c:scatterChart>
      <c:valAx>
        <c:axId val="1264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6240"/>
        <c:crosses val="autoZero"/>
        <c:crossBetween val="midCat"/>
      </c:valAx>
      <c:valAx>
        <c:axId val="12641624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Лист1!$AJ$3:$AJ$21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Лист1!$AK$3:$AK$21</c:f>
              <c:numCache>
                <c:formatCode>General</c:formatCode>
                <c:ptCount val="19"/>
                <c:pt idx="0">
                  <c:v>5.4216039268698308</c:v>
                </c:pt>
                <c:pt idx="1">
                  <c:v>5.6294095991027184</c:v>
                </c:pt>
                <c:pt idx="2">
                  <c:v>5.9929950984313418</c:v>
                </c:pt>
                <c:pt idx="3">
                  <c:v>6.1956229435869368</c:v>
                </c:pt>
                <c:pt idx="4">
                  <c:v>6.4151403521958725</c:v>
                </c:pt>
                <c:pt idx="5">
                  <c:v>6.8312296938670629</c:v>
                </c:pt>
                <c:pt idx="6">
                  <c:v>7.357934847000454</c:v>
                </c:pt>
                <c:pt idx="7">
                  <c:v>7.6029277128591888</c:v>
                </c:pt>
                <c:pt idx="8">
                  <c:v>7.7903555464143865</c:v>
                </c:pt>
                <c:pt idx="9">
                  <c:v>7.8248414717537003</c:v>
                </c:pt>
                <c:pt idx="10">
                  <c:v>7.839226574013435</c:v>
                </c:pt>
                <c:pt idx="11">
                  <c:v>7.8487431818956841</c:v>
                </c:pt>
                <c:pt idx="12">
                  <c:v>7.8582363354295133</c:v>
                </c:pt>
                <c:pt idx="13">
                  <c:v>7.8662873390841952</c:v>
                </c:pt>
                <c:pt idx="14">
                  <c:v>7.8785217955012063</c:v>
                </c:pt>
                <c:pt idx="15">
                  <c:v>7.8836614351536172</c:v>
                </c:pt>
                <c:pt idx="16">
                  <c:v>7.8887409606828927</c:v>
                </c:pt>
                <c:pt idx="17">
                  <c:v>7.8987251815894934</c:v>
                </c:pt>
                <c:pt idx="18">
                  <c:v>7.9052560487484511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56D-A3D3-21B11290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64512"/>
        <c:axId val="2002775744"/>
      </c:scatterChart>
      <c:valAx>
        <c:axId val="20027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75744"/>
        <c:crosses val="autoZero"/>
        <c:crossBetween val="midCat"/>
      </c:valAx>
      <c:valAx>
        <c:axId val="20027757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Лист1!$AR$3:$AR$21</c:f>
              <c:numCache>
                <c:formatCode>General</c:formatCode>
                <c:ptCount val="19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  <c:pt idx="17">
                  <c:v>-0.36288268252852018</c:v>
                </c:pt>
                <c:pt idx="18">
                  <c:v>-0.33069799915711889</c:v>
                </c:pt>
              </c:numCache>
            </c:numRef>
          </c:xVal>
          <c:yVal>
            <c:numRef>
              <c:f>Лист1!$AS$3:$AS$21</c:f>
              <c:numCache>
                <c:formatCode>General</c:formatCode>
                <c:ptCount val="19"/>
                <c:pt idx="0">
                  <c:v>5.3961993470957363</c:v>
                </c:pt>
                <c:pt idx="1">
                  <c:v>5.7558748556724915</c:v>
                </c:pt>
                <c:pt idx="2">
                  <c:v>5.9684829485539348</c:v>
                </c:pt>
                <c:pt idx="3">
                  <c:v>6.2079035303860515</c:v>
                </c:pt>
                <c:pt idx="4">
                  <c:v>6.3521825181113627</c:v>
                </c:pt>
                <c:pt idx="5">
                  <c:v>6.8407332346118066</c:v>
                </c:pt>
                <c:pt idx="6">
                  <c:v>7.3326404103874623</c:v>
                </c:pt>
                <c:pt idx="7">
                  <c:v>7.6257239095257559</c:v>
                </c:pt>
                <c:pt idx="8">
                  <c:v>7.8254261177678233</c:v>
                </c:pt>
                <c:pt idx="9">
                  <c:v>7.967781908075799</c:v>
                </c:pt>
                <c:pt idx="10">
                  <c:v>8.0982975364946981</c:v>
                </c:pt>
                <c:pt idx="11">
                  <c:v>8.1699681739968923</c:v>
                </c:pt>
                <c:pt idx="12">
                  <c:v>8.1972805581256196</c:v>
                </c:pt>
                <c:pt idx="13">
                  <c:v>8.2182728535714471</c:v>
                </c:pt>
                <c:pt idx="14">
                  <c:v>8.2367890994092932</c:v>
                </c:pt>
                <c:pt idx="15">
                  <c:v>8.2552725051033065</c:v>
                </c:pt>
                <c:pt idx="16">
                  <c:v>8.2764618041732447</c:v>
                </c:pt>
                <c:pt idx="17">
                  <c:v>8.286680969354931</c:v>
                </c:pt>
                <c:pt idx="18">
                  <c:v>8.300595483889964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907-8595-65F4183D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64128"/>
        <c:axId val="1365857472"/>
      </c:scatterChart>
      <c:valAx>
        <c:axId val="1365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7472"/>
        <c:crosses val="autoZero"/>
        <c:crossBetween val="midCat"/>
      </c:valAx>
      <c:valAx>
        <c:axId val="136585747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lg(I)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lg(U)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Лист1!$AZ$3:$AZ$19</c:f>
              <c:numCache>
                <c:formatCode>General</c:formatCode>
                <c:ptCount val="17"/>
                <c:pt idx="0">
                  <c:v>-2.4768260348353568</c:v>
                </c:pt>
                <c:pt idx="1">
                  <c:v>-2.1757960391713755</c:v>
                </c:pt>
                <c:pt idx="2">
                  <c:v>-1.9997047801156946</c:v>
                </c:pt>
                <c:pt idx="3">
                  <c:v>-1.8747660435073945</c:v>
                </c:pt>
                <c:pt idx="4">
                  <c:v>-1.777856030499338</c:v>
                </c:pt>
                <c:pt idx="5">
                  <c:v>-1.4768260348353568</c:v>
                </c:pt>
                <c:pt idx="6">
                  <c:v>-1.1757960391713758</c:v>
                </c:pt>
                <c:pt idx="7">
                  <c:v>-0.99970478011569452</c:v>
                </c:pt>
                <c:pt idx="8">
                  <c:v>-0.87476604350739451</c:v>
                </c:pt>
                <c:pt idx="9">
                  <c:v>-0.77785603049933816</c:v>
                </c:pt>
                <c:pt idx="10">
                  <c:v>-0.69867478445171327</c:v>
                </c:pt>
                <c:pt idx="11">
                  <c:v>-0.63172799482110009</c:v>
                </c:pt>
                <c:pt idx="12">
                  <c:v>-0.57373604784341337</c:v>
                </c:pt>
                <c:pt idx="13">
                  <c:v>-0.52258352539603203</c:v>
                </c:pt>
                <c:pt idx="14">
                  <c:v>-0.4768260348353569</c:v>
                </c:pt>
                <c:pt idx="15">
                  <c:v>-0.43543334967713188</c:v>
                </c:pt>
                <c:pt idx="16">
                  <c:v>-0.39764478878773213</c:v>
                </c:pt>
              </c:numCache>
            </c:numRef>
          </c:xVal>
          <c:yVal>
            <c:numRef>
              <c:f>Лист1!$BA$3:$BA$19</c:f>
              <c:numCache>
                <c:formatCode>General</c:formatCode>
                <c:ptCount val="17"/>
                <c:pt idx="0">
                  <c:v>5.3909351071033793</c:v>
                </c:pt>
                <c:pt idx="1">
                  <c:v>5.6946051989335684</c:v>
                </c:pt>
                <c:pt idx="2">
                  <c:v>6.0334237554869494</c:v>
                </c:pt>
                <c:pt idx="3">
                  <c:v>6.2070955404192176</c:v>
                </c:pt>
                <c:pt idx="4">
                  <c:v>6.2764618041732438</c:v>
                </c:pt>
                <c:pt idx="5">
                  <c:v>6.8034571156484143</c:v>
                </c:pt>
                <c:pt idx="6">
                  <c:v>7.3624824747511743</c:v>
                </c:pt>
                <c:pt idx="7">
                  <c:v>7.6254153521544081</c:v>
                </c:pt>
                <c:pt idx="8">
                  <c:v>7.8293037728310253</c:v>
                </c:pt>
                <c:pt idx="9">
                  <c:v>7.982271233039568</c:v>
                </c:pt>
                <c:pt idx="10">
                  <c:v>8.1095785469043875</c:v>
                </c:pt>
                <c:pt idx="11">
                  <c:v>8.2151085810530926</c:v>
                </c:pt>
                <c:pt idx="12">
                  <c:v>8.302547372487485</c:v>
                </c:pt>
                <c:pt idx="13">
                  <c:v>8.3988077302032647</c:v>
                </c:pt>
                <c:pt idx="14">
                  <c:v>8.4661258704181996</c:v>
                </c:pt>
                <c:pt idx="15">
                  <c:v>8.5240064455573723</c:v>
                </c:pt>
                <c:pt idx="16">
                  <c:v>8.5870371177434563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4030-994E-7AF4F39A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45504"/>
        <c:axId val="322467552"/>
      </c:scatterChart>
      <c:valAx>
        <c:axId val="322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67552"/>
        <c:crosses val="autoZero"/>
        <c:crossBetween val="midCat"/>
      </c:valAx>
      <c:valAx>
        <c:axId val="3224675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Лист1!$F$3:$F$21</c:f>
              <c:numCache>
                <c:formatCode>General</c:formatCode>
                <c:ptCount val="19"/>
                <c:pt idx="0">
                  <c:v>1.9245008972987529E-4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Лист1!$G$3:$G$21</c:f>
              <c:numCache>
                <c:formatCode>General</c:formatCode>
                <c:ptCount val="19"/>
                <c:pt idx="0">
                  <c:v>234000</c:v>
                </c:pt>
                <c:pt idx="1">
                  <c:v>465000</c:v>
                </c:pt>
                <c:pt idx="2">
                  <c:v>591000</c:v>
                </c:pt>
                <c:pt idx="3">
                  <c:v>708000</c:v>
                </c:pt>
                <c:pt idx="4">
                  <c:v>741000</c:v>
                </c:pt>
                <c:pt idx="5">
                  <c:v>785999.99999999988</c:v>
                </c:pt>
                <c:pt idx="6">
                  <c:v>818999.99999999988</c:v>
                </c:pt>
                <c:pt idx="7">
                  <c:v>845999.99999999988</c:v>
                </c:pt>
                <c:pt idx="8">
                  <c:v>864000</c:v>
                </c:pt>
                <c:pt idx="9">
                  <c:v>884999.99999999988</c:v>
                </c:pt>
                <c:pt idx="10">
                  <c:v>899999.99999999988</c:v>
                </c:pt>
                <c:pt idx="11">
                  <c:v>918000</c:v>
                </c:pt>
                <c:pt idx="12">
                  <c:v>932999.99999999988</c:v>
                </c:pt>
                <c:pt idx="13">
                  <c:v>951000</c:v>
                </c:pt>
                <c:pt idx="14">
                  <c:v>965999.99999999988</c:v>
                </c:pt>
                <c:pt idx="15">
                  <c:v>984000</c:v>
                </c:pt>
                <c:pt idx="16">
                  <c:v>998999.99999999988</c:v>
                </c:pt>
                <c:pt idx="17">
                  <c:v>1013999.9999999999</c:v>
                </c:pt>
                <c:pt idx="18">
                  <c:v>1029000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7-4FFE-856E-06C87F1F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35216"/>
        <c:axId val="2062634800"/>
      </c:scatterChart>
      <c:valAx>
        <c:axId val="20626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4800"/>
        <c:crosses val="autoZero"/>
        <c:crossBetween val="midCat"/>
      </c:valAx>
      <c:valAx>
        <c:axId val="20626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Лист1!$N$3:$N$21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Лист1!$O$3:$O$21</c:f>
              <c:numCache>
                <c:formatCode>General</c:formatCode>
                <c:ptCount val="19"/>
                <c:pt idx="0">
                  <c:v>227400</c:v>
                </c:pt>
                <c:pt idx="1">
                  <c:v>405000</c:v>
                </c:pt>
                <c:pt idx="2">
                  <c:v>911999.99999999988</c:v>
                </c:pt>
                <c:pt idx="3">
                  <c:v>1392000</c:v>
                </c:pt>
                <c:pt idx="4">
                  <c:v>1934999.9999999998</c:v>
                </c:pt>
                <c:pt idx="5">
                  <c:v>2568000</c:v>
                </c:pt>
                <c:pt idx="6">
                  <c:v>2712000</c:v>
                </c:pt>
                <c:pt idx="7">
                  <c:v>2786999.9999999995</c:v>
                </c:pt>
                <c:pt idx="8">
                  <c:v>2844000</c:v>
                </c:pt>
                <c:pt idx="9">
                  <c:v>2891999.9999999995</c:v>
                </c:pt>
                <c:pt idx="10">
                  <c:v>2933999.9999999995</c:v>
                </c:pt>
                <c:pt idx="11">
                  <c:v>2970000</c:v>
                </c:pt>
                <c:pt idx="12">
                  <c:v>3009000</c:v>
                </c:pt>
                <c:pt idx="13">
                  <c:v>3042000</c:v>
                </c:pt>
                <c:pt idx="14">
                  <c:v>3072000</c:v>
                </c:pt>
                <c:pt idx="15">
                  <c:v>3104999.9999999995</c:v>
                </c:pt>
                <c:pt idx="16">
                  <c:v>3134999.9999999995</c:v>
                </c:pt>
                <c:pt idx="17">
                  <c:v>3156000</c:v>
                </c:pt>
                <c:pt idx="18">
                  <c:v>3186000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3-4DC0-B2ED-9AECA4EF8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9136"/>
        <c:axId val="126440784"/>
      </c:scatterChart>
      <c:valAx>
        <c:axId val="126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0784"/>
        <c:crosses val="autoZero"/>
        <c:crossBetween val="midCat"/>
      </c:valAx>
      <c:valAx>
        <c:axId val="1264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зависимости </a:t>
            </a:r>
            <a:r>
              <a:rPr lang="en-US" baseline="0"/>
              <a:t>T(I)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графики'!$D$2:$D$31</c:f>
              <c:numCache>
                <c:formatCode>0.00E+00</c:formatCode>
                <c:ptCount val="30"/>
                <c:pt idx="0">
                  <c:v>429.00559657561888</c:v>
                </c:pt>
                <c:pt idx="1">
                  <c:v>434.57562945707735</c:v>
                </c:pt>
                <c:pt idx="2">
                  <c:v>449.05771494886972</c:v>
                </c:pt>
                <c:pt idx="3">
                  <c:v>474.86553396629427</c:v>
                </c:pt>
                <c:pt idx="4">
                  <c:v>530.00885949273402</c:v>
                </c:pt>
                <c:pt idx="5">
                  <c:v>621.3573987486543</c:v>
                </c:pt>
                <c:pt idx="6">
                  <c:v>704.32436471628466</c:v>
                </c:pt>
                <c:pt idx="7">
                  <c:v>776.20431285320228</c:v>
                </c:pt>
                <c:pt idx="8">
                  <c:v>837.88726957750248</c:v>
                </c:pt>
                <c:pt idx="9">
                  <c:v>896.14568756727658</c:v>
                </c:pt>
                <c:pt idx="10">
                  <c:v>948.53775442802601</c:v>
                </c:pt>
                <c:pt idx="11">
                  <c:v>994.67338031485451</c:v>
                </c:pt>
                <c:pt idx="12">
                  <c:v>1043.4230698072781</c:v>
                </c:pt>
                <c:pt idx="13">
                  <c:v>1099.0009803167768</c:v>
                </c:pt>
                <c:pt idx="14">
                  <c:v>1155.5854413347683</c:v>
                </c:pt>
                <c:pt idx="15">
                  <c:v>1223.6636209970397</c:v>
                </c:pt>
                <c:pt idx="16">
                  <c:v>1283.7326030519848</c:v>
                </c:pt>
                <c:pt idx="17">
                  <c:v>1361.8829554628628</c:v>
                </c:pt>
                <c:pt idx="18">
                  <c:v>1427.8981599838535</c:v>
                </c:pt>
                <c:pt idx="19">
                  <c:v>1483.5984887984389</c:v>
                </c:pt>
                <c:pt idx="20">
                  <c:v>1541.0670820198368</c:v>
                </c:pt>
                <c:pt idx="21">
                  <c:v>1600.0628126834811</c:v>
                </c:pt>
                <c:pt idx="22">
                  <c:v>1647.4704706732343</c:v>
                </c:pt>
                <c:pt idx="23">
                  <c:v>1697.1164159210171</c:v>
                </c:pt>
                <c:pt idx="24">
                  <c:v>1742.7906855489769</c:v>
                </c:pt>
                <c:pt idx="25">
                  <c:v>1793.5208311770305</c:v>
                </c:pt>
                <c:pt idx="26">
                  <c:v>1843.2438217617505</c:v>
                </c:pt>
                <c:pt idx="27">
                  <c:v>1889.4151701618482</c:v>
                </c:pt>
                <c:pt idx="28">
                  <c:v>1945.2069609285099</c:v>
                </c:pt>
                <c:pt idx="29">
                  <c:v>2002.2304393164688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2-4BEC-AA2C-2F60618E7C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графики'!$E$2:$E$31</c:f>
              <c:numCache>
                <c:formatCode>General</c:formatCode>
                <c:ptCount val="30"/>
                <c:pt idx="0">
                  <c:v>428.73158770446429</c:v>
                </c:pt>
                <c:pt idx="1">
                  <c:v>563.83714504388024</c:v>
                </c:pt>
                <c:pt idx="2">
                  <c:v>667.02389817479582</c:v>
                </c:pt>
                <c:pt idx="3">
                  <c:v>758.83061361678824</c:v>
                </c:pt>
                <c:pt idx="4">
                  <c:v>854.54790973657009</c:v>
                </c:pt>
                <c:pt idx="5">
                  <c:v>958.21675652126225</c:v>
                </c:pt>
                <c:pt idx="6">
                  <c:v>1051.1399573066703</c:v>
                </c:pt>
                <c:pt idx="7">
                  <c:v>1134.5476151510934</c:v>
                </c:pt>
                <c:pt idx="8">
                  <c:v>1210.2387400650921</c:v>
                </c:pt>
                <c:pt idx="9">
                  <c:v>1281.473040445145</c:v>
                </c:pt>
                <c:pt idx="10">
                  <c:v>1347.9650567836052</c:v>
                </c:pt>
                <c:pt idx="11">
                  <c:v>1410.0353501149732</c:v>
                </c:pt>
                <c:pt idx="12">
                  <c:v>1470.933663390836</c:v>
                </c:pt>
                <c:pt idx="13">
                  <c:v>1532.1887813881985</c:v>
                </c:pt>
                <c:pt idx="14">
                  <c:v>1592.0344006516871</c:v>
                </c:pt>
                <c:pt idx="15">
                  <c:v>1653.8120027864093</c:v>
                </c:pt>
                <c:pt idx="16">
                  <c:v>1711.6075606490133</c:v>
                </c:pt>
                <c:pt idx="17">
                  <c:v>1773.2878694333549</c:v>
                </c:pt>
                <c:pt idx="18">
                  <c:v>1830.0437575463245</c:v>
                </c:pt>
                <c:pt idx="19">
                  <c:v>1882.71366365626</c:v>
                </c:pt>
                <c:pt idx="20">
                  <c:v>1934.824134704334</c:v>
                </c:pt>
                <c:pt idx="21">
                  <c:v>1986.3567359302349</c:v>
                </c:pt>
                <c:pt idx="22">
                  <c:v>2033.8634010863295</c:v>
                </c:pt>
                <c:pt idx="23">
                  <c:v>2081.150400810639</c:v>
                </c:pt>
                <c:pt idx="24">
                  <c:v>2126.6200132868048</c:v>
                </c:pt>
                <c:pt idx="25">
                  <c:v>2172.6891737777219</c:v>
                </c:pt>
                <c:pt idx="26">
                  <c:v>2217.7988138532869</c:v>
                </c:pt>
                <c:pt idx="27">
                  <c:v>2261.3424421870086</c:v>
                </c:pt>
                <c:pt idx="28">
                  <c:v>2306.7061114510752</c:v>
                </c:pt>
                <c:pt idx="29">
                  <c:v>2351.7471304992946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2-4BEC-AA2C-2F60618E7CC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графики'!$B$2:$B$31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'3 графики'!$F$2:$F$31</c:f>
              <c:numCache>
                <c:formatCode>General</c:formatCode>
                <c:ptCount val="30"/>
                <c:pt idx="24">
                  <c:v>2278.6889999999999</c:v>
                </c:pt>
                <c:pt idx="25">
                  <c:v>2375.3629999999998</c:v>
                </c:pt>
                <c:pt idx="26">
                  <c:v>2377.1283199999998</c:v>
                </c:pt>
                <c:pt idx="27">
                  <c:v>2596.59</c:v>
                </c:pt>
                <c:pt idx="28">
                  <c:v>2705.0010000000002</c:v>
                </c:pt>
                <c:pt idx="29">
                  <c:v>2785.9319999999998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2-4BEC-AA2C-2F60618E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50624"/>
        <c:axId val="1012860192"/>
      </c:scatterChart>
      <c:valAx>
        <c:axId val="10128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60192"/>
        <c:crosses val="autoZero"/>
        <c:crossBetween val="midCat"/>
      </c:valAx>
      <c:valAx>
        <c:axId val="10128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Лист1!$V$3:$V$21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Лист1!$W$3:$W$21</c:f>
              <c:numCache>
                <c:formatCode>General</c:formatCode>
                <c:ptCount val="19"/>
                <c:pt idx="0">
                  <c:v>216000</c:v>
                </c:pt>
                <c:pt idx="1">
                  <c:v>506999.99999999994</c:v>
                </c:pt>
                <c:pt idx="2">
                  <c:v>930000</c:v>
                </c:pt>
                <c:pt idx="3">
                  <c:v>1596000</c:v>
                </c:pt>
                <c:pt idx="4">
                  <c:v>2295000</c:v>
                </c:pt>
                <c:pt idx="5">
                  <c:v>5841000</c:v>
                </c:pt>
                <c:pt idx="6">
                  <c:v>8189999.9999999991</c:v>
                </c:pt>
                <c:pt idx="7">
                  <c:v>8538000</c:v>
                </c:pt>
                <c:pt idx="8">
                  <c:v>8760000</c:v>
                </c:pt>
                <c:pt idx="9">
                  <c:v>9012000</c:v>
                </c:pt>
                <c:pt idx="10">
                  <c:v>9147000</c:v>
                </c:pt>
                <c:pt idx="11">
                  <c:v>9282000</c:v>
                </c:pt>
                <c:pt idx="12">
                  <c:v>9417000</c:v>
                </c:pt>
                <c:pt idx="13">
                  <c:v>9522000</c:v>
                </c:pt>
                <c:pt idx="14">
                  <c:v>9723000</c:v>
                </c:pt>
                <c:pt idx="15">
                  <c:v>9816000</c:v>
                </c:pt>
                <c:pt idx="16">
                  <c:v>9906000</c:v>
                </c:pt>
                <c:pt idx="17">
                  <c:v>10008000</c:v>
                </c:pt>
                <c:pt idx="18">
                  <c:v>10092000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A-4C8D-BF5A-DD1EDDD0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87600"/>
        <c:axId val="343982608"/>
      </c:scatterChart>
      <c:valAx>
        <c:axId val="343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2608"/>
        <c:crosses val="autoZero"/>
        <c:crossBetween val="midCat"/>
      </c:valAx>
      <c:valAx>
        <c:axId val="343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Лист1!$AD$3:$AD$21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Лист1!$AE$3:$AE$21</c:f>
              <c:numCache>
                <c:formatCode>General</c:formatCode>
                <c:ptCount val="19"/>
                <c:pt idx="0">
                  <c:v>224999.99999999997</c:v>
                </c:pt>
                <c:pt idx="1">
                  <c:v>455999.99999999994</c:v>
                </c:pt>
                <c:pt idx="2">
                  <c:v>1347000</c:v>
                </c:pt>
                <c:pt idx="3">
                  <c:v>1683000</c:v>
                </c:pt>
                <c:pt idx="4">
                  <c:v>2585999.9999999995</c:v>
                </c:pt>
                <c:pt idx="5">
                  <c:v>6780000</c:v>
                </c:pt>
                <c:pt idx="6">
                  <c:v>20099999.999999996</c:v>
                </c:pt>
                <c:pt idx="7">
                  <c:v>25140000</c:v>
                </c:pt>
                <c:pt idx="8">
                  <c:v>26070000</c:v>
                </c:pt>
                <c:pt idx="9">
                  <c:v>26610000</c:v>
                </c:pt>
                <c:pt idx="10">
                  <c:v>27060000</c:v>
                </c:pt>
                <c:pt idx="11">
                  <c:v>27360000</c:v>
                </c:pt>
                <c:pt idx="12">
                  <c:v>27659999.999999996</c:v>
                </c:pt>
                <c:pt idx="13">
                  <c:v>27899999.999999996</c:v>
                </c:pt>
                <c:pt idx="14">
                  <c:v>28140000</c:v>
                </c:pt>
                <c:pt idx="15">
                  <c:v>28380000</c:v>
                </c:pt>
                <c:pt idx="16">
                  <c:v>28860000</c:v>
                </c:pt>
                <c:pt idx="17">
                  <c:v>29189999.999999996</c:v>
                </c:pt>
                <c:pt idx="18">
                  <c:v>29400000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2-4F1B-966C-45A782DE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68672"/>
        <c:axId val="2002769088"/>
      </c:scatterChart>
      <c:valAx>
        <c:axId val="20027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9088"/>
        <c:crosses val="autoZero"/>
        <c:crossBetween val="midCat"/>
      </c:valAx>
      <c:valAx>
        <c:axId val="2002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Лист1!$AL$3:$AL$22</c:f>
              <c:numCache>
                <c:formatCode>General</c:formatCode>
                <c:ptCount val="20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Лист1!$AM$3:$AM$22</c:f>
              <c:numCache>
                <c:formatCode>General</c:formatCode>
                <c:ptCount val="20"/>
                <c:pt idx="0">
                  <c:v>264000</c:v>
                </c:pt>
                <c:pt idx="1">
                  <c:v>425999.99999999994</c:v>
                </c:pt>
                <c:pt idx="2">
                  <c:v>984000</c:v>
                </c:pt>
                <c:pt idx="3">
                  <c:v>1569000</c:v>
                </c:pt>
                <c:pt idx="4">
                  <c:v>2601000</c:v>
                </c:pt>
                <c:pt idx="5">
                  <c:v>6780000</c:v>
                </c:pt>
                <c:pt idx="6">
                  <c:v>22800000</c:v>
                </c:pt>
                <c:pt idx="7">
                  <c:v>40079999.999999993</c:v>
                </c:pt>
                <c:pt idx="8">
                  <c:v>61709999.999999993</c:v>
                </c:pt>
                <c:pt idx="9">
                  <c:v>66809999.999999993</c:v>
                </c:pt>
                <c:pt idx="10">
                  <c:v>69060000</c:v>
                </c:pt>
                <c:pt idx="11">
                  <c:v>70590000</c:v>
                </c:pt>
                <c:pt idx="12">
                  <c:v>72150000</c:v>
                </c:pt>
                <c:pt idx="13">
                  <c:v>73499999.999999985</c:v>
                </c:pt>
                <c:pt idx="14">
                  <c:v>75600000</c:v>
                </c:pt>
                <c:pt idx="15">
                  <c:v>76500000</c:v>
                </c:pt>
                <c:pt idx="16">
                  <c:v>77400000</c:v>
                </c:pt>
                <c:pt idx="17">
                  <c:v>79200000</c:v>
                </c:pt>
                <c:pt idx="18">
                  <c:v>80399999.999999985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8-4B72-9B61-C65D62EB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1200"/>
        <c:axId val="126427888"/>
      </c:scatterChart>
      <c:valAx>
        <c:axId val="1264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7888"/>
        <c:crosses val="autoZero"/>
        <c:crossBetween val="midCat"/>
      </c:valAx>
      <c:valAx>
        <c:axId val="1264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Лист1!$AT$3:$AT$21</c:f>
              <c:numCache>
                <c:formatCode>General</c:formatCode>
                <c:ptCount val="19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  <c:pt idx="17">
                  <c:v>0.28554593120632826</c:v>
                </c:pt>
                <c:pt idx="18">
                  <c:v>0.31911924900678101</c:v>
                </c:pt>
              </c:numCache>
            </c:numRef>
          </c:xVal>
          <c:yVal>
            <c:numRef>
              <c:f>Лист1!$AU$3:$AU$21</c:f>
              <c:numCache>
                <c:formatCode>General</c:formatCode>
                <c:ptCount val="19"/>
                <c:pt idx="0">
                  <c:v>249000</c:v>
                </c:pt>
                <c:pt idx="1">
                  <c:v>570000</c:v>
                </c:pt>
                <c:pt idx="2">
                  <c:v>930000</c:v>
                </c:pt>
                <c:pt idx="3">
                  <c:v>1613999.9999999998</c:v>
                </c:pt>
                <c:pt idx="4">
                  <c:v>2250000</c:v>
                </c:pt>
                <c:pt idx="5">
                  <c:v>6930000</c:v>
                </c:pt>
                <c:pt idx="6">
                  <c:v>21509999.999999996</c:v>
                </c:pt>
                <c:pt idx="7">
                  <c:v>42240000</c:v>
                </c:pt>
                <c:pt idx="8">
                  <c:v>66900000</c:v>
                </c:pt>
                <c:pt idx="9">
                  <c:v>92850000</c:v>
                </c:pt>
                <c:pt idx="10">
                  <c:v>125399999.99999999</c:v>
                </c:pt>
                <c:pt idx="11">
                  <c:v>147900000</c:v>
                </c:pt>
                <c:pt idx="12">
                  <c:v>157500000</c:v>
                </c:pt>
                <c:pt idx="13">
                  <c:v>165300000</c:v>
                </c:pt>
                <c:pt idx="14">
                  <c:v>172500000</c:v>
                </c:pt>
                <c:pt idx="15">
                  <c:v>180000000</c:v>
                </c:pt>
                <c:pt idx="16">
                  <c:v>189000000</c:v>
                </c:pt>
                <c:pt idx="17">
                  <c:v>193500000</c:v>
                </c:pt>
                <c:pt idx="18">
                  <c:v>199799999.99999997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7-4D32-8DC8-E9CEAA83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1792"/>
        <c:axId val="131212640"/>
      </c:scatterChart>
      <c:valAx>
        <c:axId val="1312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2640"/>
        <c:crosses val="autoZero"/>
        <c:crossBetween val="midCat"/>
      </c:valAx>
      <c:valAx>
        <c:axId val="131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Лист1!$BB$3:$BB$19</c:f>
              <c:numCache>
                <c:formatCode>General</c:formatCode>
                <c:ptCount val="17"/>
                <c:pt idx="0">
                  <c:v>1.9264642218846443E-4</c:v>
                </c:pt>
                <c:pt idx="1">
                  <c:v>5.4488636600315819E-4</c:v>
                </c:pt>
                <c:pt idx="2">
                  <c:v>1.0010201733803524E-3</c:v>
                </c:pt>
                <c:pt idx="3">
                  <c:v>1.5411713775077131E-3</c:v>
                </c:pt>
                <c:pt idx="4">
                  <c:v>2.1538524781776506E-3</c:v>
                </c:pt>
                <c:pt idx="5">
                  <c:v>6.0920147719794645E-3</c:v>
                </c:pt>
                <c:pt idx="6">
                  <c:v>1.7230819825421195E-2</c:v>
                </c:pt>
                <c:pt idx="7">
                  <c:v>3.1655037316585685E-2</c:v>
                </c:pt>
                <c:pt idx="8">
                  <c:v>4.8736118175835709E-2</c:v>
                </c:pt>
                <c:pt idx="9">
                  <c:v>6.8110795750394831E-2</c:v>
                </c:pt>
                <c:pt idx="10">
                  <c:v>8.9533966181083807E-2</c:v>
                </c:pt>
                <c:pt idx="11">
                  <c:v>0.11282569248992667</c:v>
                </c:pt>
                <c:pt idx="12">
                  <c:v>0.13784655860336953</c:v>
                </c:pt>
                <c:pt idx="13">
                  <c:v>0.16448439884344554</c:v>
                </c:pt>
                <c:pt idx="14">
                  <c:v>0.1926464221884642</c:v>
                </c:pt>
                <c:pt idx="15">
                  <c:v>0.22225419937554233</c:v>
                </c:pt>
                <c:pt idx="16">
                  <c:v>0.25324029853268543</c:v>
                </c:pt>
              </c:numCache>
            </c:numRef>
          </c:xVal>
          <c:yVal>
            <c:numRef>
              <c:f>Лист1!$BC$3:$BC$19</c:f>
              <c:numCache>
                <c:formatCode>General</c:formatCode>
                <c:ptCount val="17"/>
                <c:pt idx="0">
                  <c:v>246000</c:v>
                </c:pt>
                <c:pt idx="1">
                  <c:v>495000</c:v>
                </c:pt>
                <c:pt idx="2">
                  <c:v>1080000</c:v>
                </c:pt>
                <c:pt idx="3">
                  <c:v>1610999.9999999998</c:v>
                </c:pt>
                <c:pt idx="4">
                  <c:v>1889999.9999999998</c:v>
                </c:pt>
                <c:pt idx="5">
                  <c:v>6360000</c:v>
                </c:pt>
                <c:pt idx="6">
                  <c:v>23039999.999999996</c:v>
                </c:pt>
                <c:pt idx="7">
                  <c:v>42210000</c:v>
                </c:pt>
                <c:pt idx="8">
                  <c:v>67500000</c:v>
                </c:pt>
                <c:pt idx="9">
                  <c:v>96000000</c:v>
                </c:pt>
                <c:pt idx="10">
                  <c:v>128700000</c:v>
                </c:pt>
                <c:pt idx="11">
                  <c:v>164100000</c:v>
                </c:pt>
                <c:pt idx="12">
                  <c:v>200700000</c:v>
                </c:pt>
                <c:pt idx="13">
                  <c:v>250499999.99999997</c:v>
                </c:pt>
                <c:pt idx="14">
                  <c:v>292499999.99999994</c:v>
                </c:pt>
                <c:pt idx="15">
                  <c:v>334200000</c:v>
                </c:pt>
                <c:pt idx="16">
                  <c:v>386400000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C-4C6F-BC06-443998F3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4976"/>
        <c:axId val="126433712"/>
      </c:scatterChart>
      <c:valAx>
        <c:axId val="1264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3712"/>
        <c:crosses val="autoZero"/>
        <c:crossBetween val="midCat"/>
      </c:valAx>
      <c:valAx>
        <c:axId val="126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Iн'!$F$2:$F$8</c:f>
              <c:numCache>
                <c:formatCode>General</c:formatCode>
                <c:ptCount val="7"/>
                <c:pt idx="0">
                  <c:v>-3.5816987086802543</c:v>
                </c:pt>
                <c:pt idx="1">
                  <c:v>-3.067526235322847</c:v>
                </c:pt>
                <c:pt idx="2">
                  <c:v>-2.7106340484799682</c:v>
                </c:pt>
                <c:pt idx="3">
                  <c:v>-2.6458915608525992</c:v>
                </c:pt>
                <c:pt idx="4">
                  <c:v>-2.6458915608525992</c:v>
                </c:pt>
                <c:pt idx="5">
                  <c:v>-2.6363880201078556</c:v>
                </c:pt>
                <c:pt idx="6">
                  <c:v>-2.6736641390712488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25E-B6CE-22B6966378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Iн'!$G$2:$G$8</c:f>
              <c:numCache>
                <c:formatCode>General</c:formatCode>
                <c:ptCount val="7"/>
                <c:pt idx="0">
                  <c:v>-3.530177984021837</c:v>
                </c:pt>
                <c:pt idx="1">
                  <c:v>-3.0163737128754655</c:v>
                </c:pt>
                <c:pt idx="2">
                  <c:v>-2.5223000716678694</c:v>
                </c:pt>
                <c:pt idx="3">
                  <c:v>-2.0520763801682738</c:v>
                </c:pt>
                <c:pt idx="4">
                  <c:v>-1.6522797829659617</c:v>
                </c:pt>
                <c:pt idx="5">
                  <c:v>-1.5093393466438632</c:v>
                </c:pt>
                <c:pt idx="6">
                  <c:v>-1.494850021680094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25E-B6CE-22B6966378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Iн'!$H$2:$H$8</c:f>
              <c:numCache>
                <c:formatCode>General</c:formatCode>
                <c:ptCount val="7"/>
                <c:pt idx="0">
                  <c:v>-3.4921441283041692</c:v>
                </c:pt>
                <c:pt idx="1">
                  <c:v>-2.9897000433601879</c:v>
                </c:pt>
                <c:pt idx="2">
                  <c:v>-2.4893209689677902</c:v>
                </c:pt>
                <c:pt idx="3">
                  <c:v>-2.0277971616209354</c:v>
                </c:pt>
                <c:pt idx="4">
                  <c:v>-1.5985994592184558</c:v>
                </c:pt>
                <c:pt idx="5">
                  <c:v>-1.2403321553103694</c:v>
                </c:pt>
                <c:pt idx="6">
                  <c:v>-1.0109953843014632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E-425E-B6CE-22B6966378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'Зависимость Iа от Iн'!$A$2:$A$8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'Зависимость Iа от Iн'!$I$2:$I$8</c:f>
              <c:numCache>
                <c:formatCode>General</c:formatCode>
                <c:ptCount val="7"/>
                <c:pt idx="0">
                  <c:v>-3.4647058799572297</c:v>
                </c:pt>
                <c:pt idx="1">
                  <c:v>-2.9738754832545498</c:v>
                </c:pt>
                <c:pt idx="2">
                  <c:v>-2.4731440128741253</c:v>
                </c:pt>
                <c:pt idx="3">
                  <c:v>-2.0087739243075053</c:v>
                </c:pt>
                <c:pt idx="4">
                  <c:v>-1.5718652059712113</c:v>
                </c:pt>
                <c:pt idx="5">
                  <c:v>-1.176525770829699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425E-B6CE-22B69663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47312"/>
        <c:axId val="915447728"/>
      </c:scatterChart>
      <c:valAx>
        <c:axId val="915447312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728"/>
        <c:crosses val="autoZero"/>
        <c:crossBetween val="midCat"/>
      </c:valAx>
      <c:valAx>
        <c:axId val="915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черноты'!$A$1:$A$7</c:f>
              <c:numCache>
                <c:formatCode>General</c:formatCode>
                <c:ptCount val="7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'степень черноты'!$B$1:$B$7</c:f>
              <c:numCache>
                <c:formatCode>General</c:formatCode>
                <c:ptCount val="7"/>
                <c:pt idx="0">
                  <c:v>413.33839587581883</c:v>
                </c:pt>
                <c:pt idx="1">
                  <c:v>537.03179637025255</c:v>
                </c:pt>
                <c:pt idx="2">
                  <c:v>657.94275928267348</c:v>
                </c:pt>
                <c:pt idx="3">
                  <c:v>1009.1071794822384</c:v>
                </c:pt>
                <c:pt idx="4">
                  <c:v>1236.3043800534208</c:v>
                </c:pt>
                <c:pt idx="5">
                  <c:v>1459.4201620862323</c:v>
                </c:pt>
                <c:pt idx="6">
                  <c:v>1679.1980465845961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D-4483-BBE4-490D3906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1520"/>
        <c:axId val="1027471936"/>
      </c:scatterChart>
      <c:valAx>
        <c:axId val="10274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936"/>
        <c:crosses val="autoZero"/>
        <c:crossBetween val="midCat"/>
      </c:valAx>
      <c:valAx>
        <c:axId val="10274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черноты'!$B$15:$B$20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6CA-AC2F-97EA11FE644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5374803149606303"/>
                  <c:y val="2.683034412365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черноты'!$C$15:$C$20</c:f>
              <c:numCache>
                <c:formatCode>0.000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A-46CA-AC2F-97EA11FE644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'степень черноты'!$A$15:$A$20</c:f>
              <c:numCache>
                <c:formatCode>0.00</c:formatCode>
                <c:ptCount val="6"/>
                <c:pt idx="0">
                  <c:v>750</c:v>
                </c:pt>
                <c:pt idx="1">
                  <c:v>937</c:v>
                </c:pt>
                <c:pt idx="2">
                  <c:v>1583</c:v>
                </c:pt>
                <c:pt idx="3">
                  <c:v>1960</c:v>
                </c:pt>
                <c:pt idx="4">
                  <c:v>2300</c:v>
                </c:pt>
                <c:pt idx="5">
                  <c:v>3168</c:v>
                </c:pt>
              </c:numCache>
            </c:numRef>
          </c:xVal>
          <c:yVal>
            <c:numRef>
              <c:f>'степень черноты'!$D$15:$D$20</c:f>
              <c:numCache>
                <c:formatCode>General</c:formatCode>
                <c:ptCount val="6"/>
                <c:pt idx="0">
                  <c:v>9.690299847818229E-2</c:v>
                </c:pt>
                <c:pt idx="1">
                  <c:v>0.11929844243804269</c:v>
                </c:pt>
                <c:pt idx="2">
                  <c:v>0.19469068365590372</c:v>
                </c:pt>
                <c:pt idx="3">
                  <c:v>0.23768247782436994</c:v>
                </c:pt>
                <c:pt idx="4">
                  <c:v>0.27598392988194909</c:v>
                </c:pt>
                <c:pt idx="5">
                  <c:v>0.37218884034522765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46CA-AC2F-97EA11FE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39056"/>
        <c:axId val="1181022416"/>
      </c:scatterChart>
      <c:valAx>
        <c:axId val="11810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22416"/>
        <c:crosses val="autoZero"/>
        <c:crossBetween val="midCat"/>
      </c:valAx>
      <c:valAx>
        <c:axId val="1181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lg(U)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lg(I)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напры'!$D$3:$D$21</c:f>
              <c:numCache>
                <c:formatCode>General</c:formatCode>
                <c:ptCount val="1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1.4771212547196624</c:v>
                </c:pt>
                <c:pt idx="8">
                  <c:v>1.6020599913279623</c:v>
                </c:pt>
                <c:pt idx="9">
                  <c:v>1.6989700043360187</c:v>
                </c:pt>
                <c:pt idx="10">
                  <c:v>1.7781512503836436</c:v>
                </c:pt>
                <c:pt idx="11">
                  <c:v>1.8450980400142569</c:v>
                </c:pt>
                <c:pt idx="12">
                  <c:v>1.9030899869919435</c:v>
                </c:pt>
                <c:pt idx="13">
                  <c:v>1.954242509439325</c:v>
                </c:pt>
                <c:pt idx="14">
                  <c:v>2</c:v>
                </c:pt>
                <c:pt idx="15">
                  <c:v>2.0413926851582249</c:v>
                </c:pt>
                <c:pt idx="16">
                  <c:v>2.0791812460476247</c:v>
                </c:pt>
                <c:pt idx="17">
                  <c:v>2.1139433523068369</c:v>
                </c:pt>
                <c:pt idx="18">
                  <c:v>2.1461280356782382</c:v>
                </c:pt>
              </c:numCache>
            </c:numRef>
          </c:xVal>
          <c:yVal>
            <c:numRef>
              <c:f>'Анодный ток от анодного напры'!$E$3:$E$21</c:f>
              <c:numCache>
                <c:formatCode>General</c:formatCode>
                <c:ptCount val="19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  <c:pt idx="4">
                  <c:v>-3.6073030467403342</c:v>
                </c:pt>
                <c:pt idx="5">
                  <c:v>-3.5816987086802548</c:v>
                </c:pt>
                <c:pt idx="6">
                  <c:v>-3.563837352959244</c:v>
                </c:pt>
                <c:pt idx="7">
                  <c:v>-3.5497508916806391</c:v>
                </c:pt>
                <c:pt idx="8">
                  <c:v>-3.540607512240769</c:v>
                </c:pt>
                <c:pt idx="9">
                  <c:v>-3.530177984021837</c:v>
                </c:pt>
                <c:pt idx="10">
                  <c:v>-3.5228787452803374</c:v>
                </c:pt>
                <c:pt idx="11">
                  <c:v>-3.5142785735184199</c:v>
                </c:pt>
                <c:pt idx="12">
                  <c:v>-3.5072396109731625</c:v>
                </c:pt>
                <c:pt idx="13">
                  <c:v>-3.4989407377822483</c:v>
                </c:pt>
                <c:pt idx="14">
                  <c:v>-3.4921441283041692</c:v>
                </c:pt>
                <c:pt idx="15">
                  <c:v>-3.4841261562883208</c:v>
                </c:pt>
                <c:pt idx="16">
                  <c:v>-3.4775557664936803</c:v>
                </c:pt>
                <c:pt idx="17">
                  <c:v>-3.4710832997223453</c:v>
                </c:pt>
                <c:pt idx="18">
                  <c:v>-3.4647058799572297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7-4017-A26A-E61D79989734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49181683802786"/>
                  <c:y val="0.21519298864789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'Анодный ток от анодного напры'!$D$3:$D$6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'Анодный ток от анодного напры'!$E$3:$E$6</c:f>
              <c:numCache>
                <c:formatCode>General</c:formatCode>
                <c:ptCount val="4"/>
                <c:pt idx="0">
                  <c:v>-4.1079053973095192</c:v>
                </c:pt>
                <c:pt idx="1">
                  <c:v>-3.8096683018297086</c:v>
                </c:pt>
                <c:pt idx="2">
                  <c:v>-3.7055337738384071</c:v>
                </c:pt>
                <c:pt idx="3">
                  <c:v>-3.6270879970298933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8CD-862B-DFBABF4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87423"/>
        <c:axId val="2031189503"/>
      </c:scatterChart>
      <c:valAx>
        <c:axId val="20311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9503"/>
        <c:crosses val="autoZero"/>
        <c:crossBetween val="midCat"/>
      </c:valAx>
      <c:valAx>
        <c:axId val="20311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</a:t>
            </a:r>
            <a:r>
              <a:rPr lang="en-US" baseline="0"/>
              <a:t> = gV^(3/2)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'Анодный ток от анодного напры'!$F$3:$F$21</c:f>
              <c:numCache>
                <c:formatCode>General</c:formatCode>
                <c:ptCount val="19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'Анодный ток от анодного напры'!$G$3:$G$21</c:f>
              <c:numCache>
                <c:formatCode>General</c:formatCode>
                <c:ptCount val="19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  <c:pt idx="3">
                  <c:v>2.3599999999999999E-4</c:v>
                </c:pt>
                <c:pt idx="4">
                  <c:v>2.4699999999999999E-4</c:v>
                </c:pt>
                <c:pt idx="5">
                  <c:v>2.6199999999999997E-4</c:v>
                </c:pt>
                <c:pt idx="6">
                  <c:v>2.7299999999999997E-4</c:v>
                </c:pt>
                <c:pt idx="7">
                  <c:v>2.8199999999999997E-4</c:v>
                </c:pt>
                <c:pt idx="8">
                  <c:v>2.8800000000000001E-4</c:v>
                </c:pt>
                <c:pt idx="9">
                  <c:v>2.9499999999999996E-4</c:v>
                </c:pt>
                <c:pt idx="10">
                  <c:v>2.9999999999999997E-4</c:v>
                </c:pt>
                <c:pt idx="11">
                  <c:v>3.0600000000000001E-4</c:v>
                </c:pt>
                <c:pt idx="12">
                  <c:v>3.1099999999999997E-4</c:v>
                </c:pt>
                <c:pt idx="13">
                  <c:v>3.1700000000000001E-4</c:v>
                </c:pt>
                <c:pt idx="14">
                  <c:v>3.2199999999999997E-4</c:v>
                </c:pt>
                <c:pt idx="15">
                  <c:v>3.28E-4</c:v>
                </c:pt>
                <c:pt idx="16">
                  <c:v>3.3299999999999996E-4</c:v>
                </c:pt>
                <c:pt idx="17">
                  <c:v>3.3799999999999998E-4</c:v>
                </c:pt>
                <c:pt idx="18">
                  <c:v>3.4299999999999999E-4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1-4D8F-914A-6F430721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27615"/>
        <c:axId val="2033420543"/>
      </c:scatterChart>
      <c:valAx>
        <c:axId val="20334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0543"/>
        <c:crosses val="autoZero"/>
        <c:crossBetween val="midCat"/>
      </c:valAx>
      <c:valAx>
        <c:axId val="20334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Первые</a:t>
            </a:r>
            <a:r>
              <a:rPr lang="ru-RU" baseline="0"/>
              <a:t> точки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89895013123358E-2"/>
                  <c:y val="-4.1456973624081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'Анодный ток от анодного напры'!$F$3:$F$5</c:f>
              <c:numCache>
                <c:formatCode>General</c:formatCode>
                <c:ptCount val="3"/>
                <c:pt idx="0">
                  <c:v>1</c:v>
                </c:pt>
                <c:pt idx="1">
                  <c:v>2.8284271247461898</c:v>
                </c:pt>
                <c:pt idx="2">
                  <c:v>5.196152422706632</c:v>
                </c:pt>
              </c:numCache>
            </c:numRef>
          </c:xVal>
          <c:yVal>
            <c:numRef>
              <c:f>'Анодный ток от анодного напры'!$G$3:$G$5</c:f>
              <c:numCache>
                <c:formatCode>General</c:formatCode>
                <c:ptCount val="3"/>
                <c:pt idx="0">
                  <c:v>7.7999999999999999E-5</c:v>
                </c:pt>
                <c:pt idx="1">
                  <c:v>1.55E-4</c:v>
                </c:pt>
                <c:pt idx="2">
                  <c:v>1.9699999999999999E-4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3D0-B775-FC897268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92815"/>
        <c:axId val="2036296975"/>
      </c:scatterChart>
      <c:valAx>
        <c:axId val="20362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6975"/>
        <c:crosses val="autoZero"/>
        <c:crossBetween val="midCat"/>
      </c:valAx>
      <c:valAx>
        <c:axId val="2036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7</xdr:row>
      <xdr:rowOff>121920</xdr:rowOff>
    </xdr:from>
    <xdr:to>
      <xdr:col>18</xdr:col>
      <xdr:colOff>121920</xdr:colOff>
      <xdr:row>22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900E64-3E56-1E8C-832A-27FA7D28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5</xdr:row>
      <xdr:rowOff>45720</xdr:rowOff>
    </xdr:from>
    <xdr:to>
      <xdr:col>11</xdr:col>
      <xdr:colOff>106680</xdr:colOff>
      <xdr:row>20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C9899B0-09E0-A5F2-661D-8FBF0478C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30480</xdr:rowOff>
    </xdr:from>
    <xdr:to>
      <xdr:col>11</xdr:col>
      <xdr:colOff>502920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AD9954-565B-A3DF-2B7F-9046B895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114300</xdr:rowOff>
    </xdr:from>
    <xdr:to>
      <xdr:col>13</xdr:col>
      <xdr:colOff>403860</xdr:colOff>
      <xdr:row>17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31DC5F-18D4-D91D-2AB5-E6259B81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</xdr:colOff>
      <xdr:row>12</xdr:row>
      <xdr:rowOff>171450</xdr:rowOff>
    </xdr:from>
    <xdr:to>
      <xdr:col>30</xdr:col>
      <xdr:colOff>95250</xdr:colOff>
      <xdr:row>33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300D2A-6077-127A-6206-7E2E7F92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397916</xdr:colOff>
      <xdr:row>2</xdr:row>
      <xdr:rowOff>22485</xdr:rowOff>
    </xdr:from>
    <xdr:to>
      <xdr:col>14</xdr:col>
      <xdr:colOff>413156</xdr:colOff>
      <xdr:row>16</xdr:row>
      <xdr:rowOff>166672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96070CE-F31D-B289-4170-165CB448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5116" y="393546"/>
          <a:ext cx="4282440" cy="2741613"/>
        </a:xfrm>
        <a:prstGeom prst="rect">
          <a:avLst/>
        </a:prstGeom>
      </xdr:spPr>
    </xdr:pic>
    <xdr:clientData/>
  </xdr:twoCellAnchor>
  <xdr:twoCellAnchor>
    <xdr:from>
      <xdr:col>10</xdr:col>
      <xdr:colOff>424068</xdr:colOff>
      <xdr:row>4</xdr:row>
      <xdr:rowOff>112643</xdr:rowOff>
    </xdr:from>
    <xdr:to>
      <xdr:col>18</xdr:col>
      <xdr:colOff>119268</xdr:colOff>
      <xdr:row>19</xdr:row>
      <xdr:rowOff>72887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C55B084-3DE2-E031-E3EA-E672B81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22860</xdr:rowOff>
    </xdr:from>
    <xdr:to>
      <xdr:col>8</xdr:col>
      <xdr:colOff>7620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9CB996-1490-2343-6EC4-2B093E2D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76893</xdr:rowOff>
    </xdr:from>
    <xdr:to>
      <xdr:col>7</xdr:col>
      <xdr:colOff>304800</xdr:colOff>
      <xdr:row>51</xdr:row>
      <xdr:rowOff>76893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FD6E9B4-4C30-741B-0A2D-96C9F5B3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62345</xdr:rowOff>
    </xdr:from>
    <xdr:to>
      <xdr:col>7</xdr:col>
      <xdr:colOff>304800</xdr:colOff>
      <xdr:row>66</xdr:row>
      <xdr:rowOff>103909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527D7F1-ABC4-023B-72F5-90ACBCEF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67235</xdr:colOff>
      <xdr:row>21</xdr:row>
      <xdr:rowOff>31377</xdr:rowOff>
    </xdr:from>
    <xdr:to>
      <xdr:col>15</xdr:col>
      <xdr:colOff>372035</xdr:colOff>
      <xdr:row>36</xdr:row>
      <xdr:rowOff>85165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9B3030-FAA5-5716-1B20-9E7B211D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103094</xdr:colOff>
      <xdr:row>36</xdr:row>
      <xdr:rowOff>121024</xdr:rowOff>
    </xdr:from>
    <xdr:to>
      <xdr:col>15</xdr:col>
      <xdr:colOff>407894</xdr:colOff>
      <xdr:row>51</xdr:row>
      <xdr:rowOff>174812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21CEF4-ECFE-87AE-5BAC-EFECD902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121024</xdr:colOff>
      <xdr:row>51</xdr:row>
      <xdr:rowOff>129988</xdr:rowOff>
    </xdr:from>
    <xdr:to>
      <xdr:col>15</xdr:col>
      <xdr:colOff>425824</xdr:colOff>
      <xdr:row>67</xdr:row>
      <xdr:rowOff>4482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EA1793-B50C-FB75-88FA-0159E94E5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470647</xdr:colOff>
      <xdr:row>21</xdr:row>
      <xdr:rowOff>85165</xdr:rowOff>
    </xdr:from>
    <xdr:to>
      <xdr:col>23</xdr:col>
      <xdr:colOff>165847</xdr:colOff>
      <xdr:row>36</xdr:row>
      <xdr:rowOff>138953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3912427-0F51-E5AA-2EED-497AAF46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416858</xdr:colOff>
      <xdr:row>36</xdr:row>
      <xdr:rowOff>174813</xdr:rowOff>
    </xdr:from>
    <xdr:to>
      <xdr:col>23</xdr:col>
      <xdr:colOff>112058</xdr:colOff>
      <xdr:row>52</xdr:row>
      <xdr:rowOff>49307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9AB5E-B757-5AAB-D989-1C93FF15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515471</xdr:colOff>
      <xdr:row>21</xdr:row>
      <xdr:rowOff>112059</xdr:rowOff>
    </xdr:from>
    <xdr:to>
      <xdr:col>31</xdr:col>
      <xdr:colOff>210671</xdr:colOff>
      <xdr:row>36</xdr:row>
      <xdr:rowOff>165847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CC0FF99-C3D2-5AE2-EDF1-8C542F31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533400</xdr:colOff>
      <xdr:row>36</xdr:row>
      <xdr:rowOff>103094</xdr:rowOff>
    </xdr:from>
    <xdr:to>
      <xdr:col>31</xdr:col>
      <xdr:colOff>228600</xdr:colOff>
      <xdr:row>51</xdr:row>
      <xdr:rowOff>156882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9B89270-F7F1-E3A1-2D5B-A61D711E1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524436</xdr:colOff>
      <xdr:row>21</xdr:row>
      <xdr:rowOff>58271</xdr:rowOff>
    </xdr:from>
    <xdr:to>
      <xdr:col>39</xdr:col>
      <xdr:colOff>219636</xdr:colOff>
      <xdr:row>36</xdr:row>
      <xdr:rowOff>112059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B173F2F-2CD3-DC98-B75F-CE42B1CF9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551330</xdr:colOff>
      <xdr:row>36</xdr:row>
      <xdr:rowOff>156882</xdr:rowOff>
    </xdr:from>
    <xdr:to>
      <xdr:col>39</xdr:col>
      <xdr:colOff>246530</xdr:colOff>
      <xdr:row>52</xdr:row>
      <xdr:rowOff>31376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2DF1D79-B782-BE36-9BD7-13DA82BD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488576</xdr:colOff>
      <xdr:row>21</xdr:row>
      <xdr:rowOff>174812</xdr:rowOff>
    </xdr:from>
    <xdr:to>
      <xdr:col>47</xdr:col>
      <xdr:colOff>183776</xdr:colOff>
      <xdr:row>37</xdr:row>
      <xdr:rowOff>49306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F49587C-373E-9E9C-B6AC-DF42FED27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479611</xdr:colOff>
      <xdr:row>37</xdr:row>
      <xdr:rowOff>103095</xdr:rowOff>
    </xdr:from>
    <xdr:to>
      <xdr:col>47</xdr:col>
      <xdr:colOff>174811</xdr:colOff>
      <xdr:row>52</xdr:row>
      <xdr:rowOff>156883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37FADD10-00B7-677F-609A-3EEF60BD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506505</xdr:colOff>
      <xdr:row>21</xdr:row>
      <xdr:rowOff>85165</xdr:rowOff>
    </xdr:from>
    <xdr:to>
      <xdr:col>55</xdr:col>
      <xdr:colOff>201705</xdr:colOff>
      <xdr:row>36</xdr:row>
      <xdr:rowOff>138953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7A0DE98-9C6B-F770-4668-7DAE7FE5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470647</xdr:colOff>
      <xdr:row>37</xdr:row>
      <xdr:rowOff>67236</xdr:rowOff>
    </xdr:from>
    <xdr:to>
      <xdr:col>55</xdr:col>
      <xdr:colOff>165847</xdr:colOff>
      <xdr:row>52</xdr:row>
      <xdr:rowOff>121024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CA623EA-D2EF-D4D0-9835-80811D20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479611</xdr:colOff>
      <xdr:row>37</xdr:row>
      <xdr:rowOff>103095</xdr:rowOff>
    </xdr:from>
    <xdr:to>
      <xdr:col>47</xdr:col>
      <xdr:colOff>174811</xdr:colOff>
      <xdr:row>52</xdr:row>
      <xdr:rowOff>156883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107A888-5F7E-4E5C-B649-88E66B080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464820</xdr:colOff>
      <xdr:row>37</xdr:row>
      <xdr:rowOff>45720</xdr:rowOff>
    </xdr:from>
    <xdr:to>
      <xdr:col>23</xdr:col>
      <xdr:colOff>160020</xdr:colOff>
      <xdr:row>52</xdr:row>
      <xdr:rowOff>45720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C9D1F6B-4C64-B858-ED56-77AE0D33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525780</xdr:colOff>
      <xdr:row>37</xdr:row>
      <xdr:rowOff>99060</xdr:rowOff>
    </xdr:from>
    <xdr:to>
      <xdr:col>31</xdr:col>
      <xdr:colOff>220980</xdr:colOff>
      <xdr:row>52</xdr:row>
      <xdr:rowOff>99060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5C0F4B93-FEAB-A672-1195-87D551AC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571500</xdr:colOff>
      <xdr:row>37</xdr:row>
      <xdr:rowOff>68580</xdr:rowOff>
    </xdr:from>
    <xdr:to>
      <xdr:col>39</xdr:col>
      <xdr:colOff>266700</xdr:colOff>
      <xdr:row>52</xdr:row>
      <xdr:rowOff>68580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A9577D2-6641-4FDD-616E-5EFF1C2E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495300</xdr:colOff>
      <xdr:row>38</xdr:row>
      <xdr:rowOff>7620</xdr:rowOff>
    </xdr:from>
    <xdr:to>
      <xdr:col>47</xdr:col>
      <xdr:colOff>190500</xdr:colOff>
      <xdr:row>53</xdr:row>
      <xdr:rowOff>7620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37C99D8-1DD7-59CD-A499-F22A06A4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586740</xdr:colOff>
      <xdr:row>37</xdr:row>
      <xdr:rowOff>129540</xdr:rowOff>
    </xdr:from>
    <xdr:to>
      <xdr:col>55</xdr:col>
      <xdr:colOff>281940</xdr:colOff>
      <xdr:row>52</xdr:row>
      <xdr:rowOff>129540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E5E65E82-4057-EF88-9572-17DF7996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36</xdr:row>
      <xdr:rowOff>175260</xdr:rowOff>
    </xdr:from>
    <xdr:to>
      <xdr:col>15</xdr:col>
      <xdr:colOff>304800</xdr:colOff>
      <xdr:row>51</xdr:row>
      <xdr:rowOff>175260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B6B4E607-ED21-8A86-6C3F-089EDAC2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</xdr:row>
      <xdr:rowOff>15240</xdr:rowOff>
    </xdr:from>
    <xdr:to>
      <xdr:col>7</xdr:col>
      <xdr:colOff>304800</xdr:colOff>
      <xdr:row>36</xdr:row>
      <xdr:rowOff>15240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7E72F37-C6D2-1EA8-F4F6-E310D81F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35</xdr:row>
      <xdr:rowOff>175260</xdr:rowOff>
    </xdr:from>
    <xdr:to>
      <xdr:col>7</xdr:col>
      <xdr:colOff>304800</xdr:colOff>
      <xdr:row>50</xdr:row>
      <xdr:rowOff>175260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A573C96-322B-B1DB-D039-F46E5092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566058</xdr:colOff>
      <xdr:row>22</xdr:row>
      <xdr:rowOff>16330</xdr:rowOff>
    </xdr:from>
    <xdr:to>
      <xdr:col>15</xdr:col>
      <xdr:colOff>261258</xdr:colOff>
      <xdr:row>36</xdr:row>
      <xdr:rowOff>168730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10A7122-B9D9-3ED4-9988-949083276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54429</xdr:colOff>
      <xdr:row>20</xdr:row>
      <xdr:rowOff>179615</xdr:rowOff>
    </xdr:from>
    <xdr:to>
      <xdr:col>23</xdr:col>
      <xdr:colOff>359229</xdr:colOff>
      <xdr:row>35</xdr:row>
      <xdr:rowOff>146958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66EF7BF6-494B-F665-D48D-41DB33F1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598715</xdr:colOff>
      <xdr:row>21</xdr:row>
      <xdr:rowOff>146958</xdr:rowOff>
    </xdr:from>
    <xdr:to>
      <xdr:col>31</xdr:col>
      <xdr:colOff>293915</xdr:colOff>
      <xdr:row>36</xdr:row>
      <xdr:rowOff>114301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93E3F1DD-D699-991D-D162-32E4B2B2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598715</xdr:colOff>
      <xdr:row>22</xdr:row>
      <xdr:rowOff>16329</xdr:rowOff>
    </xdr:from>
    <xdr:to>
      <xdr:col>39</xdr:col>
      <xdr:colOff>293915</xdr:colOff>
      <xdr:row>36</xdr:row>
      <xdr:rowOff>168729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57A3B89F-27C2-C1FD-B492-A92BDC48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10886</xdr:colOff>
      <xdr:row>21</xdr:row>
      <xdr:rowOff>136071</xdr:rowOff>
    </xdr:from>
    <xdr:to>
      <xdr:col>47</xdr:col>
      <xdr:colOff>315686</xdr:colOff>
      <xdr:row>36</xdr:row>
      <xdr:rowOff>103414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64924B3C-24D6-5BF1-11A0-7BBDDA3B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54428</xdr:colOff>
      <xdr:row>20</xdr:row>
      <xdr:rowOff>179615</xdr:rowOff>
    </xdr:from>
    <xdr:to>
      <xdr:col>55</xdr:col>
      <xdr:colOff>359228</xdr:colOff>
      <xdr:row>35</xdr:row>
      <xdr:rowOff>146958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8CA9B0BD-2EE5-E8DE-8ED8-40D2312FF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51</xdr:row>
      <xdr:rowOff>59871</xdr:rowOff>
    </xdr:from>
    <xdr:to>
      <xdr:col>7</xdr:col>
      <xdr:colOff>304800</xdr:colOff>
      <xdr:row>66</xdr:row>
      <xdr:rowOff>27214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E2893CFA-1EF0-4A5B-4E2D-CBF8C260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9525</xdr:colOff>
      <xdr:row>52</xdr:row>
      <xdr:rowOff>123825</xdr:rowOff>
    </xdr:from>
    <xdr:to>
      <xdr:col>15</xdr:col>
      <xdr:colOff>314325</xdr:colOff>
      <xdr:row>67</xdr:row>
      <xdr:rowOff>9525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99A25D68-C65D-917E-F55E-A6CD462F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314325</xdr:colOff>
      <xdr:row>52</xdr:row>
      <xdr:rowOff>161925</xdr:rowOff>
    </xdr:from>
    <xdr:to>
      <xdr:col>23</xdr:col>
      <xdr:colOff>9525</xdr:colOff>
      <xdr:row>67</xdr:row>
      <xdr:rowOff>47625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4B972F7C-3779-0FE0-D208-C7CD714F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409575</xdr:colOff>
      <xdr:row>53</xdr:row>
      <xdr:rowOff>47625</xdr:rowOff>
    </xdr:from>
    <xdr:to>
      <xdr:col>31</xdr:col>
      <xdr:colOff>104775</xdr:colOff>
      <xdr:row>67</xdr:row>
      <xdr:rowOff>123825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E495E624-A96F-D948-DE50-20F75783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542925</xdr:colOff>
      <xdr:row>53</xdr:row>
      <xdr:rowOff>104775</xdr:rowOff>
    </xdr:from>
    <xdr:to>
      <xdr:col>39</xdr:col>
      <xdr:colOff>238125</xdr:colOff>
      <xdr:row>67</xdr:row>
      <xdr:rowOff>180975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A50462C4-F36E-0B09-AB22-5FABA3504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504825</xdr:colOff>
      <xdr:row>53</xdr:row>
      <xdr:rowOff>180975</xdr:rowOff>
    </xdr:from>
    <xdr:to>
      <xdr:col>47</xdr:col>
      <xdr:colOff>200025</xdr:colOff>
      <xdr:row>68</xdr:row>
      <xdr:rowOff>66675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717A8854-1CB8-7F4F-0A8B-CABEBA524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9525</xdr:colOff>
      <xdr:row>53</xdr:row>
      <xdr:rowOff>180975</xdr:rowOff>
    </xdr:from>
    <xdr:to>
      <xdr:col>55</xdr:col>
      <xdr:colOff>314325</xdr:colOff>
      <xdr:row>68</xdr:row>
      <xdr:rowOff>66675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C6CB3FCF-AB07-EE8F-1EA4-5CE15861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53340</xdr:rowOff>
    </xdr:from>
    <xdr:to>
      <xdr:col>7</xdr:col>
      <xdr:colOff>304800</xdr:colOff>
      <xdr:row>23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8256EF-4BCA-6697-4FB1-C0EDCEC9E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CB6F-B634-4AC9-A2DC-C0A1A39B31CA}">
  <dimension ref="A1:F37"/>
  <sheetViews>
    <sheetView workbookViewId="0">
      <selection activeCell="B3" sqref="B3"/>
    </sheetView>
  </sheetViews>
  <sheetFormatPr defaultRowHeight="14.4" x14ac:dyDescent="0.3"/>
  <cols>
    <col min="1" max="15" width="10.21875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22</v>
      </c>
      <c r="E1" s="2" t="s">
        <v>23</v>
      </c>
      <c r="F1" s="2"/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>
        <f>((C2*3.14*$B$36*$B$36)/(4*$B$35*$B$37)-1)/$B$34</f>
        <v>126.71134956942946</v>
      </c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>
        <f t="shared" ref="D3:D31" si="1">((C3*3.14*$B$36*$B$36)/(4*$B$35*$B$37)-1)/$B$34</f>
        <v>131.66248990850369</v>
      </c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>
        <f t="shared" si="1"/>
        <v>144.53545479009688</v>
      </c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>
        <f t="shared" si="1"/>
        <v>167.47573836114097</v>
      </c>
    </row>
    <row r="6" spans="1:6" x14ac:dyDescent="0.3">
      <c r="A6">
        <v>0.2455</v>
      </c>
      <c r="B6">
        <v>0.5</v>
      </c>
      <c r="C6">
        <f t="shared" si="0"/>
        <v>0.49099999999999999</v>
      </c>
      <c r="D6" s="1">
        <f t="shared" si="1"/>
        <v>216.49202771797627</v>
      </c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>
        <f t="shared" si="1"/>
        <v>297.69072927879438</v>
      </c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>
        <f t="shared" si="1"/>
        <v>371.43914347224364</v>
      </c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>
        <f t="shared" si="1"/>
        <v>435.33243070505915</v>
      </c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>
        <f t="shared" si="1"/>
        <v>490.16172557110372</v>
      </c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>
        <f t="shared" si="1"/>
        <v>541.94698600645847</v>
      </c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>
        <f t="shared" si="1"/>
        <v>588.51771210490256</v>
      </c>
    </row>
    <row r="13" spans="1:6" x14ac:dyDescent="0.3">
      <c r="A13">
        <v>1.34</v>
      </c>
      <c r="B13">
        <v>1.2</v>
      </c>
      <c r="C13">
        <f t="shared" si="0"/>
        <v>1.1166666666666667</v>
      </c>
      <c r="D13" s="1">
        <f t="shared" si="1"/>
        <v>629.52715733763898</v>
      </c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>
        <f t="shared" si="1"/>
        <v>672.86021466423767</v>
      </c>
    </row>
    <row r="15" spans="1:6" x14ac:dyDescent="0.3">
      <c r="A15">
        <v>1.76</v>
      </c>
      <c r="B15">
        <v>1.4</v>
      </c>
      <c r="C15">
        <f t="shared" si="0"/>
        <v>1.2571428571428573</v>
      </c>
      <c r="D15" s="1">
        <f t="shared" si="1"/>
        <v>722.26280178379216</v>
      </c>
    </row>
    <row r="16" spans="1:6" x14ac:dyDescent="0.3">
      <c r="A16">
        <v>2</v>
      </c>
      <c r="B16">
        <v>1.5</v>
      </c>
      <c r="C16">
        <f t="shared" si="0"/>
        <v>1.3333333333333333</v>
      </c>
      <c r="D16" s="1">
        <f t="shared" si="1"/>
        <v>772.56010046645133</v>
      </c>
    </row>
    <row r="17" spans="1:4" x14ac:dyDescent="0.3">
      <c r="A17">
        <v>2.2799999999999998</v>
      </c>
      <c r="B17">
        <v>1.6</v>
      </c>
      <c r="C17">
        <f t="shared" si="0"/>
        <v>1.4249999999999998</v>
      </c>
      <c r="D17" s="1">
        <f t="shared" si="1"/>
        <v>833.07403794402569</v>
      </c>
    </row>
    <row r="18" spans="1:4" x14ac:dyDescent="0.3">
      <c r="A18">
        <v>2.56</v>
      </c>
      <c r="B18">
        <v>1.7</v>
      </c>
      <c r="C18">
        <f t="shared" si="0"/>
        <v>1.5058823529411764</v>
      </c>
      <c r="D18" s="1">
        <f t="shared" si="1"/>
        <v>886.4686886595324</v>
      </c>
    </row>
    <row r="19" spans="1:4" x14ac:dyDescent="0.3">
      <c r="A19">
        <v>2.9</v>
      </c>
      <c r="B19">
        <v>1.8</v>
      </c>
      <c r="C19">
        <f t="shared" si="0"/>
        <v>1.6111111111111109</v>
      </c>
      <c r="D19" s="1">
        <f t="shared" si="1"/>
        <v>955.93566858031295</v>
      </c>
    </row>
    <row r="20" spans="1:4" x14ac:dyDescent="0.3">
      <c r="A20">
        <v>3.23</v>
      </c>
      <c r="B20">
        <v>1.9</v>
      </c>
      <c r="C20">
        <f t="shared" si="0"/>
        <v>1.7000000000000002</v>
      </c>
      <c r="D20" s="1">
        <f t="shared" si="1"/>
        <v>1014.6158503767492</v>
      </c>
    </row>
    <row r="21" spans="1:4" x14ac:dyDescent="0.3">
      <c r="A21">
        <v>3.55</v>
      </c>
      <c r="B21">
        <v>2</v>
      </c>
      <c r="C21">
        <f t="shared" si="0"/>
        <v>1.7749999999999999</v>
      </c>
      <c r="D21" s="1">
        <f t="shared" si="1"/>
        <v>1064.1272537674918</v>
      </c>
    </row>
    <row r="22" spans="1:4" x14ac:dyDescent="0.3">
      <c r="A22">
        <v>3.89</v>
      </c>
      <c r="B22">
        <v>2.1</v>
      </c>
      <c r="C22">
        <f t="shared" si="0"/>
        <v>1.8523809523809525</v>
      </c>
      <c r="D22" s="1">
        <f t="shared" si="1"/>
        <v>1115.2104477420678</v>
      </c>
    </row>
    <row r="23" spans="1:4" x14ac:dyDescent="0.3">
      <c r="A23">
        <v>4.25</v>
      </c>
      <c r="B23">
        <v>2.2000000000000002</v>
      </c>
      <c r="C23">
        <f t="shared" si="0"/>
        <v>1.9318181818181817</v>
      </c>
      <c r="D23" s="1">
        <f t="shared" si="1"/>
        <v>1167.6510972208628</v>
      </c>
    </row>
    <row r="24" spans="1:4" x14ac:dyDescent="0.3">
      <c r="A24">
        <v>4.59</v>
      </c>
      <c r="B24">
        <v>2.2999999999999998</v>
      </c>
      <c r="C24">
        <f t="shared" si="0"/>
        <v>1.9956521739130435</v>
      </c>
      <c r="D24" s="1">
        <f t="shared" si="1"/>
        <v>1209.7912376561987</v>
      </c>
    </row>
    <row r="25" spans="1:4" x14ac:dyDescent="0.3">
      <c r="A25">
        <v>4.95</v>
      </c>
      <c r="B25">
        <v>2.4</v>
      </c>
      <c r="C25">
        <f t="shared" si="0"/>
        <v>2.0625</v>
      </c>
      <c r="D25" s="1">
        <f t="shared" si="1"/>
        <v>1253.920966765339</v>
      </c>
    </row>
    <row r="26" spans="1:4" x14ac:dyDescent="0.3">
      <c r="A26">
        <v>5.31</v>
      </c>
      <c r="B26">
        <v>2.5</v>
      </c>
      <c r="C26">
        <f t="shared" si="0"/>
        <v>2.1239999999999997</v>
      </c>
      <c r="D26" s="1">
        <f t="shared" si="1"/>
        <v>1294.520317545748</v>
      </c>
    </row>
    <row r="27" spans="1:4" x14ac:dyDescent="0.3">
      <c r="A27">
        <v>5.7</v>
      </c>
      <c r="B27">
        <v>2.6</v>
      </c>
      <c r="C27">
        <f t="shared" si="0"/>
        <v>2.1923076923076925</v>
      </c>
      <c r="D27" s="1">
        <f t="shared" si="1"/>
        <v>1339.61378032624</v>
      </c>
    </row>
    <row r="28" spans="1:4" x14ac:dyDescent="0.3">
      <c r="A28">
        <v>6.1</v>
      </c>
      <c r="B28">
        <v>2.7</v>
      </c>
      <c r="C28">
        <f t="shared" si="0"/>
        <v>2.2592592592592591</v>
      </c>
      <c r="D28" s="1">
        <f t="shared" si="1"/>
        <v>1383.8119941793243</v>
      </c>
    </row>
    <row r="29" spans="1:4" x14ac:dyDescent="0.3">
      <c r="A29">
        <v>6.5</v>
      </c>
      <c r="B29">
        <v>2.8</v>
      </c>
      <c r="C29">
        <f t="shared" si="0"/>
        <v>2.3214285714285716</v>
      </c>
      <c r="D29" s="1">
        <f t="shared" si="1"/>
        <v>1424.8531927571892</v>
      </c>
    </row>
    <row r="30" spans="1:4" x14ac:dyDescent="0.3">
      <c r="A30">
        <v>6.95</v>
      </c>
      <c r="B30">
        <v>2.9</v>
      </c>
      <c r="C30">
        <f t="shared" si="0"/>
        <v>2.396551724137931</v>
      </c>
      <c r="D30" s="1">
        <f t="shared" si="1"/>
        <v>1474.4458956608885</v>
      </c>
    </row>
    <row r="31" spans="1:4" x14ac:dyDescent="0.3">
      <c r="A31">
        <v>7.42</v>
      </c>
      <c r="B31">
        <v>3</v>
      </c>
      <c r="C31">
        <f t="shared" si="0"/>
        <v>2.4733333333333332</v>
      </c>
      <c r="D31" s="1">
        <f t="shared" si="1"/>
        <v>1525.1334320057408</v>
      </c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4.4999999999999998E-2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D41F-AEBC-451F-9220-BB5952824337}">
  <dimension ref="A1:E31"/>
  <sheetViews>
    <sheetView workbookViewId="0">
      <selection activeCell="E21" sqref="E21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0.1</v>
      </c>
      <c r="B2">
        <v>3.5499999999999997E-2</v>
      </c>
      <c r="C2">
        <f>A2*B2</f>
        <v>3.5499999999999998E-3</v>
      </c>
      <c r="D2">
        <f>B2/A2</f>
        <v>0.35499999999999993</v>
      </c>
    </row>
    <row r="3" spans="1:4" x14ac:dyDescent="0.3">
      <c r="A3">
        <v>0.2</v>
      </c>
      <c r="B3">
        <v>7.2499999999999995E-2</v>
      </c>
      <c r="C3">
        <f t="shared" ref="C3:C31" si="0">A3*B3</f>
        <v>1.4499999999999999E-2</v>
      </c>
      <c r="D3">
        <f t="shared" ref="D3:D31" si="1">B3/A3</f>
        <v>0.36249999999999993</v>
      </c>
    </row>
    <row r="4" spans="1:4" x14ac:dyDescent="0.3">
      <c r="A4">
        <v>0.3</v>
      </c>
      <c r="B4">
        <v>0.11459999999999999</v>
      </c>
      <c r="C4">
        <f t="shared" si="0"/>
        <v>3.4379999999999994E-2</v>
      </c>
      <c r="D4">
        <f t="shared" si="1"/>
        <v>0.38200000000000001</v>
      </c>
    </row>
    <row r="5" spans="1:4" x14ac:dyDescent="0.3">
      <c r="A5">
        <v>0.4</v>
      </c>
      <c r="B5">
        <v>0.16669999999999999</v>
      </c>
      <c r="C5">
        <f t="shared" si="0"/>
        <v>6.6680000000000003E-2</v>
      </c>
      <c r="D5">
        <f t="shared" si="1"/>
        <v>0.41674999999999995</v>
      </c>
    </row>
    <row r="6" spans="1:4" x14ac:dyDescent="0.3">
      <c r="A6">
        <v>0.5</v>
      </c>
      <c r="B6">
        <v>0.2455</v>
      </c>
      <c r="C6">
        <f t="shared" si="0"/>
        <v>0.12275</v>
      </c>
      <c r="D6">
        <f t="shared" si="1"/>
        <v>0.49099999999999999</v>
      </c>
    </row>
    <row r="7" spans="1:4" x14ac:dyDescent="0.3">
      <c r="A7">
        <v>0.6</v>
      </c>
      <c r="B7">
        <v>0.36840000000000001</v>
      </c>
      <c r="C7">
        <f t="shared" si="0"/>
        <v>0.22103999999999999</v>
      </c>
      <c r="D7">
        <f t="shared" si="1"/>
        <v>0.61399999999999999</v>
      </c>
    </row>
    <row r="8" spans="1:4" x14ac:dyDescent="0.3">
      <c r="A8">
        <v>0.7</v>
      </c>
      <c r="B8">
        <v>0.50800000000000001</v>
      </c>
      <c r="C8">
        <f t="shared" si="0"/>
        <v>0.35559999999999997</v>
      </c>
      <c r="D8">
        <f t="shared" si="1"/>
        <v>0.72571428571428576</v>
      </c>
    </row>
    <row r="9" spans="1:4" x14ac:dyDescent="0.3">
      <c r="A9">
        <v>0.8</v>
      </c>
      <c r="B9">
        <v>0.65800000000000003</v>
      </c>
      <c r="C9">
        <f t="shared" si="0"/>
        <v>0.52640000000000009</v>
      </c>
      <c r="D9">
        <f t="shared" si="1"/>
        <v>0.82250000000000001</v>
      </c>
    </row>
    <row r="10" spans="1:4" x14ac:dyDescent="0.3">
      <c r="A10">
        <v>0.9</v>
      </c>
      <c r="B10">
        <v>0.81499999999999995</v>
      </c>
      <c r="C10">
        <f t="shared" si="0"/>
        <v>0.73349999999999993</v>
      </c>
      <c r="D10">
        <f t="shared" si="1"/>
        <v>0.90555555555555545</v>
      </c>
    </row>
    <row r="11" spans="1:4" x14ac:dyDescent="0.3">
      <c r="A11">
        <v>1</v>
      </c>
      <c r="B11">
        <v>0.98399999999999999</v>
      </c>
      <c r="C11">
        <f t="shared" si="0"/>
        <v>0.98399999999999999</v>
      </c>
      <c r="D11">
        <f t="shared" si="1"/>
        <v>0.98399999999999999</v>
      </c>
    </row>
    <row r="12" spans="1:4" x14ac:dyDescent="0.3">
      <c r="A12">
        <v>1.1000000000000001</v>
      </c>
      <c r="B12">
        <v>1.1599999999999999</v>
      </c>
      <c r="C12">
        <f t="shared" si="0"/>
        <v>1.276</v>
      </c>
      <c r="D12">
        <f t="shared" si="1"/>
        <v>1.0545454545454545</v>
      </c>
    </row>
    <row r="13" spans="1:4" x14ac:dyDescent="0.3">
      <c r="A13">
        <v>1.2</v>
      </c>
      <c r="B13">
        <v>1.34</v>
      </c>
      <c r="C13">
        <f t="shared" si="0"/>
        <v>1.6080000000000001</v>
      </c>
      <c r="D13">
        <f t="shared" si="1"/>
        <v>1.1166666666666667</v>
      </c>
    </row>
    <row r="14" spans="1:4" x14ac:dyDescent="0.3">
      <c r="A14">
        <v>1.3</v>
      </c>
      <c r="B14">
        <v>1.5369999999999999</v>
      </c>
      <c r="C14">
        <f t="shared" si="0"/>
        <v>1.9981</v>
      </c>
      <c r="D14">
        <f t="shared" si="1"/>
        <v>1.1823076923076923</v>
      </c>
    </row>
    <row r="15" spans="1:4" x14ac:dyDescent="0.3">
      <c r="A15">
        <v>1.4</v>
      </c>
      <c r="B15">
        <v>1.76</v>
      </c>
      <c r="C15">
        <f t="shared" si="0"/>
        <v>2.464</v>
      </c>
      <c r="D15">
        <f t="shared" si="1"/>
        <v>1.2571428571428573</v>
      </c>
    </row>
    <row r="16" spans="1:4" x14ac:dyDescent="0.3">
      <c r="A16">
        <v>1.5</v>
      </c>
      <c r="B16">
        <v>2</v>
      </c>
      <c r="C16">
        <f t="shared" si="0"/>
        <v>3</v>
      </c>
      <c r="D16">
        <f t="shared" si="1"/>
        <v>1.3333333333333333</v>
      </c>
    </row>
    <row r="17" spans="1:5" x14ac:dyDescent="0.3">
      <c r="A17">
        <v>1.6</v>
      </c>
      <c r="B17">
        <v>2.2799999999999998</v>
      </c>
      <c r="C17">
        <f t="shared" si="0"/>
        <v>3.6479999999999997</v>
      </c>
      <c r="D17">
        <f t="shared" si="1"/>
        <v>1.4249999999999998</v>
      </c>
    </row>
    <row r="18" spans="1:5" x14ac:dyDescent="0.3">
      <c r="A18">
        <v>1.7</v>
      </c>
      <c r="B18">
        <v>2.56</v>
      </c>
      <c r="C18">
        <f t="shared" si="0"/>
        <v>4.3520000000000003</v>
      </c>
      <c r="D18">
        <f t="shared" si="1"/>
        <v>1.5058823529411764</v>
      </c>
    </row>
    <row r="19" spans="1:5" x14ac:dyDescent="0.3">
      <c r="A19">
        <v>1.8</v>
      </c>
      <c r="B19">
        <v>2.9</v>
      </c>
      <c r="C19">
        <f t="shared" si="0"/>
        <v>5.22</v>
      </c>
      <c r="D19">
        <f t="shared" si="1"/>
        <v>1.6111111111111109</v>
      </c>
    </row>
    <row r="20" spans="1:5" x14ac:dyDescent="0.3">
      <c r="A20">
        <v>1.9</v>
      </c>
      <c r="B20">
        <v>3.23</v>
      </c>
      <c r="C20">
        <f t="shared" si="0"/>
        <v>6.1369999999999996</v>
      </c>
      <c r="D20">
        <f t="shared" si="1"/>
        <v>1.7000000000000002</v>
      </c>
      <c r="E20">
        <f>AVERAGE(C:C)</f>
        <v>6.1667166666666651</v>
      </c>
    </row>
    <row r="21" spans="1:5" x14ac:dyDescent="0.3">
      <c r="A21">
        <v>2</v>
      </c>
      <c r="B21">
        <v>3.55</v>
      </c>
      <c r="C21">
        <f t="shared" si="0"/>
        <v>7.1</v>
      </c>
      <c r="D21">
        <f t="shared" si="1"/>
        <v>1.7749999999999999</v>
      </c>
    </row>
    <row r="22" spans="1:5" x14ac:dyDescent="0.3">
      <c r="A22">
        <v>2.1</v>
      </c>
      <c r="B22">
        <v>3.89</v>
      </c>
      <c r="C22">
        <f t="shared" si="0"/>
        <v>8.1690000000000005</v>
      </c>
      <c r="D22">
        <f t="shared" si="1"/>
        <v>1.8523809523809525</v>
      </c>
    </row>
    <row r="23" spans="1:5" x14ac:dyDescent="0.3">
      <c r="A23">
        <v>2.2000000000000002</v>
      </c>
      <c r="B23">
        <v>4.25</v>
      </c>
      <c r="C23">
        <f t="shared" si="0"/>
        <v>9.3500000000000014</v>
      </c>
      <c r="D23">
        <f t="shared" si="1"/>
        <v>1.9318181818181817</v>
      </c>
    </row>
    <row r="24" spans="1:5" x14ac:dyDescent="0.3">
      <c r="A24">
        <v>2.2999999999999998</v>
      </c>
      <c r="B24">
        <v>4.59</v>
      </c>
      <c r="C24">
        <f t="shared" si="0"/>
        <v>10.556999999999999</v>
      </c>
      <c r="D24">
        <f t="shared" si="1"/>
        <v>1.9956521739130435</v>
      </c>
    </row>
    <row r="25" spans="1:5" x14ac:dyDescent="0.3">
      <c r="A25">
        <v>2.4</v>
      </c>
      <c r="B25">
        <v>4.95</v>
      </c>
      <c r="C25">
        <f t="shared" si="0"/>
        <v>11.88</v>
      </c>
      <c r="D25">
        <f t="shared" si="1"/>
        <v>2.0625</v>
      </c>
    </row>
    <row r="26" spans="1:5" x14ac:dyDescent="0.3">
      <c r="A26">
        <v>2.5</v>
      </c>
      <c r="B26">
        <v>5.31</v>
      </c>
      <c r="C26">
        <f t="shared" si="0"/>
        <v>13.274999999999999</v>
      </c>
      <c r="D26">
        <f t="shared" si="1"/>
        <v>2.1239999999999997</v>
      </c>
    </row>
    <row r="27" spans="1:5" x14ac:dyDescent="0.3">
      <c r="A27">
        <v>2.6</v>
      </c>
      <c r="B27">
        <v>5.7</v>
      </c>
      <c r="C27">
        <f t="shared" si="0"/>
        <v>14.82</v>
      </c>
      <c r="D27">
        <f t="shared" si="1"/>
        <v>2.1923076923076925</v>
      </c>
    </row>
    <row r="28" spans="1:5" x14ac:dyDescent="0.3">
      <c r="A28">
        <v>2.7</v>
      </c>
      <c r="B28">
        <v>6.1</v>
      </c>
      <c r="C28">
        <f t="shared" si="0"/>
        <v>16.47</v>
      </c>
      <c r="D28">
        <f t="shared" si="1"/>
        <v>2.2592592592592591</v>
      </c>
    </row>
    <row r="29" spans="1:5" x14ac:dyDescent="0.3">
      <c r="A29">
        <v>2.8</v>
      </c>
      <c r="B29">
        <v>6.5</v>
      </c>
      <c r="C29">
        <f t="shared" si="0"/>
        <v>18.2</v>
      </c>
      <c r="D29">
        <f t="shared" si="1"/>
        <v>2.3214285714285716</v>
      </c>
    </row>
    <row r="30" spans="1:5" x14ac:dyDescent="0.3">
      <c r="A30">
        <v>2.9</v>
      </c>
      <c r="B30">
        <v>6.95</v>
      </c>
      <c r="C30">
        <f t="shared" si="0"/>
        <v>20.155000000000001</v>
      </c>
      <c r="D30">
        <f t="shared" si="1"/>
        <v>2.396551724137931</v>
      </c>
    </row>
    <row r="31" spans="1:5" x14ac:dyDescent="0.3">
      <c r="A31">
        <v>3</v>
      </c>
      <c r="B31">
        <v>7.42</v>
      </c>
      <c r="C31">
        <f t="shared" si="0"/>
        <v>22.259999999999998</v>
      </c>
      <c r="D31">
        <f t="shared" si="1"/>
        <v>2.4733333333333332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2DD2-209B-4CB8-85B9-4112AA1DF45D}">
  <dimension ref="A1:F40"/>
  <sheetViews>
    <sheetView workbookViewId="0">
      <selection activeCell="F28" sqref="F28"/>
    </sheetView>
  </sheetViews>
  <sheetFormatPr defaultRowHeight="14.4" x14ac:dyDescent="0.3"/>
  <cols>
    <col min="2" max="2" width="9.21875" bestFit="1" customWidth="1"/>
  </cols>
  <sheetData>
    <row r="1" spans="1:6" x14ac:dyDescent="0.3">
      <c r="A1" t="s">
        <v>0</v>
      </c>
      <c r="B1" t="s">
        <v>1</v>
      </c>
      <c r="C1" t="s">
        <v>17</v>
      </c>
      <c r="D1" t="s">
        <v>22</v>
      </c>
      <c r="E1" s="2" t="s">
        <v>23</v>
      </c>
      <c r="F1" s="2" t="s">
        <v>27</v>
      </c>
    </row>
    <row r="2" spans="1:6" x14ac:dyDescent="0.3">
      <c r="A2">
        <v>3.5499999999999997E-2</v>
      </c>
      <c r="B2">
        <v>0.1</v>
      </c>
      <c r="C2">
        <f>A2/B2</f>
        <v>0.35499999999999993</v>
      </c>
      <c r="D2" s="1">
        <f>((C2*3.14*$B$36*$B$36)/(4*$B$35*$B$37)-1)/$B$34+273</f>
        <v>429.00559657561888</v>
      </c>
      <c r="E2">
        <f>POWER((A2*B2)/($B$38*$B$39*0.0001),1/5.137)</f>
        <v>428.73158770446429</v>
      </c>
    </row>
    <row r="3" spans="1:6" x14ac:dyDescent="0.3">
      <c r="A3">
        <v>7.2499999999999995E-2</v>
      </c>
      <c r="B3">
        <v>0.2</v>
      </c>
      <c r="C3">
        <f t="shared" ref="C3:C31" si="0">A3/B3</f>
        <v>0.36249999999999993</v>
      </c>
      <c r="D3" s="1">
        <f t="shared" ref="D3:D31" si="1">((C3*3.14*$B$36*$B$36)/(4*$B$35*$B$37)-1)/$B$34+273</f>
        <v>434.57562945707735</v>
      </c>
      <c r="E3">
        <f t="shared" ref="E3:E31" si="2">POWER((A3*B3)/($B$38*$B$39*0.0001),1/5.137)</f>
        <v>563.83714504388024</v>
      </c>
    </row>
    <row r="4" spans="1:6" x14ac:dyDescent="0.3">
      <c r="A4">
        <v>0.11459999999999999</v>
      </c>
      <c r="B4">
        <v>0.3</v>
      </c>
      <c r="C4">
        <f t="shared" si="0"/>
        <v>0.38200000000000001</v>
      </c>
      <c r="D4" s="1">
        <f t="shared" si="1"/>
        <v>449.05771494886972</v>
      </c>
      <c r="E4">
        <f t="shared" si="2"/>
        <v>667.02389817479582</v>
      </c>
    </row>
    <row r="5" spans="1:6" x14ac:dyDescent="0.3">
      <c r="A5">
        <v>0.16669999999999999</v>
      </c>
      <c r="B5">
        <v>0.4</v>
      </c>
      <c r="C5">
        <f t="shared" si="0"/>
        <v>0.41674999999999995</v>
      </c>
      <c r="D5" s="1">
        <f t="shared" si="1"/>
        <v>474.86553396629427</v>
      </c>
      <c r="E5">
        <f t="shared" si="2"/>
        <v>758.83061361678824</v>
      </c>
    </row>
    <row r="6" spans="1:6" x14ac:dyDescent="0.3">
      <c r="A6">
        <v>0.2455</v>
      </c>
      <c r="B6">
        <v>0.5</v>
      </c>
      <c r="C6">
        <f t="shared" si="0"/>
        <v>0.49099999999999999</v>
      </c>
      <c r="D6" s="1">
        <f t="shared" si="1"/>
        <v>530.00885949273402</v>
      </c>
      <c r="E6">
        <f t="shared" si="2"/>
        <v>854.54790973657009</v>
      </c>
    </row>
    <row r="7" spans="1:6" x14ac:dyDescent="0.3">
      <c r="A7">
        <v>0.36840000000000001</v>
      </c>
      <c r="B7">
        <v>0.6</v>
      </c>
      <c r="C7">
        <f t="shared" si="0"/>
        <v>0.61399999999999999</v>
      </c>
      <c r="D7" s="1">
        <f t="shared" si="1"/>
        <v>621.3573987486543</v>
      </c>
      <c r="E7">
        <f t="shared" si="2"/>
        <v>958.21675652126225</v>
      </c>
    </row>
    <row r="8" spans="1:6" x14ac:dyDescent="0.3">
      <c r="A8">
        <v>0.50800000000000001</v>
      </c>
      <c r="B8">
        <v>0.7</v>
      </c>
      <c r="C8">
        <f t="shared" si="0"/>
        <v>0.72571428571428576</v>
      </c>
      <c r="D8" s="1">
        <f t="shared" si="1"/>
        <v>704.32436471628466</v>
      </c>
      <c r="E8">
        <f t="shared" si="2"/>
        <v>1051.1399573066703</v>
      </c>
    </row>
    <row r="9" spans="1:6" x14ac:dyDescent="0.3">
      <c r="A9">
        <v>0.65800000000000003</v>
      </c>
      <c r="B9">
        <v>0.8</v>
      </c>
      <c r="C9">
        <f t="shared" si="0"/>
        <v>0.82250000000000001</v>
      </c>
      <c r="D9" s="1">
        <f t="shared" si="1"/>
        <v>776.20431285320228</v>
      </c>
      <c r="E9">
        <f t="shared" si="2"/>
        <v>1134.5476151510934</v>
      </c>
    </row>
    <row r="10" spans="1:6" x14ac:dyDescent="0.3">
      <c r="A10">
        <v>0.81499999999999995</v>
      </c>
      <c r="B10">
        <v>0.9</v>
      </c>
      <c r="C10">
        <f t="shared" si="0"/>
        <v>0.90555555555555545</v>
      </c>
      <c r="D10" s="1">
        <f t="shared" si="1"/>
        <v>837.88726957750248</v>
      </c>
      <c r="E10">
        <f t="shared" si="2"/>
        <v>1210.2387400650921</v>
      </c>
    </row>
    <row r="11" spans="1:6" x14ac:dyDescent="0.3">
      <c r="A11">
        <v>0.98399999999999999</v>
      </c>
      <c r="B11">
        <v>1</v>
      </c>
      <c r="C11">
        <f t="shared" si="0"/>
        <v>0.98399999999999999</v>
      </c>
      <c r="D11" s="1">
        <f t="shared" si="1"/>
        <v>896.14568756727658</v>
      </c>
      <c r="E11">
        <f t="shared" si="2"/>
        <v>1281.473040445145</v>
      </c>
    </row>
    <row r="12" spans="1:6" x14ac:dyDescent="0.3">
      <c r="A12">
        <v>1.1599999999999999</v>
      </c>
      <c r="B12">
        <v>1.1000000000000001</v>
      </c>
      <c r="C12">
        <f t="shared" si="0"/>
        <v>1.0545454545454545</v>
      </c>
      <c r="D12" s="1">
        <f t="shared" si="1"/>
        <v>948.53775442802601</v>
      </c>
      <c r="E12">
        <f t="shared" si="2"/>
        <v>1347.9650567836052</v>
      </c>
    </row>
    <row r="13" spans="1:6" x14ac:dyDescent="0.3">
      <c r="A13">
        <v>1.34</v>
      </c>
      <c r="B13">
        <v>1.2</v>
      </c>
      <c r="C13">
        <f t="shared" si="0"/>
        <v>1.1166666666666667</v>
      </c>
      <c r="D13" s="1">
        <f t="shared" si="1"/>
        <v>994.67338031485451</v>
      </c>
      <c r="E13">
        <f t="shared" si="2"/>
        <v>1410.0353501149732</v>
      </c>
    </row>
    <row r="14" spans="1:6" x14ac:dyDescent="0.3">
      <c r="A14">
        <v>1.5369999999999999</v>
      </c>
      <c r="B14">
        <v>1.3</v>
      </c>
      <c r="C14">
        <f t="shared" si="0"/>
        <v>1.1823076923076923</v>
      </c>
      <c r="D14" s="1">
        <f t="shared" si="1"/>
        <v>1043.4230698072781</v>
      </c>
      <c r="E14">
        <f t="shared" si="2"/>
        <v>1470.933663390836</v>
      </c>
    </row>
    <row r="15" spans="1:6" x14ac:dyDescent="0.3">
      <c r="A15">
        <v>1.76</v>
      </c>
      <c r="B15">
        <v>1.4</v>
      </c>
      <c r="C15">
        <f t="shared" si="0"/>
        <v>1.2571428571428573</v>
      </c>
      <c r="D15" s="1">
        <f t="shared" si="1"/>
        <v>1099.0009803167768</v>
      </c>
      <c r="E15">
        <f t="shared" si="2"/>
        <v>1532.1887813881985</v>
      </c>
    </row>
    <row r="16" spans="1:6" x14ac:dyDescent="0.3">
      <c r="A16">
        <v>2</v>
      </c>
      <c r="B16">
        <v>1.5</v>
      </c>
      <c r="C16">
        <f t="shared" si="0"/>
        <v>1.3333333333333333</v>
      </c>
      <c r="D16" s="1">
        <f t="shared" si="1"/>
        <v>1155.5854413347683</v>
      </c>
      <c r="E16">
        <f t="shared" si="2"/>
        <v>1592.0344006516871</v>
      </c>
    </row>
    <row r="17" spans="1:6" x14ac:dyDescent="0.3">
      <c r="A17">
        <v>2.2799999999999998</v>
      </c>
      <c r="B17">
        <v>1.6</v>
      </c>
      <c r="C17">
        <f t="shared" si="0"/>
        <v>1.4249999999999998</v>
      </c>
      <c r="D17" s="1">
        <f t="shared" si="1"/>
        <v>1223.6636209970397</v>
      </c>
      <c r="E17">
        <f t="shared" si="2"/>
        <v>1653.8120027864093</v>
      </c>
    </row>
    <row r="18" spans="1:6" x14ac:dyDescent="0.3">
      <c r="A18">
        <v>2.56</v>
      </c>
      <c r="B18">
        <v>1.7</v>
      </c>
      <c r="C18">
        <f t="shared" si="0"/>
        <v>1.5058823529411764</v>
      </c>
      <c r="D18" s="1">
        <f t="shared" si="1"/>
        <v>1283.7326030519848</v>
      </c>
      <c r="E18">
        <f t="shared" si="2"/>
        <v>1711.6075606490133</v>
      </c>
    </row>
    <row r="19" spans="1:6" x14ac:dyDescent="0.3">
      <c r="A19">
        <v>2.9</v>
      </c>
      <c r="B19">
        <v>1.8</v>
      </c>
      <c r="C19">
        <f t="shared" si="0"/>
        <v>1.6111111111111109</v>
      </c>
      <c r="D19" s="1">
        <f t="shared" si="1"/>
        <v>1361.8829554628628</v>
      </c>
      <c r="E19">
        <f t="shared" si="2"/>
        <v>1773.2878694333549</v>
      </c>
    </row>
    <row r="20" spans="1:6" x14ac:dyDescent="0.3">
      <c r="A20">
        <v>3.23</v>
      </c>
      <c r="B20">
        <v>1.9</v>
      </c>
      <c r="C20">
        <f t="shared" si="0"/>
        <v>1.7000000000000002</v>
      </c>
      <c r="D20" s="1">
        <f t="shared" si="1"/>
        <v>1427.8981599838535</v>
      </c>
      <c r="E20">
        <f t="shared" si="2"/>
        <v>1830.0437575463245</v>
      </c>
    </row>
    <row r="21" spans="1:6" x14ac:dyDescent="0.3">
      <c r="A21">
        <v>3.55</v>
      </c>
      <c r="B21">
        <v>2</v>
      </c>
      <c r="C21">
        <f t="shared" si="0"/>
        <v>1.7749999999999999</v>
      </c>
      <c r="D21" s="1">
        <f t="shared" si="1"/>
        <v>1483.5984887984389</v>
      </c>
      <c r="E21">
        <f t="shared" si="2"/>
        <v>1882.71366365626</v>
      </c>
    </row>
    <row r="22" spans="1:6" x14ac:dyDescent="0.3">
      <c r="A22">
        <v>3.89</v>
      </c>
      <c r="B22">
        <v>2.1</v>
      </c>
      <c r="C22">
        <f t="shared" si="0"/>
        <v>1.8523809523809525</v>
      </c>
      <c r="D22" s="1">
        <f t="shared" si="1"/>
        <v>1541.0670820198368</v>
      </c>
      <c r="E22">
        <f t="shared" si="2"/>
        <v>1934.824134704334</v>
      </c>
    </row>
    <row r="23" spans="1:6" x14ac:dyDescent="0.3">
      <c r="A23">
        <v>4.25</v>
      </c>
      <c r="B23">
        <v>2.2000000000000002</v>
      </c>
      <c r="C23">
        <f t="shared" si="0"/>
        <v>1.9318181818181817</v>
      </c>
      <c r="D23" s="1">
        <f t="shared" si="1"/>
        <v>1600.0628126834811</v>
      </c>
      <c r="E23">
        <f t="shared" si="2"/>
        <v>1986.3567359302349</v>
      </c>
    </row>
    <row r="24" spans="1:6" x14ac:dyDescent="0.3">
      <c r="A24">
        <v>4.59</v>
      </c>
      <c r="B24">
        <v>2.2999999999999998</v>
      </c>
      <c r="C24">
        <f t="shared" si="0"/>
        <v>1.9956521739130435</v>
      </c>
      <c r="D24" s="1">
        <f t="shared" si="1"/>
        <v>1647.4704706732343</v>
      </c>
      <c r="E24">
        <f t="shared" si="2"/>
        <v>2033.8634010863295</v>
      </c>
    </row>
    <row r="25" spans="1:6" x14ac:dyDescent="0.3">
      <c r="A25">
        <v>4.95</v>
      </c>
      <c r="B25">
        <v>2.4</v>
      </c>
      <c r="C25">
        <f t="shared" si="0"/>
        <v>2.0625</v>
      </c>
      <c r="D25" s="1">
        <f t="shared" si="1"/>
        <v>1697.1164159210171</v>
      </c>
      <c r="E25">
        <f t="shared" si="2"/>
        <v>2081.150400810639</v>
      </c>
    </row>
    <row r="26" spans="1:6" x14ac:dyDescent="0.3">
      <c r="A26">
        <v>5.31</v>
      </c>
      <c r="B26">
        <v>2.5</v>
      </c>
      <c r="C26">
        <f t="shared" si="0"/>
        <v>2.1239999999999997</v>
      </c>
      <c r="D26" s="1">
        <f t="shared" si="1"/>
        <v>1742.7906855489769</v>
      </c>
      <c r="E26">
        <f t="shared" si="2"/>
        <v>2126.6200132868048</v>
      </c>
      <c r="F26">
        <v>2278.6889999999999</v>
      </c>
    </row>
    <row r="27" spans="1:6" x14ac:dyDescent="0.3">
      <c r="A27">
        <v>5.7</v>
      </c>
      <c r="B27">
        <v>2.6</v>
      </c>
      <c r="C27">
        <f t="shared" si="0"/>
        <v>2.1923076923076925</v>
      </c>
      <c r="D27" s="1">
        <f t="shared" si="1"/>
        <v>1793.5208311770305</v>
      </c>
      <c r="E27">
        <f t="shared" si="2"/>
        <v>2172.6891737777219</v>
      </c>
      <c r="F27">
        <v>2375.3629999999998</v>
      </c>
    </row>
    <row r="28" spans="1:6" x14ac:dyDescent="0.3">
      <c r="A28">
        <v>6.1</v>
      </c>
      <c r="B28">
        <v>2.7</v>
      </c>
      <c r="C28">
        <f t="shared" si="0"/>
        <v>2.2592592592592591</v>
      </c>
      <c r="D28" s="1">
        <f t="shared" si="1"/>
        <v>1843.2438217617505</v>
      </c>
      <c r="E28">
        <f t="shared" si="2"/>
        <v>2217.7988138532869</v>
      </c>
      <c r="F28">
        <v>2377.1283199999998</v>
      </c>
    </row>
    <row r="29" spans="1:6" x14ac:dyDescent="0.3">
      <c r="A29">
        <v>6.5</v>
      </c>
      <c r="B29">
        <v>2.8</v>
      </c>
      <c r="C29">
        <f t="shared" si="0"/>
        <v>2.3214285714285716</v>
      </c>
      <c r="D29" s="1">
        <f t="shared" si="1"/>
        <v>1889.4151701618482</v>
      </c>
      <c r="E29">
        <f t="shared" si="2"/>
        <v>2261.3424421870086</v>
      </c>
      <c r="F29">
        <v>2596.59</v>
      </c>
    </row>
    <row r="30" spans="1:6" x14ac:dyDescent="0.3">
      <c r="A30">
        <v>6.95</v>
      </c>
      <c r="B30">
        <v>2.9</v>
      </c>
      <c r="C30">
        <f t="shared" si="0"/>
        <v>2.396551724137931</v>
      </c>
      <c r="D30" s="1">
        <f t="shared" si="1"/>
        <v>1945.2069609285099</v>
      </c>
      <c r="E30">
        <f t="shared" si="2"/>
        <v>2306.7061114510752</v>
      </c>
      <c r="F30">
        <v>2705.0010000000002</v>
      </c>
    </row>
    <row r="31" spans="1:6" x14ac:dyDescent="0.3">
      <c r="A31">
        <v>7.42</v>
      </c>
      <c r="B31">
        <v>3</v>
      </c>
      <c r="C31">
        <f t="shared" si="0"/>
        <v>2.4733333333333332</v>
      </c>
      <c r="D31" s="1">
        <f t="shared" si="1"/>
        <v>2002.2304393164688</v>
      </c>
      <c r="E31">
        <f t="shared" si="2"/>
        <v>2351.7471304992946</v>
      </c>
      <c r="F31">
        <v>2785.9319999999998</v>
      </c>
    </row>
    <row r="34" spans="1:2" x14ac:dyDescent="0.3">
      <c r="A34" t="s">
        <v>18</v>
      </c>
      <c r="B34" s="1">
        <v>9.2899999999999996E-3</v>
      </c>
    </row>
    <row r="35" spans="1:2" x14ac:dyDescent="0.3">
      <c r="A35" t="s">
        <v>19</v>
      </c>
      <c r="B35" s="1">
        <v>6.4000000000000004E-8</v>
      </c>
    </row>
    <row r="36" spans="1:2" x14ac:dyDescent="0.3">
      <c r="A36" t="s">
        <v>20</v>
      </c>
      <c r="B36" s="1">
        <v>1.4999999999999999E-4</v>
      </c>
    </row>
    <row r="37" spans="1:2" x14ac:dyDescent="0.3">
      <c r="A37" t="s">
        <v>21</v>
      </c>
      <c r="B37" s="1">
        <v>0.04</v>
      </c>
    </row>
    <row r="38" spans="1:2" x14ac:dyDescent="0.3">
      <c r="A38" t="s">
        <v>24</v>
      </c>
      <c r="B38" s="1">
        <v>5.6703600000000001E-8</v>
      </c>
    </row>
    <row r="39" spans="1:2" x14ac:dyDescent="0.3">
      <c r="A39" t="s">
        <v>25</v>
      </c>
      <c r="B39" s="1">
        <f>3.14*B37*B36</f>
        <v>1.8840000000000003E-5</v>
      </c>
    </row>
    <row r="40" spans="1:2" x14ac:dyDescent="0.3">
      <c r="A40" t="s">
        <v>26</v>
      </c>
      <c r="B40" s="1">
        <v>-13.574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6747-F6EA-41BE-BCAC-C8DA45589D98}">
  <dimension ref="A1:F20"/>
  <sheetViews>
    <sheetView zoomScale="115" zoomScaleNormal="115" workbookViewId="0">
      <selection activeCell="D16" sqref="D16"/>
    </sheetView>
  </sheetViews>
  <sheetFormatPr defaultRowHeight="14.4" x14ac:dyDescent="0.3"/>
  <sheetData>
    <row r="1" spans="1:6" x14ac:dyDescent="0.3">
      <c r="A1">
        <v>750</v>
      </c>
      <c r="B1">
        <f>POWER(A1,0.91)</f>
        <v>413.33839587581883</v>
      </c>
      <c r="D1">
        <v>7.4999999999999997E-2</v>
      </c>
      <c r="F1">
        <f>0.934</f>
        <v>0.93400000000000005</v>
      </c>
    </row>
    <row r="2" spans="1:6" x14ac:dyDescent="0.3">
      <c r="A2">
        <v>1000</v>
      </c>
      <c r="B2">
        <f t="shared" ref="B2:B7" si="0">POWER(A2,0.91)</f>
        <v>537.03179637025255</v>
      </c>
      <c r="D2">
        <v>0.11</v>
      </c>
    </row>
    <row r="3" spans="1:6" x14ac:dyDescent="0.3">
      <c r="A3">
        <v>1250</v>
      </c>
      <c r="B3">
        <f t="shared" si="0"/>
        <v>657.94275928267348</v>
      </c>
      <c r="D3">
        <v>0.15</v>
      </c>
    </row>
    <row r="4" spans="1:6" x14ac:dyDescent="0.3">
      <c r="A4">
        <v>2000</v>
      </c>
      <c r="B4">
        <f t="shared" si="0"/>
        <v>1009.1071794822384</v>
      </c>
      <c r="D4">
        <v>0.20499999999999999</v>
      </c>
    </row>
    <row r="5" spans="1:6" x14ac:dyDescent="0.3">
      <c r="A5">
        <v>2500</v>
      </c>
      <c r="B5">
        <f t="shared" si="0"/>
        <v>1236.3043800534208</v>
      </c>
      <c r="D5">
        <v>0.28000000000000003</v>
      </c>
    </row>
    <row r="6" spans="1:6" x14ac:dyDescent="0.3">
      <c r="A6">
        <v>3000</v>
      </c>
      <c r="B6">
        <f t="shared" si="0"/>
        <v>1459.4201620862323</v>
      </c>
      <c r="D6">
        <v>0.34499999999999997</v>
      </c>
    </row>
    <row r="7" spans="1:6" x14ac:dyDescent="0.3">
      <c r="A7">
        <v>3500</v>
      </c>
      <c r="B7">
        <f t="shared" si="0"/>
        <v>1679.1980465845961</v>
      </c>
      <c r="D7">
        <v>0.35099999999999998</v>
      </c>
    </row>
    <row r="10" spans="1:6" x14ac:dyDescent="0.3">
      <c r="A10" s="4">
        <v>0</v>
      </c>
      <c r="B10" s="3">
        <v>0</v>
      </c>
    </row>
    <row r="11" spans="1:6" x14ac:dyDescent="0.3">
      <c r="A11" s="4">
        <v>300</v>
      </c>
      <c r="B11" s="3">
        <v>3.2000000000000001E-2</v>
      </c>
    </row>
    <row r="12" spans="1:6" x14ac:dyDescent="0.3">
      <c r="A12" s="4">
        <v>1950</v>
      </c>
      <c r="B12" s="3">
        <v>0.25</v>
      </c>
    </row>
    <row r="13" spans="1:6" x14ac:dyDescent="0.3">
      <c r="A13" s="4">
        <v>1250</v>
      </c>
      <c r="B13" s="3">
        <v>0.15</v>
      </c>
    </row>
    <row r="14" spans="1:6" x14ac:dyDescent="0.3">
      <c r="A14" s="4"/>
    </row>
    <row r="15" spans="1:6" x14ac:dyDescent="0.3">
      <c r="A15" s="4">
        <v>750</v>
      </c>
      <c r="B15" s="3">
        <v>7.4999999999999997E-2</v>
      </c>
      <c r="C15" s="3">
        <v>7.4999999999999997E-2</v>
      </c>
      <c r="D15">
        <f>0.0002*POWER(A15,$F$1)</f>
        <v>9.690299847818229E-2</v>
      </c>
      <c r="E15" s="3">
        <v>7.4999999999999997E-2</v>
      </c>
      <c r="F15" s="3">
        <f>D15</f>
        <v>9.690299847818229E-2</v>
      </c>
    </row>
    <row r="16" spans="1:6" x14ac:dyDescent="0.3">
      <c r="A16" s="4">
        <v>937</v>
      </c>
      <c r="B16" s="3">
        <v>0.1</v>
      </c>
      <c r="C16" s="3">
        <v>0.1</v>
      </c>
      <c r="D16">
        <f t="shared" ref="D16:D20" si="1">0.0002*POWER(A16,$F$1)</f>
        <v>0.11929844243804269</v>
      </c>
      <c r="E16" s="3">
        <v>0.1</v>
      </c>
      <c r="F16" s="3">
        <f t="shared" ref="F16:F20" si="2">D16</f>
        <v>0.11929844243804269</v>
      </c>
    </row>
    <row r="17" spans="1:6" x14ac:dyDescent="0.3">
      <c r="A17" s="4">
        <v>1583</v>
      </c>
      <c r="B17" s="3">
        <v>0.2</v>
      </c>
      <c r="C17" s="3">
        <v>0.2</v>
      </c>
      <c r="D17">
        <f t="shared" si="1"/>
        <v>0.19469068365590372</v>
      </c>
      <c r="E17" s="3">
        <v>0.2</v>
      </c>
      <c r="F17" s="3">
        <f t="shared" si="2"/>
        <v>0.19469068365590372</v>
      </c>
    </row>
    <row r="18" spans="1:6" x14ac:dyDescent="0.3">
      <c r="A18" s="4">
        <v>1960</v>
      </c>
      <c r="B18" s="3">
        <v>0.25</v>
      </c>
      <c r="D18">
        <f t="shared" si="1"/>
        <v>0.23768247782436994</v>
      </c>
      <c r="E18" s="3">
        <v>0.25</v>
      </c>
      <c r="F18" s="3">
        <f t="shared" si="2"/>
        <v>0.23768247782436994</v>
      </c>
    </row>
    <row r="19" spans="1:6" x14ac:dyDescent="0.3">
      <c r="A19" s="4">
        <v>2300</v>
      </c>
      <c r="B19" s="3">
        <v>0.3</v>
      </c>
      <c r="D19">
        <f t="shared" si="1"/>
        <v>0.27598392988194909</v>
      </c>
      <c r="E19" s="3">
        <v>0.3</v>
      </c>
      <c r="F19" s="3">
        <f t="shared" si="2"/>
        <v>0.27598392988194909</v>
      </c>
    </row>
    <row r="20" spans="1:6" x14ac:dyDescent="0.3">
      <c r="A20" s="4">
        <v>3168</v>
      </c>
      <c r="B20" s="3">
        <v>0.35</v>
      </c>
      <c r="D20">
        <f t="shared" si="1"/>
        <v>0.37218884034522765</v>
      </c>
      <c r="E20" s="3">
        <v>0.35</v>
      </c>
      <c r="F20" s="3">
        <f t="shared" si="2"/>
        <v>0.37218884034522765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A493-8E93-408C-B775-A6E78679D03B}">
  <dimension ref="A1:BJ68"/>
  <sheetViews>
    <sheetView zoomScale="85" zoomScaleNormal="85" workbookViewId="0">
      <selection activeCell="BE2" sqref="BE2"/>
    </sheetView>
  </sheetViews>
  <sheetFormatPr defaultRowHeight="14.4" x14ac:dyDescent="0.3"/>
  <cols>
    <col min="57" max="57" width="9.21875" bestFit="1" customWidth="1"/>
  </cols>
  <sheetData>
    <row r="1" spans="1:62" x14ac:dyDescent="0.3">
      <c r="A1" t="s">
        <v>4</v>
      </c>
      <c r="I1" t="s">
        <v>10</v>
      </c>
      <c r="Q1" t="s">
        <v>11</v>
      </c>
      <c r="Y1" t="s">
        <v>12</v>
      </c>
      <c r="AG1" t="s">
        <v>13</v>
      </c>
      <c r="AO1" t="s">
        <v>14</v>
      </c>
      <c r="AW1" t="s">
        <v>16</v>
      </c>
      <c r="BE1" t="s">
        <v>29</v>
      </c>
      <c r="BG1" t="s">
        <v>33</v>
      </c>
    </row>
    <row r="2" spans="1:62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15</v>
      </c>
      <c r="I2" t="s">
        <v>5</v>
      </c>
      <c r="J2" t="s">
        <v>6</v>
      </c>
      <c r="K2" t="s">
        <v>7</v>
      </c>
      <c r="L2" t="s">
        <v>9</v>
      </c>
      <c r="M2" t="s">
        <v>8</v>
      </c>
      <c r="N2" t="s">
        <v>15</v>
      </c>
      <c r="Q2" t="s">
        <v>5</v>
      </c>
      <c r="R2" t="s">
        <v>6</v>
      </c>
      <c r="S2" t="s">
        <v>7</v>
      </c>
      <c r="T2" t="s">
        <v>9</v>
      </c>
      <c r="U2" t="s">
        <v>8</v>
      </c>
      <c r="V2" t="s">
        <v>15</v>
      </c>
      <c r="Y2" t="s">
        <v>5</v>
      </c>
      <c r="Z2" t="s">
        <v>6</v>
      </c>
      <c r="AA2" t="s">
        <v>7</v>
      </c>
      <c r="AB2" t="s">
        <v>9</v>
      </c>
      <c r="AC2" t="s">
        <v>8</v>
      </c>
      <c r="AD2" t="s">
        <v>15</v>
      </c>
      <c r="AG2" t="s">
        <v>5</v>
      </c>
      <c r="AH2" t="s">
        <v>6</v>
      </c>
      <c r="AI2" t="s">
        <v>7</v>
      </c>
      <c r="AJ2" t="s">
        <v>9</v>
      </c>
      <c r="AK2" t="s">
        <v>8</v>
      </c>
      <c r="AL2" t="s">
        <v>15</v>
      </c>
      <c r="AO2" t="s">
        <v>5</v>
      </c>
      <c r="AP2" t="s">
        <v>6</v>
      </c>
      <c r="AQ2" t="s">
        <v>7</v>
      </c>
      <c r="AR2" t="s">
        <v>9</v>
      </c>
      <c r="AS2" t="s">
        <v>8</v>
      </c>
      <c r="AT2" t="s">
        <v>15</v>
      </c>
      <c r="AW2" t="s">
        <v>5</v>
      </c>
      <c r="AX2" t="s">
        <v>6</v>
      </c>
      <c r="AY2" t="s">
        <v>7</v>
      </c>
      <c r="AZ2" t="s">
        <v>9</v>
      </c>
      <c r="BA2" t="s">
        <v>8</v>
      </c>
      <c r="BB2" t="s">
        <v>15</v>
      </c>
      <c r="BE2" s="1">
        <v>-4.0885999999999996</v>
      </c>
      <c r="BG2" s="1">
        <f>10^BE2</f>
        <v>8.1545500006111743E-5</v>
      </c>
    </row>
    <row r="3" spans="1:62" x14ac:dyDescent="0.3">
      <c r="A3">
        <v>1</v>
      </c>
      <c r="B3">
        <v>78</v>
      </c>
      <c r="C3">
        <f>B3*0.000001</f>
        <v>7.7999999999999999E-5</v>
      </c>
      <c r="D3">
        <f>LOG10(A3)</f>
        <v>0</v>
      </c>
      <c r="E3">
        <f>LOG10(C3)</f>
        <v>-4.1079053973095192</v>
      </c>
      <c r="F3">
        <f>A3^(3/2)</f>
        <v>1</v>
      </c>
      <c r="G3">
        <f>C3</f>
        <v>7.7999999999999999E-5</v>
      </c>
      <c r="I3">
        <v>1</v>
      </c>
      <c r="J3">
        <v>75.8</v>
      </c>
      <c r="K3">
        <f>J3*0.000001</f>
        <v>7.5799999999999999E-5</v>
      </c>
      <c r="L3">
        <f>LOG10(I3)</f>
        <v>0</v>
      </c>
      <c r="M3">
        <f>LOG10(K3)</f>
        <v>-4.1203307943679466</v>
      </c>
      <c r="N3">
        <f>I3^(3/2)</f>
        <v>1</v>
      </c>
      <c r="O3">
        <f>K3</f>
        <v>7.5799999999999999E-5</v>
      </c>
      <c r="Q3">
        <v>1</v>
      </c>
      <c r="R3">
        <v>72</v>
      </c>
      <c r="S3">
        <f>R3*0.000001</f>
        <v>7.2000000000000002E-5</v>
      </c>
      <c r="T3">
        <f>LOG10(Q3)</f>
        <v>0</v>
      </c>
      <c r="U3">
        <f>LOG10(S3)</f>
        <v>-4.1426675035687319</v>
      </c>
      <c r="V3">
        <f>Q3^(3/2)</f>
        <v>1</v>
      </c>
      <c r="W3">
        <f>S3</f>
        <v>7.2000000000000002E-5</v>
      </c>
      <c r="Y3">
        <v>1</v>
      </c>
      <c r="Z3">
        <v>75</v>
      </c>
      <c r="AA3">
        <f>Z3*0.000001</f>
        <v>7.4999999999999993E-5</v>
      </c>
      <c r="AB3">
        <f>LOG10(Y3)</f>
        <v>0</v>
      </c>
      <c r="AC3">
        <f>LOG10(AA3)</f>
        <v>-4.1249387366082999</v>
      </c>
      <c r="AD3">
        <f>Y3^(3/2)</f>
        <v>1</v>
      </c>
      <c r="AE3">
        <f>AA3</f>
        <v>7.4999999999999993E-5</v>
      </c>
      <c r="AG3">
        <v>1</v>
      </c>
      <c r="AH3">
        <v>88</v>
      </c>
      <c r="AI3">
        <f>AH3*0.000001</f>
        <v>8.7999999999999998E-5</v>
      </c>
      <c r="AJ3">
        <f>LOG10(AG3)</f>
        <v>0</v>
      </c>
      <c r="AK3">
        <f>LOG10(AI3)</f>
        <v>-4.0555173278498318</v>
      </c>
      <c r="AL3">
        <f>AG3^(3/2)</f>
        <v>1</v>
      </c>
      <c r="AM3">
        <f>AI3</f>
        <v>8.7999999999999998E-5</v>
      </c>
      <c r="AO3">
        <v>1</v>
      </c>
      <c r="AP3">
        <v>83</v>
      </c>
      <c r="AQ3">
        <f>AP3*0.000001</f>
        <v>8.2999999999999998E-5</v>
      </c>
      <c r="AR3">
        <f>LOG10(AO3)</f>
        <v>0</v>
      </c>
      <c r="AS3">
        <f>LOG10(AQ3)</f>
        <v>-4.0809219076239263</v>
      </c>
      <c r="AT3">
        <f>AO3^(3/2)</f>
        <v>1</v>
      </c>
      <c r="AU3">
        <f>AQ3</f>
        <v>8.2999999999999998E-5</v>
      </c>
      <c r="AW3">
        <v>1</v>
      </c>
      <c r="AX3">
        <v>82</v>
      </c>
      <c r="AY3">
        <f>AX3*0.000001</f>
        <v>8.2000000000000001E-5</v>
      </c>
      <c r="AZ3">
        <f>LOG10(AW3)</f>
        <v>0</v>
      </c>
      <c r="BA3">
        <f>LOG10(AY3)</f>
        <v>-4.0861861476162833</v>
      </c>
      <c r="BB3">
        <f>AW3^(3/2)</f>
        <v>1</v>
      </c>
      <c r="BC3">
        <f>AY3</f>
        <v>8.2000000000000001E-5</v>
      </c>
      <c r="BE3" s="1">
        <v>-4.1280999999999999</v>
      </c>
      <c r="BG3" s="1">
        <f t="shared" ref="BG3:BG6" si="0">10^BE3</f>
        <v>7.4456051277279982E-5</v>
      </c>
    </row>
    <row r="4" spans="1:62" x14ac:dyDescent="0.3">
      <c r="A4">
        <v>2</v>
      </c>
      <c r="B4">
        <v>155</v>
      </c>
      <c r="C4">
        <f t="shared" ref="C4:C21" si="1">B4*0.000001</f>
        <v>1.55E-4</v>
      </c>
      <c r="D4">
        <f t="shared" ref="D4:D21" si="2">LOG10(A4)</f>
        <v>0.3010299956639812</v>
      </c>
      <c r="E4">
        <f t="shared" ref="E4:E21" si="3">LOG10(C4)</f>
        <v>-3.8096683018297086</v>
      </c>
      <c r="F4">
        <f t="shared" ref="F4:F21" si="4">A4^(3/2)</f>
        <v>2.8284271247461898</v>
      </c>
      <c r="G4">
        <f t="shared" ref="G4:G21" si="5">C4</f>
        <v>1.55E-4</v>
      </c>
      <c r="I4">
        <v>2</v>
      </c>
      <c r="J4">
        <v>135</v>
      </c>
      <c r="K4">
        <f t="shared" ref="K4:K21" si="6">J4*0.000001</f>
        <v>1.35E-4</v>
      </c>
      <c r="L4">
        <f t="shared" ref="L4:L14" si="7">LOG10(I4)</f>
        <v>0.3010299956639812</v>
      </c>
      <c r="M4">
        <f t="shared" ref="M4:M21" si="8">LOG10(K4)</f>
        <v>-3.8696662315049939</v>
      </c>
      <c r="N4">
        <f t="shared" ref="N4:N21" si="9">I4^(3/2)</f>
        <v>2.8284271247461898</v>
      </c>
      <c r="O4">
        <f t="shared" ref="O4:O21" si="10">K4</f>
        <v>1.35E-4</v>
      </c>
      <c r="Q4">
        <v>2</v>
      </c>
      <c r="R4">
        <v>224</v>
      </c>
      <c r="S4">
        <f t="shared" ref="S4:S21" si="11">R4*0.000001</f>
        <v>2.24E-4</v>
      </c>
      <c r="T4">
        <f t="shared" ref="T4:T14" si="12">LOG10(Q4)</f>
        <v>0.3010299956639812</v>
      </c>
      <c r="U4">
        <f t="shared" ref="U4:U21" si="13">LOG10(S4)</f>
        <v>-3.6497519816658373</v>
      </c>
      <c r="V4">
        <f t="shared" ref="V4:V21" si="14">Q4^(3/2)</f>
        <v>2.8284271247461898</v>
      </c>
      <c r="W4">
        <f t="shared" ref="W4:W21" si="15">S4</f>
        <v>2.24E-4</v>
      </c>
      <c r="Y4">
        <v>2</v>
      </c>
      <c r="Z4">
        <v>152</v>
      </c>
      <c r="AA4">
        <f t="shared" ref="AA4:AA21" si="16">Z4*0.000001</f>
        <v>1.5199999999999998E-4</v>
      </c>
      <c r="AB4">
        <f t="shared" ref="AB4:AB14" si="17">LOG10(Y4)</f>
        <v>0.3010299956639812</v>
      </c>
      <c r="AC4">
        <f t="shared" ref="AC4:AC21" si="18">LOG10(AA4)</f>
        <v>-3.8181564120552274</v>
      </c>
      <c r="AD4">
        <f t="shared" ref="AD4:AD21" si="19">Y4^(3/2)</f>
        <v>2.8284271247461898</v>
      </c>
      <c r="AE4">
        <f t="shared" ref="AE4:AE21" si="20">AA4</f>
        <v>1.5199999999999998E-4</v>
      </c>
      <c r="AG4">
        <v>2</v>
      </c>
      <c r="AH4">
        <v>142</v>
      </c>
      <c r="AI4">
        <f t="shared" ref="AI4:AI21" si="21">AH4*0.000001</f>
        <v>1.4199999999999998E-4</v>
      </c>
      <c r="AJ4">
        <f t="shared" ref="AJ4:AJ14" si="22">LOG10(AG4)</f>
        <v>0.3010299956639812</v>
      </c>
      <c r="AK4">
        <f t="shared" ref="AK4:AK21" si="23">LOG10(AI4)</f>
        <v>-3.8477116556169437</v>
      </c>
      <c r="AL4">
        <f t="shared" ref="AL4:AL21" si="24">AG4^(3/2)</f>
        <v>2.8284271247461898</v>
      </c>
      <c r="AM4">
        <f t="shared" ref="AM4:AM21" si="25">AI4</f>
        <v>1.4199999999999998E-4</v>
      </c>
      <c r="AO4">
        <v>2</v>
      </c>
      <c r="AP4">
        <v>190</v>
      </c>
      <c r="AQ4">
        <f t="shared" ref="AQ4:AQ21" si="26">AP4*0.000001</f>
        <v>1.8999999999999998E-4</v>
      </c>
      <c r="AR4">
        <f t="shared" ref="AR4:AR14" si="27">LOG10(AO4)</f>
        <v>0.3010299956639812</v>
      </c>
      <c r="AS4">
        <f t="shared" ref="AS4:AS21" si="28">LOG10(AQ4)</f>
        <v>-3.7212463990471711</v>
      </c>
      <c r="AT4">
        <f t="shared" ref="AT4:AT21" si="29">AO4^(3/2)</f>
        <v>2.8284271247461898</v>
      </c>
      <c r="AU4">
        <f t="shared" ref="AU4:AU21" si="30">AQ4</f>
        <v>1.8999999999999998E-4</v>
      </c>
      <c r="AW4">
        <v>2</v>
      </c>
      <c r="AX4">
        <v>165</v>
      </c>
      <c r="AY4">
        <f t="shared" ref="AY4:AY19" si="31">AX4*0.000001</f>
        <v>1.65E-4</v>
      </c>
      <c r="AZ4">
        <f t="shared" ref="AZ4:AZ14" si="32">LOG10(AW4)</f>
        <v>0.3010299956639812</v>
      </c>
      <c r="BA4">
        <f t="shared" ref="BA4:BA19" si="33">LOG10(AY4)</f>
        <v>-3.7825160557860937</v>
      </c>
      <c r="BB4">
        <f t="shared" ref="BB4:BB19" si="34">AW4^(3/2)</f>
        <v>2.8284271247461898</v>
      </c>
      <c r="BC4">
        <f t="shared" ref="BC4:BC19" si="35">AY4</f>
        <v>1.65E-4</v>
      </c>
      <c r="BE4" s="1">
        <v>-4.1249000000000002</v>
      </c>
      <c r="BG4" s="1">
        <f t="shared" si="0"/>
        <v>7.5006689873606734E-5</v>
      </c>
    </row>
    <row r="5" spans="1:62" x14ac:dyDescent="0.3">
      <c r="A5">
        <v>3</v>
      </c>
      <c r="B5">
        <v>197</v>
      </c>
      <c r="C5">
        <f t="shared" si="1"/>
        <v>1.9699999999999999E-4</v>
      </c>
      <c r="D5">
        <f t="shared" si="2"/>
        <v>0.47712125471966244</v>
      </c>
      <c r="E5">
        <f t="shared" si="3"/>
        <v>-3.7055337738384071</v>
      </c>
      <c r="F5">
        <f t="shared" si="4"/>
        <v>5.196152422706632</v>
      </c>
      <c r="G5">
        <f t="shared" si="5"/>
        <v>1.9699999999999999E-4</v>
      </c>
      <c r="I5">
        <v>3</v>
      </c>
      <c r="J5">
        <v>304</v>
      </c>
      <c r="K5">
        <f t="shared" si="6"/>
        <v>3.0399999999999996E-4</v>
      </c>
      <c r="L5">
        <f t="shared" si="7"/>
        <v>0.47712125471966244</v>
      </c>
      <c r="M5">
        <f t="shared" si="8"/>
        <v>-3.5171264163912461</v>
      </c>
      <c r="N5">
        <f t="shared" si="9"/>
        <v>5.196152422706632</v>
      </c>
      <c r="O5">
        <f t="shared" si="10"/>
        <v>3.0399999999999996E-4</v>
      </c>
      <c r="Q5">
        <v>3</v>
      </c>
      <c r="R5">
        <v>331</v>
      </c>
      <c r="S5">
        <f t="shared" si="11"/>
        <v>3.3099999999999997E-4</v>
      </c>
      <c r="T5">
        <f t="shared" si="12"/>
        <v>0.47712125471966244</v>
      </c>
      <c r="U5">
        <f t="shared" si="13"/>
        <v>-3.4801720062242811</v>
      </c>
      <c r="V5">
        <f t="shared" si="14"/>
        <v>5.196152422706632</v>
      </c>
      <c r="W5">
        <f t="shared" si="15"/>
        <v>3.3099999999999997E-4</v>
      </c>
      <c r="Y5">
        <v>3</v>
      </c>
      <c r="Z5">
        <v>449</v>
      </c>
      <c r="AA5">
        <f t="shared" si="16"/>
        <v>4.4899999999999996E-4</v>
      </c>
      <c r="AB5">
        <f t="shared" si="17"/>
        <v>0.47712125471966244</v>
      </c>
      <c r="AC5">
        <f t="shared" si="18"/>
        <v>-3.3477536589966768</v>
      </c>
      <c r="AD5">
        <f t="shared" si="19"/>
        <v>5.196152422706632</v>
      </c>
      <c r="AE5">
        <f t="shared" si="20"/>
        <v>4.4899999999999996E-4</v>
      </c>
      <c r="AG5">
        <v>3</v>
      </c>
      <c r="AH5">
        <v>328</v>
      </c>
      <c r="AI5">
        <f t="shared" si="21"/>
        <v>3.28E-4</v>
      </c>
      <c r="AJ5">
        <f t="shared" si="22"/>
        <v>0.47712125471966244</v>
      </c>
      <c r="AK5">
        <f t="shared" si="23"/>
        <v>-3.4841261562883208</v>
      </c>
      <c r="AL5">
        <f t="shared" si="24"/>
        <v>5.196152422706632</v>
      </c>
      <c r="AM5">
        <f t="shared" si="25"/>
        <v>3.28E-4</v>
      </c>
      <c r="AO5">
        <v>3</v>
      </c>
      <c r="AP5">
        <v>310</v>
      </c>
      <c r="AQ5">
        <f t="shared" si="26"/>
        <v>3.1E-4</v>
      </c>
      <c r="AR5">
        <f t="shared" si="27"/>
        <v>0.47712125471966244</v>
      </c>
      <c r="AS5">
        <f t="shared" si="28"/>
        <v>-3.5086383061657274</v>
      </c>
      <c r="AT5">
        <f t="shared" si="29"/>
        <v>5.196152422706632</v>
      </c>
      <c r="AU5">
        <f t="shared" si="30"/>
        <v>3.1E-4</v>
      </c>
      <c r="AW5">
        <v>3</v>
      </c>
      <c r="AX5">
        <v>360</v>
      </c>
      <c r="AY5">
        <f t="shared" si="31"/>
        <v>3.5999999999999997E-4</v>
      </c>
      <c r="AZ5">
        <f t="shared" si="32"/>
        <v>0.47712125471966244</v>
      </c>
      <c r="BA5">
        <f t="shared" si="33"/>
        <v>-3.4436974992327127</v>
      </c>
      <c r="BB5">
        <f t="shared" si="34"/>
        <v>5.196152422706632</v>
      </c>
      <c r="BC5">
        <f t="shared" si="35"/>
        <v>3.5999999999999997E-4</v>
      </c>
      <c r="BE5" s="1">
        <v>-4.0555000000000003</v>
      </c>
      <c r="BG5" s="1">
        <f t="shared" si="0"/>
        <v>8.8003511168732062E-5</v>
      </c>
      <c r="BH5" t="s">
        <v>30</v>
      </c>
      <c r="BI5" t="s">
        <v>28</v>
      </c>
      <c r="BJ5" s="1">
        <v>8.0519000000000006E-5</v>
      </c>
    </row>
    <row r="6" spans="1:62" x14ac:dyDescent="0.3">
      <c r="A6">
        <v>4</v>
      </c>
      <c r="B6">
        <v>236</v>
      </c>
      <c r="C6">
        <f t="shared" si="1"/>
        <v>2.3599999999999999E-4</v>
      </c>
      <c r="D6">
        <f t="shared" si="2"/>
        <v>0.6020599913279624</v>
      </c>
      <c r="E6">
        <f t="shared" si="3"/>
        <v>-3.6270879970298933</v>
      </c>
      <c r="F6">
        <f t="shared" si="4"/>
        <v>7.9999999999999982</v>
      </c>
      <c r="G6">
        <f t="shared" si="5"/>
        <v>2.3599999999999999E-4</v>
      </c>
      <c r="I6">
        <v>4</v>
      </c>
      <c r="J6">
        <v>464</v>
      </c>
      <c r="K6">
        <f t="shared" si="6"/>
        <v>4.64E-4</v>
      </c>
      <c r="L6">
        <f t="shared" si="7"/>
        <v>0.6020599913279624</v>
      </c>
      <c r="M6">
        <f t="shared" si="8"/>
        <v>-3.3334820194451193</v>
      </c>
      <c r="N6">
        <f t="shared" si="9"/>
        <v>7.9999999999999982</v>
      </c>
      <c r="O6">
        <f t="shared" si="10"/>
        <v>4.64E-4</v>
      </c>
      <c r="Q6">
        <v>4</v>
      </c>
      <c r="R6">
        <v>532</v>
      </c>
      <c r="S6">
        <f t="shared" si="11"/>
        <v>5.3200000000000003E-4</v>
      </c>
      <c r="T6">
        <f t="shared" si="12"/>
        <v>0.6020599913279624</v>
      </c>
      <c r="U6">
        <f t="shared" si="13"/>
        <v>-3.2740883677049517</v>
      </c>
      <c r="V6">
        <f t="shared" si="14"/>
        <v>7.9999999999999982</v>
      </c>
      <c r="W6">
        <f t="shared" si="15"/>
        <v>5.3200000000000003E-4</v>
      </c>
      <c r="Y6">
        <v>4</v>
      </c>
      <c r="Z6">
        <v>561</v>
      </c>
      <c r="AA6">
        <f t="shared" si="16"/>
        <v>5.6099999999999998E-4</v>
      </c>
      <c r="AB6">
        <f t="shared" si="17"/>
        <v>0.6020599913279624</v>
      </c>
      <c r="AC6">
        <f t="shared" si="18"/>
        <v>-3.2510371387438388</v>
      </c>
      <c r="AD6">
        <f t="shared" si="19"/>
        <v>7.9999999999999982</v>
      </c>
      <c r="AE6">
        <f t="shared" si="20"/>
        <v>5.6099999999999998E-4</v>
      </c>
      <c r="AG6">
        <v>4</v>
      </c>
      <c r="AH6">
        <v>523</v>
      </c>
      <c r="AI6">
        <f t="shared" si="21"/>
        <v>5.2300000000000003E-4</v>
      </c>
      <c r="AJ6">
        <f t="shared" si="22"/>
        <v>0.6020599913279624</v>
      </c>
      <c r="AK6">
        <f t="shared" si="23"/>
        <v>-3.2814983111327258</v>
      </c>
      <c r="AL6">
        <f t="shared" si="24"/>
        <v>7.9999999999999982</v>
      </c>
      <c r="AM6">
        <f t="shared" si="25"/>
        <v>5.2300000000000003E-4</v>
      </c>
      <c r="AO6">
        <v>4</v>
      </c>
      <c r="AP6">
        <v>538</v>
      </c>
      <c r="AQ6">
        <f t="shared" si="26"/>
        <v>5.3799999999999996E-4</v>
      </c>
      <c r="AR6">
        <f t="shared" si="27"/>
        <v>0.6020599913279624</v>
      </c>
      <c r="AS6">
        <f t="shared" si="28"/>
        <v>-3.2692177243336107</v>
      </c>
      <c r="AT6">
        <f t="shared" si="29"/>
        <v>7.9999999999999982</v>
      </c>
      <c r="AU6">
        <f t="shared" si="30"/>
        <v>5.3799999999999996E-4</v>
      </c>
      <c r="AW6">
        <v>4</v>
      </c>
      <c r="AX6">
        <v>537</v>
      </c>
      <c r="AY6">
        <f t="shared" si="31"/>
        <v>5.3699999999999993E-4</v>
      </c>
      <c r="AZ6">
        <f t="shared" si="32"/>
        <v>0.6020599913279624</v>
      </c>
      <c r="BA6">
        <f t="shared" si="33"/>
        <v>-3.2700257143004445</v>
      </c>
      <c r="BB6">
        <f t="shared" si="34"/>
        <v>7.9999999999999982</v>
      </c>
      <c r="BC6">
        <f t="shared" si="35"/>
        <v>5.3699999999999993E-4</v>
      </c>
      <c r="BE6" s="1">
        <v>-4.0812999999999997</v>
      </c>
      <c r="BG6" s="1">
        <f t="shared" si="0"/>
        <v>8.2927772485712374E-5</v>
      </c>
      <c r="BI6" t="s">
        <v>31</v>
      </c>
      <c r="BJ6" s="1">
        <v>8.7999999999999998E-5</v>
      </c>
    </row>
    <row r="7" spans="1:62" x14ac:dyDescent="0.3">
      <c r="A7">
        <v>5</v>
      </c>
      <c r="B7">
        <v>247</v>
      </c>
      <c r="C7">
        <f t="shared" si="1"/>
        <v>2.4699999999999999E-4</v>
      </c>
      <c r="D7">
        <f t="shared" si="2"/>
        <v>0.69897000433601886</v>
      </c>
      <c r="E7">
        <f t="shared" si="3"/>
        <v>-3.6073030467403342</v>
      </c>
      <c r="F7">
        <f t="shared" si="4"/>
        <v>11.180339887498945</v>
      </c>
      <c r="G7">
        <f t="shared" si="5"/>
        <v>2.4699999999999999E-4</v>
      </c>
      <c r="I7">
        <v>5</v>
      </c>
      <c r="J7">
        <v>645</v>
      </c>
      <c r="K7">
        <f t="shared" si="6"/>
        <v>6.4499999999999996E-4</v>
      </c>
      <c r="L7">
        <f t="shared" si="7"/>
        <v>0.69897000433601886</v>
      </c>
      <c r="M7">
        <f t="shared" si="8"/>
        <v>-3.1904402853647325</v>
      </c>
      <c r="N7">
        <f t="shared" si="9"/>
        <v>11.180339887498945</v>
      </c>
      <c r="O7">
        <f t="shared" si="10"/>
        <v>6.4499999999999996E-4</v>
      </c>
      <c r="Q7">
        <v>5</v>
      </c>
      <c r="R7">
        <v>765</v>
      </c>
      <c r="S7">
        <f t="shared" si="11"/>
        <v>7.6499999999999995E-4</v>
      </c>
      <c r="T7">
        <f t="shared" si="12"/>
        <v>0.69897000433601886</v>
      </c>
      <c r="U7">
        <f t="shared" si="13"/>
        <v>-3.1163385648463824</v>
      </c>
      <c r="V7">
        <f t="shared" si="14"/>
        <v>11.180339887498945</v>
      </c>
      <c r="W7">
        <f t="shared" si="15"/>
        <v>7.6499999999999995E-4</v>
      </c>
      <c r="Y7">
        <v>5</v>
      </c>
      <c r="Z7">
        <v>862</v>
      </c>
      <c r="AA7">
        <f t="shared" si="16"/>
        <v>8.6199999999999992E-4</v>
      </c>
      <c r="AB7">
        <f t="shared" si="17"/>
        <v>0.69897000433601886</v>
      </c>
      <c r="AC7">
        <f t="shared" si="18"/>
        <v>-3.0644927341752872</v>
      </c>
      <c r="AD7">
        <f t="shared" si="19"/>
        <v>11.180339887498945</v>
      </c>
      <c r="AE7">
        <f t="shared" si="20"/>
        <v>8.6199999999999992E-4</v>
      </c>
      <c r="AG7">
        <v>5</v>
      </c>
      <c r="AH7">
        <v>867</v>
      </c>
      <c r="AI7">
        <f t="shared" si="21"/>
        <v>8.6699999999999993E-4</v>
      </c>
      <c r="AJ7">
        <f t="shared" si="22"/>
        <v>0.69897000433601886</v>
      </c>
      <c r="AK7">
        <f t="shared" si="23"/>
        <v>-3.0619809025237896</v>
      </c>
      <c r="AL7">
        <f t="shared" si="24"/>
        <v>11.180339887498945</v>
      </c>
      <c r="AM7">
        <f t="shared" si="25"/>
        <v>8.6699999999999993E-4</v>
      </c>
      <c r="AO7">
        <v>5</v>
      </c>
      <c r="AP7">
        <v>750</v>
      </c>
      <c r="AQ7">
        <f t="shared" si="26"/>
        <v>7.5000000000000002E-4</v>
      </c>
      <c r="AR7">
        <f t="shared" si="27"/>
        <v>0.69897000433601886</v>
      </c>
      <c r="AS7">
        <f t="shared" si="28"/>
        <v>-3.1249387366082999</v>
      </c>
      <c r="AT7">
        <f t="shared" si="29"/>
        <v>11.180339887498945</v>
      </c>
      <c r="AU7">
        <f t="shared" si="30"/>
        <v>7.5000000000000002E-4</v>
      </c>
      <c r="AW7">
        <v>5</v>
      </c>
      <c r="AX7">
        <v>630</v>
      </c>
      <c r="AY7">
        <f t="shared" si="31"/>
        <v>6.2999999999999992E-4</v>
      </c>
      <c r="AZ7">
        <f t="shared" si="32"/>
        <v>0.69897000433601886</v>
      </c>
      <c r="BA7">
        <f t="shared" si="33"/>
        <v>-3.2006594505464183</v>
      </c>
      <c r="BB7">
        <f t="shared" si="34"/>
        <v>11.180339887498945</v>
      </c>
      <c r="BC7">
        <f t="shared" si="35"/>
        <v>6.2999999999999992E-4</v>
      </c>
      <c r="BE7" s="1">
        <v>-4.0861999999999998</v>
      </c>
    </row>
    <row r="8" spans="1:62" x14ac:dyDescent="0.3">
      <c r="A8">
        <v>10</v>
      </c>
      <c r="B8">
        <v>262</v>
      </c>
      <c r="C8">
        <f t="shared" si="1"/>
        <v>2.6199999999999997E-4</v>
      </c>
      <c r="D8">
        <f t="shared" si="2"/>
        <v>1</v>
      </c>
      <c r="E8">
        <f t="shared" si="3"/>
        <v>-3.5816987086802548</v>
      </c>
      <c r="F8">
        <f t="shared" si="4"/>
        <v>31.622776601683803</v>
      </c>
      <c r="G8">
        <f t="shared" si="5"/>
        <v>2.6199999999999997E-4</v>
      </c>
      <c r="I8">
        <v>10</v>
      </c>
      <c r="J8">
        <v>856</v>
      </c>
      <c r="K8">
        <f t="shared" si="6"/>
        <v>8.5599999999999999E-4</v>
      </c>
      <c r="L8">
        <f t="shared" si="7"/>
        <v>1</v>
      </c>
      <c r="M8">
        <f t="shared" si="8"/>
        <v>-3.067526235322847</v>
      </c>
      <c r="N8">
        <f t="shared" si="9"/>
        <v>31.622776601683803</v>
      </c>
      <c r="O8">
        <f t="shared" si="10"/>
        <v>8.5599999999999999E-4</v>
      </c>
      <c r="Q8">
        <v>10</v>
      </c>
      <c r="R8">
        <v>1947</v>
      </c>
      <c r="S8">
        <f t="shared" si="11"/>
        <v>1.9469999999999999E-3</v>
      </c>
      <c r="T8">
        <f t="shared" si="12"/>
        <v>1</v>
      </c>
      <c r="U8">
        <f t="shared" si="13"/>
        <v>-2.7106340484799682</v>
      </c>
      <c r="V8">
        <f t="shared" si="14"/>
        <v>31.622776601683803</v>
      </c>
      <c r="W8">
        <f t="shared" si="15"/>
        <v>1.9469999999999999E-3</v>
      </c>
      <c r="Y8">
        <v>10</v>
      </c>
      <c r="Z8">
        <v>2260</v>
      </c>
      <c r="AA8">
        <f t="shared" si="16"/>
        <v>2.2599999999999999E-3</v>
      </c>
      <c r="AB8">
        <f t="shared" si="17"/>
        <v>1</v>
      </c>
      <c r="AC8">
        <f t="shared" si="18"/>
        <v>-2.6458915608525992</v>
      </c>
      <c r="AD8">
        <f t="shared" si="19"/>
        <v>31.622776601683803</v>
      </c>
      <c r="AE8">
        <f t="shared" si="20"/>
        <v>2.2599999999999999E-3</v>
      </c>
      <c r="AG8">
        <v>10</v>
      </c>
      <c r="AH8">
        <v>2260</v>
      </c>
      <c r="AI8">
        <f t="shared" si="21"/>
        <v>2.2599999999999999E-3</v>
      </c>
      <c r="AJ8">
        <f t="shared" si="22"/>
        <v>1</v>
      </c>
      <c r="AK8">
        <f t="shared" si="23"/>
        <v>-2.6458915608525992</v>
      </c>
      <c r="AL8">
        <f t="shared" si="24"/>
        <v>31.622776601683803</v>
      </c>
      <c r="AM8">
        <f t="shared" si="25"/>
        <v>2.2599999999999999E-3</v>
      </c>
      <c r="AO8">
        <v>10</v>
      </c>
      <c r="AP8">
        <v>2310</v>
      </c>
      <c r="AQ8">
        <f t="shared" si="26"/>
        <v>2.31E-3</v>
      </c>
      <c r="AR8">
        <f t="shared" si="27"/>
        <v>1</v>
      </c>
      <c r="AS8">
        <f t="shared" si="28"/>
        <v>-2.6363880201078556</v>
      </c>
      <c r="AT8">
        <f t="shared" si="29"/>
        <v>31.622776601683803</v>
      </c>
      <c r="AU8">
        <f t="shared" si="30"/>
        <v>2.31E-3</v>
      </c>
      <c r="AW8">
        <v>10</v>
      </c>
      <c r="AX8">
        <v>2120</v>
      </c>
      <c r="AY8">
        <f t="shared" si="31"/>
        <v>2.1199999999999999E-3</v>
      </c>
      <c r="AZ8">
        <f t="shared" si="32"/>
        <v>1</v>
      </c>
      <c r="BA8">
        <f t="shared" si="33"/>
        <v>-2.6736641390712488</v>
      </c>
      <c r="BB8">
        <f t="shared" si="34"/>
        <v>31.622776601683803</v>
      </c>
      <c r="BC8">
        <f t="shared" si="35"/>
        <v>2.1199999999999999E-3</v>
      </c>
      <c r="BE8" s="1"/>
    </row>
    <row r="9" spans="1:62" x14ac:dyDescent="0.3">
      <c r="A9">
        <v>20</v>
      </c>
      <c r="B9">
        <v>273</v>
      </c>
      <c r="C9">
        <f t="shared" si="1"/>
        <v>2.7299999999999997E-4</v>
      </c>
      <c r="D9">
        <f t="shared" si="2"/>
        <v>1.3010299956639813</v>
      </c>
      <c r="E9">
        <f t="shared" si="3"/>
        <v>-3.563837352959244</v>
      </c>
      <c r="F9">
        <f t="shared" si="4"/>
        <v>89.442719099991592</v>
      </c>
      <c r="G9">
        <f t="shared" si="5"/>
        <v>2.7299999999999997E-4</v>
      </c>
      <c r="I9">
        <v>20</v>
      </c>
      <c r="J9">
        <v>904</v>
      </c>
      <c r="K9">
        <f t="shared" si="6"/>
        <v>9.0399999999999996E-4</v>
      </c>
      <c r="L9">
        <f t="shared" si="7"/>
        <v>1.3010299956639813</v>
      </c>
      <c r="M9">
        <f t="shared" si="8"/>
        <v>-3.0438315695246367</v>
      </c>
      <c r="N9">
        <f t="shared" si="9"/>
        <v>89.442719099991592</v>
      </c>
      <c r="O9">
        <f t="shared" si="10"/>
        <v>9.0399999999999996E-4</v>
      </c>
      <c r="Q9">
        <v>20</v>
      </c>
      <c r="R9">
        <v>2730</v>
      </c>
      <c r="S9">
        <f t="shared" si="11"/>
        <v>2.7299999999999998E-3</v>
      </c>
      <c r="T9">
        <f t="shared" si="12"/>
        <v>1.3010299956639813</v>
      </c>
      <c r="U9">
        <f t="shared" si="13"/>
        <v>-2.563837352959244</v>
      </c>
      <c r="V9">
        <f t="shared" si="14"/>
        <v>89.442719099991592</v>
      </c>
      <c r="W9">
        <f t="shared" si="15"/>
        <v>2.7299999999999998E-3</v>
      </c>
      <c r="Y9">
        <v>20</v>
      </c>
      <c r="Z9">
        <v>6700</v>
      </c>
      <c r="AA9">
        <f t="shared" si="16"/>
        <v>6.6999999999999994E-3</v>
      </c>
      <c r="AB9">
        <f t="shared" si="17"/>
        <v>1.3010299956639813</v>
      </c>
      <c r="AC9">
        <f t="shared" si="18"/>
        <v>-2.1739251972991736</v>
      </c>
      <c r="AD9">
        <f t="shared" si="19"/>
        <v>89.442719099991592</v>
      </c>
      <c r="AE9">
        <f t="shared" si="20"/>
        <v>6.6999999999999994E-3</v>
      </c>
      <c r="AG9">
        <v>20</v>
      </c>
      <c r="AH9">
        <v>7600</v>
      </c>
      <c r="AI9">
        <f t="shared" si="21"/>
        <v>7.6E-3</v>
      </c>
      <c r="AJ9">
        <f t="shared" si="22"/>
        <v>1.3010299956639813</v>
      </c>
      <c r="AK9">
        <f t="shared" si="23"/>
        <v>-2.1191864077192086</v>
      </c>
      <c r="AL9">
        <f t="shared" si="24"/>
        <v>89.442719099991592</v>
      </c>
      <c r="AM9">
        <f t="shared" si="25"/>
        <v>7.6E-3</v>
      </c>
      <c r="AO9">
        <v>20</v>
      </c>
      <c r="AP9">
        <v>7170</v>
      </c>
      <c r="AQ9">
        <f t="shared" si="26"/>
        <v>7.1699999999999993E-3</v>
      </c>
      <c r="AR9">
        <f t="shared" si="27"/>
        <v>1.3010299956639813</v>
      </c>
      <c r="AS9">
        <f t="shared" si="28"/>
        <v>-2.1444808443321999</v>
      </c>
      <c r="AT9">
        <f t="shared" si="29"/>
        <v>89.442719099991592</v>
      </c>
      <c r="AU9">
        <f t="shared" si="30"/>
        <v>7.1699999999999993E-3</v>
      </c>
      <c r="AW9">
        <v>20</v>
      </c>
      <c r="AX9">
        <v>7680</v>
      </c>
      <c r="AY9">
        <f t="shared" si="31"/>
        <v>7.6799999999999993E-3</v>
      </c>
      <c r="AZ9">
        <f t="shared" si="32"/>
        <v>1.3010299956639813</v>
      </c>
      <c r="BA9">
        <f t="shared" si="33"/>
        <v>-2.1146387799684883</v>
      </c>
      <c r="BB9">
        <f t="shared" si="34"/>
        <v>89.442719099991592</v>
      </c>
      <c r="BC9">
        <f t="shared" si="35"/>
        <v>7.6799999999999993E-3</v>
      </c>
    </row>
    <row r="10" spans="1:62" x14ac:dyDescent="0.3">
      <c r="A10">
        <v>30</v>
      </c>
      <c r="B10">
        <v>282</v>
      </c>
      <c r="C10">
        <f t="shared" si="1"/>
        <v>2.8199999999999997E-4</v>
      </c>
      <c r="D10">
        <f t="shared" si="2"/>
        <v>1.4771212547196624</v>
      </c>
      <c r="E10">
        <f t="shared" si="3"/>
        <v>-3.5497508916806391</v>
      </c>
      <c r="F10">
        <f t="shared" si="4"/>
        <v>164.31676725154981</v>
      </c>
      <c r="G10">
        <f t="shared" si="5"/>
        <v>2.8199999999999997E-4</v>
      </c>
      <c r="I10">
        <v>30</v>
      </c>
      <c r="J10">
        <v>929</v>
      </c>
      <c r="K10">
        <f t="shared" si="6"/>
        <v>9.2899999999999992E-4</v>
      </c>
      <c r="L10">
        <f t="shared" si="7"/>
        <v>1.4771212547196624</v>
      </c>
      <c r="M10">
        <f t="shared" si="8"/>
        <v>-3.0319842860063582</v>
      </c>
      <c r="N10">
        <f t="shared" si="9"/>
        <v>164.31676725154981</v>
      </c>
      <c r="O10">
        <f t="shared" si="10"/>
        <v>9.2899999999999992E-4</v>
      </c>
      <c r="Q10">
        <v>30</v>
      </c>
      <c r="R10">
        <v>2846</v>
      </c>
      <c r="S10">
        <f t="shared" si="11"/>
        <v>2.846E-3</v>
      </c>
      <c r="T10">
        <f t="shared" si="12"/>
        <v>1.4771212547196624</v>
      </c>
      <c r="U10">
        <f t="shared" si="13"/>
        <v>-2.5457651042517346</v>
      </c>
      <c r="V10">
        <f t="shared" si="14"/>
        <v>164.31676725154981</v>
      </c>
      <c r="W10">
        <f t="shared" si="15"/>
        <v>2.846E-3</v>
      </c>
      <c r="Y10">
        <v>30</v>
      </c>
      <c r="Z10">
        <v>8380</v>
      </c>
      <c r="AA10">
        <f t="shared" si="16"/>
        <v>8.3800000000000003E-3</v>
      </c>
      <c r="AB10">
        <f t="shared" si="17"/>
        <v>1.4771212547196624</v>
      </c>
      <c r="AC10">
        <f t="shared" si="18"/>
        <v>-2.0767559813697236</v>
      </c>
      <c r="AD10">
        <f t="shared" si="19"/>
        <v>164.31676725154981</v>
      </c>
      <c r="AE10">
        <f t="shared" si="20"/>
        <v>8.3800000000000003E-3</v>
      </c>
      <c r="AG10">
        <v>30</v>
      </c>
      <c r="AH10">
        <v>13360</v>
      </c>
      <c r="AI10">
        <f t="shared" si="21"/>
        <v>1.3359999999999999E-2</v>
      </c>
      <c r="AJ10">
        <f t="shared" si="22"/>
        <v>1.4771212547196624</v>
      </c>
      <c r="AK10">
        <f t="shared" si="23"/>
        <v>-1.8741935418604732</v>
      </c>
      <c r="AL10">
        <f t="shared" si="24"/>
        <v>164.31676725154981</v>
      </c>
      <c r="AM10">
        <f t="shared" si="25"/>
        <v>1.3359999999999999E-2</v>
      </c>
      <c r="AO10">
        <v>30</v>
      </c>
      <c r="AP10">
        <v>14080</v>
      </c>
      <c r="AQ10">
        <f t="shared" si="26"/>
        <v>1.4079999999999999E-2</v>
      </c>
      <c r="AR10">
        <f t="shared" si="27"/>
        <v>1.4771212547196624</v>
      </c>
      <c r="AS10">
        <f t="shared" si="28"/>
        <v>-1.8513973451939065</v>
      </c>
      <c r="AT10">
        <f t="shared" si="29"/>
        <v>164.31676725154981</v>
      </c>
      <c r="AU10">
        <f t="shared" si="30"/>
        <v>1.4079999999999999E-2</v>
      </c>
      <c r="AW10">
        <v>30</v>
      </c>
      <c r="AX10">
        <v>14070</v>
      </c>
      <c r="AY10">
        <f t="shared" si="31"/>
        <v>1.4069999999999999E-2</v>
      </c>
      <c r="AZ10">
        <f t="shared" si="32"/>
        <v>1.4771212547196624</v>
      </c>
      <c r="BA10">
        <f t="shared" si="33"/>
        <v>-1.8517059025652542</v>
      </c>
      <c r="BB10">
        <f t="shared" si="34"/>
        <v>164.31676725154981</v>
      </c>
      <c r="BC10">
        <f t="shared" si="35"/>
        <v>1.4069999999999999E-2</v>
      </c>
      <c r="BE10" t="s">
        <v>32</v>
      </c>
    </row>
    <row r="11" spans="1:62" x14ac:dyDescent="0.3">
      <c r="A11">
        <v>40</v>
      </c>
      <c r="B11">
        <v>288</v>
      </c>
      <c r="C11">
        <f t="shared" si="1"/>
        <v>2.8800000000000001E-4</v>
      </c>
      <c r="D11">
        <f t="shared" si="2"/>
        <v>1.6020599913279623</v>
      </c>
      <c r="E11">
        <f t="shared" si="3"/>
        <v>-3.540607512240769</v>
      </c>
      <c r="F11">
        <f t="shared" si="4"/>
        <v>252.9822128134704</v>
      </c>
      <c r="G11">
        <f t="shared" si="5"/>
        <v>2.8800000000000001E-4</v>
      </c>
      <c r="I11">
        <v>40</v>
      </c>
      <c r="J11">
        <v>948</v>
      </c>
      <c r="K11">
        <f t="shared" si="6"/>
        <v>9.4799999999999995E-4</v>
      </c>
      <c r="L11">
        <f t="shared" si="7"/>
        <v>1.6020599913279623</v>
      </c>
      <c r="M11">
        <f t="shared" si="8"/>
        <v>-3.023191662661934</v>
      </c>
      <c r="N11">
        <f t="shared" si="9"/>
        <v>252.9822128134704</v>
      </c>
      <c r="O11">
        <f t="shared" si="10"/>
        <v>9.4799999999999995E-4</v>
      </c>
      <c r="Q11">
        <v>40</v>
      </c>
      <c r="R11">
        <v>2920</v>
      </c>
      <c r="S11">
        <f t="shared" si="11"/>
        <v>2.9199999999999999E-3</v>
      </c>
      <c r="T11">
        <f t="shared" si="12"/>
        <v>1.6020599913279623</v>
      </c>
      <c r="U11">
        <f t="shared" si="13"/>
        <v>-2.5346171485515816</v>
      </c>
      <c r="V11">
        <f t="shared" si="14"/>
        <v>252.9822128134704</v>
      </c>
      <c r="W11">
        <f t="shared" si="15"/>
        <v>2.9199999999999999E-3</v>
      </c>
      <c r="Y11">
        <v>40</v>
      </c>
      <c r="Z11">
        <v>8690</v>
      </c>
      <c r="AA11">
        <f t="shared" si="16"/>
        <v>8.6899999999999998E-3</v>
      </c>
      <c r="AB11">
        <f t="shared" si="17"/>
        <v>1.6020599913279623</v>
      </c>
      <c r="AC11">
        <f t="shared" si="18"/>
        <v>-2.0609802235513337</v>
      </c>
      <c r="AD11">
        <f t="shared" si="19"/>
        <v>252.9822128134704</v>
      </c>
      <c r="AE11">
        <f t="shared" si="20"/>
        <v>8.6899999999999998E-3</v>
      </c>
      <c r="AG11">
        <v>40</v>
      </c>
      <c r="AH11">
        <v>20570</v>
      </c>
      <c r="AI11">
        <f t="shared" si="21"/>
        <v>2.0569999999999998E-2</v>
      </c>
      <c r="AJ11">
        <f t="shared" si="22"/>
        <v>1.6020599913279623</v>
      </c>
      <c r="AK11">
        <f t="shared" si="23"/>
        <v>-1.6867657083052761</v>
      </c>
      <c r="AL11">
        <f t="shared" si="24"/>
        <v>252.9822128134704</v>
      </c>
      <c r="AM11">
        <f t="shared" si="25"/>
        <v>2.0569999999999998E-2</v>
      </c>
      <c r="AO11">
        <v>40</v>
      </c>
      <c r="AP11">
        <v>22300</v>
      </c>
      <c r="AQ11">
        <f t="shared" si="26"/>
        <v>2.23E-2</v>
      </c>
      <c r="AR11">
        <f t="shared" si="27"/>
        <v>1.6020599913279623</v>
      </c>
      <c r="AS11">
        <f t="shared" si="28"/>
        <v>-1.6516951369518393</v>
      </c>
      <c r="AT11">
        <f t="shared" si="29"/>
        <v>252.9822128134704</v>
      </c>
      <c r="AU11">
        <f t="shared" si="30"/>
        <v>2.23E-2</v>
      </c>
      <c r="AW11">
        <v>40</v>
      </c>
      <c r="AX11">
        <v>22500</v>
      </c>
      <c r="AY11">
        <f t="shared" si="31"/>
        <v>2.2499999999999999E-2</v>
      </c>
      <c r="AZ11">
        <f t="shared" si="32"/>
        <v>1.6020599913279623</v>
      </c>
      <c r="BA11">
        <f t="shared" si="33"/>
        <v>-1.6478174818886375</v>
      </c>
      <c r="BB11">
        <f t="shared" si="34"/>
        <v>252.9822128134704</v>
      </c>
      <c r="BC11">
        <f t="shared" si="35"/>
        <v>2.2499999999999999E-2</v>
      </c>
      <c r="BE11" s="1">
        <f>81/8*(BG2*0.03/0.005)*(BG2*0.005/0.03)</f>
        <v>6.7327894283873555E-8</v>
      </c>
    </row>
    <row r="12" spans="1:62" x14ac:dyDescent="0.3">
      <c r="A12">
        <v>50</v>
      </c>
      <c r="B12">
        <v>295</v>
      </c>
      <c r="C12">
        <f t="shared" si="1"/>
        <v>2.9499999999999996E-4</v>
      </c>
      <c r="D12">
        <f t="shared" si="2"/>
        <v>1.6989700043360187</v>
      </c>
      <c r="E12">
        <f t="shared" si="3"/>
        <v>-3.530177984021837</v>
      </c>
      <c r="F12">
        <f t="shared" si="4"/>
        <v>353.5533905932736</v>
      </c>
      <c r="G12">
        <f t="shared" si="5"/>
        <v>2.9499999999999996E-4</v>
      </c>
      <c r="I12">
        <v>50</v>
      </c>
      <c r="J12">
        <v>964</v>
      </c>
      <c r="K12">
        <f t="shared" si="6"/>
        <v>9.639999999999999E-4</v>
      </c>
      <c r="L12">
        <f t="shared" si="7"/>
        <v>1.6989700043360187</v>
      </c>
      <c r="M12">
        <f t="shared" si="8"/>
        <v>-3.0159229660971691</v>
      </c>
      <c r="N12">
        <f t="shared" si="9"/>
        <v>353.5533905932736</v>
      </c>
      <c r="O12">
        <f t="shared" si="10"/>
        <v>9.639999999999999E-4</v>
      </c>
      <c r="Q12">
        <v>50</v>
      </c>
      <c r="R12">
        <v>3004</v>
      </c>
      <c r="S12">
        <f t="shared" si="11"/>
        <v>3.0039999999999997E-3</v>
      </c>
      <c r="T12">
        <f t="shared" si="12"/>
        <v>1.6989700043360187</v>
      </c>
      <c r="U12">
        <f t="shared" si="13"/>
        <v>-2.5223000716678694</v>
      </c>
      <c r="V12">
        <f t="shared" si="14"/>
        <v>353.5533905932736</v>
      </c>
      <c r="W12">
        <f t="shared" si="15"/>
        <v>3.0039999999999997E-3</v>
      </c>
      <c r="Y12">
        <v>50</v>
      </c>
      <c r="Z12">
        <v>8870</v>
      </c>
      <c r="AA12">
        <f t="shared" si="16"/>
        <v>8.8699999999999994E-3</v>
      </c>
      <c r="AB12">
        <f t="shared" si="17"/>
        <v>1.6989700043360187</v>
      </c>
      <c r="AC12">
        <f t="shared" si="18"/>
        <v>-2.0520763801682738</v>
      </c>
      <c r="AD12">
        <f t="shared" si="19"/>
        <v>353.5533905932736</v>
      </c>
      <c r="AE12">
        <f t="shared" si="20"/>
        <v>8.8699999999999994E-3</v>
      </c>
      <c r="AG12">
        <v>50</v>
      </c>
      <c r="AH12">
        <v>22270</v>
      </c>
      <c r="AI12">
        <f t="shared" si="21"/>
        <v>2.2269999999999998E-2</v>
      </c>
      <c r="AJ12">
        <f t="shared" si="22"/>
        <v>1.6989700043360187</v>
      </c>
      <c r="AK12">
        <f t="shared" si="23"/>
        <v>-1.6522797829659619</v>
      </c>
      <c r="AL12">
        <f t="shared" si="24"/>
        <v>353.5533905932736</v>
      </c>
      <c r="AM12">
        <f t="shared" si="25"/>
        <v>2.2269999999999998E-2</v>
      </c>
      <c r="AO12">
        <v>50</v>
      </c>
      <c r="AP12">
        <v>30950</v>
      </c>
      <c r="AQ12">
        <f t="shared" si="26"/>
        <v>3.0949999999999998E-2</v>
      </c>
      <c r="AR12">
        <f t="shared" si="27"/>
        <v>1.6989700043360187</v>
      </c>
      <c r="AS12">
        <f t="shared" si="28"/>
        <v>-1.5093393466438632</v>
      </c>
      <c r="AT12">
        <f t="shared" si="29"/>
        <v>353.5533905932736</v>
      </c>
      <c r="AU12">
        <f t="shared" si="30"/>
        <v>3.0949999999999998E-2</v>
      </c>
      <c r="AW12">
        <v>50</v>
      </c>
      <c r="AX12">
        <v>32000</v>
      </c>
      <c r="AY12">
        <f t="shared" si="31"/>
        <v>3.2000000000000001E-2</v>
      </c>
      <c r="AZ12">
        <f t="shared" si="32"/>
        <v>1.6989700043360187</v>
      </c>
      <c r="BA12">
        <f t="shared" si="33"/>
        <v>-1.494850021680094</v>
      </c>
      <c r="BB12">
        <f t="shared" si="34"/>
        <v>353.5533905932736</v>
      </c>
      <c r="BC12">
        <f t="shared" si="35"/>
        <v>3.2000000000000001E-2</v>
      </c>
      <c r="BE12" s="1">
        <f t="shared" ref="BE12:BE15" si="36">81/8*(BG3*0.03/0.005)*(BG3*0.005/0.03)</f>
        <v>5.6129998664525074E-8</v>
      </c>
    </row>
    <row r="13" spans="1:62" x14ac:dyDescent="0.3">
      <c r="A13">
        <v>60</v>
      </c>
      <c r="B13">
        <v>300</v>
      </c>
      <c r="C13">
        <f t="shared" si="1"/>
        <v>2.9999999999999997E-4</v>
      </c>
      <c r="D13">
        <f t="shared" si="2"/>
        <v>1.7781512503836436</v>
      </c>
      <c r="E13">
        <f t="shared" si="3"/>
        <v>-3.5228787452803374</v>
      </c>
      <c r="F13">
        <f t="shared" si="4"/>
        <v>464.75800154488962</v>
      </c>
      <c r="G13">
        <f t="shared" si="5"/>
        <v>2.9999999999999997E-4</v>
      </c>
      <c r="I13">
        <v>60</v>
      </c>
      <c r="J13">
        <v>978</v>
      </c>
      <c r="K13">
        <f t="shared" si="6"/>
        <v>9.7799999999999992E-4</v>
      </c>
      <c r="L13">
        <f t="shared" si="7"/>
        <v>1.7781512503836436</v>
      </c>
      <c r="M13">
        <f t="shared" si="8"/>
        <v>-3.0096611452123985</v>
      </c>
      <c r="N13">
        <f t="shared" si="9"/>
        <v>464.75800154488962</v>
      </c>
      <c r="O13">
        <f t="shared" si="10"/>
        <v>9.7799999999999992E-4</v>
      </c>
      <c r="Q13">
        <v>60</v>
      </c>
      <c r="R13">
        <v>3049</v>
      </c>
      <c r="S13">
        <f t="shared" si="11"/>
        <v>3.0490000000000001E-3</v>
      </c>
      <c r="T13">
        <f t="shared" si="12"/>
        <v>1.7781512503836436</v>
      </c>
      <c r="U13">
        <f t="shared" si="13"/>
        <v>-2.5158425756346192</v>
      </c>
      <c r="V13">
        <f t="shared" si="14"/>
        <v>464.75800154488962</v>
      </c>
      <c r="W13">
        <f t="shared" si="15"/>
        <v>3.0490000000000001E-3</v>
      </c>
      <c r="Y13">
        <v>60</v>
      </c>
      <c r="Z13">
        <v>9020</v>
      </c>
      <c r="AA13">
        <f t="shared" si="16"/>
        <v>9.0200000000000002E-3</v>
      </c>
      <c r="AB13">
        <f t="shared" si="17"/>
        <v>1.7781512503836436</v>
      </c>
      <c r="AC13">
        <f t="shared" si="18"/>
        <v>-2.0447934624580584</v>
      </c>
      <c r="AD13">
        <f t="shared" si="19"/>
        <v>464.75800154488962</v>
      </c>
      <c r="AE13">
        <f t="shared" si="20"/>
        <v>9.0200000000000002E-3</v>
      </c>
      <c r="AG13">
        <v>60</v>
      </c>
      <c r="AH13">
        <v>23020</v>
      </c>
      <c r="AI13">
        <f t="shared" si="21"/>
        <v>2.3019999999999999E-2</v>
      </c>
      <c r="AJ13">
        <f t="shared" si="22"/>
        <v>1.7781512503836436</v>
      </c>
      <c r="AK13">
        <f t="shared" si="23"/>
        <v>-1.6378946807062271</v>
      </c>
      <c r="AL13">
        <f t="shared" si="24"/>
        <v>464.75800154488962</v>
      </c>
      <c r="AM13">
        <f t="shared" si="25"/>
        <v>2.3019999999999999E-2</v>
      </c>
      <c r="AO13">
        <v>60</v>
      </c>
      <c r="AP13">
        <v>41800</v>
      </c>
      <c r="AQ13">
        <f t="shared" si="26"/>
        <v>4.1799999999999997E-2</v>
      </c>
      <c r="AR13">
        <f t="shared" si="27"/>
        <v>1.7781512503836436</v>
      </c>
      <c r="AS13">
        <f t="shared" si="28"/>
        <v>-1.3788237182249647</v>
      </c>
      <c r="AT13">
        <f t="shared" si="29"/>
        <v>464.75800154488962</v>
      </c>
      <c r="AU13">
        <f t="shared" si="30"/>
        <v>4.1799999999999997E-2</v>
      </c>
      <c r="AW13">
        <v>60</v>
      </c>
      <c r="AX13">
        <v>42900</v>
      </c>
      <c r="AY13">
        <f t="shared" si="31"/>
        <v>4.2900000000000001E-2</v>
      </c>
      <c r="AZ13">
        <f t="shared" si="32"/>
        <v>1.7781512503836436</v>
      </c>
      <c r="BA13">
        <f t="shared" si="33"/>
        <v>-1.3675427078152758</v>
      </c>
      <c r="BB13">
        <f t="shared" si="34"/>
        <v>464.75800154488962</v>
      </c>
      <c r="BC13">
        <f t="shared" si="35"/>
        <v>4.2900000000000001E-2</v>
      </c>
      <c r="BE13" s="1">
        <f t="shared" si="36"/>
        <v>5.6963285698678614E-8</v>
      </c>
      <c r="BF13" s="1">
        <f>AVERAGE(BE11:BE15)</f>
        <v>6.5693043420036573E-8</v>
      </c>
    </row>
    <row r="14" spans="1:62" x14ac:dyDescent="0.3">
      <c r="A14">
        <v>70</v>
      </c>
      <c r="B14">
        <v>306</v>
      </c>
      <c r="C14">
        <f t="shared" si="1"/>
        <v>3.0600000000000001E-4</v>
      </c>
      <c r="D14">
        <f t="shared" si="2"/>
        <v>1.8450980400142569</v>
      </c>
      <c r="E14">
        <f t="shared" si="3"/>
        <v>-3.5142785735184199</v>
      </c>
      <c r="F14">
        <f t="shared" si="4"/>
        <v>585.66201857385352</v>
      </c>
      <c r="G14">
        <f t="shared" si="5"/>
        <v>3.0600000000000001E-4</v>
      </c>
      <c r="I14">
        <v>70</v>
      </c>
      <c r="J14">
        <v>990</v>
      </c>
      <c r="K14">
        <f t="shared" si="6"/>
        <v>9.8999999999999999E-4</v>
      </c>
      <c r="L14">
        <f t="shared" si="7"/>
        <v>1.8450980400142569</v>
      </c>
      <c r="M14">
        <f t="shared" si="8"/>
        <v>-3.0043648054024499</v>
      </c>
      <c r="N14">
        <f t="shared" si="9"/>
        <v>585.66201857385352</v>
      </c>
      <c r="O14">
        <f t="shared" si="10"/>
        <v>9.8999999999999999E-4</v>
      </c>
      <c r="Q14">
        <v>70</v>
      </c>
      <c r="R14">
        <v>3094</v>
      </c>
      <c r="S14">
        <f t="shared" si="11"/>
        <v>3.094E-3</v>
      </c>
      <c r="T14">
        <f t="shared" si="12"/>
        <v>1.8450980400142569</v>
      </c>
      <c r="U14">
        <f t="shared" si="13"/>
        <v>-2.5094796906366512</v>
      </c>
      <c r="V14">
        <f t="shared" si="14"/>
        <v>585.66201857385352</v>
      </c>
      <c r="W14">
        <f t="shared" si="15"/>
        <v>3.094E-3</v>
      </c>
      <c r="Y14">
        <v>70</v>
      </c>
      <c r="Z14">
        <v>9120</v>
      </c>
      <c r="AA14">
        <f t="shared" si="16"/>
        <v>9.1199999999999996E-3</v>
      </c>
      <c r="AB14">
        <f t="shared" si="17"/>
        <v>1.8450980400142569</v>
      </c>
      <c r="AC14">
        <f t="shared" si="18"/>
        <v>-2.040005161671584</v>
      </c>
      <c r="AD14">
        <f t="shared" si="19"/>
        <v>585.66201857385352</v>
      </c>
      <c r="AE14">
        <f t="shared" si="20"/>
        <v>9.1199999999999996E-3</v>
      </c>
      <c r="AG14">
        <v>70</v>
      </c>
      <c r="AH14">
        <v>23530</v>
      </c>
      <c r="AI14">
        <f t="shared" si="21"/>
        <v>2.3529999999999999E-2</v>
      </c>
      <c r="AJ14">
        <f t="shared" si="22"/>
        <v>1.8450980400142569</v>
      </c>
      <c r="AK14">
        <f t="shared" si="23"/>
        <v>-1.6283780728239787</v>
      </c>
      <c r="AL14">
        <f t="shared" si="24"/>
        <v>585.66201857385352</v>
      </c>
      <c r="AM14">
        <f t="shared" si="25"/>
        <v>2.3529999999999999E-2</v>
      </c>
      <c r="AO14">
        <v>70</v>
      </c>
      <c r="AP14">
        <v>49300</v>
      </c>
      <c r="AQ14">
        <f t="shared" si="26"/>
        <v>4.9299999999999997E-2</v>
      </c>
      <c r="AR14">
        <f t="shared" si="27"/>
        <v>1.8450980400142569</v>
      </c>
      <c r="AS14">
        <f t="shared" si="28"/>
        <v>-1.30715308072277</v>
      </c>
      <c r="AT14">
        <f t="shared" si="29"/>
        <v>585.66201857385352</v>
      </c>
      <c r="AU14">
        <f t="shared" si="30"/>
        <v>4.9299999999999997E-2</v>
      </c>
      <c r="AW14">
        <v>70</v>
      </c>
      <c r="AX14">
        <v>54700</v>
      </c>
      <c r="AY14">
        <f t="shared" si="31"/>
        <v>5.4699999999999999E-2</v>
      </c>
      <c r="AZ14">
        <f t="shared" si="32"/>
        <v>1.8450980400142569</v>
      </c>
      <c r="BA14">
        <f t="shared" si="33"/>
        <v>-1.2620126736665693</v>
      </c>
      <c r="BB14">
        <f t="shared" si="34"/>
        <v>585.66201857385352</v>
      </c>
      <c r="BC14">
        <f t="shared" si="35"/>
        <v>5.4699999999999999E-2</v>
      </c>
      <c r="BE14" s="1">
        <f t="shared" si="36"/>
        <v>7.8414257027504625E-8</v>
      </c>
    </row>
    <row r="15" spans="1:62" x14ac:dyDescent="0.3">
      <c r="A15">
        <v>80</v>
      </c>
      <c r="B15">
        <v>311</v>
      </c>
      <c r="C15">
        <f t="shared" si="1"/>
        <v>3.1099999999999997E-4</v>
      </c>
      <c r="D15">
        <f>LOG10(A15)</f>
        <v>1.9030899869919435</v>
      </c>
      <c r="E15">
        <f t="shared" si="3"/>
        <v>-3.5072396109731625</v>
      </c>
      <c r="F15">
        <f t="shared" si="4"/>
        <v>715.54175279993228</v>
      </c>
      <c r="G15">
        <f t="shared" si="5"/>
        <v>3.1099999999999997E-4</v>
      </c>
      <c r="I15">
        <v>80</v>
      </c>
      <c r="J15">
        <v>1003</v>
      </c>
      <c r="K15">
        <f t="shared" si="6"/>
        <v>1.003E-3</v>
      </c>
      <c r="L15">
        <f>LOG10(I15)</f>
        <v>1.9030899869919435</v>
      </c>
      <c r="M15">
        <f t="shared" si="8"/>
        <v>-2.9986990669795821</v>
      </c>
      <c r="N15">
        <f t="shared" si="9"/>
        <v>715.54175279993228</v>
      </c>
      <c r="O15">
        <f t="shared" si="10"/>
        <v>1.003E-3</v>
      </c>
      <c r="Q15">
        <v>80</v>
      </c>
      <c r="R15">
        <v>3139</v>
      </c>
      <c r="S15">
        <f t="shared" si="11"/>
        <v>3.1389999999999999E-3</v>
      </c>
      <c r="T15">
        <f>LOG10(Q15)</f>
        <v>1.9030899869919435</v>
      </c>
      <c r="U15">
        <f t="shared" si="13"/>
        <v>-2.5032086842999575</v>
      </c>
      <c r="V15">
        <f t="shared" si="14"/>
        <v>715.54175279993228</v>
      </c>
      <c r="W15">
        <f t="shared" si="15"/>
        <v>3.1389999999999999E-3</v>
      </c>
      <c r="Y15">
        <v>80</v>
      </c>
      <c r="Z15">
        <v>9220</v>
      </c>
      <c r="AA15">
        <f t="shared" si="16"/>
        <v>9.219999999999999E-3</v>
      </c>
      <c r="AB15">
        <f>LOG10(Y15)</f>
        <v>1.9030899869919435</v>
      </c>
      <c r="AC15">
        <f t="shared" si="18"/>
        <v>-2.0352690789463708</v>
      </c>
      <c r="AD15">
        <f t="shared" si="19"/>
        <v>715.54175279993228</v>
      </c>
      <c r="AE15">
        <f t="shared" si="20"/>
        <v>9.219999999999999E-3</v>
      </c>
      <c r="AG15">
        <v>80</v>
      </c>
      <c r="AH15">
        <v>24050</v>
      </c>
      <c r="AI15">
        <f t="shared" si="21"/>
        <v>2.4049999999999998E-2</v>
      </c>
      <c r="AJ15">
        <f>LOG10(AG15)</f>
        <v>1.9030899869919435</v>
      </c>
      <c r="AK15">
        <f t="shared" si="23"/>
        <v>-1.6188849192901495</v>
      </c>
      <c r="AL15">
        <f t="shared" si="24"/>
        <v>715.54175279993228</v>
      </c>
      <c r="AM15">
        <f t="shared" si="25"/>
        <v>2.4049999999999998E-2</v>
      </c>
      <c r="AO15">
        <v>80</v>
      </c>
      <c r="AP15">
        <v>52500</v>
      </c>
      <c r="AQ15">
        <f t="shared" si="26"/>
        <v>5.2499999999999998E-2</v>
      </c>
      <c r="AR15">
        <f>LOG10(AO15)</f>
        <v>1.9030899869919435</v>
      </c>
      <c r="AS15">
        <f t="shared" si="28"/>
        <v>-1.2798406965940432</v>
      </c>
      <c r="AT15">
        <f t="shared" si="29"/>
        <v>715.54175279993228</v>
      </c>
      <c r="AU15">
        <f t="shared" si="30"/>
        <v>5.2499999999999998E-2</v>
      </c>
      <c r="AW15">
        <v>80</v>
      </c>
      <c r="AX15">
        <v>66900</v>
      </c>
      <c r="AY15">
        <f t="shared" si="31"/>
        <v>6.6900000000000001E-2</v>
      </c>
      <c r="AZ15">
        <f>LOG10(AW15)</f>
        <v>1.9030899869919435</v>
      </c>
      <c r="BA15">
        <f t="shared" si="33"/>
        <v>-1.174573882232177</v>
      </c>
      <c r="BB15">
        <f t="shared" si="34"/>
        <v>715.54175279993228</v>
      </c>
      <c r="BC15">
        <f t="shared" si="35"/>
        <v>6.6900000000000001E-2</v>
      </c>
      <c r="BE15" s="1">
        <f t="shared" si="36"/>
        <v>6.9629781425601004E-8</v>
      </c>
    </row>
    <row r="16" spans="1:62" x14ac:dyDescent="0.3">
      <c r="A16">
        <v>90</v>
      </c>
      <c r="B16">
        <v>317</v>
      </c>
      <c r="C16">
        <f>B16*0.000001</f>
        <v>3.1700000000000001E-4</v>
      </c>
      <c r="D16">
        <f t="shared" si="2"/>
        <v>1.954242509439325</v>
      </c>
      <c r="E16">
        <f t="shared" si="3"/>
        <v>-3.4989407377822483</v>
      </c>
      <c r="F16">
        <f t="shared" si="4"/>
        <v>853.81496824546241</v>
      </c>
      <c r="G16">
        <f t="shared" si="5"/>
        <v>3.1700000000000001E-4</v>
      </c>
      <c r="I16">
        <v>90</v>
      </c>
      <c r="J16">
        <v>1014</v>
      </c>
      <c r="K16">
        <f>J16*0.000001</f>
        <v>1.0139999999999999E-3</v>
      </c>
      <c r="L16">
        <f t="shared" ref="L16" si="37">LOG10(I16)</f>
        <v>1.954242509439325</v>
      </c>
      <c r="M16">
        <f t="shared" si="8"/>
        <v>-2.9939620450026827</v>
      </c>
      <c r="N16">
        <f t="shared" si="9"/>
        <v>853.81496824546241</v>
      </c>
      <c r="O16">
        <f t="shared" si="10"/>
        <v>1.0139999999999999E-3</v>
      </c>
      <c r="Q16">
        <v>90</v>
      </c>
      <c r="R16">
        <v>3174</v>
      </c>
      <c r="S16">
        <f>R16*0.000001</f>
        <v>3.1739999999999997E-3</v>
      </c>
      <c r="T16">
        <f t="shared" ref="T16" si="38">LOG10(Q16)</f>
        <v>1.954242509439325</v>
      </c>
      <c r="U16">
        <f t="shared" si="13"/>
        <v>-2.4983930775811705</v>
      </c>
      <c r="V16">
        <f t="shared" si="14"/>
        <v>853.81496824546241</v>
      </c>
      <c r="W16">
        <f t="shared" si="15"/>
        <v>3.1739999999999997E-3</v>
      </c>
      <c r="Y16">
        <v>90</v>
      </c>
      <c r="Z16">
        <v>9300</v>
      </c>
      <c r="AA16">
        <f>Z16*0.000001</f>
        <v>9.2999999999999992E-3</v>
      </c>
      <c r="AB16">
        <f t="shared" ref="AB16" si="39">LOG10(Y16)</f>
        <v>1.954242509439325</v>
      </c>
      <c r="AC16">
        <f t="shared" si="18"/>
        <v>-2.0315170514460648</v>
      </c>
      <c r="AD16">
        <f t="shared" si="19"/>
        <v>853.81496824546241</v>
      </c>
      <c r="AE16">
        <f t="shared" si="20"/>
        <v>9.2999999999999992E-3</v>
      </c>
      <c r="AG16">
        <v>90</v>
      </c>
      <c r="AH16">
        <v>24500</v>
      </c>
      <c r="AI16">
        <f>AH16*0.000001</f>
        <v>2.4499999999999997E-2</v>
      </c>
      <c r="AJ16">
        <f t="shared" ref="AJ16" si="40">LOG10(AG16)</f>
        <v>1.954242509439325</v>
      </c>
      <c r="AK16">
        <f t="shared" si="23"/>
        <v>-1.6108339156354676</v>
      </c>
      <c r="AL16">
        <f t="shared" si="24"/>
        <v>853.81496824546241</v>
      </c>
      <c r="AM16">
        <f t="shared" si="25"/>
        <v>2.4499999999999997E-2</v>
      </c>
      <c r="AO16">
        <v>90</v>
      </c>
      <c r="AP16">
        <v>55100</v>
      </c>
      <c r="AQ16">
        <f>AP16*0.000001</f>
        <v>5.5099999999999996E-2</v>
      </c>
      <c r="AR16">
        <f t="shared" ref="AR16" si="41">LOG10(AO16)</f>
        <v>1.954242509439325</v>
      </c>
      <c r="AS16">
        <f t="shared" si="28"/>
        <v>-1.2588484011482151</v>
      </c>
      <c r="AT16">
        <f t="shared" si="29"/>
        <v>853.81496824546241</v>
      </c>
      <c r="AU16">
        <f t="shared" si="30"/>
        <v>5.5099999999999996E-2</v>
      </c>
      <c r="AW16">
        <v>90</v>
      </c>
      <c r="AX16">
        <v>83500</v>
      </c>
      <c r="AY16">
        <f>AX16*0.000001</f>
        <v>8.3499999999999991E-2</v>
      </c>
      <c r="AZ16">
        <f t="shared" ref="AZ16" si="42">LOG10(AW16)</f>
        <v>1.954242509439325</v>
      </c>
      <c r="BA16">
        <f t="shared" si="33"/>
        <v>-1.0783135245163979</v>
      </c>
      <c r="BB16">
        <f t="shared" si="34"/>
        <v>853.81496824546241</v>
      </c>
      <c r="BC16">
        <f t="shared" si="35"/>
        <v>8.3499999999999991E-2</v>
      </c>
      <c r="BE16" s="1"/>
    </row>
    <row r="17" spans="1:55" x14ac:dyDescent="0.3">
      <c r="A17">
        <v>100</v>
      </c>
      <c r="B17">
        <v>322</v>
      </c>
      <c r="C17">
        <f t="shared" si="1"/>
        <v>3.2199999999999997E-4</v>
      </c>
      <c r="D17">
        <f>LOG10(A17)</f>
        <v>2</v>
      </c>
      <c r="E17">
        <f t="shared" si="3"/>
        <v>-3.4921441283041692</v>
      </c>
      <c r="F17">
        <f t="shared" si="4"/>
        <v>1000.0000000000007</v>
      </c>
      <c r="G17">
        <f t="shared" si="5"/>
        <v>3.2199999999999997E-4</v>
      </c>
      <c r="I17">
        <v>100</v>
      </c>
      <c r="J17">
        <v>1024</v>
      </c>
      <c r="K17">
        <f t="shared" si="6"/>
        <v>1.024E-3</v>
      </c>
      <c r="L17">
        <f>LOG10(I17)</f>
        <v>2</v>
      </c>
      <c r="M17">
        <f t="shared" si="8"/>
        <v>-2.9897000433601879</v>
      </c>
      <c r="N17">
        <f t="shared" si="9"/>
        <v>1000.0000000000007</v>
      </c>
      <c r="O17">
        <f t="shared" si="10"/>
        <v>1.024E-3</v>
      </c>
      <c r="Q17">
        <v>100</v>
      </c>
      <c r="R17">
        <v>3241</v>
      </c>
      <c r="S17">
        <f t="shared" si="11"/>
        <v>3.241E-3</v>
      </c>
      <c r="T17">
        <f>LOG10(Q17)</f>
        <v>2</v>
      </c>
      <c r="U17">
        <f t="shared" si="13"/>
        <v>-2.4893209689677902</v>
      </c>
      <c r="V17">
        <f t="shared" si="14"/>
        <v>1000.0000000000007</v>
      </c>
      <c r="W17">
        <f t="shared" si="15"/>
        <v>3.241E-3</v>
      </c>
      <c r="Y17">
        <v>100</v>
      </c>
      <c r="Z17">
        <v>9380</v>
      </c>
      <c r="AA17">
        <f t="shared" si="16"/>
        <v>9.3799999999999994E-3</v>
      </c>
      <c r="AB17">
        <f>LOG10(Y17)</f>
        <v>2</v>
      </c>
      <c r="AC17">
        <f t="shared" si="18"/>
        <v>-2.0277971616209354</v>
      </c>
      <c r="AD17">
        <f t="shared" si="19"/>
        <v>1000.0000000000007</v>
      </c>
      <c r="AE17">
        <f t="shared" si="20"/>
        <v>9.3799999999999994E-3</v>
      </c>
      <c r="AG17">
        <v>100</v>
      </c>
      <c r="AH17">
        <v>25200</v>
      </c>
      <c r="AI17">
        <f t="shared" si="21"/>
        <v>2.52E-2</v>
      </c>
      <c r="AJ17">
        <f>LOG10(AG17)</f>
        <v>2</v>
      </c>
      <c r="AK17">
        <f t="shared" si="23"/>
        <v>-1.5985994592184558</v>
      </c>
      <c r="AL17">
        <f t="shared" si="24"/>
        <v>1000.0000000000007</v>
      </c>
      <c r="AM17">
        <f t="shared" si="25"/>
        <v>2.52E-2</v>
      </c>
      <c r="AO17">
        <v>100</v>
      </c>
      <c r="AP17">
        <v>57500</v>
      </c>
      <c r="AQ17">
        <f t="shared" si="26"/>
        <v>5.7499999999999996E-2</v>
      </c>
      <c r="AR17">
        <f>LOG10(AO17)</f>
        <v>2</v>
      </c>
      <c r="AS17">
        <f t="shared" si="28"/>
        <v>-1.2403321553103694</v>
      </c>
      <c r="AT17">
        <f t="shared" si="29"/>
        <v>1000.0000000000007</v>
      </c>
      <c r="AU17">
        <f t="shared" si="30"/>
        <v>5.7499999999999996E-2</v>
      </c>
      <c r="AW17">
        <v>100</v>
      </c>
      <c r="AX17">
        <v>97500</v>
      </c>
      <c r="AY17">
        <f t="shared" si="31"/>
        <v>9.7499999999999989E-2</v>
      </c>
      <c r="AZ17">
        <f>LOG10(AW17)</f>
        <v>2</v>
      </c>
      <c r="BA17">
        <f t="shared" si="33"/>
        <v>-1.0109953843014632</v>
      </c>
      <c r="BB17">
        <f t="shared" si="34"/>
        <v>1000.0000000000007</v>
      </c>
      <c r="BC17">
        <f t="shared" si="35"/>
        <v>9.7499999999999989E-2</v>
      </c>
    </row>
    <row r="18" spans="1:55" x14ac:dyDescent="0.3">
      <c r="A18">
        <v>110</v>
      </c>
      <c r="B18">
        <v>328</v>
      </c>
      <c r="C18">
        <f t="shared" si="1"/>
        <v>3.28E-4</v>
      </c>
      <c r="D18">
        <f t="shared" si="2"/>
        <v>2.0413926851582249</v>
      </c>
      <c r="E18">
        <f t="shared" si="3"/>
        <v>-3.4841261562883208</v>
      </c>
      <c r="F18">
        <f t="shared" si="4"/>
        <v>1153.6897329871679</v>
      </c>
      <c r="G18">
        <f t="shared" si="5"/>
        <v>3.28E-4</v>
      </c>
      <c r="I18">
        <v>110</v>
      </c>
      <c r="J18">
        <v>1035</v>
      </c>
      <c r="K18">
        <f t="shared" si="6"/>
        <v>1.0349999999999999E-3</v>
      </c>
      <c r="L18">
        <f t="shared" ref="L18:L21" si="43">LOG10(I18)</f>
        <v>2.0413926851582249</v>
      </c>
      <c r="M18">
        <f t="shared" si="8"/>
        <v>-2.9850596502070634</v>
      </c>
      <c r="N18">
        <f t="shared" si="9"/>
        <v>1153.6897329871679</v>
      </c>
      <c r="O18">
        <f t="shared" si="10"/>
        <v>1.0349999999999999E-3</v>
      </c>
      <c r="Q18">
        <v>110</v>
      </c>
      <c r="R18">
        <v>3272</v>
      </c>
      <c r="S18">
        <f t="shared" si="11"/>
        <v>3.2719999999999997E-3</v>
      </c>
      <c r="T18">
        <f t="shared" ref="T18:T21" si="44">LOG10(Q18)</f>
        <v>2.0413926851582249</v>
      </c>
      <c r="U18">
        <f t="shared" si="13"/>
        <v>-2.4851867050007148</v>
      </c>
      <c r="V18">
        <f t="shared" si="14"/>
        <v>1153.6897329871679</v>
      </c>
      <c r="W18">
        <f t="shared" si="15"/>
        <v>3.2719999999999997E-3</v>
      </c>
      <c r="Y18">
        <v>110</v>
      </c>
      <c r="Z18">
        <v>9460</v>
      </c>
      <c r="AA18">
        <f t="shared" si="16"/>
        <v>9.4599999999999997E-3</v>
      </c>
      <c r="AB18">
        <f t="shared" ref="AB18:AB21" si="45">LOG10(Y18)</f>
        <v>2.0413926851582249</v>
      </c>
      <c r="AC18">
        <f t="shared" si="18"/>
        <v>-2.0241088635982072</v>
      </c>
      <c r="AD18">
        <f t="shared" si="19"/>
        <v>1153.6897329871679</v>
      </c>
      <c r="AE18">
        <f t="shared" si="20"/>
        <v>9.4599999999999997E-3</v>
      </c>
      <c r="AG18">
        <v>110</v>
      </c>
      <c r="AH18">
        <v>25500</v>
      </c>
      <c r="AI18">
        <f t="shared" si="21"/>
        <v>2.5499999999999998E-2</v>
      </c>
      <c r="AJ18">
        <f t="shared" ref="AJ18:AJ21" si="46">LOG10(AG18)</f>
        <v>2.0413926851582249</v>
      </c>
      <c r="AK18">
        <f t="shared" si="23"/>
        <v>-1.5934598195660448</v>
      </c>
      <c r="AL18">
        <f t="shared" si="24"/>
        <v>1153.6897329871679</v>
      </c>
      <c r="AM18">
        <f t="shared" si="25"/>
        <v>2.5499999999999998E-2</v>
      </c>
      <c r="AO18">
        <v>110</v>
      </c>
      <c r="AP18">
        <v>60000</v>
      </c>
      <c r="AQ18">
        <f t="shared" si="26"/>
        <v>0.06</v>
      </c>
      <c r="AR18">
        <f t="shared" ref="AR18:AR21" si="47">LOG10(AO18)</f>
        <v>2.0413926851582249</v>
      </c>
      <c r="AS18">
        <f t="shared" si="28"/>
        <v>-1.2218487496163564</v>
      </c>
      <c r="AT18">
        <f t="shared" si="29"/>
        <v>1153.6897329871679</v>
      </c>
      <c r="AU18">
        <f t="shared" si="30"/>
        <v>0.06</v>
      </c>
      <c r="AW18">
        <v>110</v>
      </c>
      <c r="AX18">
        <v>111400</v>
      </c>
      <c r="AY18">
        <f t="shared" si="31"/>
        <v>0.1114</v>
      </c>
      <c r="AZ18">
        <f t="shared" ref="AZ18:AZ19" si="48">LOG10(AW18)</f>
        <v>2.0413926851582249</v>
      </c>
      <c r="BA18">
        <f t="shared" si="33"/>
        <v>-0.95311480916228986</v>
      </c>
      <c r="BB18">
        <f t="shared" si="34"/>
        <v>1153.6897329871679</v>
      </c>
      <c r="BC18">
        <f t="shared" si="35"/>
        <v>0.1114</v>
      </c>
    </row>
    <row r="19" spans="1:55" x14ac:dyDescent="0.3">
      <c r="A19">
        <v>120</v>
      </c>
      <c r="B19">
        <v>333</v>
      </c>
      <c r="C19">
        <f t="shared" si="1"/>
        <v>3.3299999999999996E-4</v>
      </c>
      <c r="D19">
        <f t="shared" si="2"/>
        <v>2.0791812460476247</v>
      </c>
      <c r="E19">
        <f t="shared" si="3"/>
        <v>-3.4775557664936803</v>
      </c>
      <c r="F19">
        <f t="shared" si="4"/>
        <v>1314.5341380123989</v>
      </c>
      <c r="G19">
        <f t="shared" si="5"/>
        <v>3.3299999999999996E-4</v>
      </c>
      <c r="I19">
        <v>120</v>
      </c>
      <c r="J19">
        <v>1045</v>
      </c>
      <c r="K19">
        <f t="shared" si="6"/>
        <v>1.0449999999999999E-3</v>
      </c>
      <c r="L19">
        <f t="shared" si="43"/>
        <v>2.0791812460476247</v>
      </c>
      <c r="M19">
        <f t="shared" si="8"/>
        <v>-2.980883709552927</v>
      </c>
      <c r="N19">
        <f t="shared" si="9"/>
        <v>1314.5341380123989</v>
      </c>
      <c r="O19">
        <f t="shared" si="10"/>
        <v>1.0449999999999999E-3</v>
      </c>
      <c r="Q19">
        <v>120</v>
      </c>
      <c r="R19">
        <v>3302</v>
      </c>
      <c r="S19">
        <f t="shared" si="11"/>
        <v>3.3019999999999998E-3</v>
      </c>
      <c r="T19">
        <f t="shared" si="44"/>
        <v>2.0791812460476247</v>
      </c>
      <c r="U19">
        <f t="shared" si="13"/>
        <v>-2.481222931073225</v>
      </c>
      <c r="V19">
        <f t="shared" si="14"/>
        <v>1314.5341380123989</v>
      </c>
      <c r="W19">
        <f t="shared" si="15"/>
        <v>3.3019999999999998E-3</v>
      </c>
      <c r="Y19">
        <v>120</v>
      </c>
      <c r="Z19">
        <v>9620</v>
      </c>
      <c r="AA19">
        <f t="shared" si="16"/>
        <v>9.6200000000000001E-3</v>
      </c>
      <c r="AB19">
        <f t="shared" si="45"/>
        <v>2.0791812460476247</v>
      </c>
      <c r="AC19">
        <f t="shared" si="18"/>
        <v>-2.0168249279621868</v>
      </c>
      <c r="AD19">
        <f t="shared" si="19"/>
        <v>1314.5341380123989</v>
      </c>
      <c r="AE19">
        <f t="shared" si="20"/>
        <v>9.6200000000000001E-3</v>
      </c>
      <c r="AG19">
        <v>120</v>
      </c>
      <c r="AH19">
        <v>25800</v>
      </c>
      <c r="AI19">
        <f t="shared" si="21"/>
        <v>2.58E-2</v>
      </c>
      <c r="AJ19">
        <f t="shared" si="46"/>
        <v>2.0791812460476247</v>
      </c>
      <c r="AK19">
        <f t="shared" si="23"/>
        <v>-1.5883802940367699</v>
      </c>
      <c r="AL19">
        <f t="shared" si="24"/>
        <v>1314.5341380123989</v>
      </c>
      <c r="AM19">
        <f t="shared" si="25"/>
        <v>2.58E-2</v>
      </c>
      <c r="AO19">
        <v>120</v>
      </c>
      <c r="AP19">
        <v>63000</v>
      </c>
      <c r="AQ19">
        <f t="shared" si="26"/>
        <v>6.3E-2</v>
      </c>
      <c r="AR19">
        <f t="shared" si="47"/>
        <v>2.0791812460476247</v>
      </c>
      <c r="AS19">
        <f t="shared" si="28"/>
        <v>-1.2006594505464183</v>
      </c>
      <c r="AT19">
        <f t="shared" si="29"/>
        <v>1314.5341380123989</v>
      </c>
      <c r="AU19">
        <f t="shared" si="30"/>
        <v>6.3E-2</v>
      </c>
      <c r="AW19">
        <v>120</v>
      </c>
      <c r="AX19">
        <v>128800</v>
      </c>
      <c r="AY19">
        <f t="shared" si="31"/>
        <v>0.1288</v>
      </c>
      <c r="AZ19">
        <f t="shared" si="48"/>
        <v>2.0791812460476247</v>
      </c>
      <c r="BA19">
        <f t="shared" si="33"/>
        <v>-0.8900841369762067</v>
      </c>
      <c r="BB19">
        <f t="shared" si="34"/>
        <v>1314.5341380123989</v>
      </c>
      <c r="BC19">
        <f t="shared" si="35"/>
        <v>0.1288</v>
      </c>
    </row>
    <row r="20" spans="1:55" x14ac:dyDescent="0.3">
      <c r="A20">
        <v>130</v>
      </c>
      <c r="B20">
        <v>338</v>
      </c>
      <c r="C20">
        <f t="shared" si="1"/>
        <v>3.3799999999999998E-4</v>
      </c>
      <c r="D20">
        <f t="shared" si="2"/>
        <v>2.1139433523068369</v>
      </c>
      <c r="E20">
        <f t="shared" si="3"/>
        <v>-3.4710832997223453</v>
      </c>
      <c r="F20">
        <f t="shared" si="4"/>
        <v>1482.2280526288782</v>
      </c>
      <c r="G20">
        <f t="shared" si="5"/>
        <v>3.3799999999999998E-4</v>
      </c>
      <c r="I20">
        <v>130</v>
      </c>
      <c r="J20">
        <v>1052</v>
      </c>
      <c r="K20">
        <f t="shared" si="6"/>
        <v>1.052E-3</v>
      </c>
      <c r="L20">
        <f t="shared" si="43"/>
        <v>2.1139433523068369</v>
      </c>
      <c r="M20">
        <f t="shared" si="8"/>
        <v>-2.9779842601822799</v>
      </c>
      <c r="N20">
        <f t="shared" si="9"/>
        <v>1482.2280526288782</v>
      </c>
      <c r="O20">
        <f t="shared" si="10"/>
        <v>1.052E-3</v>
      </c>
      <c r="Q20">
        <v>130</v>
      </c>
      <c r="R20">
        <v>3336</v>
      </c>
      <c r="S20">
        <f t="shared" si="11"/>
        <v>3.336E-3</v>
      </c>
      <c r="T20">
        <f t="shared" si="44"/>
        <v>2.1139433523068369</v>
      </c>
      <c r="U20">
        <f t="shared" si="13"/>
        <v>-2.4767739580342991</v>
      </c>
      <c r="V20">
        <f t="shared" si="14"/>
        <v>1482.2280526288782</v>
      </c>
      <c r="W20">
        <f t="shared" si="15"/>
        <v>3.336E-3</v>
      </c>
      <c r="Y20">
        <v>130</v>
      </c>
      <c r="Z20">
        <v>9730</v>
      </c>
      <c r="AA20">
        <f t="shared" si="16"/>
        <v>9.7299999999999991E-3</v>
      </c>
      <c r="AB20">
        <f t="shared" si="45"/>
        <v>2.1139433523068369</v>
      </c>
      <c r="AC20">
        <f t="shared" si="18"/>
        <v>-2.0118871597316481</v>
      </c>
      <c r="AD20">
        <f t="shared" si="19"/>
        <v>1482.2280526288782</v>
      </c>
      <c r="AE20">
        <f t="shared" si="20"/>
        <v>9.7299999999999991E-3</v>
      </c>
      <c r="AG20">
        <v>130</v>
      </c>
      <c r="AH20">
        <v>26400</v>
      </c>
      <c r="AI20">
        <f t="shared" si="21"/>
        <v>2.64E-2</v>
      </c>
      <c r="AJ20">
        <f t="shared" si="46"/>
        <v>2.1139433523068369</v>
      </c>
      <c r="AK20">
        <f t="shared" si="23"/>
        <v>-1.5783960731301689</v>
      </c>
      <c r="AL20">
        <f t="shared" si="24"/>
        <v>1482.2280526288782</v>
      </c>
      <c r="AM20">
        <f t="shared" si="25"/>
        <v>2.64E-2</v>
      </c>
      <c r="AO20">
        <v>130</v>
      </c>
      <c r="AP20">
        <v>64500</v>
      </c>
      <c r="AQ20">
        <f t="shared" si="26"/>
        <v>6.4500000000000002E-2</v>
      </c>
      <c r="AR20">
        <f t="shared" si="47"/>
        <v>2.1139433523068369</v>
      </c>
      <c r="AS20">
        <f t="shared" si="28"/>
        <v>-1.1904402853647322</v>
      </c>
      <c r="AT20">
        <f t="shared" si="29"/>
        <v>1482.2280526288782</v>
      </c>
      <c r="AU20">
        <f t="shared" si="30"/>
        <v>6.4500000000000002E-2</v>
      </c>
    </row>
    <row r="21" spans="1:55" x14ac:dyDescent="0.3">
      <c r="A21">
        <v>140</v>
      </c>
      <c r="B21">
        <v>343</v>
      </c>
      <c r="C21">
        <f t="shared" si="1"/>
        <v>3.4299999999999999E-4</v>
      </c>
      <c r="D21">
        <f t="shared" si="2"/>
        <v>2.1461280356782382</v>
      </c>
      <c r="E21">
        <f t="shared" si="3"/>
        <v>-3.4647058799572297</v>
      </c>
      <c r="F21">
        <f t="shared" si="4"/>
        <v>1656.5023392678913</v>
      </c>
      <c r="G21">
        <f t="shared" si="5"/>
        <v>3.4299999999999999E-4</v>
      </c>
      <c r="I21">
        <v>140</v>
      </c>
      <c r="J21">
        <v>1062</v>
      </c>
      <c r="K21">
        <f t="shared" si="6"/>
        <v>1.062E-3</v>
      </c>
      <c r="L21">
        <f t="shared" si="43"/>
        <v>2.1461280356782382</v>
      </c>
      <c r="M21">
        <f t="shared" si="8"/>
        <v>-2.9738754832545498</v>
      </c>
      <c r="N21">
        <f t="shared" si="9"/>
        <v>1656.5023392678913</v>
      </c>
      <c r="O21">
        <f t="shared" si="10"/>
        <v>1.062E-3</v>
      </c>
      <c r="Q21">
        <v>140</v>
      </c>
      <c r="R21">
        <v>3364</v>
      </c>
      <c r="S21">
        <f t="shared" si="11"/>
        <v>3.3639999999999998E-3</v>
      </c>
      <c r="T21">
        <f t="shared" si="44"/>
        <v>2.1461280356782382</v>
      </c>
      <c r="U21">
        <f t="shared" si="13"/>
        <v>-2.4731440128741253</v>
      </c>
      <c r="V21">
        <f t="shared" si="14"/>
        <v>1656.5023392678913</v>
      </c>
      <c r="W21">
        <f t="shared" si="15"/>
        <v>3.3639999999999998E-3</v>
      </c>
      <c r="Y21">
        <v>140</v>
      </c>
      <c r="Z21">
        <v>9800</v>
      </c>
      <c r="AA21">
        <f t="shared" si="16"/>
        <v>9.7999999999999997E-3</v>
      </c>
      <c r="AB21">
        <f t="shared" si="45"/>
        <v>2.1461280356782382</v>
      </c>
      <c r="AC21">
        <f t="shared" si="18"/>
        <v>-2.0087739243075053</v>
      </c>
      <c r="AD21">
        <f t="shared" si="19"/>
        <v>1656.5023392678913</v>
      </c>
      <c r="AE21">
        <f t="shared" si="20"/>
        <v>9.7999999999999997E-3</v>
      </c>
      <c r="AG21">
        <v>140</v>
      </c>
      <c r="AH21">
        <v>26800</v>
      </c>
      <c r="AI21">
        <f t="shared" si="21"/>
        <v>2.6799999999999997E-2</v>
      </c>
      <c r="AJ21">
        <f t="shared" si="46"/>
        <v>2.1461280356782382</v>
      </c>
      <c r="AK21">
        <f t="shared" si="23"/>
        <v>-1.5718652059712113</v>
      </c>
      <c r="AL21">
        <f t="shared" si="24"/>
        <v>1656.5023392678913</v>
      </c>
      <c r="AM21">
        <f t="shared" si="25"/>
        <v>2.6799999999999997E-2</v>
      </c>
      <c r="AO21">
        <v>140</v>
      </c>
      <c r="AP21">
        <v>66600</v>
      </c>
      <c r="AQ21">
        <f t="shared" si="26"/>
        <v>6.6599999999999993E-2</v>
      </c>
      <c r="AR21">
        <f t="shared" si="47"/>
        <v>2.1461280356782382</v>
      </c>
      <c r="AS21">
        <f t="shared" si="28"/>
        <v>-1.176525770829699</v>
      </c>
      <c r="AT21">
        <f t="shared" si="29"/>
        <v>1656.5023392678913</v>
      </c>
      <c r="AU21">
        <f t="shared" si="30"/>
        <v>6.6599999999999993E-2</v>
      </c>
    </row>
    <row r="68" spans="4:4" x14ac:dyDescent="0.3">
      <c r="D68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73D7-0AEE-4534-A103-740620685193}">
  <dimension ref="A1:BM21"/>
  <sheetViews>
    <sheetView tabSelected="1" topLeftCell="X1" zoomScale="130" zoomScaleNormal="130" workbookViewId="0">
      <selection activeCell="BG19" sqref="BG19"/>
    </sheetView>
  </sheetViews>
  <sheetFormatPr defaultRowHeight="14.4" x14ac:dyDescent="0.3"/>
  <cols>
    <col min="60" max="60" width="13" bestFit="1" customWidth="1"/>
    <col min="62" max="62" width="12.21875" bestFit="1" customWidth="1"/>
  </cols>
  <sheetData>
    <row r="1" spans="1:65" x14ac:dyDescent="0.3">
      <c r="A1" t="s">
        <v>4</v>
      </c>
      <c r="I1" t="s">
        <v>10</v>
      </c>
      <c r="Q1" t="s">
        <v>11</v>
      </c>
      <c r="Y1" t="s">
        <v>12</v>
      </c>
      <c r="AG1" t="s">
        <v>13</v>
      </c>
      <c r="AO1" t="s">
        <v>14</v>
      </c>
      <c r="AW1" t="s">
        <v>16</v>
      </c>
      <c r="BE1" t="s">
        <v>29</v>
      </c>
      <c r="BG1" t="s">
        <v>33</v>
      </c>
      <c r="BK1" t="s">
        <v>46</v>
      </c>
    </row>
    <row r="2" spans="1:65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15</v>
      </c>
      <c r="I2" t="s">
        <v>5</v>
      </c>
      <c r="J2" t="s">
        <v>6</v>
      </c>
      <c r="K2" t="s">
        <v>7</v>
      </c>
      <c r="L2" t="s">
        <v>9</v>
      </c>
      <c r="M2" t="s">
        <v>8</v>
      </c>
      <c r="N2" t="s">
        <v>15</v>
      </c>
      <c r="Q2" t="s">
        <v>5</v>
      </c>
      <c r="R2" t="s">
        <v>6</v>
      </c>
      <c r="S2" t="s">
        <v>7</v>
      </c>
      <c r="T2" t="s">
        <v>9</v>
      </c>
      <c r="U2" t="s">
        <v>8</v>
      </c>
      <c r="V2" t="s">
        <v>15</v>
      </c>
      <c r="Y2" t="s">
        <v>5</v>
      </c>
      <c r="Z2" t="s">
        <v>6</v>
      </c>
      <c r="AA2" t="s">
        <v>7</v>
      </c>
      <c r="AB2" t="s">
        <v>9</v>
      </c>
      <c r="AC2" t="s">
        <v>8</v>
      </c>
      <c r="AD2" t="s">
        <v>15</v>
      </c>
      <c r="AG2" t="s">
        <v>5</v>
      </c>
      <c r="AH2" t="s">
        <v>6</v>
      </c>
      <c r="AI2" t="s">
        <v>7</v>
      </c>
      <c r="AJ2" t="s">
        <v>9</v>
      </c>
      <c r="AK2" t="s">
        <v>8</v>
      </c>
      <c r="AL2" t="s">
        <v>15</v>
      </c>
      <c r="AO2" t="s">
        <v>5</v>
      </c>
      <c r="AP2" t="s">
        <v>6</v>
      </c>
      <c r="AQ2" t="s">
        <v>7</v>
      </c>
      <c r="AR2" t="s">
        <v>9</v>
      </c>
      <c r="AS2" t="s">
        <v>8</v>
      </c>
      <c r="AT2" t="s">
        <v>15</v>
      </c>
      <c r="AW2" t="s">
        <v>5</v>
      </c>
      <c r="AX2" t="s">
        <v>6</v>
      </c>
      <c r="AY2" t="s">
        <v>7</v>
      </c>
      <c r="AZ2" t="s">
        <v>9</v>
      </c>
      <c r="BA2" t="s">
        <v>8</v>
      </c>
      <c r="BB2" t="s">
        <v>15</v>
      </c>
      <c r="BE2" s="1">
        <v>7.8209999999999997</v>
      </c>
      <c r="BG2" s="1">
        <f>10^BE2</f>
        <v>66221650.370176233</v>
      </c>
      <c r="BK2" s="1">
        <f>(BG2-$BJ$5)*(BG2-$BJ$5)</f>
        <v>1.1031656402790094E+16</v>
      </c>
    </row>
    <row r="3" spans="1:65" x14ac:dyDescent="0.3">
      <c r="A3">
        <f>1/300</f>
        <v>3.3333333333333335E-3</v>
      </c>
      <c r="B3">
        <v>78</v>
      </c>
      <c r="C3">
        <f>B3*0.000001*3000000000</f>
        <v>234000</v>
      </c>
      <c r="D3">
        <f>LOG10(A3)</f>
        <v>-2.4771212547196626</v>
      </c>
      <c r="E3">
        <f>LOG10(C3)</f>
        <v>5.3692158574101425</v>
      </c>
      <c r="F3">
        <f>A3^(3/2)</f>
        <v>1.9245008972987529E-4</v>
      </c>
      <c r="G3">
        <f>C3</f>
        <v>234000</v>
      </c>
      <c r="I3">
        <f>1*0.0033356</f>
        <v>3.3356000000000002E-3</v>
      </c>
      <c r="J3">
        <v>75.8</v>
      </c>
      <c r="K3">
        <f>J3*0.000001*3000000000</f>
        <v>227400</v>
      </c>
      <c r="L3">
        <f>LOG10(I3)</f>
        <v>-2.4768260348353568</v>
      </c>
      <c r="M3">
        <f>LOG10(K3)</f>
        <v>5.356790460351716</v>
      </c>
      <c r="N3">
        <f>I3^(3/2)</f>
        <v>1.9264642218846443E-4</v>
      </c>
      <c r="O3">
        <f>K3</f>
        <v>227400</v>
      </c>
      <c r="Q3">
        <f>1*0.0033356</f>
        <v>3.3356000000000002E-3</v>
      </c>
      <c r="R3">
        <v>72</v>
      </c>
      <c r="S3">
        <f>R3*0.000001*3000000000</f>
        <v>216000</v>
      </c>
      <c r="T3">
        <f>LOG10(Q3)</f>
        <v>-2.4768260348353568</v>
      </c>
      <c r="U3">
        <f>LOG10(S3)</f>
        <v>5.3344537511509307</v>
      </c>
      <c r="V3">
        <f>Q3^(3/2)</f>
        <v>1.9264642218846443E-4</v>
      </c>
      <c r="W3">
        <f>S3</f>
        <v>216000</v>
      </c>
      <c r="Y3">
        <f>1*0.0033356</f>
        <v>3.3356000000000002E-3</v>
      </c>
      <c r="Z3">
        <v>75</v>
      </c>
      <c r="AA3">
        <f>Z3*0.000001*3000000000</f>
        <v>224999.99999999997</v>
      </c>
      <c r="AB3">
        <f>LOG10(Y3)</f>
        <v>-2.4768260348353568</v>
      </c>
      <c r="AC3">
        <f>LOG10(AA3)</f>
        <v>5.3521825181113627</v>
      </c>
      <c r="AD3">
        <f>Y3^(3/2)</f>
        <v>1.9264642218846443E-4</v>
      </c>
      <c r="AE3">
        <f>AA3</f>
        <v>224999.99999999997</v>
      </c>
      <c r="AG3">
        <f>1*0.0033356</f>
        <v>3.3356000000000002E-3</v>
      </c>
      <c r="AH3">
        <v>88</v>
      </c>
      <c r="AI3">
        <f>AH3*0.000001*3000000000</f>
        <v>264000</v>
      </c>
      <c r="AJ3">
        <f>LOG10(AG3)</f>
        <v>-2.4768260348353568</v>
      </c>
      <c r="AK3">
        <f>LOG10(AI3)</f>
        <v>5.4216039268698308</v>
      </c>
      <c r="AL3">
        <f>AG3^(3/2)</f>
        <v>1.9264642218846443E-4</v>
      </c>
      <c r="AM3">
        <f>AI3</f>
        <v>264000</v>
      </c>
      <c r="AO3">
        <f>1*0.0033356</f>
        <v>3.3356000000000002E-3</v>
      </c>
      <c r="AP3">
        <v>83</v>
      </c>
      <c r="AQ3">
        <f>AP3*0.000001*3000000000</f>
        <v>249000</v>
      </c>
      <c r="AR3">
        <f>LOG10(AO3)</f>
        <v>-2.4768260348353568</v>
      </c>
      <c r="AS3">
        <f>LOG10(AQ3)</f>
        <v>5.3961993470957363</v>
      </c>
      <c r="AT3">
        <f>AO3^(3/2)</f>
        <v>1.9264642218846443E-4</v>
      </c>
      <c r="AU3">
        <f>AQ3</f>
        <v>249000</v>
      </c>
      <c r="AW3">
        <f>1*0.0033356</f>
        <v>3.3356000000000002E-3</v>
      </c>
      <c r="AX3">
        <v>82</v>
      </c>
      <c r="AY3">
        <f>AX3*0.000001*3000000000</f>
        <v>246000</v>
      </c>
      <c r="AZ3">
        <f>LOG10(AW3)</f>
        <v>-2.4768260348353568</v>
      </c>
      <c r="BA3">
        <f>LOG10(AY3)</f>
        <v>5.3909351071033793</v>
      </c>
      <c r="BB3">
        <f>AW3^(3/2)</f>
        <v>1.9264642218846443E-4</v>
      </c>
      <c r="BC3">
        <f>AY3</f>
        <v>246000</v>
      </c>
      <c r="BE3" s="1">
        <v>7.4192</v>
      </c>
      <c r="BG3" s="1">
        <f t="shared" ref="BG3:BG8" si="0">10^BE3</f>
        <v>26254273.189937081</v>
      </c>
      <c r="BK3" s="1">
        <f>(BG3-$BJ$5)*(BG3-$BJ$5)</f>
        <v>2.102473017137906E+16</v>
      </c>
    </row>
    <row r="4" spans="1:65" x14ac:dyDescent="0.3">
      <c r="A4">
        <f>2*0.0033356</f>
        <v>6.6712000000000004E-3</v>
      </c>
      <c r="B4">
        <v>155</v>
      </c>
      <c r="C4">
        <f t="shared" ref="C4:C21" si="1">B4*0.000001*3000000000</f>
        <v>465000</v>
      </c>
      <c r="D4">
        <f t="shared" ref="D4:D21" si="2">LOG10(A4)</f>
        <v>-2.1757960391713755</v>
      </c>
      <c r="E4">
        <f t="shared" ref="E4:E21" si="3">LOG10(C4)</f>
        <v>5.6674529528899535</v>
      </c>
      <c r="F4">
        <f t="shared" ref="F4:F21" si="4">A4^(3/2)</f>
        <v>5.4488636600315819E-4</v>
      </c>
      <c r="G4">
        <f t="shared" ref="G4:G21" si="5">C4</f>
        <v>465000</v>
      </c>
      <c r="I4">
        <f>2*0.0033356</f>
        <v>6.6712000000000004E-3</v>
      </c>
      <c r="J4">
        <v>135</v>
      </c>
      <c r="K4">
        <f t="shared" ref="K4:K21" si="6">J4*0.000001*3000000000</f>
        <v>405000</v>
      </c>
      <c r="L4">
        <f t="shared" ref="L4:L14" si="7">LOG10(I4)</f>
        <v>-2.1757960391713755</v>
      </c>
      <c r="M4">
        <f t="shared" ref="M4:M21" si="8">LOG10(K4)</f>
        <v>5.6074550232146683</v>
      </c>
      <c r="N4">
        <f t="shared" ref="N4:N21" si="9">I4^(3/2)</f>
        <v>5.4488636600315819E-4</v>
      </c>
      <c r="O4">
        <f t="shared" ref="O4:O21" si="10">K4</f>
        <v>405000</v>
      </c>
      <c r="Q4">
        <f>2*0.0033356</f>
        <v>6.6712000000000004E-3</v>
      </c>
      <c r="R4">
        <v>169</v>
      </c>
      <c r="S4">
        <f t="shared" ref="S4:S21" si="11">R4*0.000001*3000000000</f>
        <v>506999.99999999994</v>
      </c>
      <c r="T4">
        <f t="shared" ref="T4:T14" si="12">LOG10(Q4)</f>
        <v>-2.1757960391713755</v>
      </c>
      <c r="U4">
        <f t="shared" ref="U4:U21" si="13">LOG10(S4)</f>
        <v>5.7050079593333356</v>
      </c>
      <c r="V4">
        <f t="shared" ref="V4:V21" si="14">Q4^(3/2)</f>
        <v>5.4488636600315819E-4</v>
      </c>
      <c r="W4">
        <f t="shared" ref="W4:W21" si="15">S4</f>
        <v>506999.99999999994</v>
      </c>
      <c r="Y4">
        <f>2*0.0033356</f>
        <v>6.6712000000000004E-3</v>
      </c>
      <c r="Z4">
        <v>152</v>
      </c>
      <c r="AA4">
        <f t="shared" ref="AA4:AA21" si="16">Z4*0.000001*3000000000</f>
        <v>455999.99999999994</v>
      </c>
      <c r="AB4">
        <f t="shared" ref="AB4:AB14" si="17">LOG10(Y4)</f>
        <v>-2.1757960391713755</v>
      </c>
      <c r="AC4">
        <f t="shared" ref="AC4:AC21" si="18">LOG10(AA4)</f>
        <v>5.6589648426644352</v>
      </c>
      <c r="AD4">
        <f t="shared" ref="AD4:AD21" si="19">Y4^(3/2)</f>
        <v>5.4488636600315819E-4</v>
      </c>
      <c r="AE4">
        <f t="shared" ref="AE4:AE21" si="20">AA4</f>
        <v>455999.99999999994</v>
      </c>
      <c r="AG4">
        <f>2*0.0033356</f>
        <v>6.6712000000000004E-3</v>
      </c>
      <c r="AH4">
        <v>142</v>
      </c>
      <c r="AI4">
        <f t="shared" ref="AI4:AI21" si="21">AH4*0.000001*3000000000</f>
        <v>425999.99999999994</v>
      </c>
      <c r="AJ4">
        <f t="shared" ref="AJ4:AJ14" si="22">LOG10(AG4)</f>
        <v>-2.1757960391713755</v>
      </c>
      <c r="AK4">
        <f t="shared" ref="AK4:AK21" si="23">LOG10(AI4)</f>
        <v>5.6294095991027184</v>
      </c>
      <c r="AL4">
        <f t="shared" ref="AL4:AL21" si="24">AG4^(3/2)</f>
        <v>5.4488636600315819E-4</v>
      </c>
      <c r="AM4">
        <f t="shared" ref="AM4:AM21" si="25">AI4</f>
        <v>425999.99999999994</v>
      </c>
      <c r="AO4">
        <f>2*0.0033356</f>
        <v>6.6712000000000004E-3</v>
      </c>
      <c r="AP4">
        <v>190</v>
      </c>
      <c r="AQ4">
        <f t="shared" ref="AQ4:AQ21" si="26">AP4*0.000001*3000000000</f>
        <v>570000</v>
      </c>
      <c r="AR4">
        <f t="shared" ref="AR4:AR14" si="27">LOG10(AO4)</f>
        <v>-2.1757960391713755</v>
      </c>
      <c r="AS4">
        <f t="shared" ref="AS4:AS21" si="28">LOG10(AQ4)</f>
        <v>5.7558748556724915</v>
      </c>
      <c r="AT4">
        <f t="shared" ref="AT4:AT21" si="29">AO4^(3/2)</f>
        <v>5.4488636600315819E-4</v>
      </c>
      <c r="AU4">
        <f t="shared" ref="AU4:AU21" si="30">AQ4</f>
        <v>570000</v>
      </c>
      <c r="AW4">
        <f>2*0.0033356</f>
        <v>6.6712000000000004E-3</v>
      </c>
      <c r="AX4">
        <v>165</v>
      </c>
      <c r="AY4">
        <f t="shared" ref="AY4:AY19" si="31">AX4*0.000001*3000000000</f>
        <v>495000</v>
      </c>
      <c r="AZ4">
        <f t="shared" ref="AZ4:AZ14" si="32">LOG10(AW4)</f>
        <v>-2.1757960391713755</v>
      </c>
      <c r="BA4">
        <f t="shared" ref="BA4:BA19" si="33">LOG10(AY4)</f>
        <v>5.6946051989335684</v>
      </c>
      <c r="BB4">
        <f t="shared" ref="BB4:BB19" si="34">AW4^(3/2)</f>
        <v>5.4488636600315819E-4</v>
      </c>
      <c r="BC4">
        <f t="shared" ref="BC4:BC19" si="35">AY4</f>
        <v>495000</v>
      </c>
      <c r="BE4" s="1">
        <v>8.85</v>
      </c>
      <c r="BG4" s="1">
        <f t="shared" si="0"/>
        <v>707945784.38413846</v>
      </c>
      <c r="BK4" s="1">
        <f>(BG6-$BJ$5)*(BG6-$BJ$5)</f>
        <v>2.4855947842133008E+16</v>
      </c>
    </row>
    <row r="5" spans="1:65" x14ac:dyDescent="0.3">
      <c r="A5">
        <f>3*0.0033356</f>
        <v>1.00068E-2</v>
      </c>
      <c r="B5">
        <v>197</v>
      </c>
      <c r="C5">
        <f t="shared" si="1"/>
        <v>591000</v>
      </c>
      <c r="D5">
        <f t="shared" si="2"/>
        <v>-1.9997047801156946</v>
      </c>
      <c r="E5">
        <f t="shared" si="3"/>
        <v>5.7715874808812551</v>
      </c>
      <c r="F5">
        <f t="shared" si="4"/>
        <v>1.0010201733803524E-3</v>
      </c>
      <c r="G5">
        <f t="shared" si="5"/>
        <v>591000</v>
      </c>
      <c r="I5">
        <f>3*0.0033356</f>
        <v>1.00068E-2</v>
      </c>
      <c r="J5">
        <v>304</v>
      </c>
      <c r="K5">
        <f t="shared" si="6"/>
        <v>911999.99999999988</v>
      </c>
      <c r="L5">
        <f t="shared" si="7"/>
        <v>-1.9997047801156946</v>
      </c>
      <c r="M5">
        <f t="shared" si="8"/>
        <v>5.9599948383284165</v>
      </c>
      <c r="N5">
        <f t="shared" si="9"/>
        <v>1.0010201733803524E-3</v>
      </c>
      <c r="O5">
        <f t="shared" si="10"/>
        <v>911999.99999999988</v>
      </c>
      <c r="Q5">
        <f>3*0.0033356</f>
        <v>1.00068E-2</v>
      </c>
      <c r="R5">
        <v>310</v>
      </c>
      <c r="S5">
        <f t="shared" si="11"/>
        <v>930000</v>
      </c>
      <c r="T5">
        <f t="shared" si="12"/>
        <v>-1.9997047801156946</v>
      </c>
      <c r="U5">
        <f t="shared" si="13"/>
        <v>5.9684829485539348</v>
      </c>
      <c r="V5">
        <f t="shared" si="14"/>
        <v>1.0010201733803524E-3</v>
      </c>
      <c r="W5">
        <f t="shared" si="15"/>
        <v>930000</v>
      </c>
      <c r="Y5">
        <f>3*0.0033356</f>
        <v>1.00068E-2</v>
      </c>
      <c r="Z5">
        <v>449</v>
      </c>
      <c r="AA5">
        <f t="shared" si="16"/>
        <v>1347000</v>
      </c>
      <c r="AB5">
        <f t="shared" si="17"/>
        <v>-1.9997047801156946</v>
      </c>
      <c r="AC5">
        <f t="shared" si="18"/>
        <v>6.1293675957229858</v>
      </c>
      <c r="AD5">
        <f t="shared" si="19"/>
        <v>1.0010201733803524E-3</v>
      </c>
      <c r="AE5">
        <f t="shared" si="20"/>
        <v>1347000</v>
      </c>
      <c r="AG5">
        <f>3*0.0033356</f>
        <v>1.00068E-2</v>
      </c>
      <c r="AH5">
        <v>328</v>
      </c>
      <c r="AI5">
        <f t="shared" si="21"/>
        <v>984000</v>
      </c>
      <c r="AJ5">
        <f t="shared" si="22"/>
        <v>-1.9997047801156946</v>
      </c>
      <c r="AK5">
        <f t="shared" si="23"/>
        <v>5.9929950984313418</v>
      </c>
      <c r="AL5">
        <f t="shared" si="24"/>
        <v>1.0010201733803524E-3</v>
      </c>
      <c r="AM5">
        <f t="shared" si="25"/>
        <v>984000</v>
      </c>
      <c r="AO5">
        <f>3*0.0033356</f>
        <v>1.00068E-2</v>
      </c>
      <c r="AP5">
        <v>310</v>
      </c>
      <c r="AQ5">
        <f t="shared" si="26"/>
        <v>930000</v>
      </c>
      <c r="AR5">
        <f t="shared" si="27"/>
        <v>-1.9997047801156946</v>
      </c>
      <c r="AS5">
        <f t="shared" si="28"/>
        <v>5.9684829485539348</v>
      </c>
      <c r="AT5">
        <f t="shared" si="29"/>
        <v>1.0010201733803524E-3</v>
      </c>
      <c r="AU5">
        <f t="shared" si="30"/>
        <v>930000</v>
      </c>
      <c r="AW5">
        <f>3*0.0033356</f>
        <v>1.00068E-2</v>
      </c>
      <c r="AX5">
        <v>360</v>
      </c>
      <c r="AY5">
        <f t="shared" si="31"/>
        <v>1080000</v>
      </c>
      <c r="AZ5">
        <f t="shared" si="32"/>
        <v>-1.9997047801156946</v>
      </c>
      <c r="BA5">
        <f t="shared" si="33"/>
        <v>6.0334237554869494</v>
      </c>
      <c r="BB5">
        <f t="shared" si="34"/>
        <v>1.0010201733803524E-3</v>
      </c>
      <c r="BC5">
        <f t="shared" si="35"/>
        <v>1080000</v>
      </c>
      <c r="BE5" s="1">
        <v>7.8762999999999996</v>
      </c>
      <c r="BG5" s="1">
        <f t="shared" si="0"/>
        <v>75214227.608716145</v>
      </c>
      <c r="BI5" t="s">
        <v>28</v>
      </c>
      <c r="BJ5" s="1">
        <f>AVERAGE(BG2:BG8)</f>
        <v>171253342.74343133</v>
      </c>
      <c r="BK5" s="1">
        <f t="shared" ref="BK3:BK8" si="36">(BG5-$BJ$5)*(BG5-$BJ$5)</f>
        <v>9223511635859080</v>
      </c>
      <c r="BL5" t="s">
        <v>48</v>
      </c>
      <c r="BM5" s="1">
        <f>SUM(BK2:BK8)</f>
        <v>1.0346578396880459E+17</v>
      </c>
    </row>
    <row r="6" spans="1:65" x14ac:dyDescent="0.3">
      <c r="A6">
        <f>4*0.0033356</f>
        <v>1.3342400000000001E-2</v>
      </c>
      <c r="B6">
        <v>236</v>
      </c>
      <c r="C6">
        <f t="shared" si="1"/>
        <v>708000</v>
      </c>
      <c r="D6">
        <f t="shared" si="2"/>
        <v>-1.8747660435073945</v>
      </c>
      <c r="E6">
        <f t="shared" si="3"/>
        <v>5.8500332576897689</v>
      </c>
      <c r="F6">
        <f t="shared" si="4"/>
        <v>1.5411713775077131E-3</v>
      </c>
      <c r="G6">
        <f t="shared" si="5"/>
        <v>708000</v>
      </c>
      <c r="I6">
        <f>4*0.0033356</f>
        <v>1.3342400000000001E-2</v>
      </c>
      <c r="J6">
        <v>464</v>
      </c>
      <c r="K6">
        <f t="shared" si="6"/>
        <v>1392000</v>
      </c>
      <c r="L6">
        <f t="shared" si="7"/>
        <v>-1.8747660435073945</v>
      </c>
      <c r="M6">
        <f t="shared" si="8"/>
        <v>6.1436392352745433</v>
      </c>
      <c r="N6">
        <f t="shared" si="9"/>
        <v>1.5411713775077131E-3</v>
      </c>
      <c r="O6">
        <f t="shared" si="10"/>
        <v>1392000</v>
      </c>
      <c r="Q6">
        <f>4*0.0033356</f>
        <v>1.3342400000000001E-2</v>
      </c>
      <c r="R6">
        <v>532</v>
      </c>
      <c r="S6">
        <f t="shared" si="11"/>
        <v>1596000</v>
      </c>
      <c r="T6">
        <f t="shared" si="12"/>
        <v>-1.8747660435073945</v>
      </c>
      <c r="U6">
        <f t="shared" si="13"/>
        <v>6.2030328870147109</v>
      </c>
      <c r="V6">
        <f t="shared" si="14"/>
        <v>1.5411713775077131E-3</v>
      </c>
      <c r="W6">
        <f t="shared" si="15"/>
        <v>1596000</v>
      </c>
      <c r="Y6">
        <f>4*0.0033356</f>
        <v>1.3342400000000001E-2</v>
      </c>
      <c r="Z6">
        <v>561</v>
      </c>
      <c r="AA6">
        <f t="shared" si="16"/>
        <v>1683000</v>
      </c>
      <c r="AB6">
        <f t="shared" si="17"/>
        <v>-1.8747660435073945</v>
      </c>
      <c r="AC6">
        <f t="shared" si="18"/>
        <v>6.2260841159758238</v>
      </c>
      <c r="AD6">
        <f t="shared" si="19"/>
        <v>1.5411713775077131E-3</v>
      </c>
      <c r="AE6">
        <f t="shared" si="20"/>
        <v>1683000</v>
      </c>
      <c r="AG6">
        <f>4*0.0033356</f>
        <v>1.3342400000000001E-2</v>
      </c>
      <c r="AH6">
        <v>523</v>
      </c>
      <c r="AI6">
        <f t="shared" si="21"/>
        <v>1569000</v>
      </c>
      <c r="AJ6">
        <f t="shared" si="22"/>
        <v>-1.8747660435073945</v>
      </c>
      <c r="AK6">
        <f t="shared" si="23"/>
        <v>6.1956229435869368</v>
      </c>
      <c r="AL6">
        <f t="shared" si="24"/>
        <v>1.5411713775077131E-3</v>
      </c>
      <c r="AM6">
        <f t="shared" si="25"/>
        <v>1569000</v>
      </c>
      <c r="AO6">
        <f>4*0.0033356</f>
        <v>1.3342400000000001E-2</v>
      </c>
      <c r="AP6">
        <v>538</v>
      </c>
      <c r="AQ6">
        <f t="shared" si="26"/>
        <v>1613999.9999999998</v>
      </c>
      <c r="AR6">
        <f t="shared" si="27"/>
        <v>-1.8747660435073945</v>
      </c>
      <c r="AS6">
        <f t="shared" si="28"/>
        <v>6.2079035303860515</v>
      </c>
      <c r="AT6">
        <f t="shared" si="29"/>
        <v>1.5411713775077131E-3</v>
      </c>
      <c r="AU6">
        <f t="shared" si="30"/>
        <v>1613999.9999999998</v>
      </c>
      <c r="AW6">
        <f>4*0.0033356</f>
        <v>1.3342400000000001E-2</v>
      </c>
      <c r="AX6">
        <v>537</v>
      </c>
      <c r="AY6">
        <f t="shared" si="31"/>
        <v>1610999.9999999998</v>
      </c>
      <c r="AZ6">
        <f t="shared" si="32"/>
        <v>-1.8747660435073945</v>
      </c>
      <c r="BA6">
        <f t="shared" si="33"/>
        <v>6.2070955404192176</v>
      </c>
      <c r="BB6">
        <f t="shared" si="34"/>
        <v>1.5411713775077131E-3</v>
      </c>
      <c r="BC6">
        <f t="shared" si="35"/>
        <v>1610999.9999999998</v>
      </c>
      <c r="BE6" s="1">
        <v>7.1334</v>
      </c>
      <c r="BG6" s="1">
        <f t="shared" si="0"/>
        <v>13595650.758127257</v>
      </c>
      <c r="BI6" t="s">
        <v>31</v>
      </c>
      <c r="BJ6" s="1"/>
      <c r="BK6" s="1">
        <f t="shared" si="36"/>
        <v>2.4855947842133008E+16</v>
      </c>
    </row>
    <row r="7" spans="1:65" x14ac:dyDescent="0.3">
      <c r="A7">
        <f>5*0.0033356</f>
        <v>1.6678000000000002E-2</v>
      </c>
      <c r="B7">
        <v>247</v>
      </c>
      <c r="C7">
        <f t="shared" si="1"/>
        <v>741000</v>
      </c>
      <c r="D7">
        <f t="shared" si="2"/>
        <v>-1.777856030499338</v>
      </c>
      <c r="E7">
        <f t="shared" si="3"/>
        <v>5.8698182079793284</v>
      </c>
      <c r="F7">
        <f t="shared" si="4"/>
        <v>2.1538524781776506E-3</v>
      </c>
      <c r="G7">
        <f t="shared" si="5"/>
        <v>741000</v>
      </c>
      <c r="I7">
        <f>5*0.0033356</f>
        <v>1.6678000000000002E-2</v>
      </c>
      <c r="J7">
        <v>645</v>
      </c>
      <c r="K7">
        <f t="shared" si="6"/>
        <v>1934999.9999999998</v>
      </c>
      <c r="L7">
        <f t="shared" si="7"/>
        <v>-1.777856030499338</v>
      </c>
      <c r="M7">
        <f t="shared" si="8"/>
        <v>6.2866809693549301</v>
      </c>
      <c r="N7">
        <f t="shared" si="9"/>
        <v>2.1538524781776506E-3</v>
      </c>
      <c r="O7">
        <f t="shared" si="10"/>
        <v>1934999.9999999998</v>
      </c>
      <c r="Q7">
        <f>5*0.0033356</f>
        <v>1.6678000000000002E-2</v>
      </c>
      <c r="R7">
        <v>765</v>
      </c>
      <c r="S7">
        <f t="shared" si="11"/>
        <v>2295000</v>
      </c>
      <c r="T7">
        <f t="shared" si="12"/>
        <v>-1.777856030499338</v>
      </c>
      <c r="U7">
        <f t="shared" si="13"/>
        <v>6.3607826898732798</v>
      </c>
      <c r="V7">
        <f t="shared" si="14"/>
        <v>2.1538524781776506E-3</v>
      </c>
      <c r="W7">
        <f t="shared" si="15"/>
        <v>2295000</v>
      </c>
      <c r="Y7">
        <f>5*0.0033356</f>
        <v>1.6678000000000002E-2</v>
      </c>
      <c r="Z7">
        <v>862</v>
      </c>
      <c r="AA7">
        <f t="shared" si="16"/>
        <v>2585999.9999999995</v>
      </c>
      <c r="AB7">
        <f t="shared" si="17"/>
        <v>-1.777856030499338</v>
      </c>
      <c r="AC7">
        <f t="shared" si="18"/>
        <v>6.4126285205443754</v>
      </c>
      <c r="AD7">
        <f t="shared" si="19"/>
        <v>2.1538524781776506E-3</v>
      </c>
      <c r="AE7">
        <f t="shared" si="20"/>
        <v>2585999.9999999995</v>
      </c>
      <c r="AG7">
        <f>5*0.0033356</f>
        <v>1.6678000000000002E-2</v>
      </c>
      <c r="AH7">
        <v>867</v>
      </c>
      <c r="AI7">
        <f t="shared" si="21"/>
        <v>2601000</v>
      </c>
      <c r="AJ7">
        <f t="shared" si="22"/>
        <v>-1.777856030499338</v>
      </c>
      <c r="AK7">
        <f t="shared" si="23"/>
        <v>6.4151403521958725</v>
      </c>
      <c r="AL7">
        <f t="shared" si="24"/>
        <v>2.1538524781776506E-3</v>
      </c>
      <c r="AM7">
        <f t="shared" si="25"/>
        <v>2601000</v>
      </c>
      <c r="AO7">
        <f>5*0.0033356</f>
        <v>1.6678000000000002E-2</v>
      </c>
      <c r="AP7">
        <v>750</v>
      </c>
      <c r="AQ7">
        <f t="shared" si="26"/>
        <v>2250000</v>
      </c>
      <c r="AR7">
        <f t="shared" si="27"/>
        <v>-1.777856030499338</v>
      </c>
      <c r="AS7">
        <f t="shared" si="28"/>
        <v>6.3521825181113627</v>
      </c>
      <c r="AT7">
        <f t="shared" si="29"/>
        <v>2.1538524781776506E-3</v>
      </c>
      <c r="AU7">
        <f t="shared" si="30"/>
        <v>2250000</v>
      </c>
      <c r="AW7">
        <f>5*0.0033356</f>
        <v>1.6678000000000002E-2</v>
      </c>
      <c r="AX7">
        <v>630</v>
      </c>
      <c r="AY7">
        <f t="shared" si="31"/>
        <v>1889999.9999999998</v>
      </c>
      <c r="AZ7">
        <f t="shared" si="32"/>
        <v>-1.777856030499338</v>
      </c>
      <c r="BA7">
        <f t="shared" si="33"/>
        <v>6.2764618041732438</v>
      </c>
      <c r="BB7">
        <f t="shared" si="34"/>
        <v>2.1538524781776506E-3</v>
      </c>
      <c r="BC7">
        <f t="shared" si="35"/>
        <v>1889999.9999999998</v>
      </c>
      <c r="BE7" s="1">
        <v>8.3655000000000008</v>
      </c>
      <c r="BG7" s="1">
        <f t="shared" si="0"/>
        <v>232006418.55696419</v>
      </c>
      <c r="BI7" t="s">
        <v>47</v>
      </c>
      <c r="BJ7" s="1">
        <f>POWER(BM5/(7*6),1/2)</f>
        <v>49633366.265812561</v>
      </c>
      <c r="BK7" s="1">
        <f t="shared" si="36"/>
        <v>3690936220804871.5</v>
      </c>
    </row>
    <row r="8" spans="1:65" x14ac:dyDescent="0.3">
      <c r="A8">
        <f>10*0.0033356</f>
        <v>3.3356000000000004E-2</v>
      </c>
      <c r="B8">
        <v>262</v>
      </c>
      <c r="C8">
        <f t="shared" si="1"/>
        <v>785999.99999999988</v>
      </c>
      <c r="D8">
        <f t="shared" si="2"/>
        <v>-1.4768260348353568</v>
      </c>
      <c r="E8">
        <f t="shared" si="3"/>
        <v>5.8954225460394074</v>
      </c>
      <c r="F8">
        <f t="shared" si="4"/>
        <v>6.0920147719794645E-3</v>
      </c>
      <c r="G8">
        <f t="shared" si="5"/>
        <v>785999.99999999988</v>
      </c>
      <c r="I8">
        <f>10*0.0033356</f>
        <v>3.3356000000000004E-2</v>
      </c>
      <c r="J8">
        <v>856</v>
      </c>
      <c r="K8">
        <f t="shared" si="6"/>
        <v>2568000</v>
      </c>
      <c r="L8">
        <f t="shared" si="7"/>
        <v>-1.4768260348353568</v>
      </c>
      <c r="M8">
        <f t="shared" si="8"/>
        <v>6.4095950193968161</v>
      </c>
      <c r="N8">
        <f t="shared" si="9"/>
        <v>6.0920147719794645E-3</v>
      </c>
      <c r="O8">
        <f t="shared" si="10"/>
        <v>2568000</v>
      </c>
      <c r="Q8">
        <f>10*0.0033356</f>
        <v>3.3356000000000004E-2</v>
      </c>
      <c r="R8">
        <v>1947</v>
      </c>
      <c r="S8">
        <f t="shared" si="11"/>
        <v>5841000</v>
      </c>
      <c r="T8">
        <f t="shared" si="12"/>
        <v>-1.4768260348353568</v>
      </c>
      <c r="U8">
        <f t="shared" si="13"/>
        <v>6.7664872062396944</v>
      </c>
      <c r="V8">
        <f t="shared" si="14"/>
        <v>6.0920147719794645E-3</v>
      </c>
      <c r="W8">
        <f t="shared" si="15"/>
        <v>5841000</v>
      </c>
      <c r="Y8">
        <f>10*0.0033356</f>
        <v>3.3356000000000004E-2</v>
      </c>
      <c r="Z8">
        <v>2260</v>
      </c>
      <c r="AA8">
        <f t="shared" si="16"/>
        <v>6780000</v>
      </c>
      <c r="AB8">
        <f t="shared" si="17"/>
        <v>-1.4768260348353568</v>
      </c>
      <c r="AC8">
        <f t="shared" si="18"/>
        <v>6.8312296938670629</v>
      </c>
      <c r="AD8">
        <f t="shared" si="19"/>
        <v>6.0920147719794645E-3</v>
      </c>
      <c r="AE8">
        <f t="shared" si="20"/>
        <v>6780000</v>
      </c>
      <c r="AG8">
        <f>10*0.0033356</f>
        <v>3.3356000000000004E-2</v>
      </c>
      <c r="AH8">
        <v>2260</v>
      </c>
      <c r="AI8">
        <f t="shared" si="21"/>
        <v>6780000</v>
      </c>
      <c r="AJ8">
        <f t="shared" si="22"/>
        <v>-1.4768260348353568</v>
      </c>
      <c r="AK8">
        <f t="shared" si="23"/>
        <v>6.8312296938670629</v>
      </c>
      <c r="AL8">
        <f t="shared" si="24"/>
        <v>6.0920147719794645E-3</v>
      </c>
      <c r="AM8">
        <f t="shared" si="25"/>
        <v>6780000</v>
      </c>
      <c r="AO8">
        <f>10*0.0033356</f>
        <v>3.3356000000000004E-2</v>
      </c>
      <c r="AP8">
        <v>2310</v>
      </c>
      <c r="AQ8">
        <f t="shared" si="26"/>
        <v>6930000</v>
      </c>
      <c r="AR8">
        <f t="shared" si="27"/>
        <v>-1.4768260348353568</v>
      </c>
      <c r="AS8">
        <f t="shared" si="28"/>
        <v>6.8407332346118066</v>
      </c>
      <c r="AT8">
        <f t="shared" si="29"/>
        <v>6.0920147719794645E-3</v>
      </c>
      <c r="AU8">
        <f t="shared" si="30"/>
        <v>6930000</v>
      </c>
      <c r="AW8">
        <f>10*0.0033356</f>
        <v>3.3356000000000004E-2</v>
      </c>
      <c r="AX8">
        <v>2120</v>
      </c>
      <c r="AY8">
        <f t="shared" si="31"/>
        <v>6360000</v>
      </c>
      <c r="AZ8">
        <f t="shared" si="32"/>
        <v>-1.4768260348353568</v>
      </c>
      <c r="BA8">
        <f t="shared" si="33"/>
        <v>6.8034571156484143</v>
      </c>
      <c r="BB8">
        <f t="shared" si="34"/>
        <v>6.0920147719794645E-3</v>
      </c>
      <c r="BC8">
        <f t="shared" si="35"/>
        <v>6360000</v>
      </c>
      <c r="BE8" s="1">
        <v>7.8895</v>
      </c>
      <c r="BG8" s="1">
        <f t="shared" si="0"/>
        <v>77535394.335959807</v>
      </c>
      <c r="BJ8" s="1"/>
      <c r="BK8" s="1">
        <f t="shared" si="36"/>
        <v>8783053853705494</v>
      </c>
    </row>
    <row r="9" spans="1:65" x14ac:dyDescent="0.3">
      <c r="A9">
        <f>20*0.0033356</f>
        <v>6.6712000000000007E-2</v>
      </c>
      <c r="B9">
        <v>273</v>
      </c>
      <c r="C9">
        <f t="shared" si="1"/>
        <v>818999.99999999988</v>
      </c>
      <c r="D9">
        <f t="shared" si="2"/>
        <v>-1.1757960391713758</v>
      </c>
      <c r="E9">
        <f t="shared" si="3"/>
        <v>5.9132839017604182</v>
      </c>
      <c r="F9">
        <f t="shared" si="4"/>
        <v>1.7230819825421195E-2</v>
      </c>
      <c r="G9">
        <f t="shared" si="5"/>
        <v>818999.99999999988</v>
      </c>
      <c r="I9">
        <f>20*0.0033356</f>
        <v>6.6712000000000007E-2</v>
      </c>
      <c r="J9">
        <v>904</v>
      </c>
      <c r="K9">
        <f t="shared" si="6"/>
        <v>2712000</v>
      </c>
      <c r="L9">
        <f t="shared" si="7"/>
        <v>-1.1757960391713758</v>
      </c>
      <c r="M9">
        <f t="shared" si="8"/>
        <v>6.4332896851950254</v>
      </c>
      <c r="N9">
        <f t="shared" si="9"/>
        <v>1.7230819825421195E-2</v>
      </c>
      <c r="O9">
        <f t="shared" si="10"/>
        <v>2712000</v>
      </c>
      <c r="Q9">
        <f>20*0.0033356</f>
        <v>6.6712000000000007E-2</v>
      </c>
      <c r="R9">
        <v>2730</v>
      </c>
      <c r="S9">
        <f t="shared" si="11"/>
        <v>8189999.9999999991</v>
      </c>
      <c r="T9">
        <f t="shared" si="12"/>
        <v>-1.1757960391713758</v>
      </c>
      <c r="U9">
        <f t="shared" si="13"/>
        <v>6.9132839017604182</v>
      </c>
      <c r="V9">
        <f t="shared" si="14"/>
        <v>1.7230819825421195E-2</v>
      </c>
      <c r="W9">
        <f t="shared" si="15"/>
        <v>8189999.9999999991</v>
      </c>
      <c r="Y9">
        <f>20*0.0033356</f>
        <v>6.6712000000000007E-2</v>
      </c>
      <c r="Z9">
        <v>6700</v>
      </c>
      <c r="AA9">
        <f t="shared" si="16"/>
        <v>20099999.999999996</v>
      </c>
      <c r="AB9">
        <f t="shared" si="17"/>
        <v>-1.1757960391713758</v>
      </c>
      <c r="AC9">
        <f t="shared" si="18"/>
        <v>7.3031960574204886</v>
      </c>
      <c r="AD9">
        <f t="shared" si="19"/>
        <v>1.7230819825421195E-2</v>
      </c>
      <c r="AE9">
        <f t="shared" si="20"/>
        <v>20099999.999999996</v>
      </c>
      <c r="AG9">
        <f>20*0.0033356</f>
        <v>6.6712000000000007E-2</v>
      </c>
      <c r="AH9">
        <v>7600</v>
      </c>
      <c r="AI9">
        <f t="shared" si="21"/>
        <v>22800000</v>
      </c>
      <c r="AJ9">
        <f t="shared" si="22"/>
        <v>-1.1757960391713758</v>
      </c>
      <c r="AK9">
        <f t="shared" si="23"/>
        <v>7.357934847000454</v>
      </c>
      <c r="AL9">
        <f t="shared" si="24"/>
        <v>1.7230819825421195E-2</v>
      </c>
      <c r="AM9">
        <f t="shared" si="25"/>
        <v>22800000</v>
      </c>
      <c r="AO9">
        <f>20*0.0033356</f>
        <v>6.6712000000000007E-2</v>
      </c>
      <c r="AP9">
        <v>7170</v>
      </c>
      <c r="AQ9">
        <f t="shared" si="26"/>
        <v>21509999.999999996</v>
      </c>
      <c r="AR9">
        <f t="shared" si="27"/>
        <v>-1.1757960391713758</v>
      </c>
      <c r="AS9">
        <f t="shared" si="28"/>
        <v>7.3326404103874623</v>
      </c>
      <c r="AT9">
        <f t="shared" si="29"/>
        <v>1.7230819825421195E-2</v>
      </c>
      <c r="AU9">
        <f t="shared" si="30"/>
        <v>21509999.999999996</v>
      </c>
      <c r="AW9">
        <f>20*0.0033356</f>
        <v>6.6712000000000007E-2</v>
      </c>
      <c r="AX9">
        <v>7680</v>
      </c>
      <c r="AY9">
        <f t="shared" si="31"/>
        <v>23039999.999999996</v>
      </c>
      <c r="AZ9">
        <f t="shared" si="32"/>
        <v>-1.1757960391713758</v>
      </c>
      <c r="BA9">
        <f t="shared" si="33"/>
        <v>7.3624824747511743</v>
      </c>
      <c r="BB9">
        <f t="shared" si="34"/>
        <v>1.7230819825421195E-2</v>
      </c>
      <c r="BC9">
        <f t="shared" si="35"/>
        <v>23039999.999999996</v>
      </c>
    </row>
    <row r="10" spans="1:65" x14ac:dyDescent="0.3">
      <c r="A10">
        <f>30*0.0033356</f>
        <v>0.100068</v>
      </c>
      <c r="B10">
        <v>282</v>
      </c>
      <c r="C10">
        <f t="shared" si="1"/>
        <v>845999.99999999988</v>
      </c>
      <c r="D10">
        <f t="shared" si="2"/>
        <v>-0.99970478011569452</v>
      </c>
      <c r="E10">
        <f t="shared" si="3"/>
        <v>5.9273703630390235</v>
      </c>
      <c r="F10">
        <f t="shared" si="4"/>
        <v>3.1655037316585685E-2</v>
      </c>
      <c r="G10">
        <f t="shared" si="5"/>
        <v>845999.99999999988</v>
      </c>
      <c r="I10">
        <f>30*0.0033356</f>
        <v>0.100068</v>
      </c>
      <c r="J10">
        <v>929</v>
      </c>
      <c r="K10">
        <f t="shared" si="6"/>
        <v>2786999.9999999995</v>
      </c>
      <c r="L10">
        <f t="shared" si="7"/>
        <v>-0.99970478011569452</v>
      </c>
      <c r="M10">
        <f t="shared" si="8"/>
        <v>6.445136968713304</v>
      </c>
      <c r="N10">
        <f t="shared" si="9"/>
        <v>3.1655037316585685E-2</v>
      </c>
      <c r="O10">
        <f t="shared" si="10"/>
        <v>2786999.9999999995</v>
      </c>
      <c r="Q10">
        <f>30*0.0033356</f>
        <v>0.100068</v>
      </c>
      <c r="R10">
        <v>2846</v>
      </c>
      <c r="S10">
        <f t="shared" si="11"/>
        <v>8538000</v>
      </c>
      <c r="T10">
        <f t="shared" si="12"/>
        <v>-0.99970478011569452</v>
      </c>
      <c r="U10">
        <f t="shared" si="13"/>
        <v>6.931356150467928</v>
      </c>
      <c r="V10">
        <f t="shared" si="14"/>
        <v>3.1655037316585685E-2</v>
      </c>
      <c r="W10">
        <f t="shared" si="15"/>
        <v>8538000</v>
      </c>
      <c r="Y10">
        <f>30*0.0033356</f>
        <v>0.100068</v>
      </c>
      <c r="Z10">
        <v>8380</v>
      </c>
      <c r="AA10">
        <f t="shared" si="16"/>
        <v>25140000</v>
      </c>
      <c r="AB10">
        <f t="shared" si="17"/>
        <v>-0.99970478011569452</v>
      </c>
      <c r="AC10">
        <f t="shared" si="18"/>
        <v>7.400365273349939</v>
      </c>
      <c r="AD10">
        <f t="shared" si="19"/>
        <v>3.1655037316585685E-2</v>
      </c>
      <c r="AE10">
        <f t="shared" si="20"/>
        <v>25140000</v>
      </c>
      <c r="AG10">
        <f>30*0.0033356</f>
        <v>0.100068</v>
      </c>
      <c r="AH10">
        <v>13360</v>
      </c>
      <c r="AI10">
        <f t="shared" si="21"/>
        <v>40079999.999999993</v>
      </c>
      <c r="AJ10">
        <f t="shared" si="22"/>
        <v>-0.99970478011569452</v>
      </c>
      <c r="AK10">
        <f t="shared" si="23"/>
        <v>7.6029277128591888</v>
      </c>
      <c r="AL10">
        <f t="shared" si="24"/>
        <v>3.1655037316585685E-2</v>
      </c>
      <c r="AM10">
        <f t="shared" si="25"/>
        <v>40079999.999999993</v>
      </c>
      <c r="AO10">
        <f>30*0.0033356</f>
        <v>0.100068</v>
      </c>
      <c r="AP10">
        <v>14080</v>
      </c>
      <c r="AQ10">
        <f t="shared" si="26"/>
        <v>42240000</v>
      </c>
      <c r="AR10">
        <f t="shared" si="27"/>
        <v>-0.99970478011569452</v>
      </c>
      <c r="AS10">
        <f t="shared" si="28"/>
        <v>7.6257239095257559</v>
      </c>
      <c r="AT10">
        <f t="shared" si="29"/>
        <v>3.1655037316585685E-2</v>
      </c>
      <c r="AU10">
        <f t="shared" si="30"/>
        <v>42240000</v>
      </c>
      <c r="AW10">
        <f>30*0.0033356</f>
        <v>0.100068</v>
      </c>
      <c r="AX10">
        <v>14070</v>
      </c>
      <c r="AY10">
        <f t="shared" si="31"/>
        <v>42210000</v>
      </c>
      <c r="AZ10">
        <f t="shared" si="32"/>
        <v>-0.99970478011569452</v>
      </c>
      <c r="BA10">
        <f t="shared" si="33"/>
        <v>7.6254153521544081</v>
      </c>
      <c r="BB10">
        <f t="shared" si="34"/>
        <v>3.1655037316585685E-2</v>
      </c>
      <c r="BC10">
        <f t="shared" si="35"/>
        <v>42210000</v>
      </c>
      <c r="BE10" t="s">
        <v>32</v>
      </c>
    </row>
    <row r="11" spans="1:65" x14ac:dyDescent="0.3">
      <c r="A11">
        <f>40*0.0033356</f>
        <v>0.13342400000000001</v>
      </c>
      <c r="B11">
        <v>288</v>
      </c>
      <c r="C11">
        <f t="shared" si="1"/>
        <v>864000</v>
      </c>
      <c r="D11">
        <f t="shared" si="2"/>
        <v>-0.87476604350739451</v>
      </c>
      <c r="E11">
        <f t="shared" si="3"/>
        <v>5.9365137424788932</v>
      </c>
      <c r="F11">
        <f t="shared" si="4"/>
        <v>4.8736118175835709E-2</v>
      </c>
      <c r="G11">
        <f t="shared" si="5"/>
        <v>864000</v>
      </c>
      <c r="I11">
        <f>40*0.0033356</f>
        <v>0.13342400000000001</v>
      </c>
      <c r="J11">
        <v>948</v>
      </c>
      <c r="K11">
        <f t="shared" si="6"/>
        <v>2844000</v>
      </c>
      <c r="L11">
        <f t="shared" si="7"/>
        <v>-0.87476604350739451</v>
      </c>
      <c r="M11">
        <f t="shared" si="8"/>
        <v>6.4539295920577286</v>
      </c>
      <c r="N11">
        <f t="shared" si="9"/>
        <v>4.8736118175835709E-2</v>
      </c>
      <c r="O11">
        <f t="shared" si="10"/>
        <v>2844000</v>
      </c>
      <c r="Q11">
        <f>40*0.0033356</f>
        <v>0.13342400000000001</v>
      </c>
      <c r="R11">
        <v>2920</v>
      </c>
      <c r="S11">
        <f t="shared" si="11"/>
        <v>8760000</v>
      </c>
      <c r="T11">
        <f t="shared" si="12"/>
        <v>-0.87476604350739451</v>
      </c>
      <c r="U11">
        <f t="shared" si="13"/>
        <v>6.942504106168081</v>
      </c>
      <c r="V11">
        <f t="shared" si="14"/>
        <v>4.8736118175835709E-2</v>
      </c>
      <c r="W11">
        <f t="shared" si="15"/>
        <v>8760000</v>
      </c>
      <c r="Y11">
        <f>40*0.0033356</f>
        <v>0.13342400000000001</v>
      </c>
      <c r="Z11">
        <v>8690</v>
      </c>
      <c r="AA11">
        <f t="shared" si="16"/>
        <v>26070000</v>
      </c>
      <c r="AB11">
        <f t="shared" si="17"/>
        <v>-0.87476604350739451</v>
      </c>
      <c r="AC11">
        <f t="shared" si="18"/>
        <v>7.4161410311683289</v>
      </c>
      <c r="AD11">
        <f t="shared" si="19"/>
        <v>4.8736118175835709E-2</v>
      </c>
      <c r="AE11">
        <f t="shared" si="20"/>
        <v>26070000</v>
      </c>
      <c r="AG11">
        <f>40*0.0033356</f>
        <v>0.13342400000000001</v>
      </c>
      <c r="AH11">
        <v>20570</v>
      </c>
      <c r="AI11">
        <f t="shared" si="21"/>
        <v>61709999.999999993</v>
      </c>
      <c r="AJ11">
        <f t="shared" si="22"/>
        <v>-0.87476604350739451</v>
      </c>
      <c r="AK11">
        <f t="shared" si="23"/>
        <v>7.7903555464143865</v>
      </c>
      <c r="AL11">
        <f t="shared" si="24"/>
        <v>4.8736118175835709E-2</v>
      </c>
      <c r="AM11">
        <f t="shared" si="25"/>
        <v>61709999.999999993</v>
      </c>
      <c r="AO11">
        <f>40*0.0033356</f>
        <v>0.13342400000000001</v>
      </c>
      <c r="AP11">
        <v>22300</v>
      </c>
      <c r="AQ11">
        <f t="shared" si="26"/>
        <v>66900000</v>
      </c>
      <c r="AR11">
        <f t="shared" si="27"/>
        <v>-0.87476604350739451</v>
      </c>
      <c r="AS11">
        <f t="shared" si="28"/>
        <v>7.8254261177678233</v>
      </c>
      <c r="AT11">
        <f t="shared" si="29"/>
        <v>4.8736118175835709E-2</v>
      </c>
      <c r="AU11">
        <f t="shared" si="30"/>
        <v>66900000</v>
      </c>
      <c r="AW11">
        <f>40*0.0033356</f>
        <v>0.13342400000000001</v>
      </c>
      <c r="AX11">
        <v>22500</v>
      </c>
      <c r="AY11">
        <f t="shared" si="31"/>
        <v>67500000</v>
      </c>
      <c r="AZ11">
        <f t="shared" si="32"/>
        <v>-0.87476604350739451</v>
      </c>
      <c r="BA11">
        <f t="shared" si="33"/>
        <v>7.8293037728310253</v>
      </c>
      <c r="BB11">
        <f t="shared" si="34"/>
        <v>4.8736118175835709E-2</v>
      </c>
      <c r="BC11">
        <f t="shared" si="35"/>
        <v>67500000</v>
      </c>
      <c r="BE11" s="1">
        <f>81/8*(BG2*0.03/0.005)*(BG2*0.005/0.04)</f>
        <v>3.3300924862288008E+16</v>
      </c>
    </row>
    <row r="12" spans="1:65" x14ac:dyDescent="0.3">
      <c r="A12">
        <f>50*0.0033356</f>
        <v>0.16678000000000001</v>
      </c>
      <c r="B12">
        <v>295</v>
      </c>
      <c r="C12">
        <f t="shared" si="1"/>
        <v>884999.99999999988</v>
      </c>
      <c r="D12">
        <f t="shared" si="2"/>
        <v>-0.77785603049933816</v>
      </c>
      <c r="E12">
        <f t="shared" si="3"/>
        <v>5.9469432706978251</v>
      </c>
      <c r="F12">
        <f t="shared" si="4"/>
        <v>6.8110795750394831E-2</v>
      </c>
      <c r="G12">
        <f t="shared" si="5"/>
        <v>884999.99999999988</v>
      </c>
      <c r="I12">
        <f>50*0.0033356</f>
        <v>0.16678000000000001</v>
      </c>
      <c r="J12">
        <v>964</v>
      </c>
      <c r="K12">
        <f t="shared" si="6"/>
        <v>2891999.9999999995</v>
      </c>
      <c r="L12">
        <f t="shared" si="7"/>
        <v>-0.77785603049933816</v>
      </c>
      <c r="M12">
        <f t="shared" si="8"/>
        <v>6.4611982886224935</v>
      </c>
      <c r="N12">
        <f t="shared" si="9"/>
        <v>6.8110795750394831E-2</v>
      </c>
      <c r="O12">
        <f t="shared" si="10"/>
        <v>2891999.9999999995</v>
      </c>
      <c r="Q12">
        <f>50*0.0033356</f>
        <v>0.16678000000000001</v>
      </c>
      <c r="R12">
        <v>3004</v>
      </c>
      <c r="S12">
        <f t="shared" si="11"/>
        <v>9012000</v>
      </c>
      <c r="T12">
        <f t="shared" si="12"/>
        <v>-0.77785603049933816</v>
      </c>
      <c r="U12">
        <f t="shared" si="13"/>
        <v>6.9548211830517932</v>
      </c>
      <c r="V12">
        <f t="shared" si="14"/>
        <v>6.8110795750394831E-2</v>
      </c>
      <c r="W12">
        <f t="shared" si="15"/>
        <v>9012000</v>
      </c>
      <c r="Y12">
        <f>50*0.0033356</f>
        <v>0.16678000000000001</v>
      </c>
      <c r="Z12">
        <v>8870</v>
      </c>
      <c r="AA12">
        <f t="shared" si="16"/>
        <v>26610000</v>
      </c>
      <c r="AB12">
        <f t="shared" si="17"/>
        <v>-0.77785603049933816</v>
      </c>
      <c r="AC12">
        <f t="shared" si="18"/>
        <v>7.4250448745513884</v>
      </c>
      <c r="AD12">
        <f t="shared" si="19"/>
        <v>6.8110795750394831E-2</v>
      </c>
      <c r="AE12">
        <f t="shared" si="20"/>
        <v>26610000</v>
      </c>
      <c r="AG12">
        <f>50*0.0033356</f>
        <v>0.16678000000000001</v>
      </c>
      <c r="AH12">
        <v>22270</v>
      </c>
      <c r="AI12">
        <f t="shared" si="21"/>
        <v>66809999.999999993</v>
      </c>
      <c r="AJ12">
        <f t="shared" si="22"/>
        <v>-0.77785603049933816</v>
      </c>
      <c r="AK12">
        <f t="shared" si="23"/>
        <v>7.8248414717537003</v>
      </c>
      <c r="AL12">
        <f t="shared" si="24"/>
        <v>6.8110795750394831E-2</v>
      </c>
      <c r="AM12">
        <f t="shared" si="25"/>
        <v>66809999.999999993</v>
      </c>
      <c r="AO12">
        <f>50*0.0033356</f>
        <v>0.16678000000000001</v>
      </c>
      <c r="AP12">
        <v>30950</v>
      </c>
      <c r="AQ12">
        <f t="shared" si="26"/>
        <v>92850000</v>
      </c>
      <c r="AR12">
        <f t="shared" si="27"/>
        <v>-0.77785603049933816</v>
      </c>
      <c r="AS12">
        <f t="shared" si="28"/>
        <v>7.967781908075799</v>
      </c>
      <c r="AT12">
        <f t="shared" si="29"/>
        <v>6.8110795750394831E-2</v>
      </c>
      <c r="AU12">
        <f t="shared" si="30"/>
        <v>92850000</v>
      </c>
      <c r="AW12">
        <f>50*0.0033356</f>
        <v>0.16678000000000001</v>
      </c>
      <c r="AX12">
        <v>32000</v>
      </c>
      <c r="AY12">
        <f t="shared" si="31"/>
        <v>96000000</v>
      </c>
      <c r="AZ12">
        <f t="shared" si="32"/>
        <v>-0.77785603049933816</v>
      </c>
      <c r="BA12">
        <f t="shared" si="33"/>
        <v>7.982271233039568</v>
      </c>
      <c r="BB12">
        <f t="shared" si="34"/>
        <v>6.8110795750394831E-2</v>
      </c>
      <c r="BC12">
        <f t="shared" si="35"/>
        <v>96000000</v>
      </c>
      <c r="BE12" s="1">
        <f t="shared" ref="BE12:BE17" si="37">81/8*(BG3*0.03/0.005)*(BG3*0.005/0.04)</f>
        <v>5234272098682478</v>
      </c>
    </row>
    <row r="13" spans="1:65" x14ac:dyDescent="0.3">
      <c r="A13">
        <f>60*0.0033356</f>
        <v>0.20013600000000001</v>
      </c>
      <c r="B13">
        <v>300</v>
      </c>
      <c r="C13">
        <f t="shared" si="1"/>
        <v>899999.99999999988</v>
      </c>
      <c r="D13">
        <f t="shared" si="2"/>
        <v>-0.69867478445171327</v>
      </c>
      <c r="E13">
        <f t="shared" si="3"/>
        <v>5.9542425094393252</v>
      </c>
      <c r="F13">
        <f t="shared" si="4"/>
        <v>8.9533966181083807E-2</v>
      </c>
      <c r="G13">
        <f t="shared" si="5"/>
        <v>899999.99999999988</v>
      </c>
      <c r="I13">
        <f>60*0.0033356</f>
        <v>0.20013600000000001</v>
      </c>
      <c r="J13">
        <v>978</v>
      </c>
      <c r="K13">
        <f t="shared" si="6"/>
        <v>2933999.9999999995</v>
      </c>
      <c r="L13">
        <f t="shared" si="7"/>
        <v>-0.69867478445171327</v>
      </c>
      <c r="M13">
        <f t="shared" si="8"/>
        <v>6.4674601095072637</v>
      </c>
      <c r="N13">
        <f t="shared" si="9"/>
        <v>8.9533966181083807E-2</v>
      </c>
      <c r="O13">
        <f t="shared" si="10"/>
        <v>2933999.9999999995</v>
      </c>
      <c r="Q13">
        <f>60*0.0033356</f>
        <v>0.20013600000000001</v>
      </c>
      <c r="R13">
        <v>3049</v>
      </c>
      <c r="S13">
        <f t="shared" si="11"/>
        <v>9147000</v>
      </c>
      <c r="T13">
        <f t="shared" si="12"/>
        <v>-0.69867478445171327</v>
      </c>
      <c r="U13">
        <f t="shared" si="13"/>
        <v>6.9612786790850434</v>
      </c>
      <c r="V13">
        <f t="shared" si="14"/>
        <v>8.9533966181083807E-2</v>
      </c>
      <c r="W13">
        <f t="shared" si="15"/>
        <v>9147000</v>
      </c>
      <c r="Y13">
        <f>60*0.0033356</f>
        <v>0.20013600000000001</v>
      </c>
      <c r="Z13">
        <v>9020</v>
      </c>
      <c r="AA13">
        <f t="shared" si="16"/>
        <v>27060000</v>
      </c>
      <c r="AB13">
        <f t="shared" si="17"/>
        <v>-0.69867478445171327</v>
      </c>
      <c r="AC13">
        <f t="shared" si="18"/>
        <v>7.4323277922616038</v>
      </c>
      <c r="AD13">
        <f t="shared" si="19"/>
        <v>8.9533966181083807E-2</v>
      </c>
      <c r="AE13">
        <f t="shared" si="20"/>
        <v>27060000</v>
      </c>
      <c r="AG13">
        <f>60*0.0033356</f>
        <v>0.20013600000000001</v>
      </c>
      <c r="AH13">
        <v>23020</v>
      </c>
      <c r="AI13">
        <f t="shared" si="21"/>
        <v>69060000</v>
      </c>
      <c r="AJ13">
        <f t="shared" si="22"/>
        <v>-0.69867478445171327</v>
      </c>
      <c r="AK13">
        <f t="shared" si="23"/>
        <v>7.839226574013435</v>
      </c>
      <c r="AL13">
        <f t="shared" si="24"/>
        <v>8.9533966181083807E-2</v>
      </c>
      <c r="AM13">
        <f t="shared" si="25"/>
        <v>69060000</v>
      </c>
      <c r="AO13">
        <f>60*0.0033356</f>
        <v>0.20013600000000001</v>
      </c>
      <c r="AP13">
        <v>41800</v>
      </c>
      <c r="AQ13">
        <f t="shared" si="26"/>
        <v>125399999.99999999</v>
      </c>
      <c r="AR13">
        <f t="shared" si="27"/>
        <v>-0.69867478445171327</v>
      </c>
      <c r="AS13">
        <f t="shared" si="28"/>
        <v>8.0982975364946981</v>
      </c>
      <c r="AT13">
        <f t="shared" si="29"/>
        <v>8.9533966181083807E-2</v>
      </c>
      <c r="AU13">
        <f t="shared" si="30"/>
        <v>125399999.99999999</v>
      </c>
      <c r="AW13">
        <f>60*0.0033356</f>
        <v>0.20013600000000001</v>
      </c>
      <c r="AX13">
        <v>42900</v>
      </c>
      <c r="AY13">
        <f t="shared" si="31"/>
        <v>128700000</v>
      </c>
      <c r="AZ13">
        <f t="shared" si="32"/>
        <v>-0.69867478445171327</v>
      </c>
      <c r="BA13">
        <f t="shared" si="33"/>
        <v>8.1095785469043875</v>
      </c>
      <c r="BB13">
        <f t="shared" si="34"/>
        <v>8.9533966181083807E-2</v>
      </c>
      <c r="BC13">
        <f t="shared" si="35"/>
        <v>128700000</v>
      </c>
      <c r="BE13" s="1">
        <f t="shared" si="37"/>
        <v>3.8058905553571041E+18</v>
      </c>
      <c r="BF13" s="1"/>
      <c r="BG13" s="1" t="s">
        <v>44</v>
      </c>
      <c r="BH13" s="1">
        <f>AVERAGE(BE11:BE17)</f>
        <v>6.2045555025761894E+17</v>
      </c>
    </row>
    <row r="14" spans="1:65" x14ac:dyDescent="0.3">
      <c r="A14">
        <f>70*0.0033356</f>
        <v>0.23349200000000001</v>
      </c>
      <c r="B14">
        <v>306</v>
      </c>
      <c r="C14">
        <f t="shared" si="1"/>
        <v>918000</v>
      </c>
      <c r="D14">
        <f t="shared" si="2"/>
        <v>-0.63172799482110009</v>
      </c>
      <c r="E14">
        <f t="shared" si="3"/>
        <v>5.9628426812012423</v>
      </c>
      <c r="F14">
        <f t="shared" si="4"/>
        <v>0.11282569248992667</v>
      </c>
      <c r="G14">
        <f t="shared" si="5"/>
        <v>918000</v>
      </c>
      <c r="I14">
        <f>70*0.0033356</f>
        <v>0.23349200000000001</v>
      </c>
      <c r="J14">
        <v>990</v>
      </c>
      <c r="K14">
        <f t="shared" si="6"/>
        <v>2970000</v>
      </c>
      <c r="L14">
        <f t="shared" si="7"/>
        <v>-0.63172799482110009</v>
      </c>
      <c r="M14">
        <f t="shared" si="8"/>
        <v>6.4727564493172123</v>
      </c>
      <c r="N14">
        <f t="shared" si="9"/>
        <v>0.11282569248992667</v>
      </c>
      <c r="O14">
        <f t="shared" si="10"/>
        <v>2970000</v>
      </c>
      <c r="Q14">
        <f>70*0.0033356</f>
        <v>0.23349200000000001</v>
      </c>
      <c r="R14">
        <v>3094</v>
      </c>
      <c r="S14">
        <f t="shared" si="11"/>
        <v>9282000</v>
      </c>
      <c r="T14">
        <f t="shared" si="12"/>
        <v>-0.63172799482110009</v>
      </c>
      <c r="U14">
        <f t="shared" si="13"/>
        <v>6.9676415640830109</v>
      </c>
      <c r="V14">
        <f t="shared" si="14"/>
        <v>0.11282569248992667</v>
      </c>
      <c r="W14">
        <f t="shared" si="15"/>
        <v>9282000</v>
      </c>
      <c r="Y14">
        <f>70*0.0033356</f>
        <v>0.23349200000000001</v>
      </c>
      <c r="Z14">
        <v>9120</v>
      </c>
      <c r="AA14">
        <f t="shared" si="16"/>
        <v>27360000</v>
      </c>
      <c r="AB14">
        <f t="shared" si="17"/>
        <v>-0.63172799482110009</v>
      </c>
      <c r="AC14">
        <f t="shared" si="18"/>
        <v>7.4371160930480782</v>
      </c>
      <c r="AD14">
        <f t="shared" si="19"/>
        <v>0.11282569248992667</v>
      </c>
      <c r="AE14">
        <f t="shared" si="20"/>
        <v>27360000</v>
      </c>
      <c r="AG14">
        <f>70*0.0033356</f>
        <v>0.23349200000000001</v>
      </c>
      <c r="AH14">
        <v>23530</v>
      </c>
      <c r="AI14">
        <f t="shared" si="21"/>
        <v>70590000</v>
      </c>
      <c r="AJ14">
        <f t="shared" si="22"/>
        <v>-0.63172799482110009</v>
      </c>
      <c r="AK14">
        <f t="shared" si="23"/>
        <v>7.8487431818956841</v>
      </c>
      <c r="AL14">
        <f t="shared" si="24"/>
        <v>0.11282569248992667</v>
      </c>
      <c r="AM14">
        <f t="shared" si="25"/>
        <v>70590000</v>
      </c>
      <c r="AO14">
        <f>70*0.0033356</f>
        <v>0.23349200000000001</v>
      </c>
      <c r="AP14">
        <v>49300</v>
      </c>
      <c r="AQ14">
        <f t="shared" si="26"/>
        <v>147900000</v>
      </c>
      <c r="AR14">
        <f t="shared" si="27"/>
        <v>-0.63172799482110009</v>
      </c>
      <c r="AS14">
        <f t="shared" si="28"/>
        <v>8.1699681739968923</v>
      </c>
      <c r="AT14">
        <f t="shared" si="29"/>
        <v>0.11282569248992667</v>
      </c>
      <c r="AU14">
        <f t="shared" si="30"/>
        <v>147900000</v>
      </c>
      <c r="AW14">
        <f>70*0.0033356</f>
        <v>0.23349200000000001</v>
      </c>
      <c r="AX14">
        <v>54700</v>
      </c>
      <c r="AY14">
        <f t="shared" si="31"/>
        <v>164100000</v>
      </c>
      <c r="AZ14">
        <f t="shared" si="32"/>
        <v>-0.63172799482110009</v>
      </c>
      <c r="BA14">
        <f t="shared" si="33"/>
        <v>8.2151085810530926</v>
      </c>
      <c r="BB14">
        <f t="shared" si="34"/>
        <v>0.11282569248992667</v>
      </c>
      <c r="BC14">
        <f t="shared" si="35"/>
        <v>164100000</v>
      </c>
      <c r="BE14" s="1">
        <f t="shared" si="37"/>
        <v>4.2959210889078408E+16</v>
      </c>
      <c r="BG14" t="s">
        <v>49</v>
      </c>
      <c r="BH14" s="1">
        <f>POWER(4*(BJ7/BJ5)*(BJ7/BJ5)+4*(0.00001/0.005)*(0.00001/0.005)+4*(0.0001/0.04),1/2)</f>
        <v>0.58822471135938859</v>
      </c>
    </row>
    <row r="15" spans="1:65" x14ac:dyDescent="0.3">
      <c r="A15">
        <f>80*0.0033356</f>
        <v>0.26684800000000003</v>
      </c>
      <c r="B15">
        <v>311</v>
      </c>
      <c r="C15">
        <f t="shared" si="1"/>
        <v>932999.99999999988</v>
      </c>
      <c r="D15">
        <f>LOG10(A15)</f>
        <v>-0.57373604784341337</v>
      </c>
      <c r="E15">
        <f t="shared" si="3"/>
        <v>5.9698816437464997</v>
      </c>
      <c r="F15">
        <f t="shared" si="4"/>
        <v>0.13784655860336953</v>
      </c>
      <c r="G15">
        <f t="shared" si="5"/>
        <v>932999.99999999988</v>
      </c>
      <c r="I15">
        <f>80*0.0033356</f>
        <v>0.26684800000000003</v>
      </c>
      <c r="J15">
        <v>1003</v>
      </c>
      <c r="K15">
        <f t="shared" si="6"/>
        <v>3009000</v>
      </c>
      <c r="L15">
        <f>LOG10(I15)</f>
        <v>-0.57373604784341337</v>
      </c>
      <c r="M15">
        <f t="shared" si="8"/>
        <v>6.4784221877400805</v>
      </c>
      <c r="N15">
        <f t="shared" si="9"/>
        <v>0.13784655860336953</v>
      </c>
      <c r="O15">
        <f t="shared" si="10"/>
        <v>3009000</v>
      </c>
      <c r="Q15">
        <f>80*0.0033356</f>
        <v>0.26684800000000003</v>
      </c>
      <c r="R15">
        <v>3139</v>
      </c>
      <c r="S15">
        <f t="shared" si="11"/>
        <v>9417000</v>
      </c>
      <c r="T15">
        <f>LOG10(Q15)</f>
        <v>-0.57373604784341337</v>
      </c>
      <c r="U15">
        <f t="shared" si="13"/>
        <v>6.9739125704197047</v>
      </c>
      <c r="V15">
        <f t="shared" si="14"/>
        <v>0.13784655860336953</v>
      </c>
      <c r="W15">
        <f t="shared" si="15"/>
        <v>9417000</v>
      </c>
      <c r="Y15">
        <f>80*0.0033356</f>
        <v>0.26684800000000003</v>
      </c>
      <c r="Z15">
        <v>9220</v>
      </c>
      <c r="AA15">
        <f t="shared" si="16"/>
        <v>27659999.999999996</v>
      </c>
      <c r="AB15">
        <f>LOG10(Y15)</f>
        <v>-0.57373604784341337</v>
      </c>
      <c r="AC15">
        <f t="shared" si="18"/>
        <v>7.4418521757732918</v>
      </c>
      <c r="AD15">
        <f t="shared" si="19"/>
        <v>0.13784655860336953</v>
      </c>
      <c r="AE15">
        <f t="shared" si="20"/>
        <v>27659999.999999996</v>
      </c>
      <c r="AG15">
        <f>80*0.0033356</f>
        <v>0.26684800000000003</v>
      </c>
      <c r="AH15">
        <v>24050</v>
      </c>
      <c r="AI15">
        <f t="shared" si="21"/>
        <v>72150000</v>
      </c>
      <c r="AJ15">
        <f>LOG10(AG15)</f>
        <v>-0.57373604784341337</v>
      </c>
      <c r="AK15">
        <f t="shared" si="23"/>
        <v>7.8582363354295133</v>
      </c>
      <c r="AL15">
        <f t="shared" si="24"/>
        <v>0.13784655860336953</v>
      </c>
      <c r="AM15">
        <f t="shared" si="25"/>
        <v>72150000</v>
      </c>
      <c r="AO15">
        <f>80*0.0033356</f>
        <v>0.26684800000000003</v>
      </c>
      <c r="AP15">
        <v>52500</v>
      </c>
      <c r="AQ15">
        <f t="shared" si="26"/>
        <v>157500000</v>
      </c>
      <c r="AR15">
        <f>LOG10(AO15)</f>
        <v>-0.57373604784341337</v>
      </c>
      <c r="AS15">
        <f t="shared" si="28"/>
        <v>8.1972805581256196</v>
      </c>
      <c r="AT15">
        <f t="shared" si="29"/>
        <v>0.13784655860336953</v>
      </c>
      <c r="AU15">
        <f t="shared" si="30"/>
        <v>157500000</v>
      </c>
      <c r="AW15">
        <f>80*0.0033356</f>
        <v>0.26684800000000003</v>
      </c>
      <c r="AX15">
        <v>66900</v>
      </c>
      <c r="AY15">
        <f t="shared" si="31"/>
        <v>200700000</v>
      </c>
      <c r="AZ15">
        <f>LOG10(AW15)</f>
        <v>-0.57373604784341337</v>
      </c>
      <c r="BA15">
        <f t="shared" si="33"/>
        <v>8.302547372487485</v>
      </c>
      <c r="BB15">
        <f t="shared" si="34"/>
        <v>0.13784655860336953</v>
      </c>
      <c r="BC15">
        <f t="shared" si="35"/>
        <v>200700000</v>
      </c>
      <c r="BE15" s="1">
        <f t="shared" si="37"/>
        <v>1403641807733837.5</v>
      </c>
      <c r="BG15" t="s">
        <v>45</v>
      </c>
      <c r="BH15">
        <f>(1.6E-19*3000000000/(9.1E-31*1000))</f>
        <v>5.2747252747252742E+17</v>
      </c>
    </row>
    <row r="16" spans="1:65" x14ac:dyDescent="0.3">
      <c r="A16">
        <f>90*0.0033356</f>
        <v>0.30020400000000003</v>
      </c>
      <c r="B16">
        <v>317</v>
      </c>
      <c r="C16">
        <f t="shared" si="1"/>
        <v>951000</v>
      </c>
      <c r="D16">
        <f t="shared" si="2"/>
        <v>-0.52258352539603203</v>
      </c>
      <c r="E16">
        <f t="shared" si="3"/>
        <v>5.9781805169374138</v>
      </c>
      <c r="F16">
        <f t="shared" si="4"/>
        <v>0.16448439884344554</v>
      </c>
      <c r="G16">
        <f t="shared" si="5"/>
        <v>951000</v>
      </c>
      <c r="I16">
        <f>90*0.0033356</f>
        <v>0.30020400000000003</v>
      </c>
      <c r="J16">
        <v>1014</v>
      </c>
      <c r="K16">
        <f t="shared" si="6"/>
        <v>3042000</v>
      </c>
      <c r="L16">
        <f t="shared" ref="L16" si="38">LOG10(I16)</f>
        <v>-0.52258352539603203</v>
      </c>
      <c r="M16">
        <f t="shared" si="8"/>
        <v>6.4831592097169795</v>
      </c>
      <c r="N16">
        <f t="shared" si="9"/>
        <v>0.16448439884344554</v>
      </c>
      <c r="O16">
        <f t="shared" si="10"/>
        <v>3042000</v>
      </c>
      <c r="Q16">
        <f>90*0.0033356</f>
        <v>0.30020400000000003</v>
      </c>
      <c r="R16">
        <v>3174</v>
      </c>
      <c r="S16">
        <f t="shared" si="11"/>
        <v>9522000</v>
      </c>
      <c r="T16">
        <f t="shared" ref="T16" si="39">LOG10(Q16)</f>
        <v>-0.52258352539603203</v>
      </c>
      <c r="U16">
        <f t="shared" si="13"/>
        <v>6.9787281771384917</v>
      </c>
      <c r="V16">
        <f t="shared" si="14"/>
        <v>0.16448439884344554</v>
      </c>
      <c r="W16">
        <f t="shared" si="15"/>
        <v>9522000</v>
      </c>
      <c r="Y16">
        <f>90*0.0033356</f>
        <v>0.30020400000000003</v>
      </c>
      <c r="Z16">
        <v>9300</v>
      </c>
      <c r="AA16">
        <f t="shared" si="16"/>
        <v>27899999.999999996</v>
      </c>
      <c r="AB16">
        <f t="shared" ref="AB16" si="40">LOG10(Y16)</f>
        <v>-0.52258352539603203</v>
      </c>
      <c r="AC16">
        <f t="shared" si="18"/>
        <v>7.4456042032735974</v>
      </c>
      <c r="AD16">
        <f t="shared" si="19"/>
        <v>0.16448439884344554</v>
      </c>
      <c r="AE16">
        <f t="shared" si="20"/>
        <v>27899999.999999996</v>
      </c>
      <c r="AG16">
        <f>90*0.0033356</f>
        <v>0.30020400000000003</v>
      </c>
      <c r="AH16">
        <v>24500</v>
      </c>
      <c r="AI16">
        <f t="shared" si="21"/>
        <v>73499999.999999985</v>
      </c>
      <c r="AJ16">
        <f t="shared" ref="AJ16" si="41">LOG10(AG16)</f>
        <v>-0.52258352539603203</v>
      </c>
      <c r="AK16">
        <f t="shared" si="23"/>
        <v>7.8662873390841952</v>
      </c>
      <c r="AL16">
        <f t="shared" si="24"/>
        <v>0.16448439884344554</v>
      </c>
      <c r="AM16">
        <f t="shared" si="25"/>
        <v>73499999.999999985</v>
      </c>
      <c r="AO16">
        <f>90*0.0033356</f>
        <v>0.30020400000000003</v>
      </c>
      <c r="AP16">
        <v>55100</v>
      </c>
      <c r="AQ16">
        <f t="shared" si="26"/>
        <v>165300000</v>
      </c>
      <c r="AR16">
        <f t="shared" ref="AR16" si="42">LOG10(AO16)</f>
        <v>-0.52258352539603203</v>
      </c>
      <c r="AS16">
        <f t="shared" si="28"/>
        <v>8.2182728535714471</v>
      </c>
      <c r="AT16">
        <f t="shared" si="29"/>
        <v>0.16448439884344554</v>
      </c>
      <c r="AU16">
        <f t="shared" si="30"/>
        <v>165300000</v>
      </c>
      <c r="AW16">
        <f>90*0.0033356</f>
        <v>0.30020400000000003</v>
      </c>
      <c r="AX16">
        <v>83500</v>
      </c>
      <c r="AY16">
        <f t="shared" si="31"/>
        <v>250499999.99999997</v>
      </c>
      <c r="AZ16">
        <f t="shared" ref="AZ16" si="43">LOG10(AW16)</f>
        <v>-0.52258352539603203</v>
      </c>
      <c r="BA16">
        <f t="shared" si="33"/>
        <v>8.3988077302032647</v>
      </c>
      <c r="BB16">
        <f t="shared" si="34"/>
        <v>0.16448439884344554</v>
      </c>
      <c r="BC16">
        <f t="shared" si="35"/>
        <v>250499999.99999997</v>
      </c>
      <c r="BE16" s="1">
        <f t="shared" si="37"/>
        <v>4.087486160983097E+17</v>
      </c>
    </row>
    <row r="17" spans="1:60" x14ac:dyDescent="0.3">
      <c r="A17">
        <f>100*0.0033356</f>
        <v>0.33356000000000002</v>
      </c>
      <c r="B17">
        <v>322</v>
      </c>
      <c r="C17">
        <f t="shared" si="1"/>
        <v>965999.99999999988</v>
      </c>
      <c r="D17">
        <f>LOG10(A17)</f>
        <v>-0.4768260348353569</v>
      </c>
      <c r="E17">
        <f t="shared" si="3"/>
        <v>5.984977126415493</v>
      </c>
      <c r="F17">
        <f t="shared" si="4"/>
        <v>0.1926464221884642</v>
      </c>
      <c r="G17">
        <f t="shared" si="5"/>
        <v>965999.99999999988</v>
      </c>
      <c r="I17">
        <f>100*0.0033356</f>
        <v>0.33356000000000002</v>
      </c>
      <c r="J17">
        <v>1024</v>
      </c>
      <c r="K17">
        <f t="shared" si="6"/>
        <v>3072000</v>
      </c>
      <c r="L17">
        <f>LOG10(I17)</f>
        <v>-0.4768260348353569</v>
      </c>
      <c r="M17">
        <f t="shared" si="8"/>
        <v>6.4874212113594742</v>
      </c>
      <c r="N17">
        <f t="shared" si="9"/>
        <v>0.1926464221884642</v>
      </c>
      <c r="O17">
        <f t="shared" si="10"/>
        <v>3072000</v>
      </c>
      <c r="Q17">
        <f>100*0.0033356</f>
        <v>0.33356000000000002</v>
      </c>
      <c r="R17">
        <v>3241</v>
      </c>
      <c r="S17">
        <f t="shared" si="11"/>
        <v>9723000</v>
      </c>
      <c r="T17">
        <f>LOG10(Q17)</f>
        <v>-0.4768260348353569</v>
      </c>
      <c r="U17">
        <f t="shared" si="13"/>
        <v>6.9878002857518728</v>
      </c>
      <c r="V17">
        <f t="shared" si="14"/>
        <v>0.1926464221884642</v>
      </c>
      <c r="W17">
        <f t="shared" si="15"/>
        <v>9723000</v>
      </c>
      <c r="Y17">
        <f>100*0.0033356</f>
        <v>0.33356000000000002</v>
      </c>
      <c r="Z17">
        <v>9380</v>
      </c>
      <c r="AA17">
        <f t="shared" si="16"/>
        <v>28140000</v>
      </c>
      <c r="AB17">
        <f>LOG10(Y17)</f>
        <v>-0.4768260348353569</v>
      </c>
      <c r="AC17">
        <f t="shared" si="18"/>
        <v>7.4493240930987268</v>
      </c>
      <c r="AD17">
        <f t="shared" si="19"/>
        <v>0.1926464221884642</v>
      </c>
      <c r="AE17">
        <f t="shared" si="20"/>
        <v>28140000</v>
      </c>
      <c r="AG17">
        <f>100*0.0033356</f>
        <v>0.33356000000000002</v>
      </c>
      <c r="AH17">
        <v>25200</v>
      </c>
      <c r="AI17">
        <f t="shared" si="21"/>
        <v>75600000</v>
      </c>
      <c r="AJ17">
        <f>LOG10(AG17)</f>
        <v>-0.4768260348353569</v>
      </c>
      <c r="AK17">
        <f t="shared" si="23"/>
        <v>7.8785217955012063</v>
      </c>
      <c r="AL17">
        <f t="shared" si="24"/>
        <v>0.1926464221884642</v>
      </c>
      <c r="AM17">
        <f t="shared" si="25"/>
        <v>75600000</v>
      </c>
      <c r="AO17">
        <f>100*0.0033356</f>
        <v>0.33356000000000002</v>
      </c>
      <c r="AP17">
        <v>57500</v>
      </c>
      <c r="AQ17">
        <f t="shared" si="26"/>
        <v>172500000</v>
      </c>
      <c r="AR17">
        <f>LOG10(AO17)</f>
        <v>-0.4768260348353569</v>
      </c>
      <c r="AS17">
        <f t="shared" si="28"/>
        <v>8.2367890994092932</v>
      </c>
      <c r="AT17">
        <f t="shared" si="29"/>
        <v>0.1926464221884642</v>
      </c>
      <c r="AU17">
        <f t="shared" si="30"/>
        <v>172500000</v>
      </c>
      <c r="AW17">
        <f>100*0.0033356</f>
        <v>0.33356000000000002</v>
      </c>
      <c r="AX17">
        <v>97500</v>
      </c>
      <c r="AY17">
        <f t="shared" si="31"/>
        <v>292499999.99999994</v>
      </c>
      <c r="AZ17">
        <f>LOG10(AW17)</f>
        <v>-0.4768260348353569</v>
      </c>
      <c r="BA17">
        <f t="shared" si="33"/>
        <v>8.4661258704181996</v>
      </c>
      <c r="BB17">
        <f t="shared" si="34"/>
        <v>0.1926464221884642</v>
      </c>
      <c r="BC17">
        <f t="shared" si="35"/>
        <v>292499999.99999994</v>
      </c>
      <c r="BE17" s="1">
        <f t="shared" si="37"/>
        <v>4.5651630690136488E+16</v>
      </c>
      <c r="BH17" s="1"/>
    </row>
    <row r="18" spans="1:60" x14ac:dyDescent="0.3">
      <c r="A18">
        <f>110*0.0033356</f>
        <v>0.36691600000000002</v>
      </c>
      <c r="B18">
        <v>328</v>
      </c>
      <c r="C18">
        <f t="shared" si="1"/>
        <v>984000</v>
      </c>
      <c r="D18">
        <f t="shared" si="2"/>
        <v>-0.43543334967713188</v>
      </c>
      <c r="E18">
        <f t="shared" si="3"/>
        <v>5.9929950984313418</v>
      </c>
      <c r="F18">
        <f t="shared" si="4"/>
        <v>0.22225419937554233</v>
      </c>
      <c r="G18">
        <f t="shared" si="5"/>
        <v>984000</v>
      </c>
      <c r="I18">
        <f>110*0.0033356</f>
        <v>0.36691600000000002</v>
      </c>
      <c r="J18">
        <v>1035</v>
      </c>
      <c r="K18">
        <f t="shared" si="6"/>
        <v>3104999.9999999995</v>
      </c>
      <c r="L18">
        <f t="shared" ref="L18:L21" si="44">LOG10(I18)</f>
        <v>-0.43543334967713188</v>
      </c>
      <c r="M18">
        <f t="shared" si="8"/>
        <v>6.4920616045125987</v>
      </c>
      <c r="N18">
        <f t="shared" si="9"/>
        <v>0.22225419937554233</v>
      </c>
      <c r="O18">
        <f t="shared" si="10"/>
        <v>3104999.9999999995</v>
      </c>
      <c r="Q18">
        <f>110*0.0033356</f>
        <v>0.36691600000000002</v>
      </c>
      <c r="R18">
        <v>3272</v>
      </c>
      <c r="S18">
        <f t="shared" si="11"/>
        <v>9816000</v>
      </c>
      <c r="T18">
        <f t="shared" ref="T18:T21" si="45">LOG10(Q18)</f>
        <v>-0.43543334967713188</v>
      </c>
      <c r="U18">
        <f t="shared" si="13"/>
        <v>6.9919345497189482</v>
      </c>
      <c r="V18">
        <f t="shared" si="14"/>
        <v>0.22225419937554233</v>
      </c>
      <c r="W18">
        <f t="shared" si="15"/>
        <v>9816000</v>
      </c>
      <c r="Y18">
        <f>110*0.0033356</f>
        <v>0.36691600000000002</v>
      </c>
      <c r="Z18">
        <v>9460</v>
      </c>
      <c r="AA18">
        <f t="shared" si="16"/>
        <v>28380000</v>
      </c>
      <c r="AB18">
        <f t="shared" ref="AB18:AB21" si="46">LOG10(Y18)</f>
        <v>-0.43543334967713188</v>
      </c>
      <c r="AC18">
        <f t="shared" si="18"/>
        <v>7.4530123911214554</v>
      </c>
      <c r="AD18">
        <f t="shared" si="19"/>
        <v>0.22225419937554233</v>
      </c>
      <c r="AE18">
        <f t="shared" si="20"/>
        <v>28380000</v>
      </c>
      <c r="AG18">
        <f>110*0.0033356</f>
        <v>0.36691600000000002</v>
      </c>
      <c r="AH18">
        <v>25500</v>
      </c>
      <c r="AI18">
        <f t="shared" si="21"/>
        <v>76500000</v>
      </c>
      <c r="AJ18">
        <f t="shared" ref="AJ18:AJ21" si="47">LOG10(AG18)</f>
        <v>-0.43543334967713188</v>
      </c>
      <c r="AK18">
        <f t="shared" si="23"/>
        <v>7.8836614351536172</v>
      </c>
      <c r="AL18">
        <f t="shared" si="24"/>
        <v>0.22225419937554233</v>
      </c>
      <c r="AM18">
        <f t="shared" si="25"/>
        <v>76500000</v>
      </c>
      <c r="AO18">
        <f>110*0.0033356</f>
        <v>0.36691600000000002</v>
      </c>
      <c r="AP18">
        <v>60000</v>
      </c>
      <c r="AQ18">
        <f t="shared" si="26"/>
        <v>180000000</v>
      </c>
      <c r="AR18">
        <f t="shared" ref="AR18:AR21" si="48">LOG10(AO18)</f>
        <v>-0.43543334967713188</v>
      </c>
      <c r="AS18">
        <f t="shared" si="28"/>
        <v>8.2552725051033065</v>
      </c>
      <c r="AT18">
        <f t="shared" si="29"/>
        <v>0.22225419937554233</v>
      </c>
      <c r="AU18">
        <f t="shared" si="30"/>
        <v>180000000</v>
      </c>
      <c r="AW18">
        <f>110*0.0033356</f>
        <v>0.36691600000000002</v>
      </c>
      <c r="AX18">
        <v>111400</v>
      </c>
      <c r="AY18">
        <f t="shared" si="31"/>
        <v>334200000</v>
      </c>
      <c r="AZ18">
        <f t="shared" ref="AZ18:AZ19" si="49">LOG10(AW18)</f>
        <v>-0.43543334967713188</v>
      </c>
      <c r="BA18">
        <f t="shared" si="33"/>
        <v>8.5240064455573723</v>
      </c>
      <c r="BB18">
        <f t="shared" si="34"/>
        <v>0.22225419937554233</v>
      </c>
      <c r="BC18">
        <f t="shared" si="35"/>
        <v>334200000</v>
      </c>
      <c r="BE18" s="1"/>
    </row>
    <row r="19" spans="1:60" x14ac:dyDescent="0.3">
      <c r="A19">
        <f>120*0.0033356</f>
        <v>0.40027200000000002</v>
      </c>
      <c r="B19">
        <v>333</v>
      </c>
      <c r="C19">
        <f t="shared" si="1"/>
        <v>998999.99999999988</v>
      </c>
      <c r="D19">
        <f t="shared" si="2"/>
        <v>-0.39764478878773213</v>
      </c>
      <c r="E19">
        <f t="shared" si="3"/>
        <v>5.9995654882259819</v>
      </c>
      <c r="F19">
        <f t="shared" si="4"/>
        <v>0.25324029853268543</v>
      </c>
      <c r="G19">
        <f t="shared" si="5"/>
        <v>998999.99999999988</v>
      </c>
      <c r="I19">
        <f>120*0.0033356</f>
        <v>0.40027200000000002</v>
      </c>
      <c r="J19">
        <v>1045</v>
      </c>
      <c r="K19">
        <f t="shared" si="6"/>
        <v>3134999.9999999995</v>
      </c>
      <c r="L19">
        <f t="shared" si="44"/>
        <v>-0.39764478878773213</v>
      </c>
      <c r="M19">
        <f t="shared" si="8"/>
        <v>6.4962375451667356</v>
      </c>
      <c r="N19">
        <f t="shared" si="9"/>
        <v>0.25324029853268543</v>
      </c>
      <c r="O19">
        <f t="shared" si="10"/>
        <v>3134999.9999999995</v>
      </c>
      <c r="Q19">
        <f>120*0.0033356</f>
        <v>0.40027200000000002</v>
      </c>
      <c r="R19">
        <v>3302</v>
      </c>
      <c r="S19">
        <f t="shared" si="11"/>
        <v>9906000</v>
      </c>
      <c r="T19">
        <f t="shared" si="45"/>
        <v>-0.39764478878773213</v>
      </c>
      <c r="U19">
        <f t="shared" si="13"/>
        <v>6.9958983236464372</v>
      </c>
      <c r="V19">
        <f t="shared" si="14"/>
        <v>0.25324029853268543</v>
      </c>
      <c r="W19">
        <f t="shared" si="15"/>
        <v>9906000</v>
      </c>
      <c r="Y19">
        <f>120*0.0033356</f>
        <v>0.40027200000000002</v>
      </c>
      <c r="Z19">
        <v>9620</v>
      </c>
      <c r="AA19">
        <f t="shared" si="16"/>
        <v>28860000</v>
      </c>
      <c r="AB19">
        <f t="shared" si="46"/>
        <v>-0.39764478878773213</v>
      </c>
      <c r="AC19">
        <f t="shared" si="18"/>
        <v>7.4602963267574758</v>
      </c>
      <c r="AD19">
        <f t="shared" si="19"/>
        <v>0.25324029853268543</v>
      </c>
      <c r="AE19">
        <f t="shared" si="20"/>
        <v>28860000</v>
      </c>
      <c r="AG19">
        <f>120*0.0033356</f>
        <v>0.40027200000000002</v>
      </c>
      <c r="AH19">
        <v>25800</v>
      </c>
      <c r="AI19">
        <f t="shared" si="21"/>
        <v>77400000</v>
      </c>
      <c r="AJ19">
        <f t="shared" si="47"/>
        <v>-0.39764478878773213</v>
      </c>
      <c r="AK19">
        <f t="shared" si="23"/>
        <v>7.8887409606828927</v>
      </c>
      <c r="AL19">
        <f t="shared" si="24"/>
        <v>0.25324029853268543</v>
      </c>
      <c r="AM19">
        <f t="shared" si="25"/>
        <v>77400000</v>
      </c>
      <c r="AO19">
        <f>120*0.0033356</f>
        <v>0.40027200000000002</v>
      </c>
      <c r="AP19">
        <v>63000</v>
      </c>
      <c r="AQ19">
        <f t="shared" si="26"/>
        <v>189000000</v>
      </c>
      <c r="AR19">
        <f t="shared" si="48"/>
        <v>-0.39764478878773213</v>
      </c>
      <c r="AS19">
        <f t="shared" si="28"/>
        <v>8.2764618041732447</v>
      </c>
      <c r="AT19">
        <f t="shared" si="29"/>
        <v>0.25324029853268543</v>
      </c>
      <c r="AU19">
        <f t="shared" si="30"/>
        <v>189000000</v>
      </c>
      <c r="AW19">
        <f>120*0.0033356</f>
        <v>0.40027200000000002</v>
      </c>
      <c r="AX19">
        <v>128800</v>
      </c>
      <c r="AY19">
        <f t="shared" si="31"/>
        <v>386400000</v>
      </c>
      <c r="AZ19">
        <f t="shared" si="49"/>
        <v>-0.39764478878773213</v>
      </c>
      <c r="BA19">
        <f t="shared" si="33"/>
        <v>8.5870371177434563</v>
      </c>
      <c r="BB19">
        <f t="shared" si="34"/>
        <v>0.25324029853268543</v>
      </c>
      <c r="BC19">
        <f t="shared" si="35"/>
        <v>386400000</v>
      </c>
      <c r="BG19" t="s">
        <v>50</v>
      </c>
    </row>
    <row r="20" spans="1:60" x14ac:dyDescent="0.3">
      <c r="A20">
        <f>130*0.0033356</f>
        <v>0.43362800000000001</v>
      </c>
      <c r="B20">
        <v>338</v>
      </c>
      <c r="C20">
        <f t="shared" si="1"/>
        <v>1013999.9999999999</v>
      </c>
      <c r="D20">
        <f t="shared" si="2"/>
        <v>-0.36288268252852018</v>
      </c>
      <c r="E20">
        <f t="shared" si="3"/>
        <v>6.0060379549973169</v>
      </c>
      <c r="F20">
        <f t="shared" si="4"/>
        <v>0.28554593120632826</v>
      </c>
      <c r="G20">
        <f t="shared" si="5"/>
        <v>1013999.9999999999</v>
      </c>
      <c r="I20">
        <f>130*0.0033356</f>
        <v>0.43362800000000001</v>
      </c>
      <c r="J20">
        <v>1052</v>
      </c>
      <c r="K20">
        <f t="shared" si="6"/>
        <v>3156000</v>
      </c>
      <c r="L20">
        <f t="shared" si="44"/>
        <v>-0.36288268252852018</v>
      </c>
      <c r="M20">
        <f t="shared" si="8"/>
        <v>6.4991369945373831</v>
      </c>
      <c r="N20">
        <f t="shared" si="9"/>
        <v>0.28554593120632826</v>
      </c>
      <c r="O20">
        <f t="shared" si="10"/>
        <v>3156000</v>
      </c>
      <c r="Q20">
        <f>130*0.0033356</f>
        <v>0.43362800000000001</v>
      </c>
      <c r="R20">
        <v>3336</v>
      </c>
      <c r="S20">
        <f t="shared" si="11"/>
        <v>10008000</v>
      </c>
      <c r="T20">
        <f t="shared" si="45"/>
        <v>-0.36288268252852018</v>
      </c>
      <c r="U20">
        <f t="shared" si="13"/>
        <v>7.0003472966853639</v>
      </c>
      <c r="V20">
        <f t="shared" si="14"/>
        <v>0.28554593120632826</v>
      </c>
      <c r="W20">
        <f t="shared" si="15"/>
        <v>10008000</v>
      </c>
      <c r="Y20">
        <f>130*0.0033356</f>
        <v>0.43362800000000001</v>
      </c>
      <c r="Z20">
        <v>9730</v>
      </c>
      <c r="AA20">
        <f t="shared" si="16"/>
        <v>29189999.999999996</v>
      </c>
      <c r="AB20">
        <f t="shared" si="46"/>
        <v>-0.36288268252852018</v>
      </c>
      <c r="AC20">
        <f t="shared" si="18"/>
        <v>7.4652340949880145</v>
      </c>
      <c r="AD20">
        <f t="shared" si="19"/>
        <v>0.28554593120632826</v>
      </c>
      <c r="AE20">
        <f t="shared" si="20"/>
        <v>29189999.999999996</v>
      </c>
      <c r="AG20">
        <f>130*0.0033356</f>
        <v>0.43362800000000001</v>
      </c>
      <c r="AH20">
        <v>26400</v>
      </c>
      <c r="AI20">
        <f t="shared" si="21"/>
        <v>79200000</v>
      </c>
      <c r="AJ20">
        <f t="shared" si="47"/>
        <v>-0.36288268252852018</v>
      </c>
      <c r="AK20">
        <f t="shared" si="23"/>
        <v>7.8987251815894934</v>
      </c>
      <c r="AL20">
        <f t="shared" si="24"/>
        <v>0.28554593120632826</v>
      </c>
      <c r="AM20">
        <f t="shared" si="25"/>
        <v>79200000</v>
      </c>
      <c r="AO20">
        <f>130*0.0033356</f>
        <v>0.43362800000000001</v>
      </c>
      <c r="AP20">
        <v>64500</v>
      </c>
      <c r="AQ20">
        <f t="shared" si="26"/>
        <v>193500000</v>
      </c>
      <c r="AR20">
        <f t="shared" si="48"/>
        <v>-0.36288268252852018</v>
      </c>
      <c r="AS20">
        <f t="shared" si="28"/>
        <v>8.286680969354931</v>
      </c>
      <c r="AT20">
        <f t="shared" si="29"/>
        <v>0.28554593120632826</v>
      </c>
      <c r="AU20">
        <f t="shared" si="30"/>
        <v>193500000</v>
      </c>
    </row>
    <row r="21" spans="1:60" x14ac:dyDescent="0.3">
      <c r="A21">
        <f>140*0.0033356</f>
        <v>0.46698400000000001</v>
      </c>
      <c r="B21">
        <v>343</v>
      </c>
      <c r="C21">
        <f t="shared" si="1"/>
        <v>1029000</v>
      </c>
      <c r="D21">
        <f t="shared" si="2"/>
        <v>-0.33069799915711889</v>
      </c>
      <c r="E21">
        <f t="shared" si="3"/>
        <v>6.0124153747624334</v>
      </c>
      <c r="F21">
        <f t="shared" si="4"/>
        <v>0.31911924900678101</v>
      </c>
      <c r="G21">
        <f t="shared" si="5"/>
        <v>1029000</v>
      </c>
      <c r="I21">
        <f>140*0.0033356</f>
        <v>0.46698400000000001</v>
      </c>
      <c r="J21">
        <v>1062</v>
      </c>
      <c r="K21">
        <f t="shared" si="6"/>
        <v>3186000</v>
      </c>
      <c r="L21">
        <f t="shared" si="44"/>
        <v>-0.33069799915711889</v>
      </c>
      <c r="M21">
        <f t="shared" si="8"/>
        <v>6.5032457714651128</v>
      </c>
      <c r="N21">
        <f t="shared" si="9"/>
        <v>0.31911924900678101</v>
      </c>
      <c r="O21">
        <f t="shared" si="10"/>
        <v>3186000</v>
      </c>
      <c r="Q21">
        <f>140*0.0033356</f>
        <v>0.46698400000000001</v>
      </c>
      <c r="R21">
        <v>3364</v>
      </c>
      <c r="S21">
        <f t="shared" si="11"/>
        <v>10092000</v>
      </c>
      <c r="T21">
        <f t="shared" si="45"/>
        <v>-0.33069799915711889</v>
      </c>
      <c r="U21">
        <f t="shared" si="13"/>
        <v>7.0039772418455373</v>
      </c>
      <c r="V21">
        <f t="shared" si="14"/>
        <v>0.31911924900678101</v>
      </c>
      <c r="W21">
        <f t="shared" si="15"/>
        <v>10092000</v>
      </c>
      <c r="Y21">
        <f>140*0.0033356</f>
        <v>0.46698400000000001</v>
      </c>
      <c r="Z21">
        <v>9800</v>
      </c>
      <c r="AA21">
        <f t="shared" si="16"/>
        <v>29400000</v>
      </c>
      <c r="AB21">
        <f t="shared" si="46"/>
        <v>-0.33069799915711889</v>
      </c>
      <c r="AC21">
        <f t="shared" si="18"/>
        <v>7.4683473304121577</v>
      </c>
      <c r="AD21">
        <f t="shared" si="19"/>
        <v>0.31911924900678101</v>
      </c>
      <c r="AE21">
        <f t="shared" si="20"/>
        <v>29400000</v>
      </c>
      <c r="AG21">
        <f>140*0.0033356</f>
        <v>0.46698400000000001</v>
      </c>
      <c r="AH21">
        <v>26800</v>
      </c>
      <c r="AI21">
        <f t="shared" si="21"/>
        <v>80399999.999999985</v>
      </c>
      <c r="AJ21">
        <f t="shared" si="47"/>
        <v>-0.33069799915711889</v>
      </c>
      <c r="AK21">
        <f t="shared" si="23"/>
        <v>7.9052560487484511</v>
      </c>
      <c r="AL21">
        <f t="shared" si="24"/>
        <v>0.31911924900678101</v>
      </c>
      <c r="AM21">
        <f t="shared" si="25"/>
        <v>80399999.999999985</v>
      </c>
      <c r="AO21">
        <f>140*0.0033356</f>
        <v>0.46698400000000001</v>
      </c>
      <c r="AP21">
        <v>66600</v>
      </c>
      <c r="AQ21">
        <f t="shared" si="26"/>
        <v>199799999.99999997</v>
      </c>
      <c r="AR21">
        <f t="shared" si="48"/>
        <v>-0.33069799915711889</v>
      </c>
      <c r="AS21">
        <f t="shared" si="28"/>
        <v>8.300595483889964</v>
      </c>
      <c r="AT21">
        <f t="shared" si="29"/>
        <v>0.31911924900678101</v>
      </c>
      <c r="AU21">
        <f t="shared" si="30"/>
        <v>199799999.99999997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B17-ADE9-4903-9828-5A101B64D89F}">
  <dimension ref="A1:E8"/>
  <sheetViews>
    <sheetView workbookViewId="0">
      <selection activeCell="F27" sqref="F27"/>
    </sheetView>
  </sheetViews>
  <sheetFormatPr defaultRowHeight="14.4" x14ac:dyDescent="0.3"/>
  <sheetData>
    <row r="1" spans="1:5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B2">
        <v>2.4</v>
      </c>
      <c r="C2">
        <v>4.95</v>
      </c>
      <c r="D2" s="1">
        <v>3.4299999999999999E-4</v>
      </c>
      <c r="E2" s="1">
        <f>D2/(B2*C2)</f>
        <v>2.8872053872053869E-5</v>
      </c>
    </row>
    <row r="3" spans="1:5" x14ac:dyDescent="0.3">
      <c r="B3">
        <v>2.5</v>
      </c>
      <c r="C3">
        <v>5.31</v>
      </c>
      <c r="D3" s="1">
        <v>1.062E-3</v>
      </c>
      <c r="E3" s="1">
        <f t="shared" ref="E3:E8" si="0">D3/(B3*C3)</f>
        <v>8.0000000000000007E-5</v>
      </c>
    </row>
    <row r="4" spans="1:5" x14ac:dyDescent="0.3">
      <c r="B4">
        <v>2.6</v>
      </c>
      <c r="C4">
        <v>5.7</v>
      </c>
      <c r="D4" s="1">
        <v>3.3630000000000001E-3</v>
      </c>
      <c r="E4" s="1">
        <f t="shared" si="0"/>
        <v>2.2692307692307693E-4</v>
      </c>
    </row>
    <row r="5" spans="1:5" x14ac:dyDescent="0.3">
      <c r="B5">
        <v>2.7</v>
      </c>
      <c r="C5">
        <v>6.1</v>
      </c>
      <c r="D5" s="1">
        <v>9.7999999999999997E-3</v>
      </c>
      <c r="E5" s="1">
        <f t="shared" si="0"/>
        <v>5.9502125075895575E-4</v>
      </c>
    </row>
    <row r="6" spans="1:5" x14ac:dyDescent="0.3">
      <c r="B6">
        <v>2.8</v>
      </c>
      <c r="C6">
        <v>6.49</v>
      </c>
      <c r="D6" s="1">
        <v>2.6800000000000001E-2</v>
      </c>
      <c r="E6" s="1">
        <f t="shared" si="0"/>
        <v>1.4747963900506274E-3</v>
      </c>
    </row>
    <row r="7" spans="1:5" x14ac:dyDescent="0.3">
      <c r="B7">
        <v>2.9</v>
      </c>
      <c r="C7">
        <v>6.69</v>
      </c>
      <c r="D7" s="4">
        <v>6.6600000000000006E-2</v>
      </c>
      <c r="E7" s="1">
        <f t="shared" si="0"/>
        <v>3.4328127416112576E-3</v>
      </c>
    </row>
    <row r="8" spans="1:5" x14ac:dyDescent="0.3">
      <c r="B8">
        <v>3</v>
      </c>
      <c r="C8">
        <v>7.43</v>
      </c>
      <c r="D8" s="1">
        <v>0.1288</v>
      </c>
      <c r="E8" s="1">
        <f t="shared" si="0"/>
        <v>5.7783759533423058E-3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500A-9F4D-47AD-9DD3-5EF1488BBAE6}">
  <dimension ref="A1:I8"/>
  <sheetViews>
    <sheetView zoomScaleNormal="100" workbookViewId="0">
      <selection activeCell="J28" sqref="J28"/>
    </sheetView>
  </sheetViews>
  <sheetFormatPr defaultRowHeight="14.4" x14ac:dyDescent="0.3"/>
  <sheetData>
    <row r="1" spans="1:9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9" x14ac:dyDescent="0.3">
      <c r="A2">
        <v>2.4</v>
      </c>
      <c r="B2" s="1">
        <v>2.6200000000000003E-4</v>
      </c>
      <c r="C2" s="1">
        <v>2.9500000000000001E-4</v>
      </c>
      <c r="D2" s="1">
        <v>3.2200000000000002E-4</v>
      </c>
      <c r="E2" s="1">
        <v>3.4299999999999999E-4</v>
      </c>
      <c r="F2">
        <f>LOG10(B2)</f>
        <v>-3.5816987086802543</v>
      </c>
      <c r="G2">
        <f>LOG10(C2)</f>
        <v>-3.530177984021837</v>
      </c>
      <c r="H2">
        <f>LOG10(D2)</f>
        <v>-3.4921441283041692</v>
      </c>
      <c r="I2">
        <f>LOG10(E2)</f>
        <v>-3.4647058799572297</v>
      </c>
    </row>
    <row r="3" spans="1:9" x14ac:dyDescent="0.3">
      <c r="A3">
        <v>2.5</v>
      </c>
      <c r="B3" s="1">
        <v>8.5599999999999999E-4</v>
      </c>
      <c r="C3" s="1">
        <v>9.6299999999999999E-4</v>
      </c>
      <c r="D3" s="1">
        <v>1.024E-3</v>
      </c>
      <c r="E3" s="1">
        <v>1.062E-3</v>
      </c>
      <c r="F3">
        <f t="shared" ref="F3:F8" si="0">LOG10(B3)</f>
        <v>-3.067526235322847</v>
      </c>
      <c r="G3">
        <f t="shared" ref="G3:G7" si="1">LOG10(C3)</f>
        <v>-3.0163737128754655</v>
      </c>
      <c r="H3">
        <f t="shared" ref="H3:H8" si="2">LOG10(D3)</f>
        <v>-2.9897000433601879</v>
      </c>
      <c r="I3">
        <f t="shared" ref="I3:I7" si="3">LOG10(E3)</f>
        <v>-2.9738754832545498</v>
      </c>
    </row>
    <row r="4" spans="1:9" x14ac:dyDescent="0.3">
      <c r="A4">
        <v>2.6</v>
      </c>
      <c r="B4" s="1">
        <v>1.9469999999999999E-3</v>
      </c>
      <c r="C4" s="1">
        <v>3.0040000000000002E-3</v>
      </c>
      <c r="D4" s="1">
        <v>3.241E-3</v>
      </c>
      <c r="E4" s="1">
        <v>3.3639999999999998E-3</v>
      </c>
      <c r="F4">
        <f t="shared" si="0"/>
        <v>-2.7106340484799682</v>
      </c>
      <c r="G4">
        <f t="shared" si="1"/>
        <v>-2.5223000716678694</v>
      </c>
      <c r="H4">
        <f t="shared" si="2"/>
        <v>-2.4893209689677902</v>
      </c>
      <c r="I4">
        <f t="shared" si="3"/>
        <v>-2.4731440128741253</v>
      </c>
    </row>
    <row r="5" spans="1:9" x14ac:dyDescent="0.3">
      <c r="A5">
        <v>2.7</v>
      </c>
      <c r="B5" s="1">
        <v>2.2599999999999999E-3</v>
      </c>
      <c r="C5" s="1">
        <v>8.8699999999999994E-3</v>
      </c>
      <c r="D5" s="1">
        <v>9.3799999999999994E-3</v>
      </c>
      <c r="E5" s="1">
        <v>9.7999999999999997E-3</v>
      </c>
      <c r="F5">
        <f t="shared" si="0"/>
        <v>-2.6458915608525992</v>
      </c>
      <c r="G5">
        <f t="shared" si="1"/>
        <v>-2.0520763801682738</v>
      </c>
      <c r="H5">
        <f t="shared" si="2"/>
        <v>-2.0277971616209354</v>
      </c>
      <c r="I5">
        <f t="shared" si="3"/>
        <v>-2.0087739243075053</v>
      </c>
    </row>
    <row r="6" spans="1:9" x14ac:dyDescent="0.3">
      <c r="A6">
        <v>2.8</v>
      </c>
      <c r="B6" s="1">
        <v>2.2599999999999999E-3</v>
      </c>
      <c r="C6" s="1">
        <v>2.2270000000000002E-2</v>
      </c>
      <c r="D6" s="1">
        <v>2.52E-2</v>
      </c>
      <c r="E6" s="1">
        <v>2.6800000000000001E-2</v>
      </c>
      <c r="F6">
        <f t="shared" si="0"/>
        <v>-2.6458915608525992</v>
      </c>
      <c r="G6">
        <f t="shared" si="1"/>
        <v>-1.6522797829659617</v>
      </c>
      <c r="H6">
        <f t="shared" si="2"/>
        <v>-1.5985994592184558</v>
      </c>
      <c r="I6">
        <f t="shared" si="3"/>
        <v>-1.5718652059712113</v>
      </c>
    </row>
    <row r="7" spans="1:9" x14ac:dyDescent="0.3">
      <c r="A7">
        <v>2.9</v>
      </c>
      <c r="B7" s="1">
        <v>2.31E-3</v>
      </c>
      <c r="C7" s="1">
        <v>3.0949999999999998E-2</v>
      </c>
      <c r="D7" s="1">
        <v>5.7500000000000002E-2</v>
      </c>
      <c r="E7" s="1">
        <v>6.6600000000000006E-2</v>
      </c>
      <c r="F7">
        <f t="shared" si="0"/>
        <v>-2.6363880201078556</v>
      </c>
      <c r="G7">
        <f t="shared" si="1"/>
        <v>-1.5093393466438632</v>
      </c>
      <c r="H7">
        <f t="shared" si="2"/>
        <v>-1.2403321553103694</v>
      </c>
      <c r="I7">
        <f t="shared" si="3"/>
        <v>-1.176525770829699</v>
      </c>
    </row>
    <row r="8" spans="1:9" x14ac:dyDescent="0.3">
      <c r="A8">
        <v>3</v>
      </c>
      <c r="B8" s="1">
        <v>2.1199999999999999E-3</v>
      </c>
      <c r="C8" s="1">
        <v>3.2000000000000001E-2</v>
      </c>
      <c r="D8" s="1">
        <v>9.7500000000000003E-2</v>
      </c>
      <c r="F8">
        <f t="shared" si="0"/>
        <v>-2.6736641390712488</v>
      </c>
      <c r="G8">
        <f>LOG10(C8)</f>
        <v>-1.494850021680094</v>
      </c>
      <c r="H8">
        <f t="shared" si="2"/>
        <v>-1.0109953843014632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график</vt:lpstr>
      <vt:lpstr>2 график</vt:lpstr>
      <vt:lpstr>3 графики</vt:lpstr>
      <vt:lpstr>степень черноты</vt:lpstr>
      <vt:lpstr>Анодный ток от анодного напры</vt:lpstr>
      <vt:lpstr>Лист1</vt:lpstr>
      <vt:lpstr>Расчет кпд</vt:lpstr>
      <vt:lpstr>Зависимость Iа от Iн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Попевич Акакий</dc:creator>
  <cp:lastModifiedBy>Попевич Акакий</cp:lastModifiedBy>
  <dcterms:created xsi:type="dcterms:W3CDTF">2022-09-27T10:09:47Z</dcterms:created>
  <dcterms:modified xsi:type="dcterms:W3CDTF">2022-10-10T20:03:05Z</dcterms:modified>
</cp:coreProperties>
</file>